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istrator\Desktop\คำนวณภาษีปี 2565\ประกาศ ภ.ด.ส.1 เว็บไซต์\"/>
    </mc:Choice>
  </mc:AlternateContent>
  <xr:revisionPtr revIDLastSave="0" documentId="13_ncr:1_{2C7549D5-91AA-44FE-8EE7-4B4944200A85}" xr6:coauthVersionLast="40" xr6:coauthVersionMax="40" xr10:uidLastSave="{00000000-0000-0000-0000-000000000000}"/>
  <bookViews>
    <workbookView xWindow="-105" yWindow="-105" windowWidth="23250" windowHeight="13170" xr2:uid="{D1642FB6-FE6E-44B0-81AD-43AA0EFBCD5A}"/>
  </bookViews>
  <sheets>
    <sheet name="ประกาศ ภ.ด.ส.1 (ปี65)" sheetId="16" r:id="rId1"/>
  </sheets>
  <definedNames>
    <definedName name="_xlnm._FilterDatabase" localSheetId="0" hidden="1">'ประกาศ ภ.ด.ส.1 (ปี65)'!$A$11:$WUO$2927</definedName>
    <definedName name="_xlnm.Print_Titles" localSheetId="0">'ประกาศ ภ.ด.ส.1 (ปี65)'!$6:$11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891" i="16" l="1"/>
  <c r="J1891" i="16" s="1"/>
  <c r="W1891" i="16" s="1"/>
  <c r="Y1891" i="16" s="1"/>
  <c r="P1864" i="16" l="1"/>
  <c r="P1863" i="16"/>
  <c r="R190" i="16"/>
  <c r="T190" i="16" s="1"/>
  <c r="J2928" i="16"/>
  <c r="H109" i="16"/>
  <c r="J109" i="16" s="1"/>
  <c r="U190" i="16" l="1"/>
  <c r="R2459" i="16" l="1"/>
  <c r="P2354" i="16"/>
  <c r="P2353" i="16"/>
  <c r="P2101" i="16" l="1"/>
  <c r="P2100" i="16"/>
  <c r="P2096" i="16"/>
  <c r="P2095" i="16"/>
  <c r="R3114" i="16"/>
  <c r="H3114" i="16"/>
  <c r="J3114" i="16" s="1"/>
  <c r="J2747" i="16"/>
  <c r="H2754" i="16"/>
  <c r="J2754" i="16" s="1"/>
  <c r="T3114" i="16" l="1"/>
  <c r="U3114" i="16" s="1"/>
  <c r="V3114" i="16" s="1"/>
  <c r="W3114" i="16" s="1"/>
  <c r="H2745" i="16"/>
  <c r="J2745" i="16" s="1"/>
  <c r="H2744" i="16"/>
  <c r="J2744" i="16" s="1"/>
  <c r="H2743" i="16"/>
  <c r="J2743" i="16" s="1"/>
  <c r="H2742" i="16"/>
  <c r="J2742" i="16" s="1"/>
  <c r="H2741" i="16"/>
  <c r="J2741" i="16" s="1"/>
  <c r="R3574" i="16" l="1"/>
  <c r="T3574" i="16" s="1"/>
  <c r="R3573" i="16"/>
  <c r="T3573" i="16" l="1"/>
  <c r="U3573" i="16" s="1"/>
  <c r="V3573" i="16" s="1"/>
  <c r="W3573" i="16" s="1"/>
  <c r="U3574" i="16"/>
  <c r="V3574" i="16" s="1"/>
  <c r="W3574" i="16" s="1"/>
  <c r="W3576" i="16" l="1"/>
  <c r="Y3576" i="16" s="1"/>
  <c r="W3575" i="16"/>
  <c r="Y40" i="16" l="1"/>
  <c r="Y39" i="16"/>
  <c r="R2195" i="16" l="1"/>
  <c r="T2195" i="16" s="1"/>
  <c r="T3570" i="16"/>
  <c r="U3570" i="16" s="1"/>
  <c r="T3569" i="16"/>
  <c r="U3569" i="16" s="1"/>
  <c r="T3568" i="16"/>
  <c r="U3568" i="16" s="1"/>
  <c r="J3567" i="16"/>
  <c r="T3098" i="16"/>
  <c r="U3098" i="16" s="1"/>
  <c r="T3097" i="16"/>
  <c r="U3097" i="16" s="1"/>
  <c r="T3565" i="16"/>
  <c r="U3565" i="16" s="1"/>
  <c r="T3564" i="16"/>
  <c r="U3564" i="16" s="1"/>
  <c r="R3463" i="16"/>
  <c r="J3464" i="16"/>
  <c r="J3463" i="16"/>
  <c r="R3464" i="16"/>
  <c r="T3464" i="16" s="1"/>
  <c r="R3560" i="16"/>
  <c r="H3560" i="16"/>
  <c r="J3560" i="16" s="1"/>
  <c r="R2885" i="16"/>
  <c r="T2885" i="16" s="1"/>
  <c r="H2885" i="16"/>
  <c r="J2885" i="16" s="1"/>
  <c r="R2737" i="16"/>
  <c r="T2737" i="16" s="1"/>
  <c r="J2737" i="16"/>
  <c r="R2735" i="16"/>
  <c r="T2735" i="16" s="1"/>
  <c r="R2734" i="16"/>
  <c r="T2734" i="16" s="1"/>
  <c r="R2733" i="16"/>
  <c r="T2733" i="16" s="1"/>
  <c r="R2732" i="16"/>
  <c r="T2732" i="16" s="1"/>
  <c r="R2731" i="16"/>
  <c r="R2730" i="16"/>
  <c r="T2730" i="16" s="1"/>
  <c r="J2730" i="16"/>
  <c r="H2729" i="16"/>
  <c r="J2729" i="16" s="1"/>
  <c r="H2719" i="16"/>
  <c r="J2719" i="16" s="1"/>
  <c r="J2720" i="16"/>
  <c r="R2721" i="16"/>
  <c r="T2721" i="16" s="1"/>
  <c r="R2722" i="16"/>
  <c r="T2722" i="16" s="1"/>
  <c r="R2723" i="16"/>
  <c r="T2723" i="16" s="1"/>
  <c r="H2725" i="16"/>
  <c r="J2725" i="16" s="1"/>
  <c r="R2725" i="16"/>
  <c r="T2725" i="16" s="1"/>
  <c r="U2725" i="16" s="1"/>
  <c r="H2726" i="16"/>
  <c r="J2726" i="16" s="1"/>
  <c r="R2726" i="16"/>
  <c r="T2726" i="16" s="1"/>
  <c r="H2727" i="16"/>
  <c r="J2727" i="16" s="1"/>
  <c r="R2727" i="16"/>
  <c r="T2727" i="16" s="1"/>
  <c r="U2727" i="16" s="1"/>
  <c r="H2728" i="16"/>
  <c r="J2728" i="16" s="1"/>
  <c r="R2728" i="16"/>
  <c r="T2728" i="16" s="1"/>
  <c r="U2728" i="16" s="1"/>
  <c r="R1268" i="16"/>
  <c r="T1268" i="16" s="1"/>
  <c r="U1268" i="16" s="1"/>
  <c r="R1267" i="16"/>
  <c r="T1267" i="16" s="1"/>
  <c r="U1267" i="16" s="1"/>
  <c r="R1266" i="16"/>
  <c r="T1266" i="16" s="1"/>
  <c r="U1266" i="16" s="1"/>
  <c r="R1265" i="16"/>
  <c r="T1265" i="16" s="1"/>
  <c r="U1265" i="16" s="1"/>
  <c r="R1264" i="16"/>
  <c r="T1264" i="16" s="1"/>
  <c r="U1264" i="16" s="1"/>
  <c r="R1263" i="16"/>
  <c r="T1263" i="16" s="1"/>
  <c r="U1263" i="16" s="1"/>
  <c r="R1262" i="16"/>
  <c r="T1262" i="16" s="1"/>
  <c r="U1262" i="16" s="1"/>
  <c r="R1261" i="16"/>
  <c r="T1261" i="16" s="1"/>
  <c r="U1261" i="16" s="1"/>
  <c r="R1260" i="16"/>
  <c r="T1260" i="16" s="1"/>
  <c r="U1260" i="16" s="1"/>
  <c r="R1259" i="16"/>
  <c r="T1259" i="16" s="1"/>
  <c r="U1259" i="16" s="1"/>
  <c r="R1258" i="16"/>
  <c r="T1258" i="16" s="1"/>
  <c r="U1258" i="16" s="1"/>
  <c r="R1257" i="16"/>
  <c r="T1257" i="16" s="1"/>
  <c r="U1257" i="16" s="1"/>
  <c r="R1256" i="16"/>
  <c r="T1256" i="16" s="1"/>
  <c r="U1256" i="16" s="1"/>
  <c r="R1255" i="16"/>
  <c r="T1255" i="16" s="1"/>
  <c r="H1132" i="16"/>
  <c r="J1132" i="16" s="1"/>
  <c r="V1132" i="16" s="1"/>
  <c r="W1132" i="16" s="1"/>
  <c r="Y1132" i="16" s="1"/>
  <c r="H1131" i="16"/>
  <c r="J1131" i="16" s="1"/>
  <c r="V1131" i="16" s="1"/>
  <c r="W1131" i="16" s="1"/>
  <c r="Y1131" i="16" s="1"/>
  <c r="H1130" i="16"/>
  <c r="J1130" i="16" s="1"/>
  <c r="V1130" i="16" s="1"/>
  <c r="W1130" i="16" s="1"/>
  <c r="Y1130" i="16" s="1"/>
  <c r="H1129" i="16"/>
  <c r="J1129" i="16" s="1"/>
  <c r="V1129" i="16" s="1"/>
  <c r="W1129" i="16" s="1"/>
  <c r="Y1129" i="16" s="1"/>
  <c r="J1123" i="16"/>
  <c r="J1126" i="16"/>
  <c r="R1126" i="16"/>
  <c r="R1124" i="16"/>
  <c r="T1124" i="16" s="1"/>
  <c r="U1124" i="16" s="1"/>
  <c r="R1123" i="16"/>
  <c r="H1128" i="16"/>
  <c r="J1128" i="16" s="1"/>
  <c r="V1128" i="16" s="1"/>
  <c r="W1128" i="16" s="1"/>
  <c r="Y1128" i="16" s="1"/>
  <c r="H1127" i="16"/>
  <c r="J1127" i="16" s="1"/>
  <c r="V1127" i="16" s="1"/>
  <c r="W1127" i="16" s="1"/>
  <c r="Y1127" i="16" s="1"/>
  <c r="H1122" i="16"/>
  <c r="J1122" i="16" s="1"/>
  <c r="J1121" i="16"/>
  <c r="R1121" i="16"/>
  <c r="T1121" i="16" s="1"/>
  <c r="U1121" i="16" s="1"/>
  <c r="H1120" i="16"/>
  <c r="J1120" i="16" s="1"/>
  <c r="H1096" i="16"/>
  <c r="J1096" i="16" s="1"/>
  <c r="R1096" i="16"/>
  <c r="T1096" i="16" s="1"/>
  <c r="J890" i="16"/>
  <c r="R890" i="16"/>
  <c r="R892" i="16"/>
  <c r="T892" i="16" s="1"/>
  <c r="R891" i="16"/>
  <c r="T891" i="16" s="1"/>
  <c r="J902" i="16"/>
  <c r="V902" i="16" s="1"/>
  <c r="W902" i="16" s="1"/>
  <c r="J895" i="16"/>
  <c r="R900" i="16"/>
  <c r="R899" i="16"/>
  <c r="T899" i="16" s="1"/>
  <c r="U899" i="16" s="1"/>
  <c r="R898" i="16"/>
  <c r="T898" i="16" s="1"/>
  <c r="R897" i="16"/>
  <c r="T897" i="16" s="1"/>
  <c r="R896" i="16"/>
  <c r="T896" i="16" s="1"/>
  <c r="R895" i="16"/>
  <c r="T895" i="16" s="1"/>
  <c r="H894" i="16"/>
  <c r="J894" i="16" s="1"/>
  <c r="R3559" i="16"/>
  <c r="R3558" i="16"/>
  <c r="R3557" i="16"/>
  <c r="R3556" i="16"/>
  <c r="R3555" i="16"/>
  <c r="R3554" i="16"/>
  <c r="H3553" i="16"/>
  <c r="J3553" i="16" s="1"/>
  <c r="R3552" i="16"/>
  <c r="T3552" i="16" s="1"/>
  <c r="U3552" i="16" s="1"/>
  <c r="V3552" i="16" s="1"/>
  <c r="W3552" i="16" s="1"/>
  <c r="Y3552" i="16" s="1"/>
  <c r="H3552" i="16"/>
  <c r="R3551" i="16"/>
  <c r="T3551" i="16" s="1"/>
  <c r="U3551" i="16" s="1"/>
  <c r="V3551" i="16" s="1"/>
  <c r="W3551" i="16" s="1"/>
  <c r="Y3551" i="16" s="1"/>
  <c r="H3551" i="16"/>
  <c r="R3550" i="16"/>
  <c r="T3550" i="16" s="1"/>
  <c r="U3550" i="16" s="1"/>
  <c r="V3550" i="16" s="1"/>
  <c r="W3550" i="16" s="1"/>
  <c r="Y3550" i="16" s="1"/>
  <c r="H3550" i="16"/>
  <c r="R3549" i="16"/>
  <c r="T3549" i="16" s="1"/>
  <c r="U3549" i="16" s="1"/>
  <c r="V3549" i="16" s="1"/>
  <c r="W3549" i="16" s="1"/>
  <c r="Y3549" i="16" s="1"/>
  <c r="H3549" i="16"/>
  <c r="R3548" i="16"/>
  <c r="T3548" i="16" s="1"/>
  <c r="U3548" i="16" s="1"/>
  <c r="V3548" i="16" s="1"/>
  <c r="W3548" i="16" s="1"/>
  <c r="Y3548" i="16" s="1"/>
  <c r="H3548" i="16"/>
  <c r="R3547" i="16"/>
  <c r="T3547" i="16" s="1"/>
  <c r="U3547" i="16" s="1"/>
  <c r="V3547" i="16" s="1"/>
  <c r="W3547" i="16" s="1"/>
  <c r="Y3547" i="16" s="1"/>
  <c r="H3547" i="16"/>
  <c r="R3546" i="16"/>
  <c r="T3546" i="16" s="1"/>
  <c r="U3546" i="16" s="1"/>
  <c r="V3546" i="16" s="1"/>
  <c r="W3546" i="16" s="1"/>
  <c r="Y3546" i="16" s="1"/>
  <c r="H3546" i="16"/>
  <c r="R3545" i="16"/>
  <c r="T3545" i="16" s="1"/>
  <c r="U3545" i="16" s="1"/>
  <c r="V3545" i="16" s="1"/>
  <c r="W3545" i="16" s="1"/>
  <c r="Y3545" i="16" s="1"/>
  <c r="H3545" i="16"/>
  <c r="H3544" i="16"/>
  <c r="J3544" i="16" s="1"/>
  <c r="V3544" i="16" s="1"/>
  <c r="W3544" i="16" s="1"/>
  <c r="Y3544" i="16" s="1"/>
  <c r="H3543" i="16"/>
  <c r="J3543" i="16" s="1"/>
  <c r="V3543" i="16" s="1"/>
  <c r="W3543" i="16" s="1"/>
  <c r="Y3543" i="16" s="1"/>
  <c r="H3542" i="16"/>
  <c r="J3542" i="16" s="1"/>
  <c r="V3542" i="16" s="1"/>
  <c r="W3542" i="16" s="1"/>
  <c r="Y3542" i="16" s="1"/>
  <c r="H3541" i="16"/>
  <c r="J3541" i="16" s="1"/>
  <c r="V3541" i="16" s="1"/>
  <c r="W3541" i="16" s="1"/>
  <c r="Y3541" i="16" s="1"/>
  <c r="H3540" i="16"/>
  <c r="J3540" i="16" s="1"/>
  <c r="V3540" i="16" s="1"/>
  <c r="W3540" i="16" s="1"/>
  <c r="Y3540" i="16" s="1"/>
  <c r="H3539" i="16"/>
  <c r="J3539" i="16" s="1"/>
  <c r="V3539" i="16" s="1"/>
  <c r="W3539" i="16" s="1"/>
  <c r="Y3539" i="16" s="1"/>
  <c r="H3538" i="16"/>
  <c r="J3538" i="16" s="1"/>
  <c r="V3538" i="16" s="1"/>
  <c r="W3538" i="16" s="1"/>
  <c r="Y3538" i="16" s="1"/>
  <c r="H3537" i="16"/>
  <c r="J3537" i="16" s="1"/>
  <c r="V3537" i="16" s="1"/>
  <c r="W3537" i="16" s="1"/>
  <c r="Y3537" i="16" s="1"/>
  <c r="H3536" i="16"/>
  <c r="J3536" i="16" s="1"/>
  <c r="V3536" i="16" s="1"/>
  <c r="W3536" i="16" s="1"/>
  <c r="Y3536" i="16" s="1"/>
  <c r="H3535" i="16"/>
  <c r="J3535" i="16" s="1"/>
  <c r="V3535" i="16" s="1"/>
  <c r="W3535" i="16" s="1"/>
  <c r="Y3535" i="16" s="1"/>
  <c r="R3534" i="16"/>
  <c r="T3534" i="16" s="1"/>
  <c r="U3534" i="16" s="1"/>
  <c r="H3534" i="16"/>
  <c r="J3534" i="16" s="1"/>
  <c r="R3533" i="16"/>
  <c r="T3533" i="16" s="1"/>
  <c r="H3533" i="16"/>
  <c r="J3533" i="16" s="1"/>
  <c r="R3532" i="16"/>
  <c r="H3532" i="16"/>
  <c r="J3532" i="16" s="1"/>
  <c r="H3531" i="16"/>
  <c r="J3531" i="16" s="1"/>
  <c r="V3531" i="16" s="1"/>
  <c r="W3531" i="16" s="1"/>
  <c r="Y3531" i="16" s="1"/>
  <c r="R3530" i="16"/>
  <c r="T3530" i="16" s="1"/>
  <c r="U3530" i="16" s="1"/>
  <c r="H3530" i="16"/>
  <c r="J3530" i="16" s="1"/>
  <c r="R3529" i="16"/>
  <c r="T3529" i="16" s="1"/>
  <c r="H3529" i="16"/>
  <c r="J3529" i="16" s="1"/>
  <c r="R3528" i="16"/>
  <c r="H3528" i="16"/>
  <c r="J3528" i="16" s="1"/>
  <c r="R3527" i="16"/>
  <c r="T3527" i="16" s="1"/>
  <c r="U3527" i="16" s="1"/>
  <c r="H3527" i="16"/>
  <c r="J3527" i="16" s="1"/>
  <c r="H3526" i="16"/>
  <c r="J3526" i="16" s="1"/>
  <c r="V3526" i="16" s="1"/>
  <c r="W3526" i="16" s="1"/>
  <c r="Y3526" i="16" s="1"/>
  <c r="H3525" i="16"/>
  <c r="J3525" i="16" s="1"/>
  <c r="V3525" i="16" s="1"/>
  <c r="W3525" i="16" s="1"/>
  <c r="Y3525" i="16" s="1"/>
  <c r="R3524" i="16"/>
  <c r="T3524" i="16" s="1"/>
  <c r="H3524" i="16"/>
  <c r="J3524" i="16" s="1"/>
  <c r="R3523" i="16"/>
  <c r="T3523" i="16" s="1"/>
  <c r="H3523" i="16"/>
  <c r="J3523" i="16" s="1"/>
  <c r="R3522" i="16"/>
  <c r="H3522" i="16"/>
  <c r="J3522" i="16" s="1"/>
  <c r="R3521" i="16"/>
  <c r="T3521" i="16" s="1"/>
  <c r="U3521" i="16" s="1"/>
  <c r="H3521" i="16"/>
  <c r="J3521" i="16" s="1"/>
  <c r="H3520" i="16"/>
  <c r="J3520" i="16" s="1"/>
  <c r="V3520" i="16" s="1"/>
  <c r="W3520" i="16" s="1"/>
  <c r="Y3520" i="16" s="1"/>
  <c r="R3519" i="16"/>
  <c r="H3519" i="16"/>
  <c r="J3519" i="16" s="1"/>
  <c r="R3518" i="16"/>
  <c r="T3518" i="16" s="1"/>
  <c r="U3518" i="16" s="1"/>
  <c r="H3518" i="16"/>
  <c r="J3518" i="16" s="1"/>
  <c r="R3517" i="16"/>
  <c r="T3517" i="16" s="1"/>
  <c r="U3517" i="16" s="1"/>
  <c r="H3517" i="16"/>
  <c r="J3517" i="16" s="1"/>
  <c r="R3516" i="16"/>
  <c r="H3516" i="16"/>
  <c r="J3516" i="16" s="1"/>
  <c r="R3515" i="16"/>
  <c r="H3515" i="16"/>
  <c r="J3515" i="16" s="1"/>
  <c r="R3514" i="16"/>
  <c r="T3514" i="16" s="1"/>
  <c r="U3514" i="16" s="1"/>
  <c r="H3514" i="16"/>
  <c r="J3514" i="16" s="1"/>
  <c r="H3513" i="16"/>
  <c r="J3513" i="16" s="1"/>
  <c r="V3513" i="16" s="1"/>
  <c r="W3513" i="16" s="1"/>
  <c r="Y3513" i="16" s="1"/>
  <c r="H3512" i="16"/>
  <c r="J3512" i="16" s="1"/>
  <c r="V3512" i="16" s="1"/>
  <c r="W3512" i="16" s="1"/>
  <c r="Y3512" i="16" s="1"/>
  <c r="R3511" i="16"/>
  <c r="T3511" i="16" s="1"/>
  <c r="U3511" i="16" s="1"/>
  <c r="H3511" i="16"/>
  <c r="J3511" i="16" s="1"/>
  <c r="R3510" i="16"/>
  <c r="H3510" i="16"/>
  <c r="J3510" i="16" s="1"/>
  <c r="H3509" i="16"/>
  <c r="J3509" i="16" s="1"/>
  <c r="V3509" i="16" s="1"/>
  <c r="W3509" i="16" s="1"/>
  <c r="Y3509" i="16" s="1"/>
  <c r="H3508" i="16"/>
  <c r="J3508" i="16" s="1"/>
  <c r="V3508" i="16" s="1"/>
  <c r="W3508" i="16" s="1"/>
  <c r="Y3508" i="16" s="1"/>
  <c r="J3507" i="16"/>
  <c r="V3507" i="16" s="1"/>
  <c r="W3507" i="16" s="1"/>
  <c r="Y3507" i="16" s="1"/>
  <c r="R3506" i="16"/>
  <c r="T3506" i="16" s="1"/>
  <c r="U3506" i="16" s="1"/>
  <c r="J3506" i="16"/>
  <c r="H3505" i="16"/>
  <c r="J3505" i="16" s="1"/>
  <c r="R3504" i="16"/>
  <c r="T3504" i="16" s="1"/>
  <c r="U3504" i="16" s="1"/>
  <c r="H3504" i="16"/>
  <c r="J3504" i="16" s="1"/>
  <c r="R3503" i="16"/>
  <c r="H3503" i="16"/>
  <c r="J3503" i="16" s="1"/>
  <c r="R3502" i="16"/>
  <c r="T3502" i="16" s="1"/>
  <c r="U3502" i="16" s="1"/>
  <c r="H3502" i="16"/>
  <c r="J3502" i="16" s="1"/>
  <c r="R3501" i="16"/>
  <c r="T3501" i="16" s="1"/>
  <c r="U3501" i="16" s="1"/>
  <c r="H3501" i="16"/>
  <c r="J3501" i="16" s="1"/>
  <c r="R3500" i="16"/>
  <c r="H3500" i="16"/>
  <c r="J3500" i="16" s="1"/>
  <c r="R3499" i="16"/>
  <c r="H3499" i="16"/>
  <c r="J3499" i="16" s="1"/>
  <c r="R3498" i="16"/>
  <c r="T3498" i="16" s="1"/>
  <c r="H3498" i="16"/>
  <c r="J3498" i="16" s="1"/>
  <c r="H3497" i="16"/>
  <c r="J3497" i="16" s="1"/>
  <c r="V3497" i="16" s="1"/>
  <c r="W3497" i="16" s="1"/>
  <c r="Y3497" i="16" s="1"/>
  <c r="H3496" i="16"/>
  <c r="J3496" i="16" s="1"/>
  <c r="V3496" i="16" s="1"/>
  <c r="W3496" i="16" s="1"/>
  <c r="Y3496" i="16" s="1"/>
  <c r="H3495" i="16"/>
  <c r="J3495" i="16" s="1"/>
  <c r="V3495" i="16" s="1"/>
  <c r="W3495" i="16" s="1"/>
  <c r="Y3495" i="16" s="1"/>
  <c r="H3494" i="16"/>
  <c r="J3494" i="16" s="1"/>
  <c r="V3494" i="16" s="1"/>
  <c r="W3494" i="16" s="1"/>
  <c r="Y3494" i="16" s="1"/>
  <c r="H3493" i="16"/>
  <c r="J3493" i="16" s="1"/>
  <c r="V3493" i="16" s="1"/>
  <c r="W3493" i="16" s="1"/>
  <c r="Y3493" i="16" s="1"/>
  <c r="H3492" i="16"/>
  <c r="J3492" i="16" s="1"/>
  <c r="V3492" i="16" s="1"/>
  <c r="W3492" i="16" s="1"/>
  <c r="Y3492" i="16" s="1"/>
  <c r="H3491" i="16"/>
  <c r="J3491" i="16" s="1"/>
  <c r="V3491" i="16" s="1"/>
  <c r="W3491" i="16" s="1"/>
  <c r="Y3491" i="16" s="1"/>
  <c r="H3490" i="16"/>
  <c r="J3490" i="16" s="1"/>
  <c r="V3490" i="16" s="1"/>
  <c r="W3490" i="16" s="1"/>
  <c r="Y3490" i="16" s="1"/>
  <c r="H3489" i="16"/>
  <c r="J3489" i="16" s="1"/>
  <c r="V3489" i="16" s="1"/>
  <c r="W3489" i="16" s="1"/>
  <c r="Y3489" i="16" s="1"/>
  <c r="H3488" i="16"/>
  <c r="J3488" i="16" s="1"/>
  <c r="V3488" i="16" s="1"/>
  <c r="W3488" i="16" s="1"/>
  <c r="Y3488" i="16" s="1"/>
  <c r="H3487" i="16"/>
  <c r="J3487" i="16" s="1"/>
  <c r="V3487" i="16" s="1"/>
  <c r="W3487" i="16" s="1"/>
  <c r="Y3487" i="16" s="1"/>
  <c r="H3486" i="16"/>
  <c r="J3486" i="16" s="1"/>
  <c r="V3486" i="16" s="1"/>
  <c r="W3486" i="16" s="1"/>
  <c r="Y3486" i="16" s="1"/>
  <c r="H3485" i="16"/>
  <c r="J3485" i="16" s="1"/>
  <c r="V3485" i="16" s="1"/>
  <c r="W3485" i="16" s="1"/>
  <c r="Y3485" i="16" s="1"/>
  <c r="H3484" i="16"/>
  <c r="J3484" i="16" s="1"/>
  <c r="V3484" i="16" s="1"/>
  <c r="W3484" i="16" s="1"/>
  <c r="Y3484" i="16" s="1"/>
  <c r="R3483" i="16"/>
  <c r="J3483" i="16"/>
  <c r="H3482" i="16"/>
  <c r="J3482" i="16" s="1"/>
  <c r="R3481" i="16"/>
  <c r="T3481" i="16" s="1"/>
  <c r="U3481" i="16" s="1"/>
  <c r="H3481" i="16"/>
  <c r="J3481" i="16" s="1"/>
  <c r="R3480" i="16"/>
  <c r="T3480" i="16" s="1"/>
  <c r="U3480" i="16" s="1"/>
  <c r="H3480" i="16"/>
  <c r="J3480" i="16" s="1"/>
  <c r="R3479" i="16"/>
  <c r="H3479" i="16"/>
  <c r="J3479" i="16" s="1"/>
  <c r="R3478" i="16"/>
  <c r="H3478" i="16"/>
  <c r="J3478" i="16" s="1"/>
  <c r="R3477" i="16"/>
  <c r="T3477" i="16" s="1"/>
  <c r="U3477" i="16" s="1"/>
  <c r="H3477" i="16"/>
  <c r="J3477" i="16" s="1"/>
  <c r="R3476" i="16"/>
  <c r="T3476" i="16" s="1"/>
  <c r="U3476" i="16" s="1"/>
  <c r="H3476" i="16"/>
  <c r="J3476" i="16" s="1"/>
  <c r="R3475" i="16"/>
  <c r="T3475" i="16" s="1"/>
  <c r="H3475" i="16"/>
  <c r="J3475" i="16" s="1"/>
  <c r="U3474" i="16"/>
  <c r="H3474" i="16"/>
  <c r="J3474" i="16" s="1"/>
  <c r="U3473" i="16"/>
  <c r="H3473" i="16"/>
  <c r="J3473" i="16" s="1"/>
  <c r="R3472" i="16"/>
  <c r="H3472" i="16"/>
  <c r="J3472" i="16" s="1"/>
  <c r="R3471" i="16"/>
  <c r="T3471" i="16" s="1"/>
  <c r="U3471" i="16" s="1"/>
  <c r="H3471" i="16"/>
  <c r="J3471" i="16" s="1"/>
  <c r="U3470" i="16"/>
  <c r="H3470" i="16"/>
  <c r="J3470" i="16" s="1"/>
  <c r="U3469" i="16"/>
  <c r="H3469" i="16"/>
  <c r="J3469" i="16" s="1"/>
  <c r="R3468" i="16"/>
  <c r="H3468" i="16"/>
  <c r="J3468" i="16" s="1"/>
  <c r="R3465" i="16"/>
  <c r="H3465" i="16"/>
  <c r="J3465" i="16" s="1"/>
  <c r="H3462" i="16"/>
  <c r="J3462" i="16" s="1"/>
  <c r="H3461" i="16"/>
  <c r="J3461" i="16" s="1"/>
  <c r="V3461" i="16" s="1"/>
  <c r="W3461" i="16" s="1"/>
  <c r="Y3461" i="16" s="1"/>
  <c r="H3460" i="16"/>
  <c r="J3460" i="16" s="1"/>
  <c r="V3460" i="16" s="1"/>
  <c r="W3460" i="16" s="1"/>
  <c r="Y3460" i="16" s="1"/>
  <c r="H3459" i="16"/>
  <c r="J3459" i="16" s="1"/>
  <c r="V3459" i="16" s="1"/>
  <c r="W3459" i="16" s="1"/>
  <c r="Y3459" i="16" s="1"/>
  <c r="H3458" i="16"/>
  <c r="J3458" i="16" s="1"/>
  <c r="V3458" i="16" s="1"/>
  <c r="W3458" i="16" s="1"/>
  <c r="Y3458" i="16" s="1"/>
  <c r="H3457" i="16"/>
  <c r="J3457" i="16" s="1"/>
  <c r="V3457" i="16" s="1"/>
  <c r="W3457" i="16" s="1"/>
  <c r="Y3457" i="16" s="1"/>
  <c r="H3456" i="16"/>
  <c r="J3456" i="16" s="1"/>
  <c r="V3456" i="16" s="1"/>
  <c r="W3456" i="16" s="1"/>
  <c r="Y3456" i="16" s="1"/>
  <c r="H3455" i="16"/>
  <c r="J3455" i="16" s="1"/>
  <c r="V3455" i="16" s="1"/>
  <c r="W3455" i="16" s="1"/>
  <c r="Y3455" i="16" s="1"/>
  <c r="H3454" i="16"/>
  <c r="J3454" i="16" s="1"/>
  <c r="V3454" i="16" s="1"/>
  <c r="W3454" i="16" s="1"/>
  <c r="Y3454" i="16" s="1"/>
  <c r="R3453" i="16"/>
  <c r="T3453" i="16" s="1"/>
  <c r="J3453" i="16"/>
  <c r="H3452" i="16"/>
  <c r="J3452" i="16" s="1"/>
  <c r="H3451" i="16"/>
  <c r="J3451" i="16" s="1"/>
  <c r="V3451" i="16" s="1"/>
  <c r="W3451" i="16" s="1"/>
  <c r="Y3451" i="16" s="1"/>
  <c r="R3450" i="16"/>
  <c r="T3450" i="16" s="1"/>
  <c r="H3450" i="16"/>
  <c r="J3450" i="16" s="1"/>
  <c r="R3449" i="16"/>
  <c r="T3449" i="16" s="1"/>
  <c r="H3449" i="16"/>
  <c r="J3449" i="16" s="1"/>
  <c r="R3448" i="16"/>
  <c r="J3448" i="16"/>
  <c r="H3447" i="16"/>
  <c r="J3447" i="16" s="1"/>
  <c r="R3444" i="16"/>
  <c r="H3444" i="16"/>
  <c r="J3444" i="16" s="1"/>
  <c r="R3441" i="16"/>
  <c r="T3441" i="16" s="1"/>
  <c r="U3441" i="16" s="1"/>
  <c r="H3441" i="16"/>
  <c r="J3441" i="16" s="1"/>
  <c r="R3440" i="16"/>
  <c r="H3440" i="16"/>
  <c r="J3440" i="16" s="1"/>
  <c r="R3439" i="16"/>
  <c r="H3439" i="16"/>
  <c r="J3439" i="16" s="1"/>
  <c r="R3438" i="16"/>
  <c r="T3438" i="16" s="1"/>
  <c r="H3438" i="16"/>
  <c r="J3438" i="16" s="1"/>
  <c r="R3437" i="16"/>
  <c r="T3437" i="16" s="1"/>
  <c r="U3437" i="16" s="1"/>
  <c r="H3437" i="16"/>
  <c r="J3437" i="16" s="1"/>
  <c r="R3436" i="16"/>
  <c r="H3436" i="16"/>
  <c r="J3436" i="16" s="1"/>
  <c r="R3435" i="16"/>
  <c r="T3435" i="16" s="1"/>
  <c r="H3435" i="16"/>
  <c r="J3435" i="16" s="1"/>
  <c r="H3434" i="16"/>
  <c r="J3434" i="16" s="1"/>
  <c r="R3433" i="16"/>
  <c r="T3433" i="16" s="1"/>
  <c r="U3433" i="16" s="1"/>
  <c r="J3433" i="16"/>
  <c r="R3431" i="16"/>
  <c r="T3431" i="16" s="1"/>
  <c r="R3430" i="16"/>
  <c r="T3430" i="16" s="1"/>
  <c r="J3430" i="16"/>
  <c r="H3429" i="16"/>
  <c r="J3429" i="16" s="1"/>
  <c r="R3428" i="16"/>
  <c r="J3428" i="16"/>
  <c r="R3427" i="16"/>
  <c r="J3427" i="16"/>
  <c r="R3426" i="16"/>
  <c r="J3426" i="16"/>
  <c r="R3424" i="16"/>
  <c r="T3424" i="16" s="1"/>
  <c r="R3423" i="16"/>
  <c r="T3423" i="16" s="1"/>
  <c r="U3423" i="16" s="1"/>
  <c r="J3423" i="16"/>
  <c r="H3422" i="16"/>
  <c r="J3422" i="16" s="1"/>
  <c r="R3421" i="16"/>
  <c r="H3421" i="16"/>
  <c r="J3421" i="16" s="1"/>
  <c r="R3420" i="16"/>
  <c r="T3420" i="16" s="1"/>
  <c r="H3420" i="16"/>
  <c r="J3420" i="16" s="1"/>
  <c r="R3418" i="16"/>
  <c r="R3417" i="16"/>
  <c r="J3417" i="16"/>
  <c r="H3416" i="16"/>
  <c r="J3416" i="16" s="1"/>
  <c r="R3415" i="16"/>
  <c r="T3415" i="16" s="1"/>
  <c r="J3415" i="16"/>
  <c r="R3414" i="16"/>
  <c r="T3414" i="16" s="1"/>
  <c r="J3414" i="16"/>
  <c r="R3413" i="16"/>
  <c r="T3413" i="16" s="1"/>
  <c r="J3413" i="16"/>
  <c r="H3412" i="16"/>
  <c r="J3412" i="16" s="1"/>
  <c r="R3411" i="16"/>
  <c r="J3411" i="16"/>
  <c r="R3410" i="16"/>
  <c r="T3410" i="16" s="1"/>
  <c r="U3410" i="16" s="1"/>
  <c r="J3410" i="16"/>
  <c r="H3409" i="16"/>
  <c r="J3409" i="16" s="1"/>
  <c r="R3406" i="16"/>
  <c r="T3406" i="16" s="1"/>
  <c r="H3406" i="16"/>
  <c r="J3406" i="16" s="1"/>
  <c r="R3405" i="16"/>
  <c r="T3405" i="16" s="1"/>
  <c r="U3405" i="16" s="1"/>
  <c r="H3405" i="16"/>
  <c r="J3405" i="16" s="1"/>
  <c r="R3404" i="16"/>
  <c r="H3404" i="16"/>
  <c r="J3404" i="16" s="1"/>
  <c r="R3403" i="16"/>
  <c r="T3403" i="16" s="1"/>
  <c r="H3403" i="16"/>
  <c r="J3403" i="16" s="1"/>
  <c r="R3401" i="16"/>
  <c r="T3401" i="16" s="1"/>
  <c r="R3400" i="16"/>
  <c r="J3399" i="16"/>
  <c r="H3398" i="16"/>
  <c r="J3398" i="16" s="1"/>
  <c r="R3396" i="16"/>
  <c r="R3395" i="16"/>
  <c r="T3395" i="16" s="1"/>
  <c r="R3394" i="16"/>
  <c r="T3394" i="16" s="1"/>
  <c r="J3394" i="16"/>
  <c r="H3393" i="16"/>
  <c r="J3393" i="16" s="1"/>
  <c r="R3392" i="16"/>
  <c r="H3392" i="16"/>
  <c r="J3392" i="16" s="1"/>
  <c r="R3391" i="16"/>
  <c r="J3391" i="16"/>
  <c r="R3388" i="16"/>
  <c r="T3388" i="16" s="1"/>
  <c r="J3388" i="16"/>
  <c r="H3387" i="16"/>
  <c r="J3387" i="16" s="1"/>
  <c r="R3385" i="16"/>
  <c r="T3385" i="16" s="1"/>
  <c r="R3384" i="16"/>
  <c r="T3384" i="16" s="1"/>
  <c r="H3384" i="16"/>
  <c r="J3384" i="16" s="1"/>
  <c r="R3383" i="16"/>
  <c r="T3383" i="16" s="1"/>
  <c r="J3383" i="16"/>
  <c r="R3381" i="16"/>
  <c r="T3381" i="16" s="1"/>
  <c r="U3381" i="16" s="1"/>
  <c r="R3380" i="16"/>
  <c r="R3379" i="16"/>
  <c r="J3378" i="16"/>
  <c r="H3377" i="16"/>
  <c r="J3377" i="16" s="1"/>
  <c r="R3376" i="16"/>
  <c r="J3376" i="16"/>
  <c r="R3375" i="16"/>
  <c r="T3375" i="16" s="1"/>
  <c r="U3375" i="16" s="1"/>
  <c r="J3375" i="16"/>
  <c r="R3373" i="16"/>
  <c r="T3373" i="16" s="1"/>
  <c r="U3373" i="16" s="1"/>
  <c r="V3373" i="16" s="1"/>
  <c r="R3372" i="16"/>
  <c r="T3372" i="16" s="1"/>
  <c r="J3372" i="16"/>
  <c r="H3371" i="16"/>
  <c r="J3371" i="16" s="1"/>
  <c r="H3370" i="16"/>
  <c r="J3370" i="16" s="1"/>
  <c r="V3370" i="16" s="1"/>
  <c r="W3370" i="16" s="1"/>
  <c r="Y3370" i="16" s="1"/>
  <c r="R3369" i="16"/>
  <c r="H3369" i="16"/>
  <c r="J3369" i="16" s="1"/>
  <c r="R3367" i="16"/>
  <c r="T3367" i="16" s="1"/>
  <c r="U3367" i="16" s="1"/>
  <c r="R3366" i="16"/>
  <c r="R3365" i="16"/>
  <c r="H3364" i="16"/>
  <c r="J3364" i="16" s="1"/>
  <c r="R3363" i="16"/>
  <c r="T3363" i="16" s="1"/>
  <c r="U3363" i="16" s="1"/>
  <c r="H3363" i="16"/>
  <c r="J3363" i="16" s="1"/>
  <c r="R3361" i="16"/>
  <c r="T3361" i="16" s="1"/>
  <c r="R3360" i="16"/>
  <c r="T3360" i="16" s="1"/>
  <c r="H3359" i="16"/>
  <c r="J3359" i="16" s="1"/>
  <c r="R3358" i="16"/>
  <c r="T3358" i="16" s="1"/>
  <c r="U3358" i="16" s="1"/>
  <c r="H3358" i="16"/>
  <c r="J3358" i="16" s="1"/>
  <c r="R3357" i="16"/>
  <c r="H3357" i="16"/>
  <c r="J3357" i="16" s="1"/>
  <c r="R3354" i="16"/>
  <c r="T3354" i="16" s="1"/>
  <c r="H3354" i="16"/>
  <c r="J3354" i="16" s="1"/>
  <c r="R3352" i="16"/>
  <c r="T3352" i="16" s="1"/>
  <c r="R3351" i="16"/>
  <c r="T3351" i="16" s="1"/>
  <c r="J3350" i="16"/>
  <c r="H3349" i="16"/>
  <c r="J3349" i="16" s="1"/>
  <c r="R3348" i="16"/>
  <c r="H3348" i="16"/>
  <c r="J3348" i="16" s="1"/>
  <c r="H3347" i="16"/>
  <c r="J3347" i="16" s="1"/>
  <c r="R3346" i="16"/>
  <c r="J3346" i="16"/>
  <c r="R3345" i="16"/>
  <c r="J3345" i="16"/>
  <c r="R3344" i="16"/>
  <c r="T3344" i="16" s="1"/>
  <c r="J3344" i="16"/>
  <c r="H3343" i="16"/>
  <c r="J3343" i="16" s="1"/>
  <c r="R3342" i="16"/>
  <c r="J3342" i="16"/>
  <c r="R3341" i="16"/>
  <c r="T3341" i="16" s="1"/>
  <c r="J3341" i="16"/>
  <c r="H3340" i="16"/>
  <c r="J3340" i="16" s="1"/>
  <c r="R3339" i="16"/>
  <c r="J3339" i="16"/>
  <c r="R3338" i="16"/>
  <c r="T3338" i="16" s="1"/>
  <c r="U3338" i="16" s="1"/>
  <c r="J3338" i="16"/>
  <c r="R3337" i="16"/>
  <c r="J3337" i="16"/>
  <c r="R3336" i="16"/>
  <c r="J3336" i="16"/>
  <c r="R3335" i="16"/>
  <c r="T3335" i="16" s="1"/>
  <c r="J3335" i="16"/>
  <c r="R3334" i="16"/>
  <c r="J3334" i="16"/>
  <c r="R3333" i="16"/>
  <c r="T3333" i="16" s="1"/>
  <c r="J3333" i="16"/>
  <c r="H3332" i="16"/>
  <c r="J3332" i="16" s="1"/>
  <c r="R3331" i="16"/>
  <c r="T3331" i="16" s="1"/>
  <c r="H3331" i="16"/>
  <c r="J3331" i="16" s="1"/>
  <c r="R3328" i="16"/>
  <c r="T3328" i="16" s="1"/>
  <c r="U3328" i="16" s="1"/>
  <c r="J3328" i="16"/>
  <c r="H3327" i="16"/>
  <c r="J3327" i="16" s="1"/>
  <c r="R3326" i="16"/>
  <c r="T3326" i="16" s="1"/>
  <c r="H3326" i="16"/>
  <c r="J3326" i="16" s="1"/>
  <c r="R3325" i="16"/>
  <c r="H3325" i="16"/>
  <c r="J3325" i="16" s="1"/>
  <c r="R3324" i="16"/>
  <c r="T3324" i="16" s="1"/>
  <c r="H3324" i="16"/>
  <c r="J3324" i="16" s="1"/>
  <c r="R3323" i="16"/>
  <c r="T3323" i="16" s="1"/>
  <c r="U3323" i="16" s="1"/>
  <c r="H3323" i="16"/>
  <c r="J3323" i="16" s="1"/>
  <c r="R3322" i="16"/>
  <c r="H3322" i="16"/>
  <c r="J3322" i="16" s="1"/>
  <c r="R3321" i="16"/>
  <c r="T3321" i="16" s="1"/>
  <c r="H3321" i="16"/>
  <c r="J3321" i="16" s="1"/>
  <c r="R3320" i="16"/>
  <c r="T3320" i="16" s="1"/>
  <c r="U3320" i="16" s="1"/>
  <c r="H3320" i="16"/>
  <c r="J3320" i="16" s="1"/>
  <c r="R3319" i="16"/>
  <c r="T3319" i="16" s="1"/>
  <c r="H3319" i="16"/>
  <c r="J3319" i="16" s="1"/>
  <c r="R3318" i="16"/>
  <c r="T3318" i="16" s="1"/>
  <c r="H3318" i="16"/>
  <c r="J3318" i="16" s="1"/>
  <c r="R3317" i="16"/>
  <c r="J3317" i="16"/>
  <c r="R3316" i="16"/>
  <c r="T3316" i="16" s="1"/>
  <c r="J3316" i="16"/>
  <c r="R3314" i="16"/>
  <c r="T3314" i="16" s="1"/>
  <c r="R3313" i="16"/>
  <c r="T3313" i="16" s="1"/>
  <c r="J3313" i="16"/>
  <c r="H3312" i="16"/>
  <c r="J3312" i="16" s="1"/>
  <c r="R3309" i="16"/>
  <c r="H3309" i="16"/>
  <c r="J3309" i="16" s="1"/>
  <c r="R3308" i="16"/>
  <c r="T3308" i="16" s="1"/>
  <c r="H3308" i="16"/>
  <c r="J3308" i="16" s="1"/>
  <c r="R3307" i="16"/>
  <c r="T3307" i="16" s="1"/>
  <c r="H3307" i="16"/>
  <c r="J3307" i="16" s="1"/>
  <c r="R3305" i="16"/>
  <c r="R3304" i="16"/>
  <c r="T3304" i="16" s="1"/>
  <c r="R3303" i="16"/>
  <c r="R3302" i="16"/>
  <c r="T3302" i="16" s="1"/>
  <c r="U3302" i="16" s="1"/>
  <c r="R3301" i="16"/>
  <c r="T3301" i="16" s="1"/>
  <c r="U3301" i="16" s="1"/>
  <c r="J3301" i="16"/>
  <c r="H3300" i="16"/>
  <c r="J3300" i="16" s="1"/>
  <c r="R3299" i="16"/>
  <c r="T3299" i="16" s="1"/>
  <c r="U3299" i="16" s="1"/>
  <c r="J3299" i="16"/>
  <c r="R3298" i="16"/>
  <c r="T3298" i="16" s="1"/>
  <c r="U3298" i="16" s="1"/>
  <c r="R3297" i="16"/>
  <c r="T3297" i="16" s="1"/>
  <c r="J3296" i="16"/>
  <c r="H3295" i="16"/>
  <c r="J3295" i="16" s="1"/>
  <c r="J3294" i="16"/>
  <c r="V3294" i="16" s="1"/>
  <c r="W3294" i="16" s="1"/>
  <c r="Y3294" i="16" s="1"/>
  <c r="R3293" i="16"/>
  <c r="T3293" i="16" s="1"/>
  <c r="H3293" i="16"/>
  <c r="J3293" i="16" s="1"/>
  <c r="R3292" i="16"/>
  <c r="H3292" i="16"/>
  <c r="J3292" i="16" s="1"/>
  <c r="R3291" i="16"/>
  <c r="T3291" i="16" s="1"/>
  <c r="U3291" i="16" s="1"/>
  <c r="H3291" i="16"/>
  <c r="J3291" i="16" s="1"/>
  <c r="R3290" i="16"/>
  <c r="H3290" i="16"/>
  <c r="J3290" i="16" s="1"/>
  <c r="R3289" i="16"/>
  <c r="T3289" i="16" s="1"/>
  <c r="H3289" i="16"/>
  <c r="J3289" i="16" s="1"/>
  <c r="H3288" i="16"/>
  <c r="J3288" i="16" s="1"/>
  <c r="R3284" i="16"/>
  <c r="J3283" i="16"/>
  <c r="H3282" i="16"/>
  <c r="J3282" i="16" s="1"/>
  <c r="R3281" i="16"/>
  <c r="T3281" i="16" s="1"/>
  <c r="J3281" i="16"/>
  <c r="R3280" i="16"/>
  <c r="T3280" i="16" s="1"/>
  <c r="J3280" i="16"/>
  <c r="R3279" i="16"/>
  <c r="T3279" i="16" s="1"/>
  <c r="J3279" i="16"/>
  <c r="R3278" i="16"/>
  <c r="T3278" i="16" s="1"/>
  <c r="J3278" i="16"/>
  <c r="R3277" i="16"/>
  <c r="H3277" i="16"/>
  <c r="J3277" i="16" s="1"/>
  <c r="R3274" i="16"/>
  <c r="T3274" i="16" s="1"/>
  <c r="U3274" i="16" s="1"/>
  <c r="H3274" i="16"/>
  <c r="J3274" i="16" s="1"/>
  <c r="R3271" i="16"/>
  <c r="H3271" i="16"/>
  <c r="J3271" i="16" s="1"/>
  <c r="R3268" i="16"/>
  <c r="T3268" i="16" s="1"/>
  <c r="H3268" i="16"/>
  <c r="J3268" i="16" s="1"/>
  <c r="R3263" i="16"/>
  <c r="T3263" i="16" s="1"/>
  <c r="T3260" i="16"/>
  <c r="U3260" i="16" s="1"/>
  <c r="V3260" i="16" s="1"/>
  <c r="W3260" i="16" s="1"/>
  <c r="R3259" i="16"/>
  <c r="H3259" i="16"/>
  <c r="J3259" i="16" s="1"/>
  <c r="R3256" i="16"/>
  <c r="T3256" i="16" s="1"/>
  <c r="H3256" i="16"/>
  <c r="J3256" i="16" s="1"/>
  <c r="R3253" i="16"/>
  <c r="H3252" i="16"/>
  <c r="J3252" i="16" s="1"/>
  <c r="H3250" i="16"/>
  <c r="R3249" i="16"/>
  <c r="H3249" i="16"/>
  <c r="J3249" i="16" s="1"/>
  <c r="H3248" i="16"/>
  <c r="J3248" i="16" s="1"/>
  <c r="H3247" i="16"/>
  <c r="J3247" i="16" s="1"/>
  <c r="R3246" i="16"/>
  <c r="T3246" i="16" s="1"/>
  <c r="H3246" i="16"/>
  <c r="J3246" i="16" s="1"/>
  <c r="R3244" i="16"/>
  <c r="T3244" i="16" s="1"/>
  <c r="R3243" i="16"/>
  <c r="T3243" i="16" s="1"/>
  <c r="J3243" i="16"/>
  <c r="H3242" i="16"/>
  <c r="J3242" i="16" s="1"/>
  <c r="J3241" i="16"/>
  <c r="V3241" i="16" s="1"/>
  <c r="W3241" i="16" s="1"/>
  <c r="R3240" i="16"/>
  <c r="T3240" i="16" s="1"/>
  <c r="J3240" i="16"/>
  <c r="R3239" i="16"/>
  <c r="J3239" i="16"/>
  <c r="H3238" i="16"/>
  <c r="J3238" i="16" s="1"/>
  <c r="J3237" i="16"/>
  <c r="V3237" i="16" s="1"/>
  <c r="W3237" i="16" s="1"/>
  <c r="R3236" i="16"/>
  <c r="T3236" i="16" s="1"/>
  <c r="J3236" i="16"/>
  <c r="H3235" i="16"/>
  <c r="J3235" i="16" s="1"/>
  <c r="R3234" i="16"/>
  <c r="J3234" i="16"/>
  <c r="R3233" i="16"/>
  <c r="T3233" i="16" s="1"/>
  <c r="J3233" i="16"/>
  <c r="R3231" i="16"/>
  <c r="T3231" i="16" s="1"/>
  <c r="U3231" i="16" s="1"/>
  <c r="R3230" i="16"/>
  <c r="T3230" i="16" s="1"/>
  <c r="U3230" i="16" s="1"/>
  <c r="J3229" i="16"/>
  <c r="H3228" i="16"/>
  <c r="J3228" i="16" s="1"/>
  <c r="R3227" i="16"/>
  <c r="T3227" i="16" s="1"/>
  <c r="J3227" i="16"/>
  <c r="R3226" i="16"/>
  <c r="T3226" i="16" s="1"/>
  <c r="J3226" i="16"/>
  <c r="H3225" i="16"/>
  <c r="J3225" i="16" s="1"/>
  <c r="R3223" i="16"/>
  <c r="T3223" i="16" s="1"/>
  <c r="R3222" i="16"/>
  <c r="T3222" i="16" s="1"/>
  <c r="R3221" i="16"/>
  <c r="H3221" i="16"/>
  <c r="J3221" i="16" s="1"/>
  <c r="R3220" i="16"/>
  <c r="T3220" i="16" s="1"/>
  <c r="J3220" i="16"/>
  <c r="R3218" i="16"/>
  <c r="T3218" i="16" s="1"/>
  <c r="U3218" i="16" s="1"/>
  <c r="R3217" i="16"/>
  <c r="R3216" i="16"/>
  <c r="J3216" i="16"/>
  <c r="R3215" i="16"/>
  <c r="T3215" i="16" s="1"/>
  <c r="H3215" i="16"/>
  <c r="J3215" i="16" s="1"/>
  <c r="J3214" i="16"/>
  <c r="V3214" i="16" s="1"/>
  <c r="W3214" i="16" s="1"/>
  <c r="Y3214" i="16" s="1"/>
  <c r="R3213" i="16"/>
  <c r="H3213" i="16"/>
  <c r="J3213" i="16" s="1"/>
  <c r="R3212" i="16"/>
  <c r="T3212" i="16" s="1"/>
  <c r="H3212" i="16"/>
  <c r="J3212" i="16" s="1"/>
  <c r="R3210" i="16"/>
  <c r="T3210" i="16" s="1"/>
  <c r="R3209" i="16"/>
  <c r="T3209" i="16" s="1"/>
  <c r="J3209" i="16"/>
  <c r="H3208" i="16"/>
  <c r="J3208" i="16" s="1"/>
  <c r="R3207" i="16"/>
  <c r="J3207" i="16"/>
  <c r="R3206" i="16"/>
  <c r="T3206" i="16" s="1"/>
  <c r="J3206" i="16"/>
  <c r="R3205" i="16"/>
  <c r="T3205" i="16" s="1"/>
  <c r="J3205" i="16"/>
  <c r="R3204" i="16"/>
  <c r="J3204" i="16"/>
  <c r="R3203" i="16"/>
  <c r="J3203" i="16"/>
  <c r="R3202" i="16"/>
  <c r="T3202" i="16" s="1"/>
  <c r="J3202" i="16"/>
  <c r="R3201" i="16"/>
  <c r="T3201" i="16" s="1"/>
  <c r="J3201" i="16"/>
  <c r="R3200" i="16"/>
  <c r="J3200" i="16"/>
  <c r="R3199" i="16"/>
  <c r="J3199" i="16"/>
  <c r="R3198" i="16"/>
  <c r="T3198" i="16" s="1"/>
  <c r="J3198" i="16"/>
  <c r="R3197" i="16"/>
  <c r="J3197" i="16"/>
  <c r="R3196" i="16"/>
  <c r="T3196" i="16" s="1"/>
  <c r="J3196" i="16"/>
  <c r="R3195" i="16"/>
  <c r="J3195" i="16"/>
  <c r="R3194" i="16"/>
  <c r="T3194" i="16" s="1"/>
  <c r="J3194" i="16"/>
  <c r="R3193" i="16"/>
  <c r="J3193" i="16"/>
  <c r="R3191" i="16"/>
  <c r="R3190" i="16"/>
  <c r="R3189" i="16"/>
  <c r="T3189" i="16" s="1"/>
  <c r="R3188" i="16"/>
  <c r="J3187" i="16"/>
  <c r="H3186" i="16"/>
  <c r="J3186" i="16" s="1"/>
  <c r="R3185" i="16"/>
  <c r="J3185" i="16"/>
  <c r="H3184" i="16"/>
  <c r="J3184" i="16" s="1"/>
  <c r="R3183" i="16"/>
  <c r="H3183" i="16"/>
  <c r="J3183" i="16" s="1"/>
  <c r="R3182" i="16"/>
  <c r="H3182" i="16"/>
  <c r="J3182" i="16" s="1"/>
  <c r="R3180" i="16"/>
  <c r="R3179" i="16"/>
  <c r="R3178" i="16"/>
  <c r="T3178" i="16" s="1"/>
  <c r="U3178" i="16" s="1"/>
  <c r="R3177" i="16"/>
  <c r="R3176" i="16"/>
  <c r="T3176" i="16" s="1"/>
  <c r="J3175" i="16"/>
  <c r="H3174" i="16"/>
  <c r="J3174" i="16" s="1"/>
  <c r="J3173" i="16"/>
  <c r="V3173" i="16" s="1"/>
  <c r="W3173" i="16" s="1"/>
  <c r="Y3173" i="16" s="1"/>
  <c r="R3172" i="16"/>
  <c r="H3172" i="16"/>
  <c r="J3172" i="16" s="1"/>
  <c r="R3171" i="16"/>
  <c r="T3171" i="16" s="1"/>
  <c r="U3171" i="16" s="1"/>
  <c r="H3171" i="16"/>
  <c r="J3171" i="16" s="1"/>
  <c r="R3170" i="16"/>
  <c r="H3170" i="16"/>
  <c r="J3170" i="16" s="1"/>
  <c r="R3169" i="16"/>
  <c r="H3169" i="16"/>
  <c r="J3169" i="16" s="1"/>
  <c r="R3168" i="16"/>
  <c r="T3168" i="16" s="1"/>
  <c r="H3168" i="16"/>
  <c r="J3168" i="16" s="1"/>
  <c r="R3166" i="16"/>
  <c r="R3165" i="16"/>
  <c r="J3165" i="16"/>
  <c r="R3163" i="16"/>
  <c r="T3163" i="16" s="1"/>
  <c r="U3163" i="16" s="1"/>
  <c r="R3162" i="16"/>
  <c r="T3162" i="16" s="1"/>
  <c r="J3162" i="16"/>
  <c r="R3160" i="16"/>
  <c r="R3159" i="16"/>
  <c r="T3159" i="16" s="1"/>
  <c r="U3159" i="16" s="1"/>
  <c r="R3158" i="16"/>
  <c r="R3157" i="16"/>
  <c r="T3157" i="16" s="1"/>
  <c r="J3157" i="16"/>
  <c r="H3156" i="16"/>
  <c r="J3156" i="16" s="1"/>
  <c r="R3155" i="16"/>
  <c r="T3155" i="16" s="1"/>
  <c r="H3155" i="16"/>
  <c r="J3155" i="16" s="1"/>
  <c r="R3154" i="16"/>
  <c r="T3154" i="16" s="1"/>
  <c r="H3154" i="16"/>
  <c r="J3154" i="16" s="1"/>
  <c r="R3153" i="16"/>
  <c r="T3153" i="16" s="1"/>
  <c r="H3153" i="16"/>
  <c r="J3153" i="16" s="1"/>
  <c r="R3151" i="16"/>
  <c r="R3150" i="16"/>
  <c r="R3149" i="16"/>
  <c r="T3149" i="16" s="1"/>
  <c r="J3148" i="16"/>
  <c r="R3147" i="16"/>
  <c r="J3147" i="16"/>
  <c r="J3146" i="16"/>
  <c r="R3145" i="16"/>
  <c r="R3144" i="16"/>
  <c r="H3143" i="16"/>
  <c r="J3143" i="16" s="1"/>
  <c r="J3142" i="16"/>
  <c r="V3142" i="16" s="1"/>
  <c r="W3142" i="16" s="1"/>
  <c r="R3141" i="16"/>
  <c r="T3141" i="16" s="1"/>
  <c r="U3141" i="16" s="1"/>
  <c r="J3141" i="16"/>
  <c r="H3140" i="16"/>
  <c r="J3140" i="16" s="1"/>
  <c r="R3139" i="16"/>
  <c r="H3139" i="16"/>
  <c r="J3139" i="16" s="1"/>
  <c r="R3138" i="16"/>
  <c r="T3138" i="16" s="1"/>
  <c r="H3138" i="16"/>
  <c r="J3138" i="16" s="1"/>
  <c r="R3137" i="16"/>
  <c r="T3137" i="16" s="1"/>
  <c r="H3137" i="16"/>
  <c r="J3137" i="16" s="1"/>
  <c r="R3136" i="16"/>
  <c r="T3136" i="16" s="1"/>
  <c r="H3136" i="16"/>
  <c r="J3136" i="16" s="1"/>
  <c r="R3135" i="16"/>
  <c r="H3135" i="16"/>
  <c r="J3135" i="16" s="1"/>
  <c r="H3134" i="16"/>
  <c r="J3134" i="16" s="1"/>
  <c r="H3133" i="16"/>
  <c r="J3133" i="16" s="1"/>
  <c r="V3133" i="16" s="1"/>
  <c r="W3133" i="16" s="1"/>
  <c r="J3132" i="16"/>
  <c r="V3132" i="16" s="1"/>
  <c r="W3132" i="16" s="1"/>
  <c r="R3130" i="16"/>
  <c r="R3129" i="16"/>
  <c r="T3129" i="16" s="1"/>
  <c r="R3128" i="16"/>
  <c r="R3127" i="16"/>
  <c r="T3127" i="16" s="1"/>
  <c r="R3126" i="16"/>
  <c r="R3125" i="16"/>
  <c r="R3124" i="16"/>
  <c r="R3123" i="16"/>
  <c r="T3123" i="16" s="1"/>
  <c r="U3123" i="16" s="1"/>
  <c r="J3122" i="16"/>
  <c r="R3120" i="16"/>
  <c r="R3119" i="16"/>
  <c r="R3118" i="16"/>
  <c r="T3118" i="16" s="1"/>
  <c r="R3117" i="16"/>
  <c r="R3116" i="16"/>
  <c r="T3116" i="16" s="1"/>
  <c r="J3115" i="16"/>
  <c r="R3112" i="16"/>
  <c r="R3111" i="16"/>
  <c r="T3111" i="16" s="1"/>
  <c r="H3111" i="16"/>
  <c r="J3111" i="16" s="1"/>
  <c r="R3110" i="16"/>
  <c r="T3110" i="16" s="1"/>
  <c r="H3110" i="16"/>
  <c r="J3110" i="16" s="1"/>
  <c r="R3109" i="16"/>
  <c r="T3109" i="16" s="1"/>
  <c r="H3109" i="16"/>
  <c r="J3109" i="16" s="1"/>
  <c r="R3108" i="16"/>
  <c r="H3108" i="16"/>
  <c r="J3108" i="16" s="1"/>
  <c r="R3107" i="16"/>
  <c r="H3107" i="16"/>
  <c r="J3107" i="16" s="1"/>
  <c r="R3106" i="16"/>
  <c r="T3106" i="16" s="1"/>
  <c r="H3106" i="16"/>
  <c r="J3106" i="16" s="1"/>
  <c r="H3104" i="16"/>
  <c r="J3104" i="16" s="1"/>
  <c r="R3102" i="16"/>
  <c r="R3101" i="16"/>
  <c r="T3101" i="16" s="1"/>
  <c r="U3101" i="16" s="1"/>
  <c r="H3101" i="16"/>
  <c r="J3101" i="16" s="1"/>
  <c r="H3100" i="16"/>
  <c r="J3100" i="16" s="1"/>
  <c r="R3099" i="16"/>
  <c r="T3099" i="16" s="1"/>
  <c r="U3099" i="16" s="1"/>
  <c r="H3099" i="16"/>
  <c r="J3099" i="16" s="1"/>
  <c r="H3098" i="16"/>
  <c r="J3098" i="16" s="1"/>
  <c r="H3097" i="16"/>
  <c r="J3097" i="16" s="1"/>
  <c r="R3096" i="16"/>
  <c r="H3096" i="16"/>
  <c r="J3096" i="16" s="1"/>
  <c r="H3095" i="16"/>
  <c r="J3095" i="16" s="1"/>
  <c r="H3094" i="16"/>
  <c r="J3094" i="16" s="1"/>
  <c r="R3093" i="16"/>
  <c r="T3093" i="16" s="1"/>
  <c r="H3093" i="16"/>
  <c r="J3093" i="16" s="1"/>
  <c r="P3092" i="16"/>
  <c r="P3091" i="16"/>
  <c r="P3090" i="16"/>
  <c r="R3089" i="16"/>
  <c r="H3089" i="16"/>
  <c r="J3089" i="16" s="1"/>
  <c r="R3088" i="16"/>
  <c r="H3088" i="16"/>
  <c r="J3088" i="16" s="1"/>
  <c r="R3087" i="16"/>
  <c r="T3087" i="16" s="1"/>
  <c r="J3087" i="16"/>
  <c r="H3086" i="16"/>
  <c r="J3086" i="16" s="1"/>
  <c r="R3085" i="16"/>
  <c r="T3085" i="16" s="1"/>
  <c r="U3085" i="16" s="1"/>
  <c r="H3085" i="16"/>
  <c r="J3085" i="16" s="1"/>
  <c r="R3084" i="16"/>
  <c r="H3084" i="16"/>
  <c r="J3084" i="16" s="1"/>
  <c r="R3083" i="16"/>
  <c r="T3083" i="16" s="1"/>
  <c r="H3083" i="16"/>
  <c r="J3083" i="16" s="1"/>
  <c r="R3081" i="16"/>
  <c r="T3081" i="16" s="1"/>
  <c r="R3080" i="16"/>
  <c r="J3080" i="16"/>
  <c r="R3078" i="16"/>
  <c r="T3078" i="16" s="1"/>
  <c r="R3077" i="16"/>
  <c r="T3077" i="16" s="1"/>
  <c r="J3077" i="16"/>
  <c r="H3076" i="16"/>
  <c r="J3076" i="16" s="1"/>
  <c r="R3075" i="16"/>
  <c r="H3075" i="16"/>
  <c r="J3075" i="16" s="1"/>
  <c r="R3071" i="16"/>
  <c r="T3071" i="16" s="1"/>
  <c r="H3071" i="16"/>
  <c r="J3071" i="16" s="1"/>
  <c r="J3070" i="16"/>
  <c r="R3069" i="16"/>
  <c r="T3069" i="16" s="1"/>
  <c r="H3069" i="16"/>
  <c r="J3069" i="16" s="1"/>
  <c r="R3068" i="16"/>
  <c r="H3068" i="16"/>
  <c r="J3068" i="16" s="1"/>
  <c r="R3067" i="16"/>
  <c r="T3067" i="16" s="1"/>
  <c r="H3067" i="16"/>
  <c r="J3067" i="16" s="1"/>
  <c r="R3066" i="16"/>
  <c r="T3066" i="16" s="1"/>
  <c r="H3066" i="16"/>
  <c r="J3066" i="16" s="1"/>
  <c r="R3065" i="16"/>
  <c r="T3065" i="16" s="1"/>
  <c r="U3065" i="16" s="1"/>
  <c r="H3065" i="16"/>
  <c r="J3065" i="16" s="1"/>
  <c r="R3064" i="16"/>
  <c r="T3064" i="16" s="1"/>
  <c r="U3064" i="16" s="1"/>
  <c r="H3064" i="16"/>
  <c r="J3064" i="16" s="1"/>
  <c r="H3063" i="16"/>
  <c r="J3063" i="16" s="1"/>
  <c r="R3061" i="16"/>
  <c r="R3060" i="16"/>
  <c r="R3059" i="16"/>
  <c r="J3059" i="16"/>
  <c r="H3058" i="16"/>
  <c r="J3058" i="16" s="1"/>
  <c r="R3057" i="16"/>
  <c r="T3057" i="16" s="1"/>
  <c r="H3057" i="16"/>
  <c r="J3057" i="16" s="1"/>
  <c r="R3056" i="16"/>
  <c r="T3056" i="16" s="1"/>
  <c r="U3056" i="16" s="1"/>
  <c r="H3056" i="16"/>
  <c r="J3056" i="16" s="1"/>
  <c r="R3055" i="16"/>
  <c r="T3055" i="16" s="1"/>
  <c r="U3055" i="16" s="1"/>
  <c r="H3055" i="16"/>
  <c r="J3055" i="16" s="1"/>
  <c r="R3054" i="16"/>
  <c r="H3054" i="16"/>
  <c r="J3054" i="16" s="1"/>
  <c r="R3053" i="16"/>
  <c r="H3053" i="16"/>
  <c r="J3053" i="16" s="1"/>
  <c r="R3051" i="16"/>
  <c r="T3051" i="16" s="1"/>
  <c r="R3050" i="16"/>
  <c r="R3049" i="16"/>
  <c r="T3049" i="16" s="1"/>
  <c r="J3048" i="16"/>
  <c r="H3047" i="16"/>
  <c r="J3047" i="16" s="1"/>
  <c r="R3045" i="16"/>
  <c r="R3044" i="16"/>
  <c r="T3044" i="16" s="1"/>
  <c r="R3043" i="16"/>
  <c r="T3043" i="16" s="1"/>
  <c r="R3042" i="16"/>
  <c r="T3042" i="16" s="1"/>
  <c r="R3041" i="16"/>
  <c r="T3041" i="16" s="1"/>
  <c r="U3041" i="16" s="1"/>
  <c r="R3040" i="16"/>
  <c r="T3040" i="16" s="1"/>
  <c r="R3039" i="16"/>
  <c r="R3038" i="16"/>
  <c r="R3037" i="16"/>
  <c r="J3037" i="16"/>
  <c r="R3035" i="16"/>
  <c r="T3035" i="16" s="1"/>
  <c r="R3034" i="16"/>
  <c r="R3033" i="16"/>
  <c r="J3033" i="16"/>
  <c r="H3032" i="16"/>
  <c r="J3032" i="16" s="1"/>
  <c r="R3030" i="16"/>
  <c r="T3030" i="16" s="1"/>
  <c r="R3029" i="16"/>
  <c r="T3029" i="16" s="1"/>
  <c r="R3028" i="16"/>
  <c r="T3028" i="16" s="1"/>
  <c r="J3027" i="16"/>
  <c r="R3025" i="16"/>
  <c r="R3024" i="16"/>
  <c r="R3023" i="16"/>
  <c r="T3023" i="16" s="1"/>
  <c r="U3023" i="16" s="1"/>
  <c r="R3022" i="16"/>
  <c r="R3021" i="16"/>
  <c r="T3021" i="16" s="1"/>
  <c r="R3020" i="16"/>
  <c r="R3019" i="16"/>
  <c r="T3019" i="16" s="1"/>
  <c r="U3019" i="16" s="1"/>
  <c r="H3018" i="16"/>
  <c r="J3018" i="16" s="1"/>
  <c r="R3014" i="16"/>
  <c r="H3013" i="16"/>
  <c r="J3013" i="16" s="1"/>
  <c r="R3011" i="16"/>
  <c r="T3011" i="16" s="1"/>
  <c r="R3010" i="16"/>
  <c r="R3009" i="16"/>
  <c r="H3008" i="16"/>
  <c r="J3008" i="16" s="1"/>
  <c r="H3007" i="16"/>
  <c r="J3007" i="16" s="1"/>
  <c r="R3006" i="16"/>
  <c r="T3006" i="16" s="1"/>
  <c r="U3006" i="16" s="1"/>
  <c r="H3006" i="16"/>
  <c r="J3006" i="16" s="1"/>
  <c r="R3005" i="16"/>
  <c r="H3005" i="16"/>
  <c r="J3005" i="16" s="1"/>
  <c r="R3004" i="16"/>
  <c r="T3004" i="16" s="1"/>
  <c r="H3004" i="16"/>
  <c r="J3004" i="16" s="1"/>
  <c r="H3003" i="16"/>
  <c r="J3003" i="16" s="1"/>
  <c r="V3003" i="16" s="1"/>
  <c r="W3003" i="16" s="1"/>
  <c r="Y3003" i="16" s="1"/>
  <c r="H3002" i="16"/>
  <c r="J3002" i="16" s="1"/>
  <c r="V3002" i="16" s="1"/>
  <c r="W3002" i="16" s="1"/>
  <c r="Y3002" i="16" s="1"/>
  <c r="J3001" i="16"/>
  <c r="V3001" i="16" s="1"/>
  <c r="W3001" i="16" s="1"/>
  <c r="Y3001" i="16" s="1"/>
  <c r="R3000" i="16"/>
  <c r="J3000" i="16"/>
  <c r="R2999" i="16"/>
  <c r="T2999" i="16" s="1"/>
  <c r="J2999" i="16"/>
  <c r="H2998" i="16"/>
  <c r="J2998" i="16" s="1"/>
  <c r="V2998" i="16" s="1"/>
  <c r="W2998" i="16" s="1"/>
  <c r="Y2998" i="16" s="1"/>
  <c r="H2997" i="16"/>
  <c r="J2997" i="16" s="1"/>
  <c r="V2997" i="16" s="1"/>
  <c r="W2997" i="16" s="1"/>
  <c r="Y2997" i="16" s="1"/>
  <c r="H2996" i="16"/>
  <c r="J2996" i="16" s="1"/>
  <c r="V2996" i="16" s="1"/>
  <c r="W2996" i="16" s="1"/>
  <c r="Y2996" i="16" s="1"/>
  <c r="J2995" i="16"/>
  <c r="V2995" i="16" s="1"/>
  <c r="W2995" i="16" s="1"/>
  <c r="Y2995" i="16" s="1"/>
  <c r="R2994" i="16"/>
  <c r="T2994" i="16" s="1"/>
  <c r="J2994" i="16"/>
  <c r="H2993" i="16"/>
  <c r="J2993" i="16" s="1"/>
  <c r="R2992" i="16"/>
  <c r="H2991" i="16"/>
  <c r="J2991" i="16" s="1"/>
  <c r="R2990" i="16"/>
  <c r="T2990" i="16" s="1"/>
  <c r="H2990" i="16"/>
  <c r="J2990" i="16" s="1"/>
  <c r="R2989" i="16"/>
  <c r="T2989" i="16" s="1"/>
  <c r="U2989" i="16" s="1"/>
  <c r="H2989" i="16"/>
  <c r="J2989" i="16" s="1"/>
  <c r="R2988" i="16"/>
  <c r="H2988" i="16"/>
  <c r="J2988" i="16" s="1"/>
  <c r="R2987" i="16"/>
  <c r="J2987" i="16"/>
  <c r="H2986" i="16"/>
  <c r="J2986" i="16" s="1"/>
  <c r="J2985" i="16"/>
  <c r="V2985" i="16" s="1"/>
  <c r="W2985" i="16" s="1"/>
  <c r="R2984" i="16"/>
  <c r="T2984" i="16" s="1"/>
  <c r="J2984" i="16"/>
  <c r="R2983" i="16"/>
  <c r="H2983" i="16"/>
  <c r="J2983" i="16" s="1"/>
  <c r="R2982" i="16"/>
  <c r="T2982" i="16" s="1"/>
  <c r="H2982" i="16"/>
  <c r="J2982" i="16" s="1"/>
  <c r="J2981" i="16"/>
  <c r="R2980" i="16"/>
  <c r="R2979" i="16"/>
  <c r="T2979" i="16" s="1"/>
  <c r="J2978" i="16"/>
  <c r="H2977" i="16"/>
  <c r="J2977" i="16" s="1"/>
  <c r="R2975" i="16"/>
  <c r="T2975" i="16" s="1"/>
  <c r="R2974" i="16"/>
  <c r="T2974" i="16" s="1"/>
  <c r="U2974" i="16" s="1"/>
  <c r="H2974" i="16"/>
  <c r="J2974" i="16" s="1"/>
  <c r="R2971" i="16"/>
  <c r="T2971" i="16" s="1"/>
  <c r="H2971" i="16"/>
  <c r="J2971" i="16" s="1"/>
  <c r="H2970" i="16"/>
  <c r="J2970" i="16" s="1"/>
  <c r="J2969" i="16"/>
  <c r="V2969" i="16" s="1"/>
  <c r="W2969" i="16" s="1"/>
  <c r="Y2969" i="16" s="1"/>
  <c r="R2967" i="16"/>
  <c r="T2967" i="16" s="1"/>
  <c r="U2967" i="16" s="1"/>
  <c r="R2966" i="16"/>
  <c r="T2966" i="16" s="1"/>
  <c r="R2965" i="16"/>
  <c r="R2964" i="16"/>
  <c r="T2964" i="16" s="1"/>
  <c r="U2964" i="16" s="1"/>
  <c r="R2963" i="16"/>
  <c r="R2962" i="16"/>
  <c r="T2962" i="16" s="1"/>
  <c r="R2961" i="16"/>
  <c r="R2960" i="16"/>
  <c r="R2959" i="16"/>
  <c r="T2959" i="16" s="1"/>
  <c r="U2959" i="16" s="1"/>
  <c r="R2958" i="16"/>
  <c r="T2958" i="16" s="1"/>
  <c r="R2957" i="16"/>
  <c r="T2957" i="16" s="1"/>
  <c r="R2956" i="16"/>
  <c r="T2956" i="16" s="1"/>
  <c r="U2956" i="16" s="1"/>
  <c r="R2955" i="16"/>
  <c r="R2954" i="16"/>
  <c r="T2954" i="16" s="1"/>
  <c r="R2953" i="16"/>
  <c r="R2952" i="16"/>
  <c r="T2952" i="16" s="1"/>
  <c r="U2952" i="16" s="1"/>
  <c r="R2951" i="16"/>
  <c r="T2951" i="16" s="1"/>
  <c r="U2951" i="16" s="1"/>
  <c r="R2950" i="16"/>
  <c r="T2950" i="16" s="1"/>
  <c r="R2949" i="16"/>
  <c r="T2949" i="16" s="1"/>
  <c r="R2948" i="16"/>
  <c r="T2948" i="16" s="1"/>
  <c r="U2948" i="16" s="1"/>
  <c r="R2947" i="16"/>
  <c r="T2947" i="16" s="1"/>
  <c r="R2946" i="16"/>
  <c r="T2946" i="16" s="1"/>
  <c r="R2945" i="16"/>
  <c r="T2945" i="16" s="1"/>
  <c r="J2944" i="16"/>
  <c r="R2943" i="16"/>
  <c r="T2943" i="16" s="1"/>
  <c r="U2943" i="16" s="1"/>
  <c r="R2942" i="16"/>
  <c r="R2941" i="16"/>
  <c r="J2940" i="16"/>
  <c r="H2939" i="16"/>
  <c r="J2939" i="16" s="1"/>
  <c r="R2938" i="16"/>
  <c r="T2938" i="16" s="1"/>
  <c r="U2938" i="16" s="1"/>
  <c r="H2938" i="16"/>
  <c r="J2938" i="16" s="1"/>
  <c r="R2937" i="16"/>
  <c r="T2937" i="16" s="1"/>
  <c r="H2937" i="16"/>
  <c r="J2937" i="16" s="1"/>
  <c r="R2935" i="16"/>
  <c r="R2934" i="16"/>
  <c r="J2933" i="16"/>
  <c r="R2931" i="16"/>
  <c r="T2931" i="16" s="1"/>
  <c r="R2930" i="16"/>
  <c r="R2929" i="16"/>
  <c r="R2927" i="16"/>
  <c r="T2927" i="16" s="1"/>
  <c r="U2927" i="16" s="1"/>
  <c r="J2926" i="16"/>
  <c r="H2925" i="16"/>
  <c r="J2925" i="16" s="1"/>
  <c r="R2924" i="16"/>
  <c r="T2924" i="16" s="1"/>
  <c r="H2924" i="16"/>
  <c r="J2924" i="16" s="1"/>
  <c r="R2923" i="16"/>
  <c r="T2923" i="16" s="1"/>
  <c r="H2923" i="16"/>
  <c r="J2923" i="16" s="1"/>
  <c r="R2922" i="16"/>
  <c r="T2922" i="16" s="1"/>
  <c r="H2922" i="16"/>
  <c r="J2922" i="16" s="1"/>
  <c r="R2921" i="16"/>
  <c r="T2921" i="16" s="1"/>
  <c r="U2921" i="16" s="1"/>
  <c r="V2921" i="16" s="1"/>
  <c r="W2921" i="16" s="1"/>
  <c r="Y2921" i="16" s="1"/>
  <c r="H2921" i="16"/>
  <c r="J2921" i="16" s="1"/>
  <c r="R2919" i="16"/>
  <c r="T2919" i="16" s="1"/>
  <c r="U2919" i="16" s="1"/>
  <c r="R2918" i="16"/>
  <c r="T2918" i="16" s="1"/>
  <c r="U2918" i="16" s="1"/>
  <c r="R2917" i="16"/>
  <c r="R2916" i="16"/>
  <c r="J2915" i="16"/>
  <c r="H2914" i="16"/>
  <c r="J2914" i="16" s="1"/>
  <c r="R2913" i="16"/>
  <c r="T2913" i="16" s="1"/>
  <c r="J2913" i="16"/>
  <c r="R2912" i="16"/>
  <c r="J2912" i="16"/>
  <c r="R2911" i="16"/>
  <c r="T2911" i="16" s="1"/>
  <c r="J2911" i="16"/>
  <c r="R2909" i="16"/>
  <c r="R2908" i="16"/>
  <c r="T2908" i="16" s="1"/>
  <c r="R2907" i="16"/>
  <c r="T2907" i="16" s="1"/>
  <c r="U2907" i="16" s="1"/>
  <c r="R2906" i="16"/>
  <c r="R2905" i="16"/>
  <c r="T2905" i="16" s="1"/>
  <c r="R2904" i="16"/>
  <c r="J2903" i="16"/>
  <c r="H2902" i="16"/>
  <c r="J2902" i="16" s="1"/>
  <c r="R2901" i="16"/>
  <c r="H2901" i="16"/>
  <c r="J2901" i="16" s="1"/>
  <c r="R2900" i="16"/>
  <c r="T2900" i="16" s="1"/>
  <c r="U2900" i="16" s="1"/>
  <c r="H2900" i="16"/>
  <c r="J2900" i="16" s="1"/>
  <c r="R2899" i="16"/>
  <c r="T2899" i="16" s="1"/>
  <c r="H2899" i="16"/>
  <c r="J2899" i="16" s="1"/>
  <c r="R2898" i="16"/>
  <c r="H2898" i="16"/>
  <c r="J2898" i="16" s="1"/>
  <c r="R2897" i="16"/>
  <c r="T2897" i="16" s="1"/>
  <c r="U2897" i="16" s="1"/>
  <c r="H2897" i="16"/>
  <c r="J2897" i="16" s="1"/>
  <c r="R2896" i="16"/>
  <c r="T2896" i="16" s="1"/>
  <c r="U2896" i="16" s="1"/>
  <c r="H2896" i="16"/>
  <c r="J2896" i="16" s="1"/>
  <c r="R2895" i="16"/>
  <c r="H2895" i="16"/>
  <c r="J2895" i="16" s="1"/>
  <c r="R2894" i="16"/>
  <c r="T2894" i="16" s="1"/>
  <c r="H2894" i="16"/>
  <c r="J2894" i="16" s="1"/>
  <c r="R2893" i="16"/>
  <c r="T2893" i="16" s="1"/>
  <c r="H2893" i="16"/>
  <c r="J2893" i="16" s="1"/>
  <c r="R2892" i="16"/>
  <c r="T2892" i="16" s="1"/>
  <c r="U2892" i="16" s="1"/>
  <c r="H2892" i="16"/>
  <c r="J2892" i="16" s="1"/>
  <c r="R2891" i="16"/>
  <c r="T2891" i="16" s="1"/>
  <c r="H2891" i="16"/>
  <c r="J2891" i="16" s="1"/>
  <c r="R2890" i="16"/>
  <c r="T2890" i="16" s="1"/>
  <c r="U2890" i="16" s="1"/>
  <c r="J2890" i="16"/>
  <c r="H2889" i="16"/>
  <c r="J2889" i="16" s="1"/>
  <c r="R2888" i="16"/>
  <c r="T2888" i="16" s="1"/>
  <c r="J2888" i="16"/>
  <c r="R2887" i="16"/>
  <c r="T2887" i="16" s="1"/>
  <c r="U2887" i="16" s="1"/>
  <c r="J2887" i="16"/>
  <c r="H2886" i="16"/>
  <c r="J2886" i="16" s="1"/>
  <c r="H2884" i="16"/>
  <c r="J2884" i="16" s="1"/>
  <c r="H2883" i="16"/>
  <c r="J2883" i="16" s="1"/>
  <c r="V2883" i="16" s="1"/>
  <c r="W2883" i="16" s="1"/>
  <c r="Y2883" i="16" s="1"/>
  <c r="R2882" i="16"/>
  <c r="T2882" i="16" s="1"/>
  <c r="U2882" i="16" s="1"/>
  <c r="H2882" i="16"/>
  <c r="J2882" i="16" s="1"/>
  <c r="R2881" i="16"/>
  <c r="J2881" i="16"/>
  <c r="R2879" i="16"/>
  <c r="R2878" i="16"/>
  <c r="T2878" i="16" s="1"/>
  <c r="J2878" i="16"/>
  <c r="H2877" i="16"/>
  <c r="J2877" i="16" s="1"/>
  <c r="J2876" i="16"/>
  <c r="V2876" i="16" s="1"/>
  <c r="W2876" i="16" s="1"/>
  <c r="R2875" i="16"/>
  <c r="T2875" i="16" s="1"/>
  <c r="U2875" i="16" s="1"/>
  <c r="J2875" i="16"/>
  <c r="H2874" i="16"/>
  <c r="J2874" i="16" s="1"/>
  <c r="R2871" i="16"/>
  <c r="T2871" i="16" s="1"/>
  <c r="U2871" i="16" s="1"/>
  <c r="H2870" i="16"/>
  <c r="J2870" i="16" s="1"/>
  <c r="R2868" i="16"/>
  <c r="T2868" i="16" s="1"/>
  <c r="U2868" i="16" s="1"/>
  <c r="R2867" i="16"/>
  <c r="T2867" i="16" s="1"/>
  <c r="U2867" i="16" s="1"/>
  <c r="R2866" i="16"/>
  <c r="T2866" i="16" s="1"/>
  <c r="R2865" i="16"/>
  <c r="R2864" i="16"/>
  <c r="R2863" i="16"/>
  <c r="T2863" i="16" s="1"/>
  <c r="U2863" i="16" s="1"/>
  <c r="R2862" i="16"/>
  <c r="T2862" i="16" s="1"/>
  <c r="U2862" i="16" s="1"/>
  <c r="H2861" i="16"/>
  <c r="J2861" i="16" s="1"/>
  <c r="R2860" i="16"/>
  <c r="T2860" i="16" s="1"/>
  <c r="U2860" i="16" s="1"/>
  <c r="H2860" i="16"/>
  <c r="J2860" i="16" s="1"/>
  <c r="R2859" i="16"/>
  <c r="H2859" i="16"/>
  <c r="J2859" i="16" s="1"/>
  <c r="R2858" i="16"/>
  <c r="T2858" i="16" s="1"/>
  <c r="H2858" i="16"/>
  <c r="J2858" i="16" s="1"/>
  <c r="R2856" i="16"/>
  <c r="R2855" i="16"/>
  <c r="R2854" i="16"/>
  <c r="T2854" i="16" s="1"/>
  <c r="U2854" i="16" s="1"/>
  <c r="R2853" i="16"/>
  <c r="T2853" i="16" s="1"/>
  <c r="R2852" i="16"/>
  <c r="R2851" i="16"/>
  <c r="T2851" i="16" s="1"/>
  <c r="R2850" i="16"/>
  <c r="T2850" i="16" s="1"/>
  <c r="U2850" i="16" s="1"/>
  <c r="R2849" i="16"/>
  <c r="T2849" i="16" s="1"/>
  <c r="J2849" i="16"/>
  <c r="H2848" i="16"/>
  <c r="J2848" i="16" s="1"/>
  <c r="R2847" i="16"/>
  <c r="H2847" i="16"/>
  <c r="J2847" i="16" s="1"/>
  <c r="R2846" i="16"/>
  <c r="T2846" i="16" s="1"/>
  <c r="H2846" i="16"/>
  <c r="J2846" i="16" s="1"/>
  <c r="R2845" i="16"/>
  <c r="T2845" i="16" s="1"/>
  <c r="H2845" i="16"/>
  <c r="J2845" i="16" s="1"/>
  <c r="R2843" i="16"/>
  <c r="R2842" i="16"/>
  <c r="T2842" i="16" s="1"/>
  <c r="U2842" i="16" s="1"/>
  <c r="R2841" i="16"/>
  <c r="J2840" i="16"/>
  <c r="R2838" i="16"/>
  <c r="T2838" i="16" s="1"/>
  <c r="R2837" i="16"/>
  <c r="T2837" i="16" s="1"/>
  <c r="J2836" i="16"/>
  <c r="R2834" i="16"/>
  <c r="T2834" i="16" s="1"/>
  <c r="U2834" i="16" s="1"/>
  <c r="R2833" i="16"/>
  <c r="T2833" i="16" s="1"/>
  <c r="U2833" i="16" s="1"/>
  <c r="R2832" i="16"/>
  <c r="T2832" i="16" s="1"/>
  <c r="R2831" i="16"/>
  <c r="T2831" i="16" s="1"/>
  <c r="J2830" i="16"/>
  <c r="H2829" i="16"/>
  <c r="J2829" i="16" s="1"/>
  <c r="R2828" i="16"/>
  <c r="T2828" i="16" s="1"/>
  <c r="U2828" i="16" s="1"/>
  <c r="H2828" i="16"/>
  <c r="J2828" i="16" s="1"/>
  <c r="R2827" i="16"/>
  <c r="T2827" i="16" s="1"/>
  <c r="H2827" i="16"/>
  <c r="J2827" i="16" s="1"/>
  <c r="R2826" i="16"/>
  <c r="T2826" i="16" s="1"/>
  <c r="H2826" i="16"/>
  <c r="J2826" i="16" s="1"/>
  <c r="H2825" i="16"/>
  <c r="J2825" i="16" s="1"/>
  <c r="R2824" i="16"/>
  <c r="T2824" i="16" s="1"/>
  <c r="U2824" i="16" s="1"/>
  <c r="H2824" i="16"/>
  <c r="J2824" i="16" s="1"/>
  <c r="R2823" i="16"/>
  <c r="T2823" i="16" s="1"/>
  <c r="J2823" i="16"/>
  <c r="H2822" i="16"/>
  <c r="J2822" i="16" s="1"/>
  <c r="R2819" i="16"/>
  <c r="T2819" i="16" s="1"/>
  <c r="U2819" i="16" s="1"/>
  <c r="V2819" i="16" s="1"/>
  <c r="W2819" i="16" s="1"/>
  <c r="H2818" i="16"/>
  <c r="J2818" i="16" s="1"/>
  <c r="R2815" i="16"/>
  <c r="T2815" i="16" s="1"/>
  <c r="H2815" i="16"/>
  <c r="J2815" i="16" s="1"/>
  <c r="R2812" i="16"/>
  <c r="T2812" i="16" s="1"/>
  <c r="U2812" i="16" s="1"/>
  <c r="V2812" i="16" s="1"/>
  <c r="W2812" i="16" s="1"/>
  <c r="H2812" i="16"/>
  <c r="J2812" i="16" s="1"/>
  <c r="H2811" i="16"/>
  <c r="J2811" i="16" s="1"/>
  <c r="R2808" i="16"/>
  <c r="J2808" i="16"/>
  <c r="R2806" i="16"/>
  <c r="T2806" i="16" s="1"/>
  <c r="R2805" i="16"/>
  <c r="T2805" i="16" s="1"/>
  <c r="R2804" i="16"/>
  <c r="T2804" i="16" s="1"/>
  <c r="R2803" i="16"/>
  <c r="T2803" i="16" s="1"/>
  <c r="U2803" i="16" s="1"/>
  <c r="J2803" i="16"/>
  <c r="H2802" i="16"/>
  <c r="J2802" i="16" s="1"/>
  <c r="R2801" i="16"/>
  <c r="H2801" i="16"/>
  <c r="J2801" i="16" s="1"/>
  <c r="R2798" i="16"/>
  <c r="T2798" i="16" s="1"/>
  <c r="J2798" i="16"/>
  <c r="H2797" i="16"/>
  <c r="J2797" i="16" s="1"/>
  <c r="R2796" i="16"/>
  <c r="T2796" i="16" s="1"/>
  <c r="J2796" i="16"/>
  <c r="R2795" i="16"/>
  <c r="J2795" i="16"/>
  <c r="R2794" i="16"/>
  <c r="J2794" i="16"/>
  <c r="H2793" i="16"/>
  <c r="J2793" i="16" s="1"/>
  <c r="R2792" i="16"/>
  <c r="T2792" i="16" s="1"/>
  <c r="U2792" i="16" s="1"/>
  <c r="V2792" i="16" s="1"/>
  <c r="W2792" i="16" s="1"/>
  <c r="Y2792" i="16" s="1"/>
  <c r="J2792" i="16"/>
  <c r="R2790" i="16"/>
  <c r="T2790" i="16" s="1"/>
  <c r="R2789" i="16"/>
  <c r="J2789" i="16"/>
  <c r="H2788" i="16"/>
  <c r="J2788" i="16" s="1"/>
  <c r="R2787" i="16"/>
  <c r="H2787" i="16"/>
  <c r="J2787" i="16" s="1"/>
  <c r="R2785" i="16"/>
  <c r="R2784" i="16"/>
  <c r="T2784" i="16" s="1"/>
  <c r="H2783" i="16"/>
  <c r="J2783" i="16" s="1"/>
  <c r="R2782" i="16"/>
  <c r="J2782" i="16"/>
  <c r="R2779" i="16"/>
  <c r="J2779" i="16"/>
  <c r="H2778" i="16"/>
  <c r="J2778" i="16" s="1"/>
  <c r="R2777" i="16"/>
  <c r="T2777" i="16" s="1"/>
  <c r="J2777" i="16"/>
  <c r="R2775" i="16"/>
  <c r="T2775" i="16" s="1"/>
  <c r="U2775" i="16" s="1"/>
  <c r="R2774" i="16"/>
  <c r="T2774" i="16" s="1"/>
  <c r="U2774" i="16" s="1"/>
  <c r="J2774" i="16"/>
  <c r="H2773" i="16"/>
  <c r="J2773" i="16" s="1"/>
  <c r="R2771" i="16"/>
  <c r="T2771" i="16" s="1"/>
  <c r="R2770" i="16"/>
  <c r="T2770" i="16" s="1"/>
  <c r="R2769" i="16"/>
  <c r="T2769" i="16" s="1"/>
  <c r="U2769" i="16" s="1"/>
  <c r="R2768" i="16"/>
  <c r="T2768" i="16" s="1"/>
  <c r="U2768" i="16" s="1"/>
  <c r="H2767" i="16"/>
  <c r="J2767" i="16" s="1"/>
  <c r="R2766" i="16"/>
  <c r="J2766" i="16"/>
  <c r="H2765" i="16"/>
  <c r="J2765" i="16" s="1"/>
  <c r="R2762" i="16"/>
  <c r="T2762" i="16" s="1"/>
  <c r="U2762" i="16" s="1"/>
  <c r="H2761" i="16"/>
  <c r="J2761" i="16" s="1"/>
  <c r="R2758" i="16"/>
  <c r="T2758" i="16" s="1"/>
  <c r="R2757" i="16"/>
  <c r="T2757" i="16" s="1"/>
  <c r="U2757" i="16" s="1"/>
  <c r="R2756" i="16"/>
  <c r="T2756" i="16" s="1"/>
  <c r="J2756" i="16"/>
  <c r="J2755" i="16"/>
  <c r="R2752" i="16"/>
  <c r="R2754" i="16"/>
  <c r="R2751" i="16"/>
  <c r="R2750" i="16"/>
  <c r="T2750" i="16" s="1"/>
  <c r="U2750" i="16" s="1"/>
  <c r="R2749" i="16"/>
  <c r="R2748" i="16"/>
  <c r="H2746" i="16"/>
  <c r="J2746" i="16" s="1"/>
  <c r="R2745" i="16"/>
  <c r="T2745" i="16" s="1"/>
  <c r="U2745" i="16" s="1"/>
  <c r="V2745" i="16" s="1"/>
  <c r="W2745" i="16" s="1"/>
  <c r="Y2745" i="16" s="1"/>
  <c r="R2744" i="16"/>
  <c r="R2743" i="16"/>
  <c r="T2743" i="16" s="1"/>
  <c r="U2743" i="16" s="1"/>
  <c r="V2743" i="16" s="1"/>
  <c r="W2743" i="16" s="1"/>
  <c r="Y2743" i="16" s="1"/>
  <c r="R2742" i="16"/>
  <c r="R2741" i="16"/>
  <c r="H2740" i="16"/>
  <c r="J2740" i="16" s="1"/>
  <c r="H2739" i="16"/>
  <c r="J2739" i="16" s="1"/>
  <c r="V2739" i="16" s="1"/>
  <c r="W2739" i="16" s="1"/>
  <c r="Y2739" i="16" s="1"/>
  <c r="R2738" i="16"/>
  <c r="T2738" i="16" s="1"/>
  <c r="H2738" i="16"/>
  <c r="J2738" i="16" s="1"/>
  <c r="R2718" i="16"/>
  <c r="T2718" i="16" s="1"/>
  <c r="H2718" i="16"/>
  <c r="J2718" i="16" s="1"/>
  <c r="R2716" i="16"/>
  <c r="T2716" i="16" s="1"/>
  <c r="R2715" i="16"/>
  <c r="T2715" i="16" s="1"/>
  <c r="R2714" i="16"/>
  <c r="H2713" i="16"/>
  <c r="J2713" i="16" s="1"/>
  <c r="R2712" i="16"/>
  <c r="H2712" i="16"/>
  <c r="J2712" i="16" s="1"/>
  <c r="H2711" i="16"/>
  <c r="J2711" i="16" s="1"/>
  <c r="V2711" i="16" s="1"/>
  <c r="W2711" i="16" s="1"/>
  <c r="Y2711" i="16" s="1"/>
  <c r="H2710" i="16"/>
  <c r="J2710" i="16" s="1"/>
  <c r="V2710" i="16" s="1"/>
  <c r="W2710" i="16" s="1"/>
  <c r="Y2710" i="16" s="1"/>
  <c r="H2709" i="16"/>
  <c r="J2709" i="16" s="1"/>
  <c r="V2709" i="16" s="1"/>
  <c r="W2709" i="16" s="1"/>
  <c r="Y2709" i="16" s="1"/>
  <c r="H2708" i="16"/>
  <c r="J2708" i="16" s="1"/>
  <c r="V2708" i="16" s="1"/>
  <c r="W2708" i="16" s="1"/>
  <c r="Y2708" i="16" s="1"/>
  <c r="H2707" i="16"/>
  <c r="J2707" i="16" s="1"/>
  <c r="V2707" i="16" s="1"/>
  <c r="W2707" i="16" s="1"/>
  <c r="Y2707" i="16" s="1"/>
  <c r="H2706" i="16"/>
  <c r="J2706" i="16" s="1"/>
  <c r="V2706" i="16" s="1"/>
  <c r="W2706" i="16" s="1"/>
  <c r="Y2706" i="16" s="1"/>
  <c r="H2705" i="16"/>
  <c r="J2705" i="16" s="1"/>
  <c r="V2705" i="16" s="1"/>
  <c r="W2705" i="16" s="1"/>
  <c r="Y2705" i="16" s="1"/>
  <c r="H2704" i="16"/>
  <c r="J2704" i="16" s="1"/>
  <c r="V2704" i="16" s="1"/>
  <c r="W2704" i="16" s="1"/>
  <c r="Y2704" i="16" s="1"/>
  <c r="H2703" i="16"/>
  <c r="J2703" i="16" s="1"/>
  <c r="V2703" i="16" s="1"/>
  <c r="W2703" i="16" s="1"/>
  <c r="Y2703" i="16" s="1"/>
  <c r="H2702" i="16"/>
  <c r="J2702" i="16" s="1"/>
  <c r="V2702" i="16" s="1"/>
  <c r="W2702" i="16" s="1"/>
  <c r="Y2702" i="16" s="1"/>
  <c r="H2701" i="16"/>
  <c r="J2701" i="16" s="1"/>
  <c r="V2701" i="16" s="1"/>
  <c r="W2701" i="16" s="1"/>
  <c r="Y2701" i="16" s="1"/>
  <c r="H2700" i="16"/>
  <c r="J2700" i="16" s="1"/>
  <c r="V2700" i="16" s="1"/>
  <c r="W2700" i="16" s="1"/>
  <c r="Y2700" i="16" s="1"/>
  <c r="H2699" i="16"/>
  <c r="J2699" i="16" s="1"/>
  <c r="V2699" i="16" s="1"/>
  <c r="W2699" i="16" s="1"/>
  <c r="Y2699" i="16" s="1"/>
  <c r="H2698" i="16"/>
  <c r="J2698" i="16" s="1"/>
  <c r="V2698" i="16" s="1"/>
  <c r="W2698" i="16" s="1"/>
  <c r="Y2698" i="16" s="1"/>
  <c r="H2697" i="16"/>
  <c r="J2697" i="16" s="1"/>
  <c r="V2697" i="16" s="1"/>
  <c r="W2697" i="16" s="1"/>
  <c r="Y2697" i="16" s="1"/>
  <c r="H2696" i="16"/>
  <c r="J2696" i="16" s="1"/>
  <c r="V2696" i="16" s="1"/>
  <c r="W2696" i="16" s="1"/>
  <c r="Y2696" i="16" s="1"/>
  <c r="H2695" i="16"/>
  <c r="J2695" i="16" s="1"/>
  <c r="V2695" i="16" s="1"/>
  <c r="W2695" i="16" s="1"/>
  <c r="Y2695" i="16" s="1"/>
  <c r="H2694" i="16"/>
  <c r="J2694" i="16" s="1"/>
  <c r="V2694" i="16" s="1"/>
  <c r="W2694" i="16" s="1"/>
  <c r="Y2694" i="16" s="1"/>
  <c r="H2693" i="16"/>
  <c r="J2693" i="16" s="1"/>
  <c r="V2693" i="16" s="1"/>
  <c r="W2693" i="16" s="1"/>
  <c r="Y2693" i="16" s="1"/>
  <c r="H2692" i="16"/>
  <c r="J2692" i="16" s="1"/>
  <c r="V2692" i="16" s="1"/>
  <c r="W2692" i="16" s="1"/>
  <c r="Y2692" i="16" s="1"/>
  <c r="H2691" i="16"/>
  <c r="J2691" i="16" s="1"/>
  <c r="V2691" i="16" s="1"/>
  <c r="W2691" i="16" s="1"/>
  <c r="Y2691" i="16" s="1"/>
  <c r="H2690" i="16"/>
  <c r="J2690" i="16" s="1"/>
  <c r="V2690" i="16" s="1"/>
  <c r="W2690" i="16" s="1"/>
  <c r="Y2690" i="16" s="1"/>
  <c r="H2689" i="16"/>
  <c r="J2689" i="16" s="1"/>
  <c r="V2689" i="16" s="1"/>
  <c r="W2689" i="16" s="1"/>
  <c r="Y2689" i="16" s="1"/>
  <c r="H2688" i="16"/>
  <c r="J2688" i="16" s="1"/>
  <c r="V2688" i="16" s="1"/>
  <c r="W2688" i="16" s="1"/>
  <c r="Y2688" i="16" s="1"/>
  <c r="H2687" i="16"/>
  <c r="J2687" i="16" s="1"/>
  <c r="V2687" i="16" s="1"/>
  <c r="W2687" i="16" s="1"/>
  <c r="Y2687" i="16" s="1"/>
  <c r="H2686" i="16"/>
  <c r="J2686" i="16" s="1"/>
  <c r="V2686" i="16" s="1"/>
  <c r="W2686" i="16" s="1"/>
  <c r="Y2686" i="16" s="1"/>
  <c r="H2685" i="16"/>
  <c r="J2685" i="16" s="1"/>
  <c r="V2685" i="16" s="1"/>
  <c r="W2685" i="16" s="1"/>
  <c r="Y2685" i="16" s="1"/>
  <c r="H2684" i="16"/>
  <c r="J2684" i="16" s="1"/>
  <c r="V2684" i="16" s="1"/>
  <c r="W2684" i="16" s="1"/>
  <c r="Y2684" i="16" s="1"/>
  <c r="H2683" i="16"/>
  <c r="J2683" i="16" s="1"/>
  <c r="V2683" i="16" s="1"/>
  <c r="W2683" i="16" s="1"/>
  <c r="Y2683" i="16" s="1"/>
  <c r="R2682" i="16"/>
  <c r="T2682" i="16" s="1"/>
  <c r="U2682" i="16" s="1"/>
  <c r="H2682" i="16"/>
  <c r="J2682" i="16" s="1"/>
  <c r="R2681" i="16"/>
  <c r="T2681" i="16" s="1"/>
  <c r="H2681" i="16"/>
  <c r="J2681" i="16" s="1"/>
  <c r="R2679" i="16"/>
  <c r="R2678" i="16"/>
  <c r="T2678" i="16" s="1"/>
  <c r="U2678" i="16" s="1"/>
  <c r="J2678" i="16"/>
  <c r="H2677" i="16"/>
  <c r="J2677" i="16" s="1"/>
  <c r="R2675" i="16"/>
  <c r="T2675" i="16" s="1"/>
  <c r="R2674" i="16"/>
  <c r="R2673" i="16"/>
  <c r="T2673" i="16" s="1"/>
  <c r="R2672" i="16"/>
  <c r="T2672" i="16" s="1"/>
  <c r="R2671" i="16"/>
  <c r="R2670" i="16"/>
  <c r="T2670" i="16" s="1"/>
  <c r="U2670" i="16" s="1"/>
  <c r="R2669" i="16"/>
  <c r="T2669" i="16" s="1"/>
  <c r="R2668" i="16"/>
  <c r="R2667" i="16"/>
  <c r="R2666" i="16"/>
  <c r="T2666" i="16" s="1"/>
  <c r="H2665" i="16"/>
  <c r="J2665" i="16" s="1"/>
  <c r="R2662" i="16"/>
  <c r="T2662" i="16" s="1"/>
  <c r="H2662" i="16"/>
  <c r="J2662" i="16" s="1"/>
  <c r="R2661" i="16"/>
  <c r="H2661" i="16"/>
  <c r="J2661" i="16" s="1"/>
  <c r="R2660" i="16"/>
  <c r="H2660" i="16"/>
  <c r="J2660" i="16" s="1"/>
  <c r="H2659" i="16"/>
  <c r="J2659" i="16" s="1"/>
  <c r="V2659" i="16" s="1"/>
  <c r="W2659" i="16" s="1"/>
  <c r="Y2659" i="16" s="1"/>
  <c r="H2658" i="16"/>
  <c r="J2658" i="16" s="1"/>
  <c r="V2658" i="16" s="1"/>
  <c r="W2658" i="16" s="1"/>
  <c r="Y2658" i="16" s="1"/>
  <c r="H2657" i="16"/>
  <c r="J2657" i="16" s="1"/>
  <c r="V2657" i="16" s="1"/>
  <c r="W2657" i="16" s="1"/>
  <c r="Y2657" i="16" s="1"/>
  <c r="H2656" i="16"/>
  <c r="J2656" i="16" s="1"/>
  <c r="V2656" i="16" s="1"/>
  <c r="W2656" i="16" s="1"/>
  <c r="Y2656" i="16" s="1"/>
  <c r="H2655" i="16"/>
  <c r="J2655" i="16" s="1"/>
  <c r="V2655" i="16" s="1"/>
  <c r="W2655" i="16" s="1"/>
  <c r="Y2655" i="16" s="1"/>
  <c r="H2654" i="16"/>
  <c r="J2654" i="16" s="1"/>
  <c r="V2654" i="16" s="1"/>
  <c r="W2654" i="16" s="1"/>
  <c r="Y2654" i="16" s="1"/>
  <c r="H2653" i="16"/>
  <c r="J2653" i="16" s="1"/>
  <c r="V2653" i="16" s="1"/>
  <c r="W2653" i="16" s="1"/>
  <c r="Y2653" i="16" s="1"/>
  <c r="R2651" i="16"/>
  <c r="T2651" i="16" s="1"/>
  <c r="U2651" i="16" s="1"/>
  <c r="R2650" i="16"/>
  <c r="H2649" i="16"/>
  <c r="J2649" i="16" s="1"/>
  <c r="R2648" i="16"/>
  <c r="H2648" i="16"/>
  <c r="J2648" i="16" s="1"/>
  <c r="H2647" i="16"/>
  <c r="J2647" i="16" s="1"/>
  <c r="V2647" i="16" s="1"/>
  <c r="W2647" i="16" s="1"/>
  <c r="Y2647" i="16" s="1"/>
  <c r="R2646" i="16"/>
  <c r="H2646" i="16"/>
  <c r="J2646" i="16" s="1"/>
  <c r="R2645" i="16"/>
  <c r="T2645" i="16" s="1"/>
  <c r="J2645" i="16"/>
  <c r="R2644" i="16"/>
  <c r="J2644" i="16"/>
  <c r="R2642" i="16"/>
  <c r="R2641" i="16"/>
  <c r="J2640" i="16"/>
  <c r="H2639" i="16"/>
  <c r="J2639" i="16" s="1"/>
  <c r="R2638" i="16"/>
  <c r="T2638" i="16" s="1"/>
  <c r="H2638" i="16"/>
  <c r="J2638" i="16" s="1"/>
  <c r="R2637" i="16"/>
  <c r="H2637" i="16"/>
  <c r="J2637" i="16" s="1"/>
  <c r="R2634" i="16"/>
  <c r="T2634" i="16" s="1"/>
  <c r="J2634" i="16"/>
  <c r="H2633" i="16"/>
  <c r="J2633" i="16" s="1"/>
  <c r="R2631" i="16"/>
  <c r="T2631" i="16" s="1"/>
  <c r="R2630" i="16"/>
  <c r="R2629" i="16"/>
  <c r="T2629" i="16" s="1"/>
  <c r="U2629" i="16" s="1"/>
  <c r="R2628" i="16"/>
  <c r="H2628" i="16"/>
  <c r="J2628" i="16" s="1"/>
  <c r="R2627" i="16"/>
  <c r="T2627" i="16" s="1"/>
  <c r="U2627" i="16" s="1"/>
  <c r="J2627" i="16"/>
  <c r="R2626" i="16"/>
  <c r="T2626" i="16" s="1"/>
  <c r="U2626" i="16" s="1"/>
  <c r="J2626" i="16"/>
  <c r="H2625" i="16"/>
  <c r="J2625" i="16" s="1"/>
  <c r="R2623" i="16"/>
  <c r="T2623" i="16" s="1"/>
  <c r="R2622" i="16"/>
  <c r="T2622" i="16" s="1"/>
  <c r="R2621" i="16"/>
  <c r="T2621" i="16" s="1"/>
  <c r="R2620" i="16"/>
  <c r="T2620" i="16" s="1"/>
  <c r="R2619" i="16"/>
  <c r="T2619" i="16" s="1"/>
  <c r="R2618" i="16"/>
  <c r="T2618" i="16" s="1"/>
  <c r="H2617" i="16"/>
  <c r="J2617" i="16" s="1"/>
  <c r="R2616" i="16"/>
  <c r="T2616" i="16" s="1"/>
  <c r="U2616" i="16" s="1"/>
  <c r="H2616" i="16"/>
  <c r="J2616" i="16" s="1"/>
  <c r="T2615" i="16"/>
  <c r="U2615" i="16" s="1"/>
  <c r="V2615" i="16" s="1"/>
  <c r="W2615" i="16" s="1"/>
  <c r="Y2615" i="16" s="1"/>
  <c r="T2613" i="16"/>
  <c r="U2613" i="16" s="1"/>
  <c r="T2612" i="16"/>
  <c r="U2612" i="16" s="1"/>
  <c r="T2611" i="16"/>
  <c r="U2611" i="16" s="1"/>
  <c r="V2611" i="16" s="1"/>
  <c r="W2611" i="16" s="1"/>
  <c r="T2609" i="16"/>
  <c r="U2609" i="16" s="1"/>
  <c r="T2608" i="16"/>
  <c r="U2608" i="16" s="1"/>
  <c r="R2606" i="16"/>
  <c r="T2606" i="16" s="1"/>
  <c r="J2606" i="16"/>
  <c r="R2604" i="16"/>
  <c r="T2604" i="16" s="1"/>
  <c r="U2604" i="16" s="1"/>
  <c r="R2603" i="16"/>
  <c r="J2603" i="16"/>
  <c r="H2602" i="16"/>
  <c r="J2602" i="16" s="1"/>
  <c r="R2601" i="16"/>
  <c r="T2601" i="16" s="1"/>
  <c r="U2601" i="16" s="1"/>
  <c r="H2601" i="16"/>
  <c r="J2601" i="16" s="1"/>
  <c r="H2600" i="16"/>
  <c r="J2600" i="16" s="1"/>
  <c r="H2599" i="16"/>
  <c r="J2599" i="16" s="1"/>
  <c r="V2599" i="16" s="1"/>
  <c r="W2599" i="16" s="1"/>
  <c r="Y2599" i="16" s="1"/>
  <c r="H2598" i="16"/>
  <c r="J2598" i="16" s="1"/>
  <c r="V2598" i="16" s="1"/>
  <c r="W2598" i="16" s="1"/>
  <c r="Y2598" i="16" s="1"/>
  <c r="H2597" i="16"/>
  <c r="J2597" i="16" s="1"/>
  <c r="V2597" i="16" s="1"/>
  <c r="W2597" i="16" s="1"/>
  <c r="Y2597" i="16" s="1"/>
  <c r="H2596" i="16"/>
  <c r="J2596" i="16" s="1"/>
  <c r="V2596" i="16" s="1"/>
  <c r="W2596" i="16" s="1"/>
  <c r="Y2596" i="16" s="1"/>
  <c r="H2595" i="16"/>
  <c r="J2595" i="16" s="1"/>
  <c r="V2595" i="16" s="1"/>
  <c r="W2595" i="16" s="1"/>
  <c r="Y2595" i="16" s="1"/>
  <c r="H2594" i="16"/>
  <c r="J2594" i="16" s="1"/>
  <c r="V2594" i="16" s="1"/>
  <c r="W2594" i="16" s="1"/>
  <c r="Y2594" i="16" s="1"/>
  <c r="H2593" i="16"/>
  <c r="J2593" i="16" s="1"/>
  <c r="V2593" i="16" s="1"/>
  <c r="W2593" i="16" s="1"/>
  <c r="Y2593" i="16" s="1"/>
  <c r="H2592" i="16"/>
  <c r="J2592" i="16" s="1"/>
  <c r="V2592" i="16" s="1"/>
  <c r="W2592" i="16" s="1"/>
  <c r="Y2592" i="16" s="1"/>
  <c r="R2589" i="16"/>
  <c r="H2588" i="16"/>
  <c r="J2588" i="16" s="1"/>
  <c r="R2585" i="16"/>
  <c r="H2585" i="16"/>
  <c r="J2585" i="16" s="1"/>
  <c r="R2584" i="16"/>
  <c r="J2584" i="16"/>
  <c r="R2582" i="16"/>
  <c r="R2581" i="16"/>
  <c r="J2581" i="16"/>
  <c r="H2580" i="16"/>
  <c r="J2580" i="16" s="1"/>
  <c r="R2579" i="16"/>
  <c r="J2579" i="16"/>
  <c r="R2578" i="16"/>
  <c r="T2578" i="16" s="1"/>
  <c r="U2578" i="16" s="1"/>
  <c r="J2578" i="16"/>
  <c r="R2577" i="16"/>
  <c r="T2577" i="16" s="1"/>
  <c r="J2577" i="16"/>
  <c r="H2576" i="16"/>
  <c r="J2576" i="16" s="1"/>
  <c r="R2573" i="16"/>
  <c r="T2573" i="16" s="1"/>
  <c r="U2573" i="16" s="1"/>
  <c r="J2573" i="16"/>
  <c r="H2572" i="16"/>
  <c r="J2572" i="16" s="1"/>
  <c r="R2571" i="16"/>
  <c r="H2571" i="16"/>
  <c r="J2571" i="16" s="1"/>
  <c r="R2570" i="16"/>
  <c r="T2570" i="16" s="1"/>
  <c r="U2570" i="16" s="1"/>
  <c r="H2570" i="16"/>
  <c r="J2570" i="16" s="1"/>
  <c r="H2569" i="16"/>
  <c r="J2569" i="16" s="1"/>
  <c r="R2568" i="16"/>
  <c r="J2568" i="16"/>
  <c r="R2566" i="16"/>
  <c r="R2565" i="16"/>
  <c r="T2565" i="16" s="1"/>
  <c r="R2564" i="16"/>
  <c r="T2564" i="16" s="1"/>
  <c r="R2563" i="16"/>
  <c r="T2563" i="16" s="1"/>
  <c r="U2563" i="16" s="1"/>
  <c r="J2562" i="16"/>
  <c r="H2561" i="16"/>
  <c r="J2561" i="16" s="1"/>
  <c r="R2558" i="16"/>
  <c r="T2558" i="16" s="1"/>
  <c r="U2558" i="16" s="1"/>
  <c r="H2558" i="16"/>
  <c r="J2558" i="16" s="1"/>
  <c r="T2555" i="16"/>
  <c r="U2555" i="16" s="1"/>
  <c r="V2555" i="16" s="1"/>
  <c r="W2555" i="16" s="1"/>
  <c r="H2554" i="16"/>
  <c r="R2551" i="16"/>
  <c r="T2551" i="16" s="1"/>
  <c r="U2551" i="16" s="1"/>
  <c r="H2551" i="16"/>
  <c r="J2551" i="16" s="1"/>
  <c r="R2548" i="16"/>
  <c r="H2548" i="16"/>
  <c r="J2548" i="16" s="1"/>
  <c r="R2547" i="16"/>
  <c r="J2547" i="16"/>
  <c r="H2546" i="16"/>
  <c r="J2546" i="16" s="1"/>
  <c r="R2543" i="16"/>
  <c r="T2543" i="16" s="1"/>
  <c r="H2543" i="16"/>
  <c r="J2543" i="16" s="1"/>
  <c r="R2540" i="16"/>
  <c r="H2539" i="16"/>
  <c r="J2539" i="16" s="1"/>
  <c r="R2538" i="16"/>
  <c r="J2538" i="16"/>
  <c r="R2537" i="16"/>
  <c r="T2537" i="16" s="1"/>
  <c r="U2537" i="16" s="1"/>
  <c r="J2537" i="16"/>
  <c r="R2535" i="16"/>
  <c r="R2534" i="16"/>
  <c r="J2534" i="16"/>
  <c r="H2533" i="16"/>
  <c r="J2533" i="16" s="1"/>
  <c r="R2532" i="16"/>
  <c r="T2532" i="16" s="1"/>
  <c r="U2532" i="16" s="1"/>
  <c r="J2532" i="16"/>
  <c r="R2531" i="16"/>
  <c r="T2531" i="16" s="1"/>
  <c r="U2531" i="16" s="1"/>
  <c r="J2531" i="16"/>
  <c r="R2530" i="16"/>
  <c r="T2530" i="16" s="1"/>
  <c r="U2530" i="16" s="1"/>
  <c r="J2530" i="16"/>
  <c r="R2529" i="16"/>
  <c r="T2529" i="16" s="1"/>
  <c r="U2529" i="16" s="1"/>
  <c r="J2529" i="16"/>
  <c r="R2528" i="16"/>
  <c r="T2528" i="16" s="1"/>
  <c r="U2528" i="16" s="1"/>
  <c r="J2528" i="16"/>
  <c r="R2527" i="16"/>
  <c r="J2527" i="16"/>
  <c r="R2526" i="16"/>
  <c r="J2526" i="16"/>
  <c r="R2525" i="16"/>
  <c r="T2525" i="16" s="1"/>
  <c r="J2525" i="16"/>
  <c r="H2524" i="16"/>
  <c r="J2524" i="16" s="1"/>
  <c r="R2523" i="16"/>
  <c r="T2523" i="16" s="1"/>
  <c r="U2523" i="16" s="1"/>
  <c r="H2523" i="16"/>
  <c r="J2523" i="16" s="1"/>
  <c r="R2522" i="16"/>
  <c r="T2522" i="16" s="1"/>
  <c r="U2522" i="16" s="1"/>
  <c r="J2522" i="16"/>
  <c r="H2521" i="16"/>
  <c r="J2521" i="16" s="1"/>
  <c r="R2520" i="16"/>
  <c r="T2520" i="16" s="1"/>
  <c r="U2520" i="16" s="1"/>
  <c r="J2520" i="16"/>
  <c r="R2519" i="16"/>
  <c r="T2519" i="16" s="1"/>
  <c r="J2519" i="16"/>
  <c r="H2518" i="16"/>
  <c r="J2518" i="16" s="1"/>
  <c r="R2515" i="16"/>
  <c r="H2515" i="16"/>
  <c r="J2515" i="16" s="1"/>
  <c r="R2514" i="16"/>
  <c r="H2514" i="16"/>
  <c r="J2514" i="16" s="1"/>
  <c r="R2512" i="16"/>
  <c r="T2512" i="16" s="1"/>
  <c r="R2511" i="16"/>
  <c r="T2511" i="16" s="1"/>
  <c r="J2510" i="16"/>
  <c r="H2509" i="16"/>
  <c r="J2509" i="16" s="1"/>
  <c r="R2508" i="16"/>
  <c r="T2508" i="16" s="1"/>
  <c r="U2508" i="16" s="1"/>
  <c r="H2508" i="16"/>
  <c r="J2508" i="16" s="1"/>
  <c r="R2507" i="16"/>
  <c r="T2507" i="16" s="1"/>
  <c r="U2507" i="16" s="1"/>
  <c r="H2507" i="16"/>
  <c r="J2507" i="16" s="1"/>
  <c r="R2506" i="16"/>
  <c r="T2506" i="16" s="1"/>
  <c r="U2506" i="16" s="1"/>
  <c r="H2506" i="16"/>
  <c r="J2506" i="16" s="1"/>
  <c r="R2505" i="16"/>
  <c r="T2505" i="16" s="1"/>
  <c r="H2505" i="16"/>
  <c r="J2505" i="16" s="1"/>
  <c r="R2504" i="16"/>
  <c r="H2504" i="16"/>
  <c r="J2504" i="16" s="1"/>
  <c r="R2503" i="16"/>
  <c r="T2503" i="16" s="1"/>
  <c r="U2503" i="16" s="1"/>
  <c r="H2503" i="16"/>
  <c r="J2503" i="16" s="1"/>
  <c r="H2502" i="16"/>
  <c r="J2502" i="16" s="1"/>
  <c r="R2501" i="16"/>
  <c r="T2501" i="16" s="1"/>
  <c r="H2501" i="16"/>
  <c r="J2501" i="16" s="1"/>
  <c r="J2500" i="16"/>
  <c r="V2500" i="16" s="1"/>
  <c r="W2500" i="16" s="1"/>
  <c r="Y2500" i="16" s="1"/>
  <c r="R2499" i="16"/>
  <c r="T2499" i="16" s="1"/>
  <c r="U2499" i="16" s="1"/>
  <c r="H2499" i="16"/>
  <c r="J2499" i="16" s="1"/>
  <c r="H2498" i="16"/>
  <c r="J2498" i="16" s="1"/>
  <c r="H2497" i="16"/>
  <c r="J2497" i="16" s="1"/>
  <c r="R2496" i="16"/>
  <c r="H2496" i="16"/>
  <c r="J2496" i="16" s="1"/>
  <c r="R2495" i="16"/>
  <c r="H2495" i="16"/>
  <c r="J2495" i="16" s="1"/>
  <c r="R2494" i="16"/>
  <c r="H2494" i="16"/>
  <c r="J2494" i="16" s="1"/>
  <c r="H2493" i="16"/>
  <c r="J2493" i="16" s="1"/>
  <c r="R2490" i="16"/>
  <c r="H2490" i="16"/>
  <c r="J2490" i="16" s="1"/>
  <c r="R2489" i="16"/>
  <c r="H2489" i="16"/>
  <c r="J2489" i="16" s="1"/>
  <c r="R2487" i="16"/>
  <c r="T2487" i="16" s="1"/>
  <c r="U2487" i="16" s="1"/>
  <c r="R2486" i="16"/>
  <c r="T2486" i="16" s="1"/>
  <c r="J2485" i="16"/>
  <c r="H2484" i="16"/>
  <c r="J2484" i="16" s="1"/>
  <c r="R2482" i="16"/>
  <c r="T2482" i="16" s="1"/>
  <c r="R2481" i="16"/>
  <c r="T2481" i="16" s="1"/>
  <c r="R2480" i="16"/>
  <c r="T2480" i="16" s="1"/>
  <c r="J2479" i="16"/>
  <c r="R2477" i="16"/>
  <c r="T2477" i="16" s="1"/>
  <c r="R2476" i="16"/>
  <c r="J2475" i="16"/>
  <c r="H2474" i="16"/>
  <c r="J2474" i="16" s="1"/>
  <c r="H2473" i="16"/>
  <c r="J2473" i="16" s="1"/>
  <c r="V2473" i="16" s="1"/>
  <c r="W2473" i="16" s="1"/>
  <c r="H2472" i="16"/>
  <c r="J2472" i="16" s="1"/>
  <c r="V2472" i="16" s="1"/>
  <c r="W2472" i="16" s="1"/>
  <c r="R2470" i="16"/>
  <c r="T2470" i="16" s="1"/>
  <c r="U2470" i="16" s="1"/>
  <c r="R2469" i="16"/>
  <c r="T2469" i="16" s="1"/>
  <c r="R2468" i="16"/>
  <c r="T2468" i="16" s="1"/>
  <c r="H2467" i="16"/>
  <c r="J2467" i="16" s="1"/>
  <c r="R2466" i="16"/>
  <c r="T2466" i="16" s="1"/>
  <c r="J2466" i="16"/>
  <c r="R2465" i="16"/>
  <c r="J2465" i="16"/>
  <c r="R2464" i="16"/>
  <c r="J2464" i="16"/>
  <c r="R2463" i="16"/>
  <c r="J2463" i="16"/>
  <c r="R2462" i="16"/>
  <c r="T2462" i="16" s="1"/>
  <c r="J2462" i="16"/>
  <c r="T2459" i="16"/>
  <c r="U2459" i="16" s="1"/>
  <c r="J2459" i="16"/>
  <c r="H2458" i="16"/>
  <c r="J2458" i="16" s="1"/>
  <c r="R2457" i="16"/>
  <c r="H2457" i="16"/>
  <c r="J2457" i="16" s="1"/>
  <c r="R2456" i="16"/>
  <c r="T2456" i="16" s="1"/>
  <c r="H2456" i="16"/>
  <c r="J2456" i="16" s="1"/>
  <c r="R2454" i="16"/>
  <c r="T2454" i="16" s="1"/>
  <c r="R2453" i="16"/>
  <c r="T2453" i="16" s="1"/>
  <c r="U2453" i="16" s="1"/>
  <c r="J2453" i="16"/>
  <c r="H2452" i="16"/>
  <c r="J2452" i="16" s="1"/>
  <c r="T2450" i="16"/>
  <c r="U2450" i="16" s="1"/>
  <c r="V2450" i="16" s="1"/>
  <c r="T2449" i="16"/>
  <c r="U2449" i="16" s="1"/>
  <c r="V2449" i="16" s="1"/>
  <c r="R2448" i="16"/>
  <c r="H2448" i="16"/>
  <c r="J2448" i="16" s="1"/>
  <c r="R2445" i="16"/>
  <c r="T2445" i="16" s="1"/>
  <c r="H2444" i="16"/>
  <c r="J2444" i="16" s="1"/>
  <c r="H2443" i="16"/>
  <c r="J2443" i="16" s="1"/>
  <c r="V2443" i="16" s="1"/>
  <c r="W2443" i="16" s="1"/>
  <c r="Y2443" i="16" s="1"/>
  <c r="R2440" i="16"/>
  <c r="T2440" i="16" s="1"/>
  <c r="U2440" i="16" s="1"/>
  <c r="J2440" i="16"/>
  <c r="R2439" i="16"/>
  <c r="H2439" i="16"/>
  <c r="J2439" i="16" s="1"/>
  <c r="H2438" i="16"/>
  <c r="J2438" i="16" s="1"/>
  <c r="R2437" i="16"/>
  <c r="J2437" i="16"/>
  <c r="R2435" i="16"/>
  <c r="T2435" i="16" s="1"/>
  <c r="R2434" i="16"/>
  <c r="T2434" i="16" s="1"/>
  <c r="U2434" i="16" s="1"/>
  <c r="J2433" i="16"/>
  <c r="H2432" i="16"/>
  <c r="J2432" i="16" s="1"/>
  <c r="R2429" i="16"/>
  <c r="H2429" i="16"/>
  <c r="J2429" i="16" s="1"/>
  <c r="H2428" i="16"/>
  <c r="J2428" i="16" s="1"/>
  <c r="V2428" i="16" s="1"/>
  <c r="W2428" i="16" s="1"/>
  <c r="Y2428" i="16" s="1"/>
  <c r="R2427" i="16"/>
  <c r="J2427" i="16"/>
  <c r="R2426" i="16"/>
  <c r="J2426" i="16"/>
  <c r="R2423" i="16"/>
  <c r="J2423" i="16"/>
  <c r="H2422" i="16"/>
  <c r="J2422" i="16" s="1"/>
  <c r="R2421" i="16"/>
  <c r="T2421" i="16" s="1"/>
  <c r="U2421" i="16" s="1"/>
  <c r="H2421" i="16"/>
  <c r="J2421" i="16" s="1"/>
  <c r="R2419" i="16"/>
  <c r="T2419" i="16" s="1"/>
  <c r="R2418" i="16"/>
  <c r="T2418" i="16" s="1"/>
  <c r="U2418" i="16" s="1"/>
  <c r="J2417" i="16"/>
  <c r="H2416" i="16"/>
  <c r="J2416" i="16" s="1"/>
  <c r="R2415" i="16"/>
  <c r="H2415" i="16"/>
  <c r="J2415" i="16" s="1"/>
  <c r="R2414" i="16"/>
  <c r="T2414" i="16" s="1"/>
  <c r="H2414" i="16"/>
  <c r="J2414" i="16" s="1"/>
  <c r="R2413" i="16"/>
  <c r="T2413" i="16" s="1"/>
  <c r="H2413" i="16"/>
  <c r="J2413" i="16" s="1"/>
  <c r="R2412" i="16"/>
  <c r="T2412" i="16" s="1"/>
  <c r="H2412" i="16"/>
  <c r="J2412" i="16" s="1"/>
  <c r="R2410" i="16"/>
  <c r="T2410" i="16" s="1"/>
  <c r="R2409" i="16"/>
  <c r="T2409" i="16" s="1"/>
  <c r="U2409" i="16" s="1"/>
  <c r="R2408" i="16"/>
  <c r="J2407" i="16"/>
  <c r="H2406" i="16"/>
  <c r="J2406" i="16" s="1"/>
  <c r="J2405" i="16"/>
  <c r="V2405" i="16" s="1"/>
  <c r="W2405" i="16" s="1"/>
  <c r="Y2405" i="16" s="1"/>
  <c r="R2403" i="16"/>
  <c r="R2402" i="16"/>
  <c r="T2402" i="16" s="1"/>
  <c r="H2401" i="16"/>
  <c r="J2401" i="16" s="1"/>
  <c r="R2398" i="16"/>
  <c r="T2398" i="16" s="1"/>
  <c r="U2398" i="16" s="1"/>
  <c r="H2398" i="16"/>
  <c r="J2398" i="16" s="1"/>
  <c r="R2395" i="16"/>
  <c r="T2395" i="16" s="1"/>
  <c r="U2395" i="16" s="1"/>
  <c r="H2395" i="16"/>
  <c r="J2395" i="16" s="1"/>
  <c r="R2394" i="16"/>
  <c r="R2393" i="16"/>
  <c r="T2393" i="16" s="1"/>
  <c r="U2393" i="16" s="1"/>
  <c r="R2392" i="16"/>
  <c r="T2392" i="16" s="1"/>
  <c r="R2391" i="16"/>
  <c r="J2391" i="16"/>
  <c r="H2390" i="16"/>
  <c r="J2390" i="16" s="1"/>
  <c r="R2389" i="16"/>
  <c r="T2389" i="16" s="1"/>
  <c r="U2389" i="16" s="1"/>
  <c r="J2389" i="16"/>
  <c r="R2387" i="16"/>
  <c r="R2386" i="16"/>
  <c r="T2386" i="16" s="1"/>
  <c r="R2385" i="16"/>
  <c r="J2385" i="16"/>
  <c r="H2384" i="16"/>
  <c r="J2384" i="16" s="1"/>
  <c r="R2383" i="16"/>
  <c r="J2383" i="16"/>
  <c r="R2381" i="16"/>
  <c r="T2381" i="16" s="1"/>
  <c r="R2380" i="16"/>
  <c r="H2379" i="16"/>
  <c r="J2379" i="16" s="1"/>
  <c r="R2378" i="16"/>
  <c r="T2378" i="16" s="1"/>
  <c r="J2378" i="16"/>
  <c r="R2377" i="16"/>
  <c r="T2377" i="16" s="1"/>
  <c r="U2377" i="16" s="1"/>
  <c r="J2377" i="16"/>
  <c r="H2376" i="16"/>
  <c r="J2376" i="16" s="1"/>
  <c r="R2375" i="16"/>
  <c r="T2375" i="16" s="1"/>
  <c r="U2375" i="16" s="1"/>
  <c r="J2375" i="16"/>
  <c r="R2372" i="16"/>
  <c r="J2372" i="16"/>
  <c r="H2371" i="16"/>
  <c r="J2371" i="16" s="1"/>
  <c r="J2370" i="16"/>
  <c r="V2370" i="16" s="1"/>
  <c r="W2370" i="16" s="1"/>
  <c r="R2369" i="16"/>
  <c r="T2369" i="16" s="1"/>
  <c r="U2369" i="16" s="1"/>
  <c r="J2369" i="16"/>
  <c r="R2368" i="16"/>
  <c r="J2368" i="16"/>
  <c r="H2367" i="16"/>
  <c r="J2367" i="16" s="1"/>
  <c r="R2366" i="16"/>
  <c r="T2366" i="16" s="1"/>
  <c r="U2366" i="16" s="1"/>
  <c r="V2366" i="16" s="1"/>
  <c r="W2366" i="16" s="1"/>
  <c r="Y2366" i="16" s="1"/>
  <c r="R2365" i="16"/>
  <c r="T2365" i="16" s="1"/>
  <c r="H2364" i="16"/>
  <c r="J2364" i="16" s="1"/>
  <c r="R2363" i="16"/>
  <c r="J2363" i="16"/>
  <c r="R2362" i="16"/>
  <c r="J2362" i="16"/>
  <c r="R2361" i="16"/>
  <c r="J2361" i="16"/>
  <c r="H2360" i="16"/>
  <c r="J2360" i="16" s="1"/>
  <c r="R2359" i="16"/>
  <c r="T2359" i="16" s="1"/>
  <c r="U2359" i="16" s="1"/>
  <c r="J2359" i="16"/>
  <c r="R2357" i="16"/>
  <c r="T2357" i="16" s="1"/>
  <c r="U2357" i="16" s="1"/>
  <c r="R2356" i="16"/>
  <c r="J2356" i="16"/>
  <c r="H2355" i="16"/>
  <c r="J2355" i="16" s="1"/>
  <c r="R2352" i="16"/>
  <c r="T2352" i="16" s="1"/>
  <c r="H2352" i="16"/>
  <c r="J2352" i="16" s="1"/>
  <c r="R2351" i="16"/>
  <c r="J2351" i="16"/>
  <c r="H2350" i="16"/>
  <c r="J2350" i="16" s="1"/>
  <c r="R2349" i="16"/>
  <c r="T2349" i="16" s="1"/>
  <c r="U2349" i="16" s="1"/>
  <c r="J2349" i="16"/>
  <c r="R2348" i="16"/>
  <c r="T2348" i="16" s="1"/>
  <c r="J2348" i="16"/>
  <c r="H2347" i="16"/>
  <c r="J2347" i="16" s="1"/>
  <c r="R2346" i="16"/>
  <c r="T2346" i="16" s="1"/>
  <c r="J2346" i="16"/>
  <c r="R2343" i="16"/>
  <c r="J2343" i="16"/>
  <c r="H2342" i="16"/>
  <c r="J2342" i="16" s="1"/>
  <c r="R2341" i="16"/>
  <c r="T2341" i="16" s="1"/>
  <c r="J2341" i="16"/>
  <c r="H2340" i="16"/>
  <c r="J2340" i="16" s="1"/>
  <c r="R2339" i="16"/>
  <c r="T2339" i="16" s="1"/>
  <c r="U2339" i="16" s="1"/>
  <c r="J2339" i="16"/>
  <c r="R2337" i="16"/>
  <c r="R2336" i="16"/>
  <c r="T2336" i="16" s="1"/>
  <c r="J2336" i="16"/>
  <c r="H2335" i="16"/>
  <c r="J2335" i="16" s="1"/>
  <c r="R2332" i="16"/>
  <c r="T2332" i="16" s="1"/>
  <c r="U2332" i="16" s="1"/>
  <c r="H2332" i="16"/>
  <c r="J2332" i="16" s="1"/>
  <c r="R2329" i="16"/>
  <c r="T2329" i="16" s="1"/>
  <c r="J2329" i="16"/>
  <c r="H2328" i="16"/>
  <c r="J2328" i="16" s="1"/>
  <c r="R2327" i="16"/>
  <c r="T2327" i="16" s="1"/>
  <c r="U2327" i="16" s="1"/>
  <c r="H2327" i="16"/>
  <c r="J2327" i="16" s="1"/>
  <c r="R2326" i="16"/>
  <c r="T2326" i="16" s="1"/>
  <c r="U2326" i="16" s="1"/>
  <c r="J2326" i="16"/>
  <c r="R2325" i="16"/>
  <c r="T2325" i="16" s="1"/>
  <c r="U2325" i="16" s="1"/>
  <c r="R2324" i="16"/>
  <c r="J2323" i="16"/>
  <c r="R2322" i="16"/>
  <c r="T2322" i="16" s="1"/>
  <c r="J2322" i="16"/>
  <c r="R2320" i="16"/>
  <c r="R2319" i="16"/>
  <c r="J2318" i="16"/>
  <c r="H2317" i="16"/>
  <c r="J2317" i="16" s="1"/>
  <c r="R2316" i="16"/>
  <c r="H2316" i="16"/>
  <c r="J2316" i="16" s="1"/>
  <c r="R2315" i="16"/>
  <c r="J2315" i="16"/>
  <c r="R2313" i="16"/>
  <c r="T2313" i="16" s="1"/>
  <c r="R2312" i="16"/>
  <c r="T2312" i="16" s="1"/>
  <c r="U2312" i="16" s="1"/>
  <c r="J2312" i="16"/>
  <c r="H2311" i="16"/>
  <c r="J2311" i="16" s="1"/>
  <c r="R2309" i="16"/>
  <c r="T2309" i="16" s="1"/>
  <c r="R2308" i="16"/>
  <c r="H2307" i="16"/>
  <c r="J2307" i="16" s="1"/>
  <c r="R2306" i="16"/>
  <c r="H2305" i="16"/>
  <c r="J2305" i="16" s="1"/>
  <c r="R2301" i="16"/>
  <c r="H2301" i="16"/>
  <c r="J2301" i="16" s="1"/>
  <c r="R2298" i="16"/>
  <c r="J2298" i="16"/>
  <c r="H2297" i="16"/>
  <c r="J2297" i="16" s="1"/>
  <c r="R2296" i="16"/>
  <c r="T2296" i="16" s="1"/>
  <c r="J2296" i="16"/>
  <c r="R2295" i="16"/>
  <c r="T2295" i="16" s="1"/>
  <c r="U2295" i="16" s="1"/>
  <c r="J2295" i="16"/>
  <c r="H2294" i="16"/>
  <c r="J2294" i="16" s="1"/>
  <c r="R2293" i="16"/>
  <c r="T2293" i="16" s="1"/>
  <c r="J2293" i="16"/>
  <c r="R2292" i="16"/>
  <c r="T2292" i="16" s="1"/>
  <c r="U2292" i="16" s="1"/>
  <c r="J2292" i="16"/>
  <c r="R2291" i="16"/>
  <c r="J2291" i="16"/>
  <c r="H2290" i="16"/>
  <c r="J2290" i="16" s="1"/>
  <c r="R2289" i="16"/>
  <c r="T2289" i="16" s="1"/>
  <c r="U2289" i="16" s="1"/>
  <c r="J2289" i="16"/>
  <c r="R2287" i="16"/>
  <c r="T2287" i="16" s="1"/>
  <c r="R2286" i="16"/>
  <c r="R2285" i="16"/>
  <c r="T2285" i="16" s="1"/>
  <c r="J2284" i="16"/>
  <c r="H2283" i="16"/>
  <c r="J2283" i="16" s="1"/>
  <c r="R2282" i="16"/>
  <c r="T2282" i="16" s="1"/>
  <c r="H2282" i="16"/>
  <c r="J2282" i="16" s="1"/>
  <c r="R2281" i="16"/>
  <c r="H2281" i="16"/>
  <c r="J2281" i="16" s="1"/>
  <c r="R2278" i="16"/>
  <c r="T2278" i="16" s="1"/>
  <c r="U2278" i="16" s="1"/>
  <c r="J2278" i="16"/>
  <c r="R2277" i="16"/>
  <c r="J2277" i="16"/>
  <c r="R2275" i="16"/>
  <c r="T2275" i="16" s="1"/>
  <c r="R2274" i="16"/>
  <c r="T2274" i="16" s="1"/>
  <c r="U2274" i="16" s="1"/>
  <c r="J2273" i="16"/>
  <c r="H2272" i="16"/>
  <c r="J2272" i="16" s="1"/>
  <c r="R2271" i="16"/>
  <c r="T2271" i="16" s="1"/>
  <c r="J2271" i="16"/>
  <c r="R2270" i="16"/>
  <c r="J2270" i="16"/>
  <c r="H2269" i="16"/>
  <c r="J2269" i="16" s="1"/>
  <c r="R2266" i="16"/>
  <c r="H2265" i="16"/>
  <c r="J2265" i="16" s="1"/>
  <c r="R2263" i="16"/>
  <c r="R2262" i="16"/>
  <c r="T2262" i="16" s="1"/>
  <c r="R2261" i="16"/>
  <c r="T2261" i="16" s="1"/>
  <c r="J2261" i="16"/>
  <c r="H2260" i="16"/>
  <c r="J2260" i="16" s="1"/>
  <c r="R2258" i="16"/>
  <c r="T2258" i="16" s="1"/>
  <c r="U2258" i="16" s="1"/>
  <c r="R2257" i="16"/>
  <c r="T2257" i="16" s="1"/>
  <c r="H2257" i="16"/>
  <c r="J2257" i="16" s="1"/>
  <c r="R2256" i="16"/>
  <c r="T2256" i="16" s="1"/>
  <c r="U2256" i="16" s="1"/>
  <c r="H2256" i="16"/>
  <c r="J2256" i="16" s="1"/>
  <c r="R2253" i="16"/>
  <c r="H2253" i="16"/>
  <c r="J2253" i="16" s="1"/>
  <c r="V2252" i="16"/>
  <c r="R2250" i="16"/>
  <c r="T2250" i="16" s="1"/>
  <c r="H2250" i="16"/>
  <c r="J2250" i="16" s="1"/>
  <c r="R2249" i="16"/>
  <c r="T2249" i="16" s="1"/>
  <c r="J2249" i="16"/>
  <c r="R2247" i="16"/>
  <c r="T2247" i="16" s="1"/>
  <c r="R2246" i="16"/>
  <c r="T2246" i="16" s="1"/>
  <c r="U2246" i="16" s="1"/>
  <c r="J2246" i="16"/>
  <c r="H2245" i="16"/>
  <c r="J2245" i="16" s="1"/>
  <c r="R2242" i="16"/>
  <c r="H2242" i="16"/>
  <c r="J2242" i="16" s="1"/>
  <c r="R2241" i="16"/>
  <c r="T2241" i="16" s="1"/>
  <c r="U2241" i="16" s="1"/>
  <c r="H2241" i="16"/>
  <c r="J2241" i="16" s="1"/>
  <c r="R2240" i="16"/>
  <c r="T2240" i="16" s="1"/>
  <c r="J2240" i="16"/>
  <c r="R2239" i="16"/>
  <c r="J2239" i="16"/>
  <c r="R2238" i="16"/>
  <c r="J2238" i="16"/>
  <c r="H2237" i="16"/>
  <c r="J2237" i="16" s="1"/>
  <c r="R2234" i="16"/>
  <c r="T2234" i="16" s="1"/>
  <c r="U2234" i="16" s="1"/>
  <c r="H2233" i="16"/>
  <c r="J2233" i="16" s="1"/>
  <c r="R2232" i="16"/>
  <c r="R2229" i="16"/>
  <c r="H2229" i="16"/>
  <c r="J2229" i="16" s="1"/>
  <c r="R2228" i="16"/>
  <c r="T2228" i="16" s="1"/>
  <c r="H2228" i="16"/>
  <c r="J2228" i="16" s="1"/>
  <c r="R2226" i="16"/>
  <c r="T2226" i="16" s="1"/>
  <c r="U2226" i="16" s="1"/>
  <c r="R2225" i="16"/>
  <c r="T2225" i="16" s="1"/>
  <c r="J2224" i="16"/>
  <c r="H2223" i="16"/>
  <c r="J2223" i="16" s="1"/>
  <c r="R2222" i="16"/>
  <c r="T2222" i="16" s="1"/>
  <c r="H2221" i="16"/>
  <c r="J2221" i="16" s="1"/>
  <c r="R2217" i="16"/>
  <c r="T2217" i="16" s="1"/>
  <c r="U2217" i="16" s="1"/>
  <c r="H2217" i="16"/>
  <c r="J2217" i="16" s="1"/>
  <c r="R2216" i="16"/>
  <c r="T2216" i="16" s="1"/>
  <c r="J2216" i="16"/>
  <c r="R2214" i="16"/>
  <c r="R2213" i="16"/>
  <c r="T2213" i="16" s="1"/>
  <c r="J2213" i="16"/>
  <c r="H2212" i="16"/>
  <c r="J2212" i="16" s="1"/>
  <c r="R2211" i="16"/>
  <c r="H2211" i="16"/>
  <c r="J2211" i="16" s="1"/>
  <c r="R2209" i="16"/>
  <c r="T2209" i="16" s="1"/>
  <c r="U2209" i="16" s="1"/>
  <c r="R2208" i="16"/>
  <c r="H2207" i="16"/>
  <c r="J2207" i="16" s="1"/>
  <c r="R2206" i="16"/>
  <c r="J2206" i="16"/>
  <c r="R2205" i="16"/>
  <c r="T2205" i="16" s="1"/>
  <c r="J2205" i="16"/>
  <c r="H2204" i="16"/>
  <c r="J2204" i="16" s="1"/>
  <c r="R2203" i="16"/>
  <c r="T2203" i="16" s="1"/>
  <c r="U2203" i="16" s="1"/>
  <c r="J2203" i="16"/>
  <c r="H2202" i="16"/>
  <c r="J2202" i="16" s="1"/>
  <c r="R2200" i="16"/>
  <c r="T2200" i="16" s="1"/>
  <c r="R2199" i="16"/>
  <c r="T2199" i="16" s="1"/>
  <c r="H2198" i="16"/>
  <c r="J2198" i="16" s="1"/>
  <c r="R2197" i="16"/>
  <c r="J2197" i="16"/>
  <c r="H2196" i="16"/>
  <c r="J2196" i="16" s="1"/>
  <c r="H2195" i="16"/>
  <c r="J2195" i="16" s="1"/>
  <c r="R2194" i="16"/>
  <c r="J2194" i="16"/>
  <c r="R2193" i="16"/>
  <c r="T2193" i="16" s="1"/>
  <c r="U2193" i="16" s="1"/>
  <c r="J2193" i="16"/>
  <c r="H2192" i="16"/>
  <c r="J2192" i="16" s="1"/>
  <c r="R2190" i="16"/>
  <c r="T2190" i="16" s="1"/>
  <c r="U2190" i="16" s="1"/>
  <c r="R2189" i="16"/>
  <c r="R2188" i="16"/>
  <c r="T2188" i="16" s="1"/>
  <c r="R2187" i="16"/>
  <c r="R2186" i="16"/>
  <c r="R2185" i="16"/>
  <c r="T2185" i="16" s="1"/>
  <c r="R2184" i="16"/>
  <c r="T2184" i="16" s="1"/>
  <c r="R2183" i="16"/>
  <c r="T2183" i="16" s="1"/>
  <c r="U2183" i="16" s="1"/>
  <c r="R2182" i="16"/>
  <c r="R2181" i="16"/>
  <c r="T2181" i="16" s="1"/>
  <c r="H2180" i="16"/>
  <c r="J2180" i="16" s="1"/>
  <c r="R2179" i="16"/>
  <c r="J2179" i="16"/>
  <c r="R2178" i="16"/>
  <c r="T2178" i="16" s="1"/>
  <c r="J2178" i="16"/>
  <c r="R2177" i="16"/>
  <c r="J2177" i="16"/>
  <c r="H2176" i="16"/>
  <c r="J2176" i="16" s="1"/>
  <c r="R2175" i="16"/>
  <c r="T2175" i="16" s="1"/>
  <c r="H2175" i="16"/>
  <c r="J2175" i="16" s="1"/>
  <c r="R2174" i="16"/>
  <c r="T2174" i="16" s="1"/>
  <c r="H2174" i="16"/>
  <c r="J2174" i="16" s="1"/>
  <c r="R2173" i="16"/>
  <c r="H2173" i="16"/>
  <c r="J2173" i="16" s="1"/>
  <c r="R2172" i="16"/>
  <c r="T2172" i="16" s="1"/>
  <c r="U2172" i="16" s="1"/>
  <c r="J2172" i="16"/>
  <c r="R2169" i="16"/>
  <c r="J2169" i="16"/>
  <c r="H2168" i="16"/>
  <c r="J2168" i="16" s="1"/>
  <c r="R2167" i="16"/>
  <c r="T2167" i="16" s="1"/>
  <c r="H2167" i="16"/>
  <c r="J2167" i="16" s="1"/>
  <c r="R2165" i="16"/>
  <c r="T2165" i="16" s="1"/>
  <c r="U2165" i="16" s="1"/>
  <c r="R2164" i="16"/>
  <c r="T2164" i="16" s="1"/>
  <c r="J2163" i="16"/>
  <c r="H2162" i="16"/>
  <c r="J2162" i="16" s="1"/>
  <c r="R2160" i="16"/>
  <c r="T2160" i="16" s="1"/>
  <c r="R2159" i="16"/>
  <c r="T2159" i="16" s="1"/>
  <c r="U2159" i="16" s="1"/>
  <c r="R2158" i="16"/>
  <c r="R2157" i="16"/>
  <c r="T2157" i="16" s="1"/>
  <c r="R2156" i="16"/>
  <c r="T2156" i="16" s="1"/>
  <c r="R2155" i="16"/>
  <c r="T2155" i="16" s="1"/>
  <c r="U2155" i="16" s="1"/>
  <c r="R2154" i="16"/>
  <c r="T2154" i="16" s="1"/>
  <c r="R2153" i="16"/>
  <c r="T2153" i="16" s="1"/>
  <c r="H2152" i="16"/>
  <c r="J2152" i="16" s="1"/>
  <c r="J2151" i="16"/>
  <c r="V2151" i="16" s="1"/>
  <c r="W2151" i="16" s="1"/>
  <c r="Y2151" i="16" s="1"/>
  <c r="R2150" i="16"/>
  <c r="H2150" i="16"/>
  <c r="J2150" i="16" s="1"/>
  <c r="R2146" i="16"/>
  <c r="T2146" i="16" s="1"/>
  <c r="H2146" i="16"/>
  <c r="J2146" i="16" s="1"/>
  <c r="H2145" i="16"/>
  <c r="J2145" i="16" s="1"/>
  <c r="R2144" i="16"/>
  <c r="H2144" i="16"/>
  <c r="J2144" i="16" s="1"/>
  <c r="R2140" i="16"/>
  <c r="T2140" i="16" s="1"/>
  <c r="U2140" i="16" s="1"/>
  <c r="H2140" i="16"/>
  <c r="H2139" i="16"/>
  <c r="J2139" i="16" s="1"/>
  <c r="R2138" i="16"/>
  <c r="T2138" i="16" s="1"/>
  <c r="J2138" i="16"/>
  <c r="R2137" i="16"/>
  <c r="T2137" i="16" s="1"/>
  <c r="U2137" i="16" s="1"/>
  <c r="H2137" i="16"/>
  <c r="J2137" i="16" s="1"/>
  <c r="R2135" i="16"/>
  <c r="T2135" i="16" s="1"/>
  <c r="R2134" i="16"/>
  <c r="H2134" i="16"/>
  <c r="J2134" i="16" s="1"/>
  <c r="R2133" i="16"/>
  <c r="T2133" i="16" s="1"/>
  <c r="H2133" i="16"/>
  <c r="J2133" i="16" s="1"/>
  <c r="J2132" i="16"/>
  <c r="V2132" i="16" s="1"/>
  <c r="W2132" i="16" s="1"/>
  <c r="Y2132" i="16" s="1"/>
  <c r="H2131" i="16"/>
  <c r="J2131" i="16" s="1"/>
  <c r="R2129" i="16"/>
  <c r="R2128" i="16"/>
  <c r="T2128" i="16" s="1"/>
  <c r="R2127" i="16"/>
  <c r="T2127" i="16" s="1"/>
  <c r="R2126" i="16"/>
  <c r="R2125" i="16"/>
  <c r="T2125" i="16" s="1"/>
  <c r="U2125" i="16" s="1"/>
  <c r="H2124" i="16"/>
  <c r="J2124" i="16" s="1"/>
  <c r="R2123" i="16"/>
  <c r="T2123" i="16" s="1"/>
  <c r="U2123" i="16" s="1"/>
  <c r="H2123" i="16"/>
  <c r="J2123" i="16" s="1"/>
  <c r="R2122" i="16"/>
  <c r="T2122" i="16" s="1"/>
  <c r="H2122" i="16"/>
  <c r="J2122" i="16" s="1"/>
  <c r="R2121" i="16"/>
  <c r="T2121" i="16" s="1"/>
  <c r="U2121" i="16" s="1"/>
  <c r="J2121" i="16"/>
  <c r="H2120" i="16"/>
  <c r="J2120" i="16" s="1"/>
  <c r="R2119" i="16"/>
  <c r="J2119" i="16"/>
  <c r="R2118" i="16"/>
  <c r="T2118" i="16" s="1"/>
  <c r="J2118" i="16"/>
  <c r="R2116" i="16"/>
  <c r="T2116" i="16" s="1"/>
  <c r="R2115" i="16"/>
  <c r="T2115" i="16" s="1"/>
  <c r="R2114" i="16"/>
  <c r="T2114" i="16" s="1"/>
  <c r="U2114" i="16" s="1"/>
  <c r="J2114" i="16"/>
  <c r="H2113" i="16"/>
  <c r="J2113" i="16" s="1"/>
  <c r="R2112" i="16"/>
  <c r="T2112" i="16" s="1"/>
  <c r="J2112" i="16"/>
  <c r="R2111" i="16"/>
  <c r="J2111" i="16"/>
  <c r="R2108" i="16"/>
  <c r="J2108" i="16"/>
  <c r="H2107" i="16"/>
  <c r="J2107" i="16" s="1"/>
  <c r="R2106" i="16"/>
  <c r="J2106" i="16"/>
  <c r="R2105" i="16"/>
  <c r="T2105" i="16" s="1"/>
  <c r="J2105" i="16"/>
  <c r="R2104" i="16"/>
  <c r="T2104" i="16" s="1"/>
  <c r="J2104" i="16"/>
  <c r="H2103" i="16"/>
  <c r="J2103" i="16" s="1"/>
  <c r="R2102" i="16"/>
  <c r="T2102" i="16" s="1"/>
  <c r="U2102" i="16" s="1"/>
  <c r="J2102" i="16"/>
  <c r="R2099" i="16"/>
  <c r="T2099" i="16" s="1"/>
  <c r="J2099" i="16"/>
  <c r="H2098" i="16"/>
  <c r="J2098" i="16" s="1"/>
  <c r="R2097" i="16"/>
  <c r="T2097" i="16" s="1"/>
  <c r="H2097" i="16"/>
  <c r="J2097" i="16" s="1"/>
  <c r="R2094" i="16"/>
  <c r="J2094" i="16"/>
  <c r="H2093" i="16"/>
  <c r="J2093" i="16" s="1"/>
  <c r="R2092" i="16"/>
  <c r="T2092" i="16" s="1"/>
  <c r="H2092" i="16"/>
  <c r="J2092" i="16" s="1"/>
  <c r="R2091" i="16"/>
  <c r="T2091" i="16" s="1"/>
  <c r="J2091" i="16"/>
  <c r="R2090" i="16"/>
  <c r="J2090" i="16"/>
  <c r="H2089" i="16"/>
  <c r="J2089" i="16" s="1"/>
  <c r="R2087" i="16"/>
  <c r="T2087" i="16" s="1"/>
  <c r="R2086" i="16"/>
  <c r="T2086" i="16" s="1"/>
  <c r="H2085" i="16"/>
  <c r="J2085" i="16" s="1"/>
  <c r="R2084" i="16"/>
  <c r="T2084" i="16" s="1"/>
  <c r="U2084" i="16" s="1"/>
  <c r="V2084" i="16" s="1"/>
  <c r="W2084" i="16" s="1"/>
  <c r="Y2084" i="16" s="1"/>
  <c r="H2084" i="16"/>
  <c r="J2084" i="16" s="1"/>
  <c r="R2083" i="16"/>
  <c r="T2083" i="16" s="1"/>
  <c r="U2083" i="16" s="1"/>
  <c r="J2083" i="16"/>
  <c r="R2079" i="16"/>
  <c r="T2079" i="16" s="1"/>
  <c r="J2079" i="16"/>
  <c r="H2078" i="16"/>
  <c r="J2078" i="16" s="1"/>
  <c r="R2076" i="16"/>
  <c r="T2076" i="16" s="1"/>
  <c r="R2075" i="16"/>
  <c r="T2075" i="16" s="1"/>
  <c r="U2075" i="16" s="1"/>
  <c r="R2074" i="16"/>
  <c r="R2073" i="16"/>
  <c r="T2073" i="16" s="1"/>
  <c r="R2072" i="16"/>
  <c r="T2072" i="16" s="1"/>
  <c r="R2071" i="16"/>
  <c r="T2071" i="16" s="1"/>
  <c r="R2070" i="16"/>
  <c r="T2070" i="16" s="1"/>
  <c r="U2070" i="16" s="1"/>
  <c r="R2069" i="16"/>
  <c r="R2068" i="16"/>
  <c r="T2068" i="16" s="1"/>
  <c r="R2067" i="16"/>
  <c r="T2067" i="16" s="1"/>
  <c r="U2067" i="16" s="1"/>
  <c r="H2067" i="16"/>
  <c r="J2067" i="16" s="1"/>
  <c r="R2063" i="16"/>
  <c r="H2063" i="16"/>
  <c r="J2063" i="16" s="1"/>
  <c r="R2061" i="16"/>
  <c r="R2060" i="16"/>
  <c r="H2059" i="16"/>
  <c r="J2059" i="16" s="1"/>
  <c r="H2058" i="16"/>
  <c r="J2058" i="16" s="1"/>
  <c r="R2055" i="16"/>
  <c r="R2056" i="16" s="1"/>
  <c r="H2054" i="16"/>
  <c r="J2054" i="16" s="1"/>
  <c r="R2053" i="16"/>
  <c r="J2053" i="16"/>
  <c r="R2052" i="16"/>
  <c r="T2052" i="16" s="1"/>
  <c r="U2052" i="16" s="1"/>
  <c r="J2052" i="16"/>
  <c r="R2051" i="16"/>
  <c r="J2051" i="16"/>
  <c r="H2050" i="16"/>
  <c r="J2050" i="16" s="1"/>
  <c r="R2049" i="16"/>
  <c r="T2049" i="16" s="1"/>
  <c r="U2049" i="16" s="1"/>
  <c r="J2049" i="16"/>
  <c r="R2048" i="16"/>
  <c r="T2048" i="16" s="1"/>
  <c r="J2048" i="16"/>
  <c r="J2047" i="16"/>
  <c r="R2046" i="16"/>
  <c r="T2046" i="16" s="1"/>
  <c r="J2046" i="16"/>
  <c r="H2045" i="16"/>
  <c r="J2045" i="16" s="1"/>
  <c r="V2045" i="16" s="1"/>
  <c r="W2045" i="16" s="1"/>
  <c r="H2044" i="16"/>
  <c r="J2044" i="16" s="1"/>
  <c r="V2044" i="16" s="1"/>
  <c r="W2044" i="16" s="1"/>
  <c r="R2042" i="16"/>
  <c r="T2042" i="16" s="1"/>
  <c r="U2042" i="16" s="1"/>
  <c r="R2041" i="16"/>
  <c r="R2040" i="16"/>
  <c r="H2040" i="16"/>
  <c r="J2040" i="16" s="1"/>
  <c r="R2039" i="16"/>
  <c r="J2039" i="16"/>
  <c r="R2038" i="16"/>
  <c r="J2038" i="16"/>
  <c r="H2037" i="16"/>
  <c r="J2037" i="16" s="1"/>
  <c r="R2036" i="16"/>
  <c r="T2036" i="16" s="1"/>
  <c r="H2036" i="16"/>
  <c r="J2036" i="16" s="1"/>
  <c r="R2035" i="16"/>
  <c r="T2035" i="16" s="1"/>
  <c r="U2035" i="16" s="1"/>
  <c r="H2035" i="16"/>
  <c r="J2035" i="16" s="1"/>
  <c r="R2034" i="16"/>
  <c r="T2034" i="16" s="1"/>
  <c r="H2034" i="16"/>
  <c r="J2034" i="16" s="1"/>
  <c r="R2033" i="16"/>
  <c r="H2033" i="16"/>
  <c r="J2033" i="16" s="1"/>
  <c r="R2032" i="16"/>
  <c r="H2032" i="16"/>
  <c r="J2032" i="16" s="1"/>
  <c r="R2031" i="16"/>
  <c r="H2031" i="16"/>
  <c r="J2031" i="16" s="1"/>
  <c r="R2030" i="16"/>
  <c r="H2030" i="16"/>
  <c r="J2030" i="16" s="1"/>
  <c r="R2029" i="16"/>
  <c r="H2029" i="16"/>
  <c r="J2029" i="16" s="1"/>
  <c r="R2028" i="16"/>
  <c r="T2028" i="16" s="1"/>
  <c r="H2028" i="16"/>
  <c r="J2028" i="16" s="1"/>
  <c r="R2027" i="16"/>
  <c r="H2027" i="16"/>
  <c r="J2027" i="16" s="1"/>
  <c r="R2026" i="16"/>
  <c r="J2026" i="16"/>
  <c r="H2025" i="16"/>
  <c r="J2025" i="16" s="1"/>
  <c r="R2024" i="16"/>
  <c r="H2024" i="16"/>
  <c r="J2024" i="16" s="1"/>
  <c r="R2023" i="16"/>
  <c r="H2023" i="16"/>
  <c r="J2023" i="16" s="1"/>
  <c r="R2022" i="16"/>
  <c r="T2022" i="16" s="1"/>
  <c r="J2022" i="16"/>
  <c r="R2021" i="16"/>
  <c r="J2021" i="16"/>
  <c r="H2020" i="16"/>
  <c r="J2020" i="16" s="1"/>
  <c r="R2019" i="16"/>
  <c r="J2019" i="16"/>
  <c r="H2018" i="16"/>
  <c r="J2018" i="16" s="1"/>
  <c r="R2017" i="16"/>
  <c r="T2017" i="16" s="1"/>
  <c r="J2017" i="16"/>
  <c r="R2016" i="16"/>
  <c r="T2016" i="16" s="1"/>
  <c r="J2016" i="16"/>
  <c r="H2015" i="16"/>
  <c r="J2015" i="16" s="1"/>
  <c r="R2013" i="16"/>
  <c r="T2013" i="16" s="1"/>
  <c r="R2012" i="16"/>
  <c r="H2012" i="16"/>
  <c r="J2012" i="16" s="1"/>
  <c r="R2010" i="16"/>
  <c r="R2009" i="16"/>
  <c r="R2008" i="16"/>
  <c r="R2007" i="16"/>
  <c r="T2007" i="16" s="1"/>
  <c r="U2007" i="16" s="1"/>
  <c r="H2006" i="16"/>
  <c r="J2006" i="16" s="1"/>
  <c r="H2005" i="16"/>
  <c r="J2005" i="16" s="1"/>
  <c r="V2005" i="16" s="1"/>
  <c r="W2005" i="16" s="1"/>
  <c r="Y2005" i="16" s="1"/>
  <c r="R2004" i="16"/>
  <c r="J2004" i="16"/>
  <c r="H2003" i="16"/>
  <c r="J2003" i="16" s="1"/>
  <c r="J2002" i="16"/>
  <c r="V2002" i="16" s="1"/>
  <c r="W2002" i="16" s="1"/>
  <c r="Y2002" i="16" s="1"/>
  <c r="R2001" i="16"/>
  <c r="T2001" i="16" s="1"/>
  <c r="U2001" i="16" s="1"/>
  <c r="J2001" i="16"/>
  <c r="H2000" i="16"/>
  <c r="J2000" i="16" s="1"/>
  <c r="R1999" i="16"/>
  <c r="T1999" i="16" s="1"/>
  <c r="U1999" i="16" s="1"/>
  <c r="H1999" i="16"/>
  <c r="J1999" i="16" s="1"/>
  <c r="R1995" i="16"/>
  <c r="H1995" i="16"/>
  <c r="J1995" i="16" s="1"/>
  <c r="H1994" i="16"/>
  <c r="J1994" i="16" s="1"/>
  <c r="R1993" i="16"/>
  <c r="T1993" i="16" s="1"/>
  <c r="J1993" i="16"/>
  <c r="R1992" i="16"/>
  <c r="T1992" i="16" s="1"/>
  <c r="J1992" i="16"/>
  <c r="R1991" i="16"/>
  <c r="T1991" i="16" s="1"/>
  <c r="J1991" i="16"/>
  <c r="R1990" i="16"/>
  <c r="J1990" i="16"/>
  <c r="R1989" i="16"/>
  <c r="J1989" i="16"/>
  <c r="H1988" i="16"/>
  <c r="J1988" i="16" s="1"/>
  <c r="R1987" i="16"/>
  <c r="T1987" i="16" s="1"/>
  <c r="J1987" i="16"/>
  <c r="R1986" i="16"/>
  <c r="T1986" i="16" s="1"/>
  <c r="J1986" i="16"/>
  <c r="H1985" i="16"/>
  <c r="J1985" i="16" s="1"/>
  <c r="R1984" i="16"/>
  <c r="T1984" i="16" s="1"/>
  <c r="U1984" i="16" s="1"/>
  <c r="J1984" i="16"/>
  <c r="R1983" i="16"/>
  <c r="J1983" i="16"/>
  <c r="R1982" i="16"/>
  <c r="T1982" i="16" s="1"/>
  <c r="U1982" i="16" s="1"/>
  <c r="J1982" i="16"/>
  <c r="R1981" i="16"/>
  <c r="T1981" i="16" s="1"/>
  <c r="J1981" i="16"/>
  <c r="R1977" i="16"/>
  <c r="J1977" i="16"/>
  <c r="H1976" i="16"/>
  <c r="J1976" i="16" s="1"/>
  <c r="R1974" i="16"/>
  <c r="R1973" i="16"/>
  <c r="T1973" i="16" s="1"/>
  <c r="U1973" i="16" s="1"/>
  <c r="R1972" i="16"/>
  <c r="T1972" i="16" s="1"/>
  <c r="H1972" i="16"/>
  <c r="J1972" i="16" s="1"/>
  <c r="R1970" i="16"/>
  <c r="R1969" i="16"/>
  <c r="T1969" i="16" s="1"/>
  <c r="H1969" i="16"/>
  <c r="J1969" i="16" s="1"/>
  <c r="R1967" i="16"/>
  <c r="R1966" i="16"/>
  <c r="T1966" i="16" s="1"/>
  <c r="U1966" i="16" s="1"/>
  <c r="J1965" i="16"/>
  <c r="R1963" i="16"/>
  <c r="T1963" i="16" s="1"/>
  <c r="R1962" i="16"/>
  <c r="J1961" i="16"/>
  <c r="R1960" i="16"/>
  <c r="H1960" i="16"/>
  <c r="J1960" i="16" s="1"/>
  <c r="H1959" i="16"/>
  <c r="J1959" i="16" s="1"/>
  <c r="J1958" i="16"/>
  <c r="V1958" i="16" s="1"/>
  <c r="W1958" i="16" s="1"/>
  <c r="Y1958" i="16" s="1"/>
  <c r="T1956" i="16"/>
  <c r="U1956" i="16" s="1"/>
  <c r="T1955" i="16"/>
  <c r="U1955" i="16" s="1"/>
  <c r="T1954" i="16"/>
  <c r="U1954" i="16" s="1"/>
  <c r="T1953" i="16"/>
  <c r="U1953" i="16" s="1"/>
  <c r="T1952" i="16"/>
  <c r="U1952" i="16" s="1"/>
  <c r="T1951" i="16"/>
  <c r="U1951" i="16" s="1"/>
  <c r="H1949" i="16"/>
  <c r="J1949" i="16" s="1"/>
  <c r="R1947" i="16"/>
  <c r="R1946" i="16"/>
  <c r="R1945" i="16"/>
  <c r="H1944" i="16"/>
  <c r="J1944" i="16" s="1"/>
  <c r="H1943" i="16"/>
  <c r="J1943" i="16" s="1"/>
  <c r="V1943" i="16" s="1"/>
  <c r="W1943" i="16" s="1"/>
  <c r="Y1943" i="16" s="1"/>
  <c r="R1942" i="16"/>
  <c r="H1942" i="16"/>
  <c r="J1942" i="16" s="1"/>
  <c r="R1941" i="16"/>
  <c r="T1941" i="16" s="1"/>
  <c r="H1941" i="16"/>
  <c r="J1941" i="16" s="1"/>
  <c r="R1940" i="16"/>
  <c r="T1940" i="16" s="1"/>
  <c r="H1940" i="16"/>
  <c r="J1940" i="16" s="1"/>
  <c r="R1937" i="16"/>
  <c r="J1937" i="16"/>
  <c r="H1936" i="16"/>
  <c r="J1936" i="16" s="1"/>
  <c r="H1935" i="16"/>
  <c r="J1935" i="16" s="1"/>
  <c r="J1934" i="16"/>
  <c r="V1934" i="16" s="1"/>
  <c r="W1934" i="16" s="1"/>
  <c r="Y1934" i="16" s="1"/>
  <c r="R1933" i="16"/>
  <c r="J1933" i="16"/>
  <c r="R1932" i="16"/>
  <c r="J1932" i="16"/>
  <c r="R1931" i="16"/>
  <c r="H1931" i="16"/>
  <c r="J1931" i="16" s="1"/>
  <c r="R1930" i="16"/>
  <c r="H1930" i="16"/>
  <c r="J1930" i="16" s="1"/>
  <c r="R1929" i="16"/>
  <c r="T1929" i="16" s="1"/>
  <c r="U1929" i="16" s="1"/>
  <c r="H1929" i="16"/>
  <c r="J1929" i="16" s="1"/>
  <c r="R1928" i="16"/>
  <c r="T1928" i="16" s="1"/>
  <c r="U1928" i="16" s="1"/>
  <c r="H1928" i="16"/>
  <c r="J1928" i="16" s="1"/>
  <c r="R1927" i="16"/>
  <c r="H1927" i="16"/>
  <c r="J1927" i="16" s="1"/>
  <c r="R1926" i="16"/>
  <c r="H1926" i="16"/>
  <c r="J1926" i="16" s="1"/>
  <c r="R1925" i="16"/>
  <c r="T1925" i="16" s="1"/>
  <c r="H1925" i="16"/>
  <c r="J1925" i="16" s="1"/>
  <c r="R1924" i="16"/>
  <c r="T1924" i="16" s="1"/>
  <c r="U1924" i="16" s="1"/>
  <c r="H1924" i="16"/>
  <c r="J1924" i="16" s="1"/>
  <c r="R1923" i="16"/>
  <c r="H1923" i="16"/>
  <c r="J1923" i="16" s="1"/>
  <c r="R1922" i="16"/>
  <c r="T1922" i="16" s="1"/>
  <c r="H1922" i="16"/>
  <c r="J1922" i="16" s="1"/>
  <c r="R1921" i="16"/>
  <c r="H1921" i="16"/>
  <c r="J1921" i="16" s="1"/>
  <c r="R1920" i="16"/>
  <c r="T1920" i="16" s="1"/>
  <c r="H1920" i="16"/>
  <c r="J1920" i="16" s="1"/>
  <c r="R1919" i="16"/>
  <c r="H1919" i="16"/>
  <c r="J1919" i="16" s="1"/>
  <c r="R1918" i="16"/>
  <c r="T1918" i="16" s="1"/>
  <c r="H1918" i="16"/>
  <c r="J1918" i="16" s="1"/>
  <c r="R1917" i="16"/>
  <c r="T1917" i="16" s="1"/>
  <c r="U1917" i="16" s="1"/>
  <c r="H1917" i="16"/>
  <c r="J1917" i="16" s="1"/>
  <c r="R1916" i="16"/>
  <c r="T1916" i="16" s="1"/>
  <c r="U1916" i="16" s="1"/>
  <c r="H1916" i="16"/>
  <c r="J1916" i="16" s="1"/>
  <c r="R1915" i="16"/>
  <c r="T1915" i="16" s="1"/>
  <c r="H1915" i="16"/>
  <c r="J1915" i="16" s="1"/>
  <c r="H1914" i="16"/>
  <c r="J1914" i="16" s="1"/>
  <c r="H1913" i="16"/>
  <c r="J1913" i="16" s="1"/>
  <c r="V1913" i="16" s="1"/>
  <c r="W1913" i="16" s="1"/>
  <c r="Y1913" i="16" s="1"/>
  <c r="H1912" i="16"/>
  <c r="J1912" i="16" s="1"/>
  <c r="V1912" i="16" s="1"/>
  <c r="W1912" i="16" s="1"/>
  <c r="Y1912" i="16" s="1"/>
  <c r="H1911" i="16"/>
  <c r="J1911" i="16" s="1"/>
  <c r="V1911" i="16" s="1"/>
  <c r="W1911" i="16" s="1"/>
  <c r="Y1911" i="16" s="1"/>
  <c r="H1910" i="16"/>
  <c r="J1910" i="16" s="1"/>
  <c r="V1910" i="16" s="1"/>
  <c r="W1910" i="16" s="1"/>
  <c r="Y1910" i="16" s="1"/>
  <c r="R1907" i="16"/>
  <c r="J1907" i="16"/>
  <c r="H1906" i="16"/>
  <c r="J1906" i="16" s="1"/>
  <c r="V1906" i="16" s="1"/>
  <c r="W1906" i="16" s="1"/>
  <c r="Y1906" i="16" s="1"/>
  <c r="H1905" i="16"/>
  <c r="J1905" i="16" s="1"/>
  <c r="V1905" i="16" s="1"/>
  <c r="W1905" i="16" s="1"/>
  <c r="Y1905" i="16" s="1"/>
  <c r="H1904" i="16"/>
  <c r="J1904" i="16" s="1"/>
  <c r="V1904" i="16" s="1"/>
  <c r="W1904" i="16" s="1"/>
  <c r="R1903" i="16"/>
  <c r="T1903" i="16" s="1"/>
  <c r="H1903" i="16"/>
  <c r="J1903" i="16" s="1"/>
  <c r="R1902" i="16"/>
  <c r="H1902" i="16"/>
  <c r="J1902" i="16" s="1"/>
  <c r="R1901" i="16"/>
  <c r="T1901" i="16" s="1"/>
  <c r="U1901" i="16" s="1"/>
  <c r="H1901" i="16"/>
  <c r="J1901" i="16" s="1"/>
  <c r="R1900" i="16"/>
  <c r="T1900" i="16" s="1"/>
  <c r="U1900" i="16" s="1"/>
  <c r="H1900" i="16"/>
  <c r="J1900" i="16" s="1"/>
  <c r="R1899" i="16"/>
  <c r="H1899" i="16"/>
  <c r="J1899" i="16" s="1"/>
  <c r="R1898" i="16"/>
  <c r="T1898" i="16" s="1"/>
  <c r="H1898" i="16"/>
  <c r="J1898" i="16" s="1"/>
  <c r="R1897" i="16"/>
  <c r="T1897" i="16" s="1"/>
  <c r="U1897" i="16" s="1"/>
  <c r="H1897" i="16"/>
  <c r="J1897" i="16" s="1"/>
  <c r="H1896" i="16"/>
  <c r="J1896" i="16" s="1"/>
  <c r="H1895" i="16"/>
  <c r="J1895" i="16" s="1"/>
  <c r="V1895" i="16" s="1"/>
  <c r="W1895" i="16" s="1"/>
  <c r="Y1895" i="16" s="1"/>
  <c r="H1894" i="16"/>
  <c r="J1894" i="16" s="1"/>
  <c r="V1894" i="16" s="1"/>
  <c r="W1894" i="16" s="1"/>
  <c r="Y1894" i="16" s="1"/>
  <c r="H1893" i="16"/>
  <c r="J1893" i="16" s="1"/>
  <c r="V1893" i="16" s="1"/>
  <c r="W1893" i="16" s="1"/>
  <c r="Y1893" i="16" s="1"/>
  <c r="R1892" i="16"/>
  <c r="T1892" i="16" s="1"/>
  <c r="U1892" i="16" s="1"/>
  <c r="H1892" i="16"/>
  <c r="J1892" i="16" s="1"/>
  <c r="R1889" i="16"/>
  <c r="R1888" i="16"/>
  <c r="T1888" i="16" s="1"/>
  <c r="R1887" i="16"/>
  <c r="T1887" i="16" s="1"/>
  <c r="U1887" i="16" s="1"/>
  <c r="R1886" i="16"/>
  <c r="T1886" i="16" s="1"/>
  <c r="R1885" i="16"/>
  <c r="T1885" i="16" s="1"/>
  <c r="R1884" i="16"/>
  <c r="T1884" i="16" s="1"/>
  <c r="R1883" i="16"/>
  <c r="T1883" i="16" s="1"/>
  <c r="R1882" i="16"/>
  <c r="T1882" i="16" s="1"/>
  <c r="R1881" i="16"/>
  <c r="T1881" i="16" s="1"/>
  <c r="R1880" i="16"/>
  <c r="R1879" i="16"/>
  <c r="T1879" i="16" s="1"/>
  <c r="U1879" i="16" s="1"/>
  <c r="H1878" i="16"/>
  <c r="J1878" i="16" s="1"/>
  <c r="R1875" i="16"/>
  <c r="H1874" i="16"/>
  <c r="J1874" i="16" s="1"/>
  <c r="R1873" i="16"/>
  <c r="H1873" i="16"/>
  <c r="J1873" i="16" s="1"/>
  <c r="R1872" i="16"/>
  <c r="T1872" i="16" s="1"/>
  <c r="H1872" i="16"/>
  <c r="J1872" i="16" s="1"/>
  <c r="R1871" i="16"/>
  <c r="T1871" i="16" s="1"/>
  <c r="U1871" i="16" s="1"/>
  <c r="H1871" i="16"/>
  <c r="J1871" i="16" s="1"/>
  <c r="R1869" i="16"/>
  <c r="T1869" i="16" s="1"/>
  <c r="U1869" i="16" s="1"/>
  <c r="V1869" i="16" s="1"/>
  <c r="R1868" i="16"/>
  <c r="T1868" i="16" s="1"/>
  <c r="J1868" i="16"/>
  <c r="R1867" i="16"/>
  <c r="T1867" i="16" s="1"/>
  <c r="H1867" i="16"/>
  <c r="J1867" i="16" s="1"/>
  <c r="H1866" i="16"/>
  <c r="J1866" i="16" s="1"/>
  <c r="R1865" i="16"/>
  <c r="J1865" i="16"/>
  <c r="R1862" i="16"/>
  <c r="T1862" i="16" s="1"/>
  <c r="U1862" i="16" s="1"/>
  <c r="J1862" i="16"/>
  <c r="H1861" i="16"/>
  <c r="J1861" i="16" s="1"/>
  <c r="R1860" i="16"/>
  <c r="T1860" i="16" s="1"/>
  <c r="H1860" i="16"/>
  <c r="J1860" i="16" s="1"/>
  <c r="R1859" i="16"/>
  <c r="T1859" i="16" s="1"/>
  <c r="H1859" i="16"/>
  <c r="J1859" i="16" s="1"/>
  <c r="R1858" i="16"/>
  <c r="H1858" i="16"/>
  <c r="J1858" i="16" s="1"/>
  <c r="R1856" i="16"/>
  <c r="R1855" i="16"/>
  <c r="T1855" i="16" s="1"/>
  <c r="R1854" i="16"/>
  <c r="R1853" i="16"/>
  <c r="T1853" i="16" s="1"/>
  <c r="U1853" i="16" s="1"/>
  <c r="J1853" i="16"/>
  <c r="J1852" i="16"/>
  <c r="R1849" i="16"/>
  <c r="T1849" i="16" s="1"/>
  <c r="H1849" i="16"/>
  <c r="J1849" i="16" s="1"/>
  <c r="H1848" i="16"/>
  <c r="J1848" i="16" s="1"/>
  <c r="R1847" i="16"/>
  <c r="H1847" i="16"/>
  <c r="J1847" i="16" s="1"/>
  <c r="R1845" i="16"/>
  <c r="R1844" i="16"/>
  <c r="R1843" i="16"/>
  <c r="J1843" i="16"/>
  <c r="H1842" i="16"/>
  <c r="J1842" i="16" s="1"/>
  <c r="R1840" i="16"/>
  <c r="T1840" i="16" s="1"/>
  <c r="R1839" i="16"/>
  <c r="T1839" i="16" s="1"/>
  <c r="R1838" i="16"/>
  <c r="T1838" i="16" s="1"/>
  <c r="U1838" i="16" s="1"/>
  <c r="H1838" i="16"/>
  <c r="J1838" i="16" s="1"/>
  <c r="H1837" i="16"/>
  <c r="J1837" i="16" s="1"/>
  <c r="H1836" i="16"/>
  <c r="J1836" i="16" s="1"/>
  <c r="H1835" i="16"/>
  <c r="J1835" i="16" s="1"/>
  <c r="H1834" i="16"/>
  <c r="J1834" i="16" s="1"/>
  <c r="V1834" i="16" s="1"/>
  <c r="W1834" i="16" s="1"/>
  <c r="Y1834" i="16" s="1"/>
  <c r="H1833" i="16"/>
  <c r="J1833" i="16" s="1"/>
  <c r="V1833" i="16" s="1"/>
  <c r="W1833" i="16" s="1"/>
  <c r="Y1833" i="16" s="1"/>
  <c r="H1832" i="16"/>
  <c r="J1832" i="16" s="1"/>
  <c r="V1832" i="16" s="1"/>
  <c r="W1832" i="16" s="1"/>
  <c r="Y1832" i="16" s="1"/>
  <c r="H1831" i="16"/>
  <c r="J1831" i="16" s="1"/>
  <c r="V1831" i="16" s="1"/>
  <c r="W1831" i="16" s="1"/>
  <c r="Y1831" i="16" s="1"/>
  <c r="H1830" i="16"/>
  <c r="J1830" i="16" s="1"/>
  <c r="V1830" i="16" s="1"/>
  <c r="W1830" i="16" s="1"/>
  <c r="Y1830" i="16" s="1"/>
  <c r="H1829" i="16"/>
  <c r="J1829" i="16" s="1"/>
  <c r="V1829" i="16" s="1"/>
  <c r="W1829" i="16" s="1"/>
  <c r="Y1829" i="16" s="1"/>
  <c r="H1828" i="16"/>
  <c r="J1828" i="16" s="1"/>
  <c r="V1828" i="16" s="1"/>
  <c r="W1828" i="16" s="1"/>
  <c r="Y1828" i="16" s="1"/>
  <c r="H1827" i="16"/>
  <c r="J1827" i="16" s="1"/>
  <c r="V1827" i="16" s="1"/>
  <c r="W1827" i="16" s="1"/>
  <c r="Y1827" i="16" s="1"/>
  <c r="H1826" i="16"/>
  <c r="J1826" i="16" s="1"/>
  <c r="V1826" i="16" s="1"/>
  <c r="W1826" i="16" s="1"/>
  <c r="Y1826" i="16" s="1"/>
  <c r="H1825" i="16"/>
  <c r="J1825" i="16" s="1"/>
  <c r="V1825" i="16" s="1"/>
  <c r="W1825" i="16" s="1"/>
  <c r="Y1825" i="16" s="1"/>
  <c r="H1824" i="16"/>
  <c r="J1824" i="16" s="1"/>
  <c r="V1824" i="16" s="1"/>
  <c r="W1824" i="16" s="1"/>
  <c r="Y1824" i="16" s="1"/>
  <c r="H1823" i="16"/>
  <c r="J1823" i="16" s="1"/>
  <c r="V1823" i="16" s="1"/>
  <c r="W1823" i="16" s="1"/>
  <c r="Y1823" i="16" s="1"/>
  <c r="H1822" i="16"/>
  <c r="J1822" i="16" s="1"/>
  <c r="V1822" i="16" s="1"/>
  <c r="W1822" i="16" s="1"/>
  <c r="Y1822" i="16" s="1"/>
  <c r="H1821" i="16"/>
  <c r="J1821" i="16" s="1"/>
  <c r="V1821" i="16" s="1"/>
  <c r="W1821" i="16" s="1"/>
  <c r="Y1821" i="16" s="1"/>
  <c r="H1820" i="16"/>
  <c r="J1820" i="16" s="1"/>
  <c r="V1820" i="16" s="1"/>
  <c r="W1820" i="16" s="1"/>
  <c r="Y1820" i="16" s="1"/>
  <c r="H1819" i="16"/>
  <c r="J1819" i="16" s="1"/>
  <c r="V1819" i="16" s="1"/>
  <c r="W1819" i="16" s="1"/>
  <c r="Y1819" i="16" s="1"/>
  <c r="H1818" i="16"/>
  <c r="J1818" i="16" s="1"/>
  <c r="V1818" i="16" s="1"/>
  <c r="W1818" i="16" s="1"/>
  <c r="Y1818" i="16" s="1"/>
  <c r="H1817" i="16"/>
  <c r="J1817" i="16" s="1"/>
  <c r="V1817" i="16" s="1"/>
  <c r="W1817" i="16" s="1"/>
  <c r="Y1817" i="16" s="1"/>
  <c r="H1816" i="16"/>
  <c r="J1816" i="16" s="1"/>
  <c r="V1816" i="16" s="1"/>
  <c r="W1816" i="16" s="1"/>
  <c r="Y1816" i="16" s="1"/>
  <c r="H1815" i="16"/>
  <c r="J1815" i="16" s="1"/>
  <c r="V1815" i="16" s="1"/>
  <c r="W1815" i="16" s="1"/>
  <c r="Y1815" i="16" s="1"/>
  <c r="H1814" i="16"/>
  <c r="J1814" i="16" s="1"/>
  <c r="V1814" i="16" s="1"/>
  <c r="W1814" i="16" s="1"/>
  <c r="Y1814" i="16" s="1"/>
  <c r="H1813" i="16"/>
  <c r="J1813" i="16" s="1"/>
  <c r="V1813" i="16" s="1"/>
  <c r="W1813" i="16" s="1"/>
  <c r="Y1813" i="16" s="1"/>
  <c r="H1812" i="16"/>
  <c r="J1812" i="16" s="1"/>
  <c r="V1812" i="16" s="1"/>
  <c r="W1812" i="16" s="1"/>
  <c r="Y1812" i="16" s="1"/>
  <c r="H1811" i="16"/>
  <c r="J1811" i="16" s="1"/>
  <c r="V1811" i="16" s="1"/>
  <c r="W1811" i="16" s="1"/>
  <c r="Y1811" i="16" s="1"/>
  <c r="H1810" i="16"/>
  <c r="J1810" i="16" s="1"/>
  <c r="V1810" i="16" s="1"/>
  <c r="W1810" i="16" s="1"/>
  <c r="Y1810" i="16" s="1"/>
  <c r="H1809" i="16"/>
  <c r="J1809" i="16" s="1"/>
  <c r="V1809" i="16" s="1"/>
  <c r="W1809" i="16" s="1"/>
  <c r="Y1809" i="16" s="1"/>
  <c r="J1808" i="16"/>
  <c r="V1808" i="16" s="1"/>
  <c r="W1808" i="16" s="1"/>
  <c r="Y1808" i="16" s="1"/>
  <c r="H1807" i="16"/>
  <c r="J1807" i="16" s="1"/>
  <c r="V1807" i="16" s="1"/>
  <c r="W1807" i="16" s="1"/>
  <c r="Y1807" i="16" s="1"/>
  <c r="R1805" i="16"/>
  <c r="T1805" i="16" s="1"/>
  <c r="U1805" i="16" s="1"/>
  <c r="R1804" i="16"/>
  <c r="R1803" i="16"/>
  <c r="T1803" i="16" s="1"/>
  <c r="R1802" i="16"/>
  <c r="T1802" i="16" s="1"/>
  <c r="U1802" i="16" s="1"/>
  <c r="H1801" i="16"/>
  <c r="J1801" i="16" s="1"/>
  <c r="H1800" i="16"/>
  <c r="J1800" i="16" s="1"/>
  <c r="V1800" i="16" s="1"/>
  <c r="W1800" i="16" s="1"/>
  <c r="Y1800" i="16" s="1"/>
  <c r="H1799" i="16"/>
  <c r="J1799" i="16" s="1"/>
  <c r="V1799" i="16" s="1"/>
  <c r="W1799" i="16" s="1"/>
  <c r="Y1799" i="16" s="1"/>
  <c r="H1798" i="16"/>
  <c r="J1798" i="16" s="1"/>
  <c r="V1798" i="16" s="1"/>
  <c r="W1798" i="16" s="1"/>
  <c r="Y1798" i="16" s="1"/>
  <c r="H1797" i="16"/>
  <c r="J1797" i="16" s="1"/>
  <c r="V1797" i="16" s="1"/>
  <c r="W1797" i="16" s="1"/>
  <c r="Y1797" i="16" s="1"/>
  <c r="H1796" i="16"/>
  <c r="J1796" i="16" s="1"/>
  <c r="V1796" i="16" s="1"/>
  <c r="W1796" i="16" s="1"/>
  <c r="Y1796" i="16" s="1"/>
  <c r="R1795" i="16"/>
  <c r="T1795" i="16" s="1"/>
  <c r="J1795" i="16"/>
  <c r="H1794" i="16"/>
  <c r="J1794" i="16" s="1"/>
  <c r="V1794" i="16" s="1"/>
  <c r="W1794" i="16" s="1"/>
  <c r="Y1794" i="16" s="1"/>
  <c r="H1793" i="16"/>
  <c r="J1793" i="16" s="1"/>
  <c r="V1793" i="16" s="1"/>
  <c r="W1793" i="16" s="1"/>
  <c r="Y1793" i="16" s="1"/>
  <c r="H1792" i="16"/>
  <c r="J1792" i="16" s="1"/>
  <c r="V1792" i="16" s="1"/>
  <c r="W1792" i="16" s="1"/>
  <c r="Y1792" i="16" s="1"/>
  <c r="H1791" i="16"/>
  <c r="J1791" i="16" s="1"/>
  <c r="V1791" i="16" s="1"/>
  <c r="W1791" i="16" s="1"/>
  <c r="Y1791" i="16" s="1"/>
  <c r="H1790" i="16"/>
  <c r="J1790" i="16" s="1"/>
  <c r="V1790" i="16" s="1"/>
  <c r="W1790" i="16" s="1"/>
  <c r="Y1790" i="16" s="1"/>
  <c r="H1789" i="16"/>
  <c r="J1789" i="16" s="1"/>
  <c r="V1789" i="16" s="1"/>
  <c r="W1789" i="16" s="1"/>
  <c r="Y1789" i="16" s="1"/>
  <c r="H1788" i="16"/>
  <c r="J1788" i="16" s="1"/>
  <c r="V1788" i="16" s="1"/>
  <c r="W1788" i="16" s="1"/>
  <c r="Y1788" i="16" s="1"/>
  <c r="H1787" i="16"/>
  <c r="J1787" i="16" s="1"/>
  <c r="V1787" i="16" s="1"/>
  <c r="W1787" i="16" s="1"/>
  <c r="Y1787" i="16" s="1"/>
  <c r="H1786" i="16"/>
  <c r="J1786" i="16" s="1"/>
  <c r="V1786" i="16" s="1"/>
  <c r="W1786" i="16" s="1"/>
  <c r="Y1786" i="16" s="1"/>
  <c r="H1785" i="16"/>
  <c r="J1785" i="16" s="1"/>
  <c r="V1785" i="16" s="1"/>
  <c r="W1785" i="16" s="1"/>
  <c r="Y1785" i="16" s="1"/>
  <c r="H1784" i="16"/>
  <c r="J1784" i="16" s="1"/>
  <c r="V1784" i="16" s="1"/>
  <c r="W1784" i="16" s="1"/>
  <c r="Y1784" i="16" s="1"/>
  <c r="H1783" i="16"/>
  <c r="J1783" i="16" s="1"/>
  <c r="V1783" i="16" s="1"/>
  <c r="W1783" i="16" s="1"/>
  <c r="Y1783" i="16" s="1"/>
  <c r="H1782" i="16"/>
  <c r="J1782" i="16" s="1"/>
  <c r="V1782" i="16" s="1"/>
  <c r="W1782" i="16" s="1"/>
  <c r="Y1782" i="16" s="1"/>
  <c r="H1781" i="16"/>
  <c r="J1781" i="16" s="1"/>
  <c r="V1781" i="16" s="1"/>
  <c r="W1781" i="16" s="1"/>
  <c r="Y1781" i="16" s="1"/>
  <c r="H1780" i="16"/>
  <c r="J1780" i="16" s="1"/>
  <c r="V1780" i="16" s="1"/>
  <c r="W1780" i="16" s="1"/>
  <c r="Y1780" i="16" s="1"/>
  <c r="H1779" i="16"/>
  <c r="J1779" i="16" s="1"/>
  <c r="V1779" i="16" s="1"/>
  <c r="W1779" i="16" s="1"/>
  <c r="Y1779" i="16" s="1"/>
  <c r="H1778" i="16"/>
  <c r="J1778" i="16" s="1"/>
  <c r="V1778" i="16" s="1"/>
  <c r="W1778" i="16" s="1"/>
  <c r="Y1778" i="16" s="1"/>
  <c r="H1777" i="16"/>
  <c r="J1777" i="16" s="1"/>
  <c r="V1777" i="16" s="1"/>
  <c r="W1777" i="16" s="1"/>
  <c r="Y1777" i="16" s="1"/>
  <c r="H1776" i="16"/>
  <c r="J1776" i="16" s="1"/>
  <c r="V1776" i="16" s="1"/>
  <c r="W1776" i="16" s="1"/>
  <c r="Y1776" i="16" s="1"/>
  <c r="H1775" i="16"/>
  <c r="J1775" i="16" s="1"/>
  <c r="V1775" i="16" s="1"/>
  <c r="W1775" i="16" s="1"/>
  <c r="Y1775" i="16" s="1"/>
  <c r="H1774" i="16"/>
  <c r="J1774" i="16" s="1"/>
  <c r="V1774" i="16" s="1"/>
  <c r="W1774" i="16" s="1"/>
  <c r="Y1774" i="16" s="1"/>
  <c r="R1773" i="16"/>
  <c r="T1773" i="16" s="1"/>
  <c r="J1773" i="16"/>
  <c r="H1772" i="16"/>
  <c r="J1772" i="16" s="1"/>
  <c r="V1772" i="16" s="1"/>
  <c r="W1772" i="16" s="1"/>
  <c r="Y1772" i="16" s="1"/>
  <c r="H1771" i="16"/>
  <c r="J1771" i="16" s="1"/>
  <c r="V1771" i="16" s="1"/>
  <c r="W1771" i="16" s="1"/>
  <c r="Y1771" i="16" s="1"/>
  <c r="H1770" i="16"/>
  <c r="J1770" i="16" s="1"/>
  <c r="V1770" i="16" s="1"/>
  <c r="W1770" i="16" s="1"/>
  <c r="Y1770" i="16" s="1"/>
  <c r="H1769" i="16"/>
  <c r="J1769" i="16" s="1"/>
  <c r="V1769" i="16" s="1"/>
  <c r="W1769" i="16" s="1"/>
  <c r="Y1769" i="16" s="1"/>
  <c r="H1768" i="16"/>
  <c r="J1768" i="16" s="1"/>
  <c r="V1768" i="16" s="1"/>
  <c r="W1768" i="16" s="1"/>
  <c r="Y1768" i="16" s="1"/>
  <c r="H1767" i="16"/>
  <c r="J1767" i="16" s="1"/>
  <c r="V1767" i="16" s="1"/>
  <c r="W1767" i="16" s="1"/>
  <c r="Y1767" i="16" s="1"/>
  <c r="H1766" i="16"/>
  <c r="J1766" i="16" s="1"/>
  <c r="V1766" i="16" s="1"/>
  <c r="W1766" i="16" s="1"/>
  <c r="Y1766" i="16" s="1"/>
  <c r="H1765" i="16"/>
  <c r="J1765" i="16" s="1"/>
  <c r="V1765" i="16" s="1"/>
  <c r="W1765" i="16" s="1"/>
  <c r="Y1765" i="16" s="1"/>
  <c r="H1764" i="16"/>
  <c r="J1764" i="16" s="1"/>
  <c r="V1764" i="16" s="1"/>
  <c r="W1764" i="16" s="1"/>
  <c r="Y1764" i="16" s="1"/>
  <c r="H1763" i="16"/>
  <c r="J1763" i="16" s="1"/>
  <c r="V1763" i="16" s="1"/>
  <c r="W1763" i="16" s="1"/>
  <c r="Y1763" i="16" s="1"/>
  <c r="H1762" i="16"/>
  <c r="J1762" i="16" s="1"/>
  <c r="V1762" i="16" s="1"/>
  <c r="W1762" i="16" s="1"/>
  <c r="Y1762" i="16" s="1"/>
  <c r="H1761" i="16"/>
  <c r="J1761" i="16" s="1"/>
  <c r="V1761" i="16" s="1"/>
  <c r="W1761" i="16" s="1"/>
  <c r="Y1761" i="16" s="1"/>
  <c r="R1759" i="16"/>
  <c r="T1759" i="16" s="1"/>
  <c r="U1759" i="16" s="1"/>
  <c r="H1759" i="16"/>
  <c r="J1759" i="16" s="1"/>
  <c r="R1758" i="16"/>
  <c r="T1758" i="16" s="1"/>
  <c r="H1758" i="16"/>
  <c r="J1758" i="16" s="1"/>
  <c r="R1757" i="16"/>
  <c r="H1757" i="16"/>
  <c r="J1757" i="16" s="1"/>
  <c r="R1756" i="16"/>
  <c r="H1756" i="16"/>
  <c r="J1756" i="16" s="1"/>
  <c r="R1755" i="16"/>
  <c r="T1755" i="16" s="1"/>
  <c r="U1755" i="16" s="1"/>
  <c r="H1755" i="16"/>
  <c r="J1755" i="16" s="1"/>
  <c r="R1754" i="16"/>
  <c r="T1754" i="16" s="1"/>
  <c r="U1754" i="16" s="1"/>
  <c r="H1754" i="16"/>
  <c r="J1754" i="16" s="1"/>
  <c r="R1753" i="16"/>
  <c r="T1753" i="16" s="1"/>
  <c r="U1753" i="16" s="1"/>
  <c r="H1753" i="16"/>
  <c r="J1753" i="16" s="1"/>
  <c r="R1752" i="16"/>
  <c r="H1752" i="16"/>
  <c r="J1752" i="16" s="1"/>
  <c r="R1751" i="16"/>
  <c r="T1751" i="16" s="1"/>
  <c r="U1751" i="16" s="1"/>
  <c r="H1751" i="16"/>
  <c r="J1751" i="16" s="1"/>
  <c r="H1750" i="16"/>
  <c r="R1749" i="16"/>
  <c r="J1749" i="16"/>
  <c r="H1748" i="16"/>
  <c r="J1748" i="16" s="1"/>
  <c r="V1748" i="16" s="1"/>
  <c r="W1748" i="16" s="1"/>
  <c r="Y1748" i="16" s="1"/>
  <c r="R1747" i="16"/>
  <c r="T1747" i="16" s="1"/>
  <c r="U1747" i="16" s="1"/>
  <c r="J1747" i="16"/>
  <c r="R1746" i="16"/>
  <c r="J1746" i="16"/>
  <c r="R1745" i="16"/>
  <c r="T1745" i="16" s="1"/>
  <c r="U1745" i="16" s="1"/>
  <c r="J1745" i="16"/>
  <c r="R1744" i="16"/>
  <c r="T1744" i="16" s="1"/>
  <c r="U1744" i="16" s="1"/>
  <c r="J1744" i="16"/>
  <c r="R1743" i="16"/>
  <c r="J1743" i="16"/>
  <c r="R1742" i="16"/>
  <c r="T1742" i="16" s="1"/>
  <c r="U1742" i="16" s="1"/>
  <c r="J1742" i="16"/>
  <c r="R1741" i="16"/>
  <c r="T1741" i="16" s="1"/>
  <c r="J1741" i="16"/>
  <c r="R1740" i="16"/>
  <c r="T1740" i="16" s="1"/>
  <c r="J1740" i="16"/>
  <c r="R1739" i="16"/>
  <c r="T1739" i="16" s="1"/>
  <c r="U1739" i="16" s="1"/>
  <c r="J1739" i="16"/>
  <c r="R1738" i="16"/>
  <c r="J1738" i="16"/>
  <c r="R1737" i="16"/>
  <c r="T1737" i="16" s="1"/>
  <c r="U1737" i="16" s="1"/>
  <c r="J1737" i="16"/>
  <c r="R1736" i="16"/>
  <c r="J1736" i="16"/>
  <c r="R1735" i="16"/>
  <c r="T1735" i="16" s="1"/>
  <c r="U1735" i="16" s="1"/>
  <c r="J1735" i="16"/>
  <c r="H1734" i="16"/>
  <c r="J1734" i="16" s="1"/>
  <c r="V1734" i="16" s="1"/>
  <c r="W1734" i="16" s="1"/>
  <c r="Y1734" i="16" s="1"/>
  <c r="H1733" i="16"/>
  <c r="J1733" i="16" s="1"/>
  <c r="V1733" i="16" s="1"/>
  <c r="W1733" i="16" s="1"/>
  <c r="Y1733" i="16" s="1"/>
  <c r="H1732" i="16"/>
  <c r="J1732" i="16" s="1"/>
  <c r="V1732" i="16" s="1"/>
  <c r="W1732" i="16" s="1"/>
  <c r="Y1732" i="16" s="1"/>
  <c r="H1731" i="16"/>
  <c r="J1731" i="16" s="1"/>
  <c r="V1731" i="16" s="1"/>
  <c r="W1731" i="16" s="1"/>
  <c r="Y1731" i="16" s="1"/>
  <c r="H1730" i="16"/>
  <c r="J1730" i="16" s="1"/>
  <c r="H1729" i="16"/>
  <c r="J1729" i="16" s="1"/>
  <c r="V1729" i="16" s="1"/>
  <c r="W1729" i="16" s="1"/>
  <c r="Y1729" i="16" s="1"/>
  <c r="H1728" i="16"/>
  <c r="J1728" i="16" s="1"/>
  <c r="V1728" i="16" s="1"/>
  <c r="W1728" i="16" s="1"/>
  <c r="Y1728" i="16" s="1"/>
  <c r="H1727" i="16"/>
  <c r="J1727" i="16" s="1"/>
  <c r="V1727" i="16" s="1"/>
  <c r="W1727" i="16" s="1"/>
  <c r="Y1727" i="16" s="1"/>
  <c r="H1726" i="16"/>
  <c r="J1726" i="16" s="1"/>
  <c r="V1726" i="16" s="1"/>
  <c r="W1726" i="16" s="1"/>
  <c r="Y1726" i="16" s="1"/>
  <c r="J1725" i="16"/>
  <c r="V1725" i="16" s="1"/>
  <c r="W1725" i="16" s="1"/>
  <c r="Y1725" i="16" s="1"/>
  <c r="H1724" i="16"/>
  <c r="J1724" i="16" s="1"/>
  <c r="V1724" i="16" s="1"/>
  <c r="W1724" i="16" s="1"/>
  <c r="Y1724" i="16" s="1"/>
  <c r="H1723" i="16"/>
  <c r="J1723" i="16" s="1"/>
  <c r="V1723" i="16" s="1"/>
  <c r="W1723" i="16" s="1"/>
  <c r="Y1723" i="16" s="1"/>
  <c r="H1722" i="16"/>
  <c r="J1722" i="16" s="1"/>
  <c r="V1722" i="16" s="1"/>
  <c r="W1722" i="16" s="1"/>
  <c r="Y1722" i="16" s="1"/>
  <c r="H1721" i="16"/>
  <c r="J1721" i="16" s="1"/>
  <c r="V1721" i="16" s="1"/>
  <c r="W1721" i="16" s="1"/>
  <c r="Y1721" i="16" s="1"/>
  <c r="H1720" i="16"/>
  <c r="J1720" i="16" s="1"/>
  <c r="V1720" i="16" s="1"/>
  <c r="W1720" i="16" s="1"/>
  <c r="Y1720" i="16" s="1"/>
  <c r="H1719" i="16"/>
  <c r="J1719" i="16" s="1"/>
  <c r="V1719" i="16" s="1"/>
  <c r="W1719" i="16" s="1"/>
  <c r="Y1719" i="16" s="1"/>
  <c r="H1718" i="16"/>
  <c r="J1718" i="16" s="1"/>
  <c r="V1718" i="16" s="1"/>
  <c r="W1718" i="16" s="1"/>
  <c r="Y1718" i="16" s="1"/>
  <c r="H1717" i="16"/>
  <c r="J1717" i="16" s="1"/>
  <c r="V1717" i="16" s="1"/>
  <c r="W1717" i="16" s="1"/>
  <c r="Y1717" i="16" s="1"/>
  <c r="H1716" i="16"/>
  <c r="J1716" i="16" s="1"/>
  <c r="V1716" i="16" s="1"/>
  <c r="W1716" i="16" s="1"/>
  <c r="Y1716" i="16" s="1"/>
  <c r="J1715" i="16"/>
  <c r="V1715" i="16" s="1"/>
  <c r="W1715" i="16" s="1"/>
  <c r="Y1715" i="16" s="1"/>
  <c r="R1714" i="16"/>
  <c r="R1713" i="16"/>
  <c r="T1713" i="16" s="1"/>
  <c r="R1712" i="16"/>
  <c r="T1712" i="16" s="1"/>
  <c r="R1711" i="16"/>
  <c r="T1711" i="16" s="1"/>
  <c r="U1711" i="16" s="1"/>
  <c r="V1711" i="16" s="1"/>
  <c r="W1711" i="16" s="1"/>
  <c r="Y1711" i="16" s="1"/>
  <c r="R1710" i="16"/>
  <c r="T1710" i="16" s="1"/>
  <c r="U1710" i="16" s="1"/>
  <c r="V1710" i="16" s="1"/>
  <c r="W1710" i="16" s="1"/>
  <c r="Y1710" i="16" s="1"/>
  <c r="R1709" i="16"/>
  <c r="T1709" i="16" s="1"/>
  <c r="R1708" i="16"/>
  <c r="R1707" i="16"/>
  <c r="T1707" i="16" s="1"/>
  <c r="U1707" i="16" s="1"/>
  <c r="V1707" i="16" s="1"/>
  <c r="W1707" i="16" s="1"/>
  <c r="Y1707" i="16" s="1"/>
  <c r="R1706" i="16"/>
  <c r="T1706" i="16" s="1"/>
  <c r="R1705" i="16"/>
  <c r="R1704" i="16"/>
  <c r="T1704" i="16" s="1"/>
  <c r="R1703" i="16"/>
  <c r="T1703" i="16" s="1"/>
  <c r="R1702" i="16"/>
  <c r="T1702" i="16" s="1"/>
  <c r="R1701" i="16"/>
  <c r="R1700" i="16"/>
  <c r="T1700" i="16" s="1"/>
  <c r="R1699" i="16"/>
  <c r="T1699" i="16" s="1"/>
  <c r="U1699" i="16" s="1"/>
  <c r="V1699" i="16" s="1"/>
  <c r="W1699" i="16" s="1"/>
  <c r="Y1699" i="16" s="1"/>
  <c r="R1698" i="16"/>
  <c r="T1698" i="16" s="1"/>
  <c r="H1697" i="16"/>
  <c r="J1697" i="16" s="1"/>
  <c r="V1697" i="16" s="1"/>
  <c r="W1697" i="16" s="1"/>
  <c r="Y1697" i="16" s="1"/>
  <c r="H1696" i="16"/>
  <c r="J1696" i="16" s="1"/>
  <c r="V1696" i="16" s="1"/>
  <c r="W1696" i="16" s="1"/>
  <c r="Y1696" i="16" s="1"/>
  <c r="H1695" i="16"/>
  <c r="J1695" i="16" s="1"/>
  <c r="V1695" i="16" s="1"/>
  <c r="W1695" i="16" s="1"/>
  <c r="Y1695" i="16" s="1"/>
  <c r="H1694" i="16"/>
  <c r="J1694" i="16" s="1"/>
  <c r="V1694" i="16" s="1"/>
  <c r="W1694" i="16" s="1"/>
  <c r="Y1694" i="16" s="1"/>
  <c r="H1693" i="16"/>
  <c r="J1693" i="16" s="1"/>
  <c r="V1693" i="16" s="1"/>
  <c r="W1693" i="16" s="1"/>
  <c r="Y1693" i="16" s="1"/>
  <c r="H1692" i="16"/>
  <c r="J1692" i="16" s="1"/>
  <c r="V1692" i="16" s="1"/>
  <c r="W1692" i="16" s="1"/>
  <c r="Y1692" i="16" s="1"/>
  <c r="H1691" i="16"/>
  <c r="J1691" i="16" s="1"/>
  <c r="V1691" i="16" s="1"/>
  <c r="W1691" i="16" s="1"/>
  <c r="Y1691" i="16" s="1"/>
  <c r="R1690" i="16"/>
  <c r="T1690" i="16" s="1"/>
  <c r="H1690" i="16"/>
  <c r="J1690" i="16" s="1"/>
  <c r="H1689" i="16"/>
  <c r="J1689" i="16" s="1"/>
  <c r="V1689" i="16" s="1"/>
  <c r="W1689" i="16" s="1"/>
  <c r="Y1689" i="16" s="1"/>
  <c r="J1688" i="16"/>
  <c r="V1688" i="16" s="1"/>
  <c r="W1688" i="16" s="1"/>
  <c r="Y1688" i="16" s="1"/>
  <c r="R1687" i="16"/>
  <c r="T1687" i="16" s="1"/>
  <c r="H1687" i="16"/>
  <c r="J1687" i="16" s="1"/>
  <c r="R1686" i="16"/>
  <c r="T1686" i="16" s="1"/>
  <c r="U1686" i="16" s="1"/>
  <c r="H1686" i="16"/>
  <c r="J1686" i="16" s="1"/>
  <c r="R1685" i="16"/>
  <c r="T1685" i="16" s="1"/>
  <c r="H1685" i="16"/>
  <c r="J1685" i="16" s="1"/>
  <c r="R1684" i="16"/>
  <c r="H1684" i="16"/>
  <c r="J1684" i="16" s="1"/>
  <c r="R1681" i="16"/>
  <c r="T1681" i="16" s="1"/>
  <c r="J1681" i="16"/>
  <c r="H1680" i="16"/>
  <c r="J1680" i="16" s="1"/>
  <c r="H1679" i="16"/>
  <c r="J1679" i="16" s="1"/>
  <c r="V1679" i="16" s="1"/>
  <c r="W1679" i="16" s="1"/>
  <c r="Y1679" i="16" s="1"/>
  <c r="R1677" i="16"/>
  <c r="T1677" i="16" s="1"/>
  <c r="U1677" i="16" s="1"/>
  <c r="R1676" i="16"/>
  <c r="T1676" i="16" s="1"/>
  <c r="U1676" i="16" s="1"/>
  <c r="R1675" i="16"/>
  <c r="R1674" i="16"/>
  <c r="T1674" i="16" s="1"/>
  <c r="R1673" i="16"/>
  <c r="T1673" i="16" s="1"/>
  <c r="R1672" i="16"/>
  <c r="R1671" i="16"/>
  <c r="T1671" i="16" s="1"/>
  <c r="R1670" i="16"/>
  <c r="T1670" i="16" s="1"/>
  <c r="R1669" i="16"/>
  <c r="T1669" i="16" s="1"/>
  <c r="H1669" i="16"/>
  <c r="J1669" i="16" s="1"/>
  <c r="H1668" i="16"/>
  <c r="J1668" i="16" s="1"/>
  <c r="V1668" i="16" s="1"/>
  <c r="W1668" i="16" s="1"/>
  <c r="Y1668" i="16" s="1"/>
  <c r="H1667" i="16"/>
  <c r="J1667" i="16" s="1"/>
  <c r="V1667" i="16" s="1"/>
  <c r="W1667" i="16" s="1"/>
  <c r="Y1667" i="16" s="1"/>
  <c r="H1666" i="16"/>
  <c r="J1666" i="16" s="1"/>
  <c r="V1666" i="16" s="1"/>
  <c r="W1666" i="16" s="1"/>
  <c r="Y1666" i="16" s="1"/>
  <c r="H1665" i="16"/>
  <c r="J1665" i="16" s="1"/>
  <c r="V1665" i="16" s="1"/>
  <c r="W1665" i="16" s="1"/>
  <c r="Y1665" i="16" s="1"/>
  <c r="H1664" i="16"/>
  <c r="J1664" i="16" s="1"/>
  <c r="V1664" i="16" s="1"/>
  <c r="W1664" i="16" s="1"/>
  <c r="Y1664" i="16" s="1"/>
  <c r="H1663" i="16"/>
  <c r="J1663" i="16" s="1"/>
  <c r="V1663" i="16" s="1"/>
  <c r="W1663" i="16" s="1"/>
  <c r="Y1663" i="16" s="1"/>
  <c r="H1662" i="16"/>
  <c r="J1662" i="16" s="1"/>
  <c r="V1662" i="16" s="1"/>
  <c r="W1662" i="16" s="1"/>
  <c r="Y1662" i="16" s="1"/>
  <c r="R1661" i="16"/>
  <c r="T1661" i="16" s="1"/>
  <c r="H1661" i="16"/>
  <c r="J1661" i="16" s="1"/>
  <c r="R1660" i="16"/>
  <c r="T1660" i="16" s="1"/>
  <c r="U1660" i="16" s="1"/>
  <c r="H1660" i="16"/>
  <c r="J1660" i="16" s="1"/>
  <c r="R1659" i="16"/>
  <c r="T1659" i="16" s="1"/>
  <c r="U1659" i="16" s="1"/>
  <c r="J1659" i="16"/>
  <c r="H1658" i="16"/>
  <c r="J1658" i="16" s="1"/>
  <c r="H1657" i="16"/>
  <c r="J1657" i="16" s="1"/>
  <c r="V1657" i="16" s="1"/>
  <c r="W1657" i="16" s="1"/>
  <c r="Y1657" i="16" s="1"/>
  <c r="H1656" i="16"/>
  <c r="J1656" i="16" s="1"/>
  <c r="V1656" i="16" s="1"/>
  <c r="W1656" i="16" s="1"/>
  <c r="Y1656" i="16" s="1"/>
  <c r="R1654" i="16"/>
  <c r="T1654" i="16" s="1"/>
  <c r="R1653" i="16"/>
  <c r="T1653" i="16" s="1"/>
  <c r="U1653" i="16" s="1"/>
  <c r="R1652" i="16"/>
  <c r="T1652" i="16" s="1"/>
  <c r="U1652" i="16" s="1"/>
  <c r="R1651" i="16"/>
  <c r="T1651" i="16" s="1"/>
  <c r="R1650" i="16"/>
  <c r="R1649" i="16"/>
  <c r="T1649" i="16" s="1"/>
  <c r="U1649" i="16" s="1"/>
  <c r="R1648" i="16"/>
  <c r="R1647" i="16"/>
  <c r="R1646" i="16"/>
  <c r="T1646" i="16" s="1"/>
  <c r="R1645" i="16"/>
  <c r="T1645" i="16" s="1"/>
  <c r="U1645" i="16" s="1"/>
  <c r="R1644" i="16"/>
  <c r="H1644" i="16"/>
  <c r="J1644" i="16" s="1"/>
  <c r="H1643" i="16"/>
  <c r="J1643" i="16" s="1"/>
  <c r="V1643" i="16" s="1"/>
  <c r="W1643" i="16" s="1"/>
  <c r="Y1643" i="16" s="1"/>
  <c r="H1642" i="16"/>
  <c r="J1642" i="16" s="1"/>
  <c r="V1642" i="16" s="1"/>
  <c r="W1642" i="16" s="1"/>
  <c r="Y1642" i="16" s="1"/>
  <c r="H1641" i="16"/>
  <c r="J1641" i="16" s="1"/>
  <c r="V1641" i="16" s="1"/>
  <c r="W1641" i="16" s="1"/>
  <c r="Y1641" i="16" s="1"/>
  <c r="H1640" i="16"/>
  <c r="J1640" i="16" s="1"/>
  <c r="V1640" i="16" s="1"/>
  <c r="W1640" i="16" s="1"/>
  <c r="Y1640" i="16" s="1"/>
  <c r="H1639" i="16"/>
  <c r="J1639" i="16" s="1"/>
  <c r="V1639" i="16" s="1"/>
  <c r="W1639" i="16" s="1"/>
  <c r="Y1639" i="16" s="1"/>
  <c r="H1638" i="16"/>
  <c r="J1638" i="16" s="1"/>
  <c r="V1638" i="16" s="1"/>
  <c r="W1638" i="16" s="1"/>
  <c r="Y1638" i="16" s="1"/>
  <c r="H1637" i="16"/>
  <c r="J1637" i="16" s="1"/>
  <c r="V1637" i="16" s="1"/>
  <c r="W1637" i="16" s="1"/>
  <c r="Y1637" i="16" s="1"/>
  <c r="H1636" i="16"/>
  <c r="J1636" i="16" s="1"/>
  <c r="V1636" i="16" s="1"/>
  <c r="W1636" i="16" s="1"/>
  <c r="Y1636" i="16" s="1"/>
  <c r="H1635" i="16"/>
  <c r="J1635" i="16" s="1"/>
  <c r="V1635" i="16" s="1"/>
  <c r="W1635" i="16" s="1"/>
  <c r="Y1635" i="16" s="1"/>
  <c r="H1634" i="16"/>
  <c r="J1634" i="16" s="1"/>
  <c r="V1634" i="16" s="1"/>
  <c r="W1634" i="16" s="1"/>
  <c r="Y1634" i="16" s="1"/>
  <c r="H1633" i="16"/>
  <c r="J1633" i="16" s="1"/>
  <c r="V1633" i="16" s="1"/>
  <c r="W1633" i="16" s="1"/>
  <c r="Y1633" i="16" s="1"/>
  <c r="H1632" i="16"/>
  <c r="J1632" i="16" s="1"/>
  <c r="V1632" i="16" s="1"/>
  <c r="W1632" i="16" s="1"/>
  <c r="Y1632" i="16" s="1"/>
  <c r="H1631" i="16"/>
  <c r="J1631" i="16" s="1"/>
  <c r="V1631" i="16" s="1"/>
  <c r="W1631" i="16" s="1"/>
  <c r="Y1631" i="16" s="1"/>
  <c r="H1630" i="16"/>
  <c r="J1630" i="16" s="1"/>
  <c r="V1630" i="16" s="1"/>
  <c r="W1630" i="16" s="1"/>
  <c r="Y1630" i="16" s="1"/>
  <c r="H1629" i="16"/>
  <c r="J1629" i="16" s="1"/>
  <c r="V1629" i="16" s="1"/>
  <c r="W1629" i="16" s="1"/>
  <c r="Y1629" i="16" s="1"/>
  <c r="H1628" i="16"/>
  <c r="J1628" i="16" s="1"/>
  <c r="V1628" i="16" s="1"/>
  <c r="W1628" i="16" s="1"/>
  <c r="Y1628" i="16" s="1"/>
  <c r="H1627" i="16"/>
  <c r="J1627" i="16" s="1"/>
  <c r="V1627" i="16" s="1"/>
  <c r="W1627" i="16" s="1"/>
  <c r="Y1627" i="16" s="1"/>
  <c r="H1626" i="16"/>
  <c r="J1626" i="16" s="1"/>
  <c r="V1626" i="16" s="1"/>
  <c r="W1626" i="16" s="1"/>
  <c r="Y1626" i="16" s="1"/>
  <c r="H1625" i="16"/>
  <c r="J1625" i="16" s="1"/>
  <c r="V1625" i="16" s="1"/>
  <c r="W1625" i="16" s="1"/>
  <c r="Y1625" i="16" s="1"/>
  <c r="H1624" i="16"/>
  <c r="J1624" i="16" s="1"/>
  <c r="V1624" i="16" s="1"/>
  <c r="W1624" i="16" s="1"/>
  <c r="Y1624" i="16" s="1"/>
  <c r="H1623" i="16"/>
  <c r="J1623" i="16" s="1"/>
  <c r="V1623" i="16" s="1"/>
  <c r="W1623" i="16" s="1"/>
  <c r="Y1623" i="16" s="1"/>
  <c r="H1622" i="16"/>
  <c r="J1622" i="16" s="1"/>
  <c r="V1622" i="16" s="1"/>
  <c r="W1622" i="16" s="1"/>
  <c r="Y1622" i="16" s="1"/>
  <c r="H1621" i="16"/>
  <c r="J1621" i="16" s="1"/>
  <c r="V1621" i="16" s="1"/>
  <c r="W1621" i="16" s="1"/>
  <c r="Y1621" i="16" s="1"/>
  <c r="H1620" i="16"/>
  <c r="J1620" i="16" s="1"/>
  <c r="V1620" i="16" s="1"/>
  <c r="W1620" i="16" s="1"/>
  <c r="Y1620" i="16" s="1"/>
  <c r="H1619" i="16"/>
  <c r="J1619" i="16" s="1"/>
  <c r="V1619" i="16" s="1"/>
  <c r="W1619" i="16" s="1"/>
  <c r="Y1619" i="16" s="1"/>
  <c r="H1618" i="16"/>
  <c r="J1618" i="16" s="1"/>
  <c r="V1618" i="16" s="1"/>
  <c r="W1618" i="16" s="1"/>
  <c r="Y1618" i="16" s="1"/>
  <c r="H1617" i="16"/>
  <c r="J1617" i="16" s="1"/>
  <c r="V1617" i="16" s="1"/>
  <c r="W1617" i="16" s="1"/>
  <c r="Y1617" i="16" s="1"/>
  <c r="H1616" i="16"/>
  <c r="J1616" i="16" s="1"/>
  <c r="V1616" i="16" s="1"/>
  <c r="W1616" i="16" s="1"/>
  <c r="Y1616" i="16" s="1"/>
  <c r="H1615" i="16"/>
  <c r="J1615" i="16" s="1"/>
  <c r="V1615" i="16" s="1"/>
  <c r="W1615" i="16" s="1"/>
  <c r="Y1615" i="16" s="1"/>
  <c r="H1614" i="16"/>
  <c r="J1614" i="16" s="1"/>
  <c r="V1614" i="16" s="1"/>
  <c r="W1614" i="16" s="1"/>
  <c r="Y1614" i="16" s="1"/>
  <c r="H1613" i="16"/>
  <c r="J1613" i="16" s="1"/>
  <c r="V1613" i="16" s="1"/>
  <c r="W1613" i="16" s="1"/>
  <c r="Y1613" i="16" s="1"/>
  <c r="H1612" i="16"/>
  <c r="J1612" i="16" s="1"/>
  <c r="V1612" i="16" s="1"/>
  <c r="W1612" i="16" s="1"/>
  <c r="Y1612" i="16" s="1"/>
  <c r="H1611" i="16"/>
  <c r="J1611" i="16" s="1"/>
  <c r="V1611" i="16" s="1"/>
  <c r="W1611" i="16" s="1"/>
  <c r="Y1611" i="16" s="1"/>
  <c r="H1610" i="16"/>
  <c r="J1610" i="16" s="1"/>
  <c r="V1610" i="16" s="1"/>
  <c r="W1610" i="16" s="1"/>
  <c r="Y1610" i="16" s="1"/>
  <c r="H1609" i="16"/>
  <c r="J1609" i="16" s="1"/>
  <c r="V1609" i="16" s="1"/>
  <c r="W1609" i="16" s="1"/>
  <c r="Y1609" i="16" s="1"/>
  <c r="H1608" i="16"/>
  <c r="J1608" i="16" s="1"/>
  <c r="V1608" i="16" s="1"/>
  <c r="W1608" i="16" s="1"/>
  <c r="Y1608" i="16" s="1"/>
  <c r="H1607" i="16"/>
  <c r="J1607" i="16" s="1"/>
  <c r="V1607" i="16" s="1"/>
  <c r="W1607" i="16" s="1"/>
  <c r="Y1607" i="16" s="1"/>
  <c r="H1606" i="16"/>
  <c r="J1606" i="16" s="1"/>
  <c r="V1606" i="16" s="1"/>
  <c r="W1606" i="16" s="1"/>
  <c r="Y1606" i="16" s="1"/>
  <c r="H1605" i="16"/>
  <c r="J1605" i="16" s="1"/>
  <c r="V1605" i="16" s="1"/>
  <c r="W1605" i="16" s="1"/>
  <c r="Y1605" i="16" s="1"/>
  <c r="H1604" i="16"/>
  <c r="J1604" i="16" s="1"/>
  <c r="V1604" i="16" s="1"/>
  <c r="W1604" i="16" s="1"/>
  <c r="Y1604" i="16" s="1"/>
  <c r="H1603" i="16"/>
  <c r="J1603" i="16" s="1"/>
  <c r="V1603" i="16" s="1"/>
  <c r="W1603" i="16" s="1"/>
  <c r="Y1603" i="16" s="1"/>
  <c r="H1602" i="16"/>
  <c r="J1602" i="16" s="1"/>
  <c r="V1602" i="16" s="1"/>
  <c r="W1602" i="16" s="1"/>
  <c r="Y1602" i="16" s="1"/>
  <c r="H1601" i="16"/>
  <c r="J1601" i="16" s="1"/>
  <c r="V1601" i="16" s="1"/>
  <c r="W1601" i="16" s="1"/>
  <c r="Y1601" i="16" s="1"/>
  <c r="H1600" i="16"/>
  <c r="J1600" i="16" s="1"/>
  <c r="V1600" i="16" s="1"/>
  <c r="W1600" i="16" s="1"/>
  <c r="Y1600" i="16" s="1"/>
  <c r="H1599" i="16"/>
  <c r="J1599" i="16" s="1"/>
  <c r="V1599" i="16" s="1"/>
  <c r="W1599" i="16" s="1"/>
  <c r="Y1599" i="16" s="1"/>
  <c r="H1598" i="16"/>
  <c r="J1598" i="16" s="1"/>
  <c r="V1598" i="16" s="1"/>
  <c r="W1598" i="16" s="1"/>
  <c r="Y1598" i="16" s="1"/>
  <c r="H1597" i="16"/>
  <c r="J1597" i="16" s="1"/>
  <c r="V1597" i="16" s="1"/>
  <c r="W1597" i="16" s="1"/>
  <c r="Y1597" i="16" s="1"/>
  <c r="H1596" i="16"/>
  <c r="J1596" i="16" s="1"/>
  <c r="V1596" i="16" s="1"/>
  <c r="W1596" i="16" s="1"/>
  <c r="Y1596" i="16" s="1"/>
  <c r="H1595" i="16"/>
  <c r="J1595" i="16" s="1"/>
  <c r="V1595" i="16" s="1"/>
  <c r="W1595" i="16" s="1"/>
  <c r="Y1595" i="16" s="1"/>
  <c r="H1594" i="16"/>
  <c r="J1594" i="16" s="1"/>
  <c r="V1594" i="16" s="1"/>
  <c r="W1594" i="16" s="1"/>
  <c r="Y1594" i="16" s="1"/>
  <c r="H1593" i="16"/>
  <c r="J1593" i="16" s="1"/>
  <c r="V1593" i="16" s="1"/>
  <c r="W1593" i="16" s="1"/>
  <c r="Y1593" i="16" s="1"/>
  <c r="H1592" i="16"/>
  <c r="J1592" i="16" s="1"/>
  <c r="V1592" i="16" s="1"/>
  <c r="W1592" i="16" s="1"/>
  <c r="Y1592" i="16" s="1"/>
  <c r="H1591" i="16"/>
  <c r="J1591" i="16" s="1"/>
  <c r="V1591" i="16" s="1"/>
  <c r="W1591" i="16" s="1"/>
  <c r="Y1591" i="16" s="1"/>
  <c r="H1590" i="16"/>
  <c r="J1590" i="16" s="1"/>
  <c r="V1590" i="16" s="1"/>
  <c r="W1590" i="16" s="1"/>
  <c r="Y1590" i="16" s="1"/>
  <c r="H1589" i="16"/>
  <c r="J1589" i="16" s="1"/>
  <c r="V1589" i="16" s="1"/>
  <c r="W1589" i="16" s="1"/>
  <c r="Y1589" i="16" s="1"/>
  <c r="H1588" i="16"/>
  <c r="J1588" i="16" s="1"/>
  <c r="V1588" i="16" s="1"/>
  <c r="W1588" i="16" s="1"/>
  <c r="Y1588" i="16" s="1"/>
  <c r="H1587" i="16"/>
  <c r="J1587" i="16" s="1"/>
  <c r="V1587" i="16" s="1"/>
  <c r="W1587" i="16" s="1"/>
  <c r="Y1587" i="16" s="1"/>
  <c r="H1586" i="16"/>
  <c r="J1586" i="16" s="1"/>
  <c r="V1586" i="16" s="1"/>
  <c r="W1586" i="16" s="1"/>
  <c r="Y1586" i="16" s="1"/>
  <c r="H1585" i="16"/>
  <c r="J1585" i="16" s="1"/>
  <c r="V1585" i="16" s="1"/>
  <c r="W1585" i="16" s="1"/>
  <c r="Y1585" i="16" s="1"/>
  <c r="H1584" i="16"/>
  <c r="J1584" i="16" s="1"/>
  <c r="V1584" i="16" s="1"/>
  <c r="W1584" i="16" s="1"/>
  <c r="Y1584" i="16" s="1"/>
  <c r="H1583" i="16"/>
  <c r="J1583" i="16" s="1"/>
  <c r="V1583" i="16" s="1"/>
  <c r="W1583" i="16" s="1"/>
  <c r="Y1583" i="16" s="1"/>
  <c r="H1582" i="16"/>
  <c r="J1582" i="16" s="1"/>
  <c r="V1582" i="16" s="1"/>
  <c r="W1582" i="16" s="1"/>
  <c r="Y1582" i="16" s="1"/>
  <c r="H1581" i="16"/>
  <c r="J1581" i="16" s="1"/>
  <c r="V1581" i="16" s="1"/>
  <c r="W1581" i="16" s="1"/>
  <c r="Y1581" i="16" s="1"/>
  <c r="H1580" i="16"/>
  <c r="J1580" i="16" s="1"/>
  <c r="V1580" i="16" s="1"/>
  <c r="W1580" i="16" s="1"/>
  <c r="Y1580" i="16" s="1"/>
  <c r="H1579" i="16"/>
  <c r="J1579" i="16" s="1"/>
  <c r="V1579" i="16" s="1"/>
  <c r="W1579" i="16" s="1"/>
  <c r="Y1579" i="16" s="1"/>
  <c r="H1578" i="16"/>
  <c r="J1578" i="16" s="1"/>
  <c r="V1578" i="16" s="1"/>
  <c r="W1578" i="16" s="1"/>
  <c r="Y1578" i="16" s="1"/>
  <c r="H1577" i="16"/>
  <c r="J1577" i="16" s="1"/>
  <c r="V1577" i="16" s="1"/>
  <c r="W1577" i="16" s="1"/>
  <c r="Y1577" i="16" s="1"/>
  <c r="H1576" i="16"/>
  <c r="J1576" i="16" s="1"/>
  <c r="V1576" i="16" s="1"/>
  <c r="W1576" i="16" s="1"/>
  <c r="Y1576" i="16" s="1"/>
  <c r="H1575" i="16"/>
  <c r="J1575" i="16" s="1"/>
  <c r="V1575" i="16" s="1"/>
  <c r="W1575" i="16" s="1"/>
  <c r="Y1575" i="16" s="1"/>
  <c r="H1574" i="16"/>
  <c r="J1574" i="16" s="1"/>
  <c r="V1574" i="16" s="1"/>
  <c r="W1574" i="16" s="1"/>
  <c r="Y1574" i="16" s="1"/>
  <c r="H1573" i="16"/>
  <c r="J1573" i="16" s="1"/>
  <c r="V1573" i="16" s="1"/>
  <c r="W1573" i="16" s="1"/>
  <c r="Y1573" i="16" s="1"/>
  <c r="J1572" i="16"/>
  <c r="V1572" i="16" s="1"/>
  <c r="W1572" i="16" s="1"/>
  <c r="Y1572" i="16" s="1"/>
  <c r="J1571" i="16"/>
  <c r="V1571" i="16" s="1"/>
  <c r="W1571" i="16" s="1"/>
  <c r="Y1571" i="16" s="1"/>
  <c r="H1569" i="16"/>
  <c r="J1569" i="16" s="1"/>
  <c r="V1569" i="16" s="1"/>
  <c r="W1569" i="16" s="1"/>
  <c r="Y1569" i="16" s="1"/>
  <c r="J1568" i="16"/>
  <c r="V1568" i="16" s="1"/>
  <c r="W1568" i="16" s="1"/>
  <c r="Y1568" i="16" s="1"/>
  <c r="H1566" i="16"/>
  <c r="J1566" i="16" s="1"/>
  <c r="V1566" i="16" s="1"/>
  <c r="W1566" i="16" s="1"/>
  <c r="J1565" i="16"/>
  <c r="V1565" i="16" s="1"/>
  <c r="W1565" i="16" s="1"/>
  <c r="Y1565" i="16" s="1"/>
  <c r="R1564" i="16"/>
  <c r="T1564" i="16" s="1"/>
  <c r="H1564" i="16"/>
  <c r="J1564" i="16" s="1"/>
  <c r="R1563" i="16"/>
  <c r="T1563" i="16" s="1"/>
  <c r="U1563" i="16" s="1"/>
  <c r="H1563" i="16"/>
  <c r="J1563" i="16" s="1"/>
  <c r="R1562" i="16"/>
  <c r="T1562" i="16" s="1"/>
  <c r="H1562" i="16"/>
  <c r="J1562" i="16" s="1"/>
  <c r="R1561" i="16"/>
  <c r="H1561" i="16"/>
  <c r="J1561" i="16" s="1"/>
  <c r="R1560" i="16"/>
  <c r="T1560" i="16" s="1"/>
  <c r="U1560" i="16" s="1"/>
  <c r="H1560" i="16"/>
  <c r="J1560" i="16" s="1"/>
  <c r="R1559" i="16"/>
  <c r="T1559" i="16" s="1"/>
  <c r="U1559" i="16" s="1"/>
  <c r="H1559" i="16"/>
  <c r="J1559" i="16" s="1"/>
  <c r="R1558" i="16"/>
  <c r="T1558" i="16" s="1"/>
  <c r="H1558" i="16"/>
  <c r="J1558" i="16" s="1"/>
  <c r="R1557" i="16"/>
  <c r="H1557" i="16"/>
  <c r="J1557" i="16" s="1"/>
  <c r="R1556" i="16"/>
  <c r="T1556" i="16" s="1"/>
  <c r="H1556" i="16"/>
  <c r="J1556" i="16" s="1"/>
  <c r="R1555" i="16"/>
  <c r="T1555" i="16" s="1"/>
  <c r="U1555" i="16" s="1"/>
  <c r="H1555" i="16"/>
  <c r="J1555" i="16" s="1"/>
  <c r="R1554" i="16"/>
  <c r="T1554" i="16" s="1"/>
  <c r="U1554" i="16" s="1"/>
  <c r="H1554" i="16"/>
  <c r="J1554" i="16" s="1"/>
  <c r="R1553" i="16"/>
  <c r="T1553" i="16" s="1"/>
  <c r="H1553" i="16"/>
  <c r="J1553" i="16" s="1"/>
  <c r="R1552" i="16"/>
  <c r="T1552" i="16" s="1"/>
  <c r="H1552" i="16"/>
  <c r="J1552" i="16" s="1"/>
  <c r="R1551" i="16"/>
  <c r="H1551" i="16"/>
  <c r="J1551" i="16" s="1"/>
  <c r="R1550" i="16"/>
  <c r="T1550" i="16" s="1"/>
  <c r="U1550" i="16" s="1"/>
  <c r="H1550" i="16"/>
  <c r="J1550" i="16" s="1"/>
  <c r="R1549" i="16"/>
  <c r="T1549" i="16" s="1"/>
  <c r="U1549" i="16" s="1"/>
  <c r="H1549" i="16"/>
  <c r="J1549" i="16" s="1"/>
  <c r="R1548" i="16"/>
  <c r="H1548" i="16"/>
  <c r="J1548" i="16" s="1"/>
  <c r="R1547" i="16"/>
  <c r="T1547" i="16" s="1"/>
  <c r="H1547" i="16"/>
  <c r="J1547" i="16" s="1"/>
  <c r="R1546" i="16"/>
  <c r="T1546" i="16" s="1"/>
  <c r="H1546" i="16"/>
  <c r="J1546" i="16" s="1"/>
  <c r="J1544" i="16"/>
  <c r="V1544" i="16" s="1"/>
  <c r="W1544" i="16" s="1"/>
  <c r="Y1544" i="16" s="1"/>
  <c r="R1543" i="16"/>
  <c r="T1543" i="16" s="1"/>
  <c r="U1543" i="16" s="1"/>
  <c r="H1543" i="16"/>
  <c r="J1543" i="16" s="1"/>
  <c r="R1542" i="16"/>
  <c r="T1542" i="16" s="1"/>
  <c r="U1542" i="16" s="1"/>
  <c r="H1542" i="16"/>
  <c r="J1542" i="16" s="1"/>
  <c r="R1541" i="16"/>
  <c r="H1541" i="16"/>
  <c r="J1541" i="16" s="1"/>
  <c r="R1540" i="16"/>
  <c r="T1540" i="16" s="1"/>
  <c r="H1540" i="16"/>
  <c r="J1540" i="16" s="1"/>
  <c r="H1538" i="16"/>
  <c r="J1538" i="16" s="1"/>
  <c r="V1538" i="16" s="1"/>
  <c r="W1538" i="16" s="1"/>
  <c r="Y1538" i="16" s="1"/>
  <c r="J1537" i="16"/>
  <c r="V1537" i="16" s="1"/>
  <c r="W1537" i="16" s="1"/>
  <c r="Y1537" i="16" s="1"/>
  <c r="H1535" i="16"/>
  <c r="J1535" i="16" s="1"/>
  <c r="V1535" i="16" s="1"/>
  <c r="W1535" i="16" s="1"/>
  <c r="Y1535" i="16" s="1"/>
  <c r="J1534" i="16"/>
  <c r="V1534" i="16" s="1"/>
  <c r="W1534" i="16" s="1"/>
  <c r="Y1534" i="16" s="1"/>
  <c r="V1532" i="16"/>
  <c r="W1532" i="16" s="1"/>
  <c r="V1531" i="16"/>
  <c r="W1531" i="16" s="1"/>
  <c r="T1530" i="16"/>
  <c r="U1530" i="16" s="1"/>
  <c r="V1530" i="16" s="1"/>
  <c r="W1530" i="16" s="1"/>
  <c r="Y1530" i="16" s="1"/>
  <c r="T1529" i="16"/>
  <c r="U1529" i="16" s="1"/>
  <c r="V1529" i="16" s="1"/>
  <c r="W1529" i="16" s="1"/>
  <c r="Y1529" i="16" s="1"/>
  <c r="T1528" i="16"/>
  <c r="U1528" i="16" s="1"/>
  <c r="V1528" i="16" s="1"/>
  <c r="W1528" i="16" s="1"/>
  <c r="Y1528" i="16" s="1"/>
  <c r="T1527" i="16"/>
  <c r="U1527" i="16" s="1"/>
  <c r="V1527" i="16" s="1"/>
  <c r="W1527" i="16" s="1"/>
  <c r="Y1527" i="16" s="1"/>
  <c r="T1526" i="16"/>
  <c r="U1526" i="16" s="1"/>
  <c r="V1526" i="16" s="1"/>
  <c r="W1526" i="16" s="1"/>
  <c r="Y1526" i="16" s="1"/>
  <c r="T1525" i="16"/>
  <c r="U1525" i="16" s="1"/>
  <c r="V1525" i="16" s="1"/>
  <c r="W1525" i="16" s="1"/>
  <c r="Y1525" i="16" s="1"/>
  <c r="T1524" i="16"/>
  <c r="U1524" i="16" s="1"/>
  <c r="V1524" i="16" s="1"/>
  <c r="W1524" i="16" s="1"/>
  <c r="Y1524" i="16" s="1"/>
  <c r="T1523" i="16"/>
  <c r="U1523" i="16" s="1"/>
  <c r="V1523" i="16" s="1"/>
  <c r="W1523" i="16" s="1"/>
  <c r="Y1523" i="16" s="1"/>
  <c r="T1522" i="16"/>
  <c r="U1522" i="16" s="1"/>
  <c r="V1522" i="16" s="1"/>
  <c r="W1522" i="16" s="1"/>
  <c r="Y1522" i="16" s="1"/>
  <c r="T1521" i="16"/>
  <c r="U1521" i="16" s="1"/>
  <c r="V1521" i="16" s="1"/>
  <c r="W1521" i="16" s="1"/>
  <c r="Y1521" i="16" s="1"/>
  <c r="T1520" i="16"/>
  <c r="U1520" i="16" s="1"/>
  <c r="V1520" i="16" s="1"/>
  <c r="W1520" i="16" s="1"/>
  <c r="Y1520" i="16" s="1"/>
  <c r="T1519" i="16"/>
  <c r="U1519" i="16" s="1"/>
  <c r="V1519" i="16" s="1"/>
  <c r="W1519" i="16" s="1"/>
  <c r="Y1519" i="16" s="1"/>
  <c r="T1518" i="16"/>
  <c r="U1518" i="16" s="1"/>
  <c r="V1518" i="16" s="1"/>
  <c r="W1518" i="16" s="1"/>
  <c r="Y1518" i="16" s="1"/>
  <c r="T1517" i="16"/>
  <c r="U1517" i="16" s="1"/>
  <c r="V1517" i="16" s="1"/>
  <c r="W1517" i="16" s="1"/>
  <c r="Y1517" i="16" s="1"/>
  <c r="T1516" i="16"/>
  <c r="U1516" i="16" s="1"/>
  <c r="V1516" i="16" s="1"/>
  <c r="W1516" i="16" s="1"/>
  <c r="Y1516" i="16" s="1"/>
  <c r="T1515" i="16"/>
  <c r="U1515" i="16" s="1"/>
  <c r="V1515" i="16" s="1"/>
  <c r="W1515" i="16" s="1"/>
  <c r="Y1515" i="16" s="1"/>
  <c r="T1514" i="16"/>
  <c r="U1514" i="16" s="1"/>
  <c r="V1514" i="16" s="1"/>
  <c r="W1514" i="16" s="1"/>
  <c r="Y1514" i="16" s="1"/>
  <c r="H1512" i="16"/>
  <c r="J1512" i="16" s="1"/>
  <c r="V1512" i="16" s="1"/>
  <c r="W1512" i="16" s="1"/>
  <c r="Y1512" i="16" s="1"/>
  <c r="J1511" i="16"/>
  <c r="V1511" i="16" s="1"/>
  <c r="W1511" i="16" s="1"/>
  <c r="Y1511" i="16" s="1"/>
  <c r="R1510" i="16"/>
  <c r="T1510" i="16" s="1"/>
  <c r="H1510" i="16"/>
  <c r="J1510" i="16" s="1"/>
  <c r="R1509" i="16"/>
  <c r="H1509" i="16"/>
  <c r="J1509" i="16" s="1"/>
  <c r="R1508" i="16"/>
  <c r="T1508" i="16" s="1"/>
  <c r="U1508" i="16" s="1"/>
  <c r="H1508" i="16"/>
  <c r="J1508" i="16" s="1"/>
  <c r="R1507" i="16"/>
  <c r="T1507" i="16" s="1"/>
  <c r="U1507" i="16" s="1"/>
  <c r="H1507" i="16"/>
  <c r="J1507" i="16" s="1"/>
  <c r="R1506" i="16"/>
  <c r="T1506" i="16" s="1"/>
  <c r="H1506" i="16"/>
  <c r="J1506" i="16" s="1"/>
  <c r="R1505" i="16"/>
  <c r="T1505" i="16" s="1"/>
  <c r="H1505" i="16"/>
  <c r="J1505" i="16" s="1"/>
  <c r="R1504" i="16"/>
  <c r="T1504" i="16" s="1"/>
  <c r="H1504" i="16"/>
  <c r="J1504" i="16" s="1"/>
  <c r="H1502" i="16"/>
  <c r="J1502" i="16" s="1"/>
  <c r="V1502" i="16" s="1"/>
  <c r="W1502" i="16" s="1"/>
  <c r="Y1502" i="16" s="1"/>
  <c r="H1501" i="16"/>
  <c r="J1501" i="16" s="1"/>
  <c r="V1501" i="16" s="1"/>
  <c r="W1501" i="16" s="1"/>
  <c r="Y1501" i="16" s="1"/>
  <c r="H1500" i="16"/>
  <c r="J1500" i="16" s="1"/>
  <c r="V1500" i="16" s="1"/>
  <c r="W1500" i="16" s="1"/>
  <c r="Y1500" i="16" s="1"/>
  <c r="H1499" i="16"/>
  <c r="J1499" i="16" s="1"/>
  <c r="V1499" i="16" s="1"/>
  <c r="W1499" i="16" s="1"/>
  <c r="Y1499" i="16" s="1"/>
  <c r="H1498" i="16"/>
  <c r="J1498" i="16" s="1"/>
  <c r="V1498" i="16" s="1"/>
  <c r="W1498" i="16" s="1"/>
  <c r="Y1498" i="16" s="1"/>
  <c r="H1497" i="16"/>
  <c r="J1497" i="16" s="1"/>
  <c r="V1497" i="16" s="1"/>
  <c r="W1497" i="16" s="1"/>
  <c r="Y1497" i="16" s="1"/>
  <c r="H1496" i="16"/>
  <c r="J1496" i="16" s="1"/>
  <c r="V1496" i="16" s="1"/>
  <c r="W1496" i="16" s="1"/>
  <c r="Y1496" i="16" s="1"/>
  <c r="H1495" i="16"/>
  <c r="J1495" i="16" s="1"/>
  <c r="V1495" i="16" s="1"/>
  <c r="W1495" i="16" s="1"/>
  <c r="Y1495" i="16" s="1"/>
  <c r="H1494" i="16"/>
  <c r="J1494" i="16" s="1"/>
  <c r="V1494" i="16" s="1"/>
  <c r="W1494" i="16" s="1"/>
  <c r="Y1494" i="16" s="1"/>
  <c r="H1493" i="16"/>
  <c r="J1493" i="16" s="1"/>
  <c r="V1493" i="16" s="1"/>
  <c r="W1493" i="16" s="1"/>
  <c r="Y1493" i="16" s="1"/>
  <c r="H1492" i="16"/>
  <c r="J1492" i="16" s="1"/>
  <c r="V1492" i="16" s="1"/>
  <c r="W1492" i="16" s="1"/>
  <c r="Y1492" i="16" s="1"/>
  <c r="R1491" i="16"/>
  <c r="T1491" i="16" s="1"/>
  <c r="H1491" i="16"/>
  <c r="J1491" i="16" s="1"/>
  <c r="R1490" i="16"/>
  <c r="T1490" i="16" s="1"/>
  <c r="H1490" i="16"/>
  <c r="J1490" i="16" s="1"/>
  <c r="R1489" i="16"/>
  <c r="H1489" i="16"/>
  <c r="J1489" i="16" s="1"/>
  <c r="R1488" i="16"/>
  <c r="H1488" i="16"/>
  <c r="J1488" i="16" s="1"/>
  <c r="R1487" i="16"/>
  <c r="T1487" i="16" s="1"/>
  <c r="H1487" i="16"/>
  <c r="J1487" i="16" s="1"/>
  <c r="R1486" i="16"/>
  <c r="T1486" i="16" s="1"/>
  <c r="H1486" i="16"/>
  <c r="J1486" i="16" s="1"/>
  <c r="R1485" i="16"/>
  <c r="T1485" i="16" s="1"/>
  <c r="U1485" i="16" s="1"/>
  <c r="H1485" i="16"/>
  <c r="J1485" i="16" s="1"/>
  <c r="R1484" i="16"/>
  <c r="T1484" i="16" s="1"/>
  <c r="H1484" i="16"/>
  <c r="J1484" i="16" s="1"/>
  <c r="H1483" i="16"/>
  <c r="J1483" i="16" s="1"/>
  <c r="H1482" i="16"/>
  <c r="J1482" i="16" s="1"/>
  <c r="V1482" i="16" s="1"/>
  <c r="W1482" i="16" s="1"/>
  <c r="Y1482" i="16" s="1"/>
  <c r="H1481" i="16"/>
  <c r="J1481" i="16" s="1"/>
  <c r="V1481" i="16" s="1"/>
  <c r="W1481" i="16" s="1"/>
  <c r="Y1481" i="16" s="1"/>
  <c r="H1480" i="16"/>
  <c r="J1480" i="16" s="1"/>
  <c r="V1480" i="16" s="1"/>
  <c r="W1480" i="16" s="1"/>
  <c r="Y1480" i="16" s="1"/>
  <c r="H1479" i="16"/>
  <c r="J1479" i="16" s="1"/>
  <c r="V1479" i="16" s="1"/>
  <c r="W1479" i="16" s="1"/>
  <c r="Y1479" i="16" s="1"/>
  <c r="J1478" i="16"/>
  <c r="V1478" i="16" s="1"/>
  <c r="W1478" i="16" s="1"/>
  <c r="Y1478" i="16" s="1"/>
  <c r="R1477" i="16"/>
  <c r="H1477" i="16"/>
  <c r="J1477" i="16" s="1"/>
  <c r="R1476" i="16"/>
  <c r="T1476" i="16" s="1"/>
  <c r="H1476" i="16"/>
  <c r="J1476" i="16" s="1"/>
  <c r="R1475" i="16"/>
  <c r="T1475" i="16" s="1"/>
  <c r="H1475" i="16"/>
  <c r="J1475" i="16" s="1"/>
  <c r="R1474" i="16"/>
  <c r="T1474" i="16" s="1"/>
  <c r="H1474" i="16"/>
  <c r="J1474" i="16" s="1"/>
  <c r="R1473" i="16"/>
  <c r="J1473" i="16"/>
  <c r="H1472" i="16"/>
  <c r="J1472" i="16" s="1"/>
  <c r="R1470" i="16"/>
  <c r="T1470" i="16" s="1"/>
  <c r="R1469" i="16"/>
  <c r="T1469" i="16" s="1"/>
  <c r="R1468" i="16"/>
  <c r="T1468" i="16" s="1"/>
  <c r="R1467" i="16"/>
  <c r="T1467" i="16" s="1"/>
  <c r="H1467" i="16"/>
  <c r="J1467" i="16" s="1"/>
  <c r="H1466" i="16"/>
  <c r="J1466" i="16" s="1"/>
  <c r="V1466" i="16" s="1"/>
  <c r="W1466" i="16" s="1"/>
  <c r="Y1466" i="16" s="1"/>
  <c r="R1464" i="16"/>
  <c r="R1463" i="16"/>
  <c r="T1463" i="16" s="1"/>
  <c r="R1462" i="16"/>
  <c r="H1461" i="16"/>
  <c r="J1461" i="16" s="1"/>
  <c r="J1460" i="16"/>
  <c r="V1460" i="16" s="1"/>
  <c r="W1460" i="16" s="1"/>
  <c r="Y1460" i="16" s="1"/>
  <c r="R1458" i="16"/>
  <c r="T1458" i="16" s="1"/>
  <c r="U1458" i="16" s="1"/>
  <c r="R1457" i="16"/>
  <c r="R1456" i="16"/>
  <c r="T1456" i="16" s="1"/>
  <c r="R1455" i="16"/>
  <c r="T1455" i="16" s="1"/>
  <c r="U1455" i="16" s="1"/>
  <c r="R1454" i="16"/>
  <c r="R1453" i="16"/>
  <c r="T1453" i="16" s="1"/>
  <c r="R1452" i="16"/>
  <c r="T1452" i="16" s="1"/>
  <c r="J1451" i="16"/>
  <c r="R1450" i="16"/>
  <c r="T1450" i="16" s="1"/>
  <c r="H1450" i="16"/>
  <c r="J1450" i="16" s="1"/>
  <c r="R1448" i="16"/>
  <c r="T1448" i="16" s="1"/>
  <c r="R1447" i="16"/>
  <c r="T1447" i="16" s="1"/>
  <c r="R1446" i="16"/>
  <c r="R1445" i="16"/>
  <c r="T1445" i="16" s="1"/>
  <c r="U1445" i="16" s="1"/>
  <c r="R1444" i="16"/>
  <c r="T1444" i="16" s="1"/>
  <c r="R1443" i="16"/>
  <c r="R1442" i="16"/>
  <c r="H1442" i="16"/>
  <c r="J1442" i="16" s="1"/>
  <c r="H1441" i="16"/>
  <c r="J1441" i="16" s="1"/>
  <c r="V1441" i="16" s="1"/>
  <c r="W1441" i="16" s="1"/>
  <c r="Y1441" i="16" s="1"/>
  <c r="H1440" i="16"/>
  <c r="J1440" i="16" s="1"/>
  <c r="V1440" i="16" s="1"/>
  <c r="W1440" i="16" s="1"/>
  <c r="Y1440" i="16" s="1"/>
  <c r="H1439" i="16"/>
  <c r="J1439" i="16" s="1"/>
  <c r="V1439" i="16" s="1"/>
  <c r="W1439" i="16" s="1"/>
  <c r="Y1439" i="16" s="1"/>
  <c r="H1438" i="16"/>
  <c r="J1438" i="16" s="1"/>
  <c r="V1438" i="16" s="1"/>
  <c r="W1438" i="16" s="1"/>
  <c r="Y1438" i="16" s="1"/>
  <c r="H1437" i="16"/>
  <c r="J1437" i="16" s="1"/>
  <c r="V1437" i="16" s="1"/>
  <c r="W1437" i="16" s="1"/>
  <c r="Y1437" i="16" s="1"/>
  <c r="H1436" i="16"/>
  <c r="J1436" i="16" s="1"/>
  <c r="V1436" i="16" s="1"/>
  <c r="W1436" i="16" s="1"/>
  <c r="Y1436" i="16" s="1"/>
  <c r="H1435" i="16"/>
  <c r="J1435" i="16" s="1"/>
  <c r="V1435" i="16" s="1"/>
  <c r="W1435" i="16" s="1"/>
  <c r="Y1435" i="16" s="1"/>
  <c r="H1434" i="16"/>
  <c r="J1434" i="16" s="1"/>
  <c r="V1434" i="16" s="1"/>
  <c r="W1434" i="16" s="1"/>
  <c r="Y1434" i="16" s="1"/>
  <c r="H1433" i="16"/>
  <c r="J1433" i="16" s="1"/>
  <c r="V1433" i="16" s="1"/>
  <c r="W1433" i="16" s="1"/>
  <c r="Y1433" i="16" s="1"/>
  <c r="H1432" i="16"/>
  <c r="J1432" i="16" s="1"/>
  <c r="V1432" i="16" s="1"/>
  <c r="W1432" i="16" s="1"/>
  <c r="Y1432" i="16" s="1"/>
  <c r="H1431" i="16"/>
  <c r="J1431" i="16" s="1"/>
  <c r="V1431" i="16" s="1"/>
  <c r="W1431" i="16" s="1"/>
  <c r="Y1431" i="16" s="1"/>
  <c r="H1430" i="16"/>
  <c r="J1430" i="16" s="1"/>
  <c r="V1430" i="16" s="1"/>
  <c r="W1430" i="16" s="1"/>
  <c r="Y1430" i="16" s="1"/>
  <c r="H1429" i="16"/>
  <c r="J1429" i="16" s="1"/>
  <c r="V1429" i="16" s="1"/>
  <c r="W1429" i="16" s="1"/>
  <c r="Y1429" i="16" s="1"/>
  <c r="H1428" i="16"/>
  <c r="J1428" i="16" s="1"/>
  <c r="V1428" i="16" s="1"/>
  <c r="W1428" i="16" s="1"/>
  <c r="Y1428" i="16" s="1"/>
  <c r="H1427" i="16"/>
  <c r="J1427" i="16" s="1"/>
  <c r="V1427" i="16" s="1"/>
  <c r="W1427" i="16" s="1"/>
  <c r="Y1427" i="16" s="1"/>
  <c r="H1426" i="16"/>
  <c r="J1426" i="16" s="1"/>
  <c r="V1426" i="16" s="1"/>
  <c r="W1426" i="16" s="1"/>
  <c r="Y1426" i="16" s="1"/>
  <c r="V1425" i="16"/>
  <c r="W1425" i="16" s="1"/>
  <c r="Y1425" i="16" s="1"/>
  <c r="V1424" i="16"/>
  <c r="W1424" i="16" s="1"/>
  <c r="Y1424" i="16" s="1"/>
  <c r="H1423" i="16"/>
  <c r="J1423" i="16" s="1"/>
  <c r="V1423" i="16" s="1"/>
  <c r="W1423" i="16" s="1"/>
  <c r="Y1423" i="16" s="1"/>
  <c r="H1422" i="16"/>
  <c r="J1422" i="16" s="1"/>
  <c r="V1422" i="16" s="1"/>
  <c r="W1422" i="16" s="1"/>
  <c r="Y1422" i="16" s="1"/>
  <c r="H1421" i="16"/>
  <c r="J1421" i="16" s="1"/>
  <c r="V1421" i="16" s="1"/>
  <c r="W1421" i="16" s="1"/>
  <c r="Y1421" i="16" s="1"/>
  <c r="H1420" i="16"/>
  <c r="J1420" i="16" s="1"/>
  <c r="V1420" i="16" s="1"/>
  <c r="W1420" i="16" s="1"/>
  <c r="Y1420" i="16" s="1"/>
  <c r="H1419" i="16"/>
  <c r="J1419" i="16" s="1"/>
  <c r="V1419" i="16" s="1"/>
  <c r="W1419" i="16" s="1"/>
  <c r="Y1419" i="16" s="1"/>
  <c r="H1418" i="16"/>
  <c r="J1418" i="16" s="1"/>
  <c r="V1418" i="16" s="1"/>
  <c r="W1418" i="16" s="1"/>
  <c r="Y1418" i="16" s="1"/>
  <c r="H1417" i="16"/>
  <c r="J1417" i="16" s="1"/>
  <c r="V1417" i="16" s="1"/>
  <c r="W1417" i="16" s="1"/>
  <c r="Y1417" i="16" s="1"/>
  <c r="H1416" i="16"/>
  <c r="J1416" i="16" s="1"/>
  <c r="V1416" i="16" s="1"/>
  <c r="W1416" i="16" s="1"/>
  <c r="Y1416" i="16" s="1"/>
  <c r="H1415" i="16"/>
  <c r="J1415" i="16" s="1"/>
  <c r="V1415" i="16" s="1"/>
  <c r="W1415" i="16" s="1"/>
  <c r="Y1415" i="16" s="1"/>
  <c r="H1414" i="16"/>
  <c r="J1414" i="16" s="1"/>
  <c r="V1414" i="16" s="1"/>
  <c r="W1414" i="16" s="1"/>
  <c r="Y1414" i="16" s="1"/>
  <c r="H1413" i="16"/>
  <c r="J1413" i="16" s="1"/>
  <c r="V1413" i="16" s="1"/>
  <c r="W1413" i="16" s="1"/>
  <c r="Y1413" i="16" s="1"/>
  <c r="H1412" i="16"/>
  <c r="J1412" i="16" s="1"/>
  <c r="V1412" i="16" s="1"/>
  <c r="W1412" i="16" s="1"/>
  <c r="Y1412" i="16" s="1"/>
  <c r="H1411" i="16"/>
  <c r="J1411" i="16" s="1"/>
  <c r="V1411" i="16" s="1"/>
  <c r="W1411" i="16" s="1"/>
  <c r="Y1411" i="16" s="1"/>
  <c r="H1410" i="16"/>
  <c r="J1410" i="16" s="1"/>
  <c r="V1410" i="16" s="1"/>
  <c r="W1410" i="16" s="1"/>
  <c r="Y1410" i="16" s="1"/>
  <c r="H1409" i="16"/>
  <c r="J1409" i="16" s="1"/>
  <c r="V1409" i="16" s="1"/>
  <c r="W1409" i="16" s="1"/>
  <c r="Y1409" i="16" s="1"/>
  <c r="H1408" i="16"/>
  <c r="J1408" i="16" s="1"/>
  <c r="V1408" i="16" s="1"/>
  <c r="W1408" i="16" s="1"/>
  <c r="Y1408" i="16" s="1"/>
  <c r="H1407" i="16"/>
  <c r="J1407" i="16" s="1"/>
  <c r="V1407" i="16" s="1"/>
  <c r="W1407" i="16" s="1"/>
  <c r="Y1407" i="16" s="1"/>
  <c r="H1406" i="16"/>
  <c r="J1406" i="16" s="1"/>
  <c r="V1406" i="16" s="1"/>
  <c r="W1406" i="16" s="1"/>
  <c r="Y1406" i="16" s="1"/>
  <c r="H1405" i="16"/>
  <c r="J1405" i="16" s="1"/>
  <c r="V1405" i="16" s="1"/>
  <c r="W1405" i="16" s="1"/>
  <c r="Y1405" i="16" s="1"/>
  <c r="H1404" i="16"/>
  <c r="J1404" i="16" s="1"/>
  <c r="V1404" i="16" s="1"/>
  <c r="W1404" i="16" s="1"/>
  <c r="Y1404" i="16" s="1"/>
  <c r="H1403" i="16"/>
  <c r="J1403" i="16" s="1"/>
  <c r="V1403" i="16" s="1"/>
  <c r="W1403" i="16" s="1"/>
  <c r="Y1403" i="16" s="1"/>
  <c r="H1402" i="16"/>
  <c r="J1402" i="16" s="1"/>
  <c r="V1402" i="16" s="1"/>
  <c r="W1402" i="16" s="1"/>
  <c r="Y1402" i="16" s="1"/>
  <c r="H1401" i="16"/>
  <c r="J1401" i="16" s="1"/>
  <c r="V1401" i="16" s="1"/>
  <c r="W1401" i="16" s="1"/>
  <c r="Y1401" i="16" s="1"/>
  <c r="H1400" i="16"/>
  <c r="J1400" i="16" s="1"/>
  <c r="V1400" i="16" s="1"/>
  <c r="W1400" i="16" s="1"/>
  <c r="Y1400" i="16" s="1"/>
  <c r="H1399" i="16"/>
  <c r="J1399" i="16" s="1"/>
  <c r="V1399" i="16" s="1"/>
  <c r="W1399" i="16" s="1"/>
  <c r="Y1399" i="16" s="1"/>
  <c r="H1398" i="16"/>
  <c r="J1398" i="16" s="1"/>
  <c r="V1398" i="16" s="1"/>
  <c r="W1398" i="16" s="1"/>
  <c r="Y1398" i="16" s="1"/>
  <c r="H1397" i="16"/>
  <c r="J1397" i="16" s="1"/>
  <c r="V1397" i="16" s="1"/>
  <c r="W1397" i="16" s="1"/>
  <c r="Y1397" i="16" s="1"/>
  <c r="H1396" i="16"/>
  <c r="J1396" i="16" s="1"/>
  <c r="V1396" i="16" s="1"/>
  <c r="W1396" i="16" s="1"/>
  <c r="Y1396" i="16" s="1"/>
  <c r="H1395" i="16"/>
  <c r="J1395" i="16" s="1"/>
  <c r="V1395" i="16" s="1"/>
  <c r="W1395" i="16" s="1"/>
  <c r="Y1395" i="16" s="1"/>
  <c r="H1394" i="16"/>
  <c r="J1394" i="16" s="1"/>
  <c r="V1394" i="16" s="1"/>
  <c r="W1394" i="16" s="1"/>
  <c r="Y1394" i="16" s="1"/>
  <c r="H1393" i="16"/>
  <c r="J1393" i="16" s="1"/>
  <c r="V1393" i="16" s="1"/>
  <c r="W1393" i="16" s="1"/>
  <c r="Y1393" i="16" s="1"/>
  <c r="H1392" i="16"/>
  <c r="J1392" i="16" s="1"/>
  <c r="V1392" i="16" s="1"/>
  <c r="W1392" i="16" s="1"/>
  <c r="Y1392" i="16" s="1"/>
  <c r="H1391" i="16"/>
  <c r="J1391" i="16" s="1"/>
  <c r="V1391" i="16" s="1"/>
  <c r="W1391" i="16" s="1"/>
  <c r="Y1391" i="16" s="1"/>
  <c r="H1390" i="16"/>
  <c r="J1390" i="16" s="1"/>
  <c r="V1390" i="16" s="1"/>
  <c r="W1390" i="16" s="1"/>
  <c r="Y1390" i="16" s="1"/>
  <c r="H1389" i="16"/>
  <c r="J1389" i="16" s="1"/>
  <c r="V1389" i="16" s="1"/>
  <c r="W1389" i="16" s="1"/>
  <c r="Y1389" i="16" s="1"/>
  <c r="H1388" i="16"/>
  <c r="J1388" i="16" s="1"/>
  <c r="V1388" i="16" s="1"/>
  <c r="W1388" i="16" s="1"/>
  <c r="Y1388" i="16" s="1"/>
  <c r="H1387" i="16"/>
  <c r="J1387" i="16" s="1"/>
  <c r="V1387" i="16" s="1"/>
  <c r="W1387" i="16" s="1"/>
  <c r="Y1387" i="16" s="1"/>
  <c r="H1386" i="16"/>
  <c r="J1386" i="16" s="1"/>
  <c r="V1386" i="16" s="1"/>
  <c r="W1386" i="16" s="1"/>
  <c r="Y1386" i="16" s="1"/>
  <c r="H1385" i="16"/>
  <c r="J1385" i="16" s="1"/>
  <c r="V1385" i="16" s="1"/>
  <c r="W1385" i="16" s="1"/>
  <c r="Y1385" i="16" s="1"/>
  <c r="H1384" i="16"/>
  <c r="J1384" i="16" s="1"/>
  <c r="V1384" i="16" s="1"/>
  <c r="W1384" i="16" s="1"/>
  <c r="Y1384" i="16" s="1"/>
  <c r="H1383" i="16"/>
  <c r="J1383" i="16" s="1"/>
  <c r="V1383" i="16" s="1"/>
  <c r="W1383" i="16" s="1"/>
  <c r="Y1383" i="16" s="1"/>
  <c r="H1382" i="16"/>
  <c r="J1382" i="16" s="1"/>
  <c r="V1382" i="16" s="1"/>
  <c r="W1382" i="16" s="1"/>
  <c r="Y1382" i="16" s="1"/>
  <c r="H1381" i="16"/>
  <c r="J1381" i="16" s="1"/>
  <c r="V1381" i="16" s="1"/>
  <c r="W1381" i="16" s="1"/>
  <c r="Y1381" i="16" s="1"/>
  <c r="H1380" i="16"/>
  <c r="J1380" i="16" s="1"/>
  <c r="V1380" i="16" s="1"/>
  <c r="W1380" i="16" s="1"/>
  <c r="Y1380" i="16" s="1"/>
  <c r="H1379" i="16"/>
  <c r="J1379" i="16" s="1"/>
  <c r="V1379" i="16" s="1"/>
  <c r="W1379" i="16" s="1"/>
  <c r="Y1379" i="16" s="1"/>
  <c r="R1377" i="16"/>
  <c r="R1376" i="16"/>
  <c r="R1375" i="16"/>
  <c r="T1375" i="16" s="1"/>
  <c r="R1374" i="16"/>
  <c r="T1374" i="16" s="1"/>
  <c r="U1374" i="16" s="1"/>
  <c r="R1373" i="16"/>
  <c r="T1373" i="16" s="1"/>
  <c r="R1372" i="16"/>
  <c r="T1372" i="16" s="1"/>
  <c r="R1371" i="16"/>
  <c r="R1370" i="16"/>
  <c r="T1370" i="16" s="1"/>
  <c r="U1370" i="16" s="1"/>
  <c r="R1369" i="16"/>
  <c r="T1369" i="16" s="1"/>
  <c r="U1369" i="16" s="1"/>
  <c r="R1368" i="16"/>
  <c r="T1368" i="16" s="1"/>
  <c r="R1367" i="16"/>
  <c r="R1366" i="16"/>
  <c r="T1366" i="16" s="1"/>
  <c r="U1366" i="16" s="1"/>
  <c r="H1365" i="16"/>
  <c r="J1365" i="16" s="1"/>
  <c r="R1364" i="16"/>
  <c r="T1364" i="16" s="1"/>
  <c r="H1364" i="16"/>
  <c r="J1364" i="16" s="1"/>
  <c r="R1363" i="16"/>
  <c r="H1363" i="16"/>
  <c r="J1363" i="16" s="1"/>
  <c r="R1362" i="16"/>
  <c r="T1362" i="16" s="1"/>
  <c r="H1362" i="16"/>
  <c r="J1362" i="16" s="1"/>
  <c r="R1361" i="16"/>
  <c r="T1361" i="16" s="1"/>
  <c r="H1361" i="16"/>
  <c r="J1361" i="16" s="1"/>
  <c r="R1360" i="16"/>
  <c r="T1360" i="16" s="1"/>
  <c r="H1360" i="16"/>
  <c r="J1360" i="16" s="1"/>
  <c r="R1359" i="16"/>
  <c r="H1359" i="16"/>
  <c r="J1359" i="16" s="1"/>
  <c r="R1358" i="16"/>
  <c r="H1358" i="16"/>
  <c r="J1358" i="16" s="1"/>
  <c r="R1357" i="16"/>
  <c r="T1357" i="16" s="1"/>
  <c r="U1357" i="16" s="1"/>
  <c r="H1357" i="16"/>
  <c r="J1357" i="16" s="1"/>
  <c r="R1356" i="16"/>
  <c r="T1356" i="16" s="1"/>
  <c r="H1356" i="16"/>
  <c r="J1356" i="16" s="1"/>
  <c r="R1355" i="16"/>
  <c r="H1355" i="16"/>
  <c r="J1355" i="16" s="1"/>
  <c r="R1354" i="16"/>
  <c r="T1354" i="16" s="1"/>
  <c r="H1354" i="16"/>
  <c r="J1354" i="16" s="1"/>
  <c r="R1353" i="16"/>
  <c r="T1353" i="16" s="1"/>
  <c r="U1353" i="16" s="1"/>
  <c r="H1353" i="16"/>
  <c r="J1353" i="16" s="1"/>
  <c r="R1352" i="16"/>
  <c r="T1352" i="16" s="1"/>
  <c r="H1352" i="16"/>
  <c r="J1352" i="16" s="1"/>
  <c r="R1351" i="16"/>
  <c r="T1351" i="16" s="1"/>
  <c r="H1351" i="16"/>
  <c r="J1351" i="16" s="1"/>
  <c r="R1350" i="16"/>
  <c r="H1350" i="16"/>
  <c r="J1350" i="16" s="1"/>
  <c r="R1349" i="16"/>
  <c r="T1349" i="16" s="1"/>
  <c r="U1349" i="16" s="1"/>
  <c r="H1349" i="16"/>
  <c r="J1349" i="16" s="1"/>
  <c r="R1348" i="16"/>
  <c r="T1348" i="16" s="1"/>
  <c r="U1348" i="16" s="1"/>
  <c r="H1348" i="16"/>
  <c r="J1348" i="16" s="1"/>
  <c r="R1347" i="16"/>
  <c r="H1347" i="16"/>
  <c r="J1347" i="16" s="1"/>
  <c r="H1346" i="16"/>
  <c r="J1346" i="16" s="1"/>
  <c r="V1346" i="16" s="1"/>
  <c r="W1346" i="16" s="1"/>
  <c r="Y1346" i="16" s="1"/>
  <c r="H1345" i="16"/>
  <c r="J1345" i="16" s="1"/>
  <c r="V1345" i="16" s="1"/>
  <c r="W1345" i="16" s="1"/>
  <c r="Y1345" i="16" s="1"/>
  <c r="R1343" i="16"/>
  <c r="R1342" i="16"/>
  <c r="T1342" i="16" s="1"/>
  <c r="U1342" i="16" s="1"/>
  <c r="R1341" i="16"/>
  <c r="T1341" i="16" s="1"/>
  <c r="R1340" i="16"/>
  <c r="R1339" i="16"/>
  <c r="R1338" i="16"/>
  <c r="T1338" i="16" s="1"/>
  <c r="U1338" i="16" s="1"/>
  <c r="R1337" i="16"/>
  <c r="R1336" i="16"/>
  <c r="R1335" i="16"/>
  <c r="J1335" i="16"/>
  <c r="H1334" i="16"/>
  <c r="J1334" i="16" s="1"/>
  <c r="V1334" i="16" s="1"/>
  <c r="W1334" i="16" s="1"/>
  <c r="Y1334" i="16" s="1"/>
  <c r="J1333" i="16"/>
  <c r="V1333" i="16" s="1"/>
  <c r="W1333" i="16" s="1"/>
  <c r="Y1333" i="16" s="1"/>
  <c r="R1332" i="16"/>
  <c r="T1332" i="16" s="1"/>
  <c r="U1332" i="16" s="1"/>
  <c r="H1332" i="16"/>
  <c r="J1332" i="16" s="1"/>
  <c r="H1331" i="16"/>
  <c r="J1331" i="16" s="1"/>
  <c r="H1330" i="16"/>
  <c r="J1330" i="16" s="1"/>
  <c r="V1330" i="16" s="1"/>
  <c r="W1330" i="16" s="1"/>
  <c r="Y1330" i="16" s="1"/>
  <c r="R1329" i="16"/>
  <c r="H1329" i="16"/>
  <c r="J1329" i="16" s="1"/>
  <c r="R1328" i="16"/>
  <c r="H1328" i="16"/>
  <c r="J1328" i="16" s="1"/>
  <c r="R1327" i="16"/>
  <c r="T1327" i="16" s="1"/>
  <c r="H1327" i="16"/>
  <c r="J1327" i="16" s="1"/>
  <c r="J1326" i="16"/>
  <c r="V1326" i="16" s="1"/>
  <c r="W1326" i="16" s="1"/>
  <c r="Y1326" i="16" s="1"/>
  <c r="R1325" i="16"/>
  <c r="T1325" i="16" s="1"/>
  <c r="H1325" i="16"/>
  <c r="J1325" i="16" s="1"/>
  <c r="R1324" i="16"/>
  <c r="H1324" i="16"/>
  <c r="J1324" i="16" s="1"/>
  <c r="R1323" i="16"/>
  <c r="H1323" i="16"/>
  <c r="J1323" i="16" s="1"/>
  <c r="R1322" i="16"/>
  <c r="T1322" i="16" s="1"/>
  <c r="U1322" i="16" s="1"/>
  <c r="H1322" i="16"/>
  <c r="J1322" i="16" s="1"/>
  <c r="R1321" i="16"/>
  <c r="H1321" i="16"/>
  <c r="J1321" i="16" s="1"/>
  <c r="H1320" i="16"/>
  <c r="J1320" i="16" s="1"/>
  <c r="R1319" i="16"/>
  <c r="T1319" i="16" s="1"/>
  <c r="U1319" i="16" s="1"/>
  <c r="H1319" i="16"/>
  <c r="J1319" i="16" s="1"/>
  <c r="J1318" i="16"/>
  <c r="V1318" i="16" s="1"/>
  <c r="W1318" i="16" s="1"/>
  <c r="Y1318" i="16" s="1"/>
  <c r="R1317" i="16"/>
  <c r="H1317" i="16"/>
  <c r="J1317" i="16" s="1"/>
  <c r="R1316" i="16"/>
  <c r="H1316" i="16"/>
  <c r="J1316" i="16" s="1"/>
  <c r="H1315" i="16"/>
  <c r="J1315" i="16" s="1"/>
  <c r="H1314" i="16"/>
  <c r="J1314" i="16" s="1"/>
  <c r="V1314" i="16" s="1"/>
  <c r="W1314" i="16" s="1"/>
  <c r="Y1314" i="16" s="1"/>
  <c r="H1313" i="16"/>
  <c r="J1313" i="16" s="1"/>
  <c r="V1313" i="16" s="1"/>
  <c r="W1313" i="16" s="1"/>
  <c r="Y1313" i="16" s="1"/>
  <c r="H1312" i="16"/>
  <c r="J1312" i="16" s="1"/>
  <c r="V1312" i="16" s="1"/>
  <c r="W1312" i="16" s="1"/>
  <c r="Y1312" i="16" s="1"/>
  <c r="H1311" i="16"/>
  <c r="J1311" i="16" s="1"/>
  <c r="V1311" i="16" s="1"/>
  <c r="W1311" i="16" s="1"/>
  <c r="Y1311" i="16" s="1"/>
  <c r="R1309" i="16"/>
  <c r="T1309" i="16" s="1"/>
  <c r="U1309" i="16" s="1"/>
  <c r="R1308" i="16"/>
  <c r="T1308" i="16" s="1"/>
  <c r="R1307" i="16"/>
  <c r="R1306" i="16"/>
  <c r="T1306" i="16" s="1"/>
  <c r="U1306" i="16" s="1"/>
  <c r="R1305" i="16"/>
  <c r="R1304" i="16"/>
  <c r="T1304" i="16" s="1"/>
  <c r="H1304" i="16"/>
  <c r="J1304" i="16" s="1"/>
  <c r="H1303" i="16"/>
  <c r="J1303" i="16" s="1"/>
  <c r="V1303" i="16" s="1"/>
  <c r="W1303" i="16" s="1"/>
  <c r="Y1303" i="16" s="1"/>
  <c r="H1302" i="16"/>
  <c r="J1302" i="16" s="1"/>
  <c r="V1302" i="16" s="1"/>
  <c r="W1302" i="16" s="1"/>
  <c r="Y1302" i="16" s="1"/>
  <c r="H1301" i="16"/>
  <c r="J1301" i="16" s="1"/>
  <c r="V1301" i="16" s="1"/>
  <c r="W1301" i="16" s="1"/>
  <c r="Y1301" i="16" s="1"/>
  <c r="H1300" i="16"/>
  <c r="J1300" i="16" s="1"/>
  <c r="V1300" i="16" s="1"/>
  <c r="W1300" i="16" s="1"/>
  <c r="Y1300" i="16" s="1"/>
  <c r="H1299" i="16"/>
  <c r="J1299" i="16" s="1"/>
  <c r="V1299" i="16" s="1"/>
  <c r="W1299" i="16" s="1"/>
  <c r="Y1299" i="16" s="1"/>
  <c r="H1298" i="16"/>
  <c r="J1298" i="16" s="1"/>
  <c r="V1298" i="16" s="1"/>
  <c r="W1298" i="16" s="1"/>
  <c r="Y1298" i="16" s="1"/>
  <c r="R1296" i="16"/>
  <c r="R1295" i="16"/>
  <c r="T1295" i="16" s="1"/>
  <c r="U1295" i="16" s="1"/>
  <c r="H1294" i="16"/>
  <c r="J1294" i="16" s="1"/>
  <c r="R1292" i="16"/>
  <c r="T1292" i="16" s="1"/>
  <c r="U1292" i="16" s="1"/>
  <c r="R1291" i="16"/>
  <c r="R1290" i="16"/>
  <c r="T1290" i="16" s="1"/>
  <c r="R1289" i="16"/>
  <c r="H1288" i="16"/>
  <c r="J1288" i="16" s="1"/>
  <c r="R1286" i="16"/>
  <c r="T1286" i="16" s="1"/>
  <c r="U1286" i="16" s="1"/>
  <c r="R1285" i="16"/>
  <c r="R1284" i="16"/>
  <c r="H1283" i="16"/>
  <c r="J1283" i="16" s="1"/>
  <c r="R1281" i="16"/>
  <c r="R1280" i="16"/>
  <c r="R1279" i="16"/>
  <c r="T1279" i="16" s="1"/>
  <c r="U1279" i="16" s="1"/>
  <c r="H1278" i="16"/>
  <c r="J1278" i="16" s="1"/>
  <c r="H1277" i="16"/>
  <c r="J1277" i="16" s="1"/>
  <c r="V1277" i="16" s="1"/>
  <c r="W1277" i="16" s="1"/>
  <c r="Y1277" i="16" s="1"/>
  <c r="R1275" i="16"/>
  <c r="T1275" i="16" s="1"/>
  <c r="R1274" i="16"/>
  <c r="R1273" i="16"/>
  <c r="H1273" i="16"/>
  <c r="J1273" i="16" s="1"/>
  <c r="R1271" i="16"/>
  <c r="R1270" i="16"/>
  <c r="H1269" i="16"/>
  <c r="J1269" i="16" s="1"/>
  <c r="H1268" i="16"/>
  <c r="J1268" i="16" s="1"/>
  <c r="H1267" i="16"/>
  <c r="J1267" i="16" s="1"/>
  <c r="H1266" i="16"/>
  <c r="J1266" i="16" s="1"/>
  <c r="H1265" i="16"/>
  <c r="J1265" i="16" s="1"/>
  <c r="H1264" i="16"/>
  <c r="J1264" i="16" s="1"/>
  <c r="H1263" i="16"/>
  <c r="J1263" i="16" s="1"/>
  <c r="H1262" i="16"/>
  <c r="J1262" i="16" s="1"/>
  <c r="H1261" i="16"/>
  <c r="J1261" i="16" s="1"/>
  <c r="H1260" i="16"/>
  <c r="J1260" i="16" s="1"/>
  <c r="H1259" i="16"/>
  <c r="J1259" i="16" s="1"/>
  <c r="H1258" i="16"/>
  <c r="J1258" i="16" s="1"/>
  <c r="H1257" i="16"/>
  <c r="J1257" i="16" s="1"/>
  <c r="H1256" i="16"/>
  <c r="J1256" i="16" s="1"/>
  <c r="H1255" i="16"/>
  <c r="J1255" i="16" s="1"/>
  <c r="H1254" i="16"/>
  <c r="J1254" i="16" s="1"/>
  <c r="V1254" i="16" s="1"/>
  <c r="W1254" i="16" s="1"/>
  <c r="Y1254" i="16" s="1"/>
  <c r="H1253" i="16"/>
  <c r="J1253" i="16" s="1"/>
  <c r="V1253" i="16" s="1"/>
  <c r="W1253" i="16" s="1"/>
  <c r="Y1253" i="16" s="1"/>
  <c r="H1252" i="16"/>
  <c r="J1252" i="16" s="1"/>
  <c r="V1252" i="16" s="1"/>
  <c r="W1252" i="16" s="1"/>
  <c r="Y1252" i="16" s="1"/>
  <c r="H1251" i="16"/>
  <c r="J1251" i="16" s="1"/>
  <c r="V1251" i="16" s="1"/>
  <c r="W1251" i="16" s="1"/>
  <c r="Y1251" i="16" s="1"/>
  <c r="H1250" i="16"/>
  <c r="J1250" i="16" s="1"/>
  <c r="V1250" i="16" s="1"/>
  <c r="W1250" i="16" s="1"/>
  <c r="Y1250" i="16" s="1"/>
  <c r="H1249" i="16"/>
  <c r="J1249" i="16" s="1"/>
  <c r="V1249" i="16" s="1"/>
  <c r="W1249" i="16" s="1"/>
  <c r="Y1249" i="16" s="1"/>
  <c r="H1248" i="16"/>
  <c r="J1248" i="16" s="1"/>
  <c r="V1248" i="16" s="1"/>
  <c r="W1248" i="16" s="1"/>
  <c r="Y1248" i="16" s="1"/>
  <c r="H1247" i="16"/>
  <c r="J1247" i="16" s="1"/>
  <c r="V1247" i="16" s="1"/>
  <c r="W1247" i="16" s="1"/>
  <c r="Y1247" i="16" s="1"/>
  <c r="R1245" i="16"/>
  <c r="T1245" i="16" s="1"/>
  <c r="U1245" i="16" s="1"/>
  <c r="R1244" i="16"/>
  <c r="R1243" i="16"/>
  <c r="T1243" i="16" s="1"/>
  <c r="U1243" i="16" s="1"/>
  <c r="R1242" i="16"/>
  <c r="T1242" i="16" s="1"/>
  <c r="H1241" i="16"/>
  <c r="J1241" i="16" s="1"/>
  <c r="H1240" i="16"/>
  <c r="J1240" i="16" s="1"/>
  <c r="V1240" i="16" s="1"/>
  <c r="W1240" i="16" s="1"/>
  <c r="Y1240" i="16" s="1"/>
  <c r="H1239" i="16"/>
  <c r="J1239" i="16" s="1"/>
  <c r="V1239" i="16" s="1"/>
  <c r="W1239" i="16" s="1"/>
  <c r="Y1239" i="16" s="1"/>
  <c r="H1238" i="16"/>
  <c r="J1238" i="16" s="1"/>
  <c r="V1238" i="16" s="1"/>
  <c r="W1238" i="16" s="1"/>
  <c r="Y1238" i="16" s="1"/>
  <c r="H1237" i="16"/>
  <c r="J1237" i="16" s="1"/>
  <c r="V1237" i="16" s="1"/>
  <c r="W1237" i="16" s="1"/>
  <c r="Y1237" i="16" s="1"/>
  <c r="H1236" i="16"/>
  <c r="J1236" i="16" s="1"/>
  <c r="V1236" i="16" s="1"/>
  <c r="W1236" i="16" s="1"/>
  <c r="Y1236" i="16" s="1"/>
  <c r="H1235" i="16"/>
  <c r="J1235" i="16" s="1"/>
  <c r="V1235" i="16" s="1"/>
  <c r="W1235" i="16" s="1"/>
  <c r="Y1235" i="16" s="1"/>
  <c r="H1234" i="16"/>
  <c r="J1234" i="16" s="1"/>
  <c r="V1234" i="16" s="1"/>
  <c r="W1234" i="16" s="1"/>
  <c r="Y1234" i="16" s="1"/>
  <c r="H1233" i="16"/>
  <c r="J1233" i="16" s="1"/>
  <c r="V1233" i="16" s="1"/>
  <c r="W1233" i="16" s="1"/>
  <c r="Y1233" i="16" s="1"/>
  <c r="H1232" i="16"/>
  <c r="J1232" i="16" s="1"/>
  <c r="V1232" i="16" s="1"/>
  <c r="W1232" i="16" s="1"/>
  <c r="Y1232" i="16" s="1"/>
  <c r="H1231" i="16"/>
  <c r="J1231" i="16" s="1"/>
  <c r="V1231" i="16" s="1"/>
  <c r="W1231" i="16" s="1"/>
  <c r="Y1231" i="16" s="1"/>
  <c r="H1230" i="16"/>
  <c r="J1230" i="16" s="1"/>
  <c r="V1230" i="16" s="1"/>
  <c r="W1230" i="16" s="1"/>
  <c r="Y1230" i="16" s="1"/>
  <c r="H1229" i="16"/>
  <c r="J1229" i="16" s="1"/>
  <c r="V1229" i="16" s="1"/>
  <c r="W1229" i="16" s="1"/>
  <c r="Y1229" i="16" s="1"/>
  <c r="H1228" i="16"/>
  <c r="J1228" i="16" s="1"/>
  <c r="V1228" i="16" s="1"/>
  <c r="W1228" i="16" s="1"/>
  <c r="Y1228" i="16" s="1"/>
  <c r="H1227" i="16"/>
  <c r="J1227" i="16" s="1"/>
  <c r="V1227" i="16" s="1"/>
  <c r="W1227" i="16" s="1"/>
  <c r="Y1227" i="16" s="1"/>
  <c r="H1226" i="16"/>
  <c r="J1226" i="16" s="1"/>
  <c r="V1226" i="16" s="1"/>
  <c r="W1226" i="16" s="1"/>
  <c r="Y1226" i="16" s="1"/>
  <c r="H1225" i="16"/>
  <c r="J1225" i="16" s="1"/>
  <c r="V1225" i="16" s="1"/>
  <c r="W1225" i="16" s="1"/>
  <c r="Y1225" i="16" s="1"/>
  <c r="H1224" i="16"/>
  <c r="J1224" i="16" s="1"/>
  <c r="V1224" i="16" s="1"/>
  <c r="W1224" i="16" s="1"/>
  <c r="Y1224" i="16" s="1"/>
  <c r="H1223" i="16"/>
  <c r="J1223" i="16" s="1"/>
  <c r="V1223" i="16" s="1"/>
  <c r="W1223" i="16" s="1"/>
  <c r="Y1223" i="16" s="1"/>
  <c r="H1222" i="16"/>
  <c r="J1222" i="16" s="1"/>
  <c r="V1222" i="16" s="1"/>
  <c r="W1222" i="16" s="1"/>
  <c r="Y1222" i="16" s="1"/>
  <c r="H1221" i="16"/>
  <c r="J1221" i="16" s="1"/>
  <c r="V1221" i="16" s="1"/>
  <c r="W1221" i="16" s="1"/>
  <c r="Y1221" i="16" s="1"/>
  <c r="H1220" i="16"/>
  <c r="J1220" i="16" s="1"/>
  <c r="V1220" i="16" s="1"/>
  <c r="W1220" i="16" s="1"/>
  <c r="Y1220" i="16" s="1"/>
  <c r="H1219" i="16"/>
  <c r="J1219" i="16" s="1"/>
  <c r="V1219" i="16" s="1"/>
  <c r="W1219" i="16" s="1"/>
  <c r="Y1219" i="16" s="1"/>
  <c r="H1218" i="16"/>
  <c r="J1218" i="16" s="1"/>
  <c r="V1218" i="16" s="1"/>
  <c r="W1218" i="16" s="1"/>
  <c r="Y1218" i="16" s="1"/>
  <c r="H1217" i="16"/>
  <c r="J1217" i="16" s="1"/>
  <c r="V1217" i="16" s="1"/>
  <c r="W1217" i="16" s="1"/>
  <c r="Y1217" i="16" s="1"/>
  <c r="H1216" i="16"/>
  <c r="J1216" i="16" s="1"/>
  <c r="V1216" i="16" s="1"/>
  <c r="W1216" i="16" s="1"/>
  <c r="Y1216" i="16" s="1"/>
  <c r="H1215" i="16"/>
  <c r="J1215" i="16" s="1"/>
  <c r="V1215" i="16" s="1"/>
  <c r="W1215" i="16" s="1"/>
  <c r="Y1215" i="16" s="1"/>
  <c r="R1213" i="16"/>
  <c r="T1213" i="16" s="1"/>
  <c r="R1212" i="16"/>
  <c r="R1211" i="16"/>
  <c r="T1211" i="16" s="1"/>
  <c r="H1210" i="16"/>
  <c r="J1210" i="16" s="1"/>
  <c r="R1208" i="16"/>
  <c r="R1207" i="16"/>
  <c r="R1206" i="16"/>
  <c r="T1206" i="16" s="1"/>
  <c r="H1206" i="16"/>
  <c r="J1206" i="16" s="1"/>
  <c r="R1205" i="16"/>
  <c r="T1205" i="16" s="1"/>
  <c r="J1205" i="16"/>
  <c r="R1204" i="16"/>
  <c r="J1204" i="16"/>
  <c r="J1203" i="16"/>
  <c r="V1203" i="16" s="1"/>
  <c r="W1203" i="16" s="1"/>
  <c r="Y1203" i="16" s="1"/>
  <c r="H1202" i="16"/>
  <c r="J1202" i="16" s="1"/>
  <c r="J1201" i="16"/>
  <c r="H1199" i="16"/>
  <c r="J1199" i="16" s="1"/>
  <c r="V1199" i="16" s="1"/>
  <c r="W1199" i="16" s="1"/>
  <c r="Y1199" i="16" s="1"/>
  <c r="H1198" i="16"/>
  <c r="J1198" i="16" s="1"/>
  <c r="V1198" i="16" s="1"/>
  <c r="W1198" i="16" s="1"/>
  <c r="Y1198" i="16" s="1"/>
  <c r="H1197" i="16"/>
  <c r="J1197" i="16" s="1"/>
  <c r="V1197" i="16" s="1"/>
  <c r="W1197" i="16" s="1"/>
  <c r="Y1197" i="16" s="1"/>
  <c r="H1196" i="16"/>
  <c r="J1196" i="16" s="1"/>
  <c r="V1196" i="16" s="1"/>
  <c r="W1196" i="16" s="1"/>
  <c r="Y1196" i="16" s="1"/>
  <c r="H1195" i="16"/>
  <c r="J1195" i="16" s="1"/>
  <c r="V1195" i="16" s="1"/>
  <c r="W1195" i="16" s="1"/>
  <c r="Y1195" i="16" s="1"/>
  <c r="H1194" i="16"/>
  <c r="J1194" i="16" s="1"/>
  <c r="V1194" i="16" s="1"/>
  <c r="W1194" i="16" s="1"/>
  <c r="Y1194" i="16" s="1"/>
  <c r="H1193" i="16"/>
  <c r="J1193" i="16" s="1"/>
  <c r="V1193" i="16" s="1"/>
  <c r="W1193" i="16" s="1"/>
  <c r="Y1193" i="16" s="1"/>
  <c r="H1192" i="16"/>
  <c r="J1192" i="16" s="1"/>
  <c r="V1192" i="16" s="1"/>
  <c r="W1192" i="16" s="1"/>
  <c r="Y1192" i="16" s="1"/>
  <c r="H1191" i="16"/>
  <c r="J1191" i="16" s="1"/>
  <c r="V1191" i="16" s="1"/>
  <c r="W1191" i="16" s="1"/>
  <c r="Y1191" i="16" s="1"/>
  <c r="H1190" i="16"/>
  <c r="J1190" i="16" s="1"/>
  <c r="V1190" i="16" s="1"/>
  <c r="W1190" i="16" s="1"/>
  <c r="Y1190" i="16" s="1"/>
  <c r="H1189" i="16"/>
  <c r="J1189" i="16" s="1"/>
  <c r="V1189" i="16" s="1"/>
  <c r="W1189" i="16" s="1"/>
  <c r="Y1189" i="16" s="1"/>
  <c r="H1188" i="16"/>
  <c r="J1188" i="16" s="1"/>
  <c r="V1188" i="16" s="1"/>
  <c r="W1188" i="16" s="1"/>
  <c r="Y1188" i="16" s="1"/>
  <c r="H1187" i="16"/>
  <c r="J1187" i="16" s="1"/>
  <c r="V1187" i="16" s="1"/>
  <c r="W1187" i="16" s="1"/>
  <c r="Y1187" i="16" s="1"/>
  <c r="H1186" i="16"/>
  <c r="J1186" i="16" s="1"/>
  <c r="V1186" i="16" s="1"/>
  <c r="W1186" i="16" s="1"/>
  <c r="Y1186" i="16" s="1"/>
  <c r="H1185" i="16"/>
  <c r="J1185" i="16" s="1"/>
  <c r="V1185" i="16" s="1"/>
  <c r="W1185" i="16" s="1"/>
  <c r="Y1185" i="16" s="1"/>
  <c r="H1184" i="16"/>
  <c r="J1184" i="16" s="1"/>
  <c r="V1184" i="16" s="1"/>
  <c r="W1184" i="16" s="1"/>
  <c r="Y1184" i="16" s="1"/>
  <c r="H1183" i="16"/>
  <c r="J1183" i="16" s="1"/>
  <c r="V1183" i="16" s="1"/>
  <c r="W1183" i="16" s="1"/>
  <c r="Y1183" i="16" s="1"/>
  <c r="H1182" i="16"/>
  <c r="J1182" i="16" s="1"/>
  <c r="V1182" i="16" s="1"/>
  <c r="W1182" i="16" s="1"/>
  <c r="Y1182" i="16" s="1"/>
  <c r="H1181" i="16"/>
  <c r="J1181" i="16" s="1"/>
  <c r="V1181" i="16" s="1"/>
  <c r="W1181" i="16" s="1"/>
  <c r="Y1181" i="16" s="1"/>
  <c r="H1180" i="16"/>
  <c r="J1180" i="16" s="1"/>
  <c r="V1180" i="16" s="1"/>
  <c r="W1180" i="16" s="1"/>
  <c r="Y1180" i="16" s="1"/>
  <c r="H1179" i="16"/>
  <c r="J1179" i="16" s="1"/>
  <c r="V1179" i="16" s="1"/>
  <c r="W1179" i="16" s="1"/>
  <c r="Y1179" i="16" s="1"/>
  <c r="H1178" i="16"/>
  <c r="J1178" i="16" s="1"/>
  <c r="V1178" i="16" s="1"/>
  <c r="W1178" i="16" s="1"/>
  <c r="Y1178" i="16" s="1"/>
  <c r="H1177" i="16"/>
  <c r="J1177" i="16" s="1"/>
  <c r="V1177" i="16" s="1"/>
  <c r="W1177" i="16" s="1"/>
  <c r="Y1177" i="16" s="1"/>
  <c r="H1176" i="16"/>
  <c r="J1176" i="16" s="1"/>
  <c r="V1176" i="16" s="1"/>
  <c r="W1176" i="16" s="1"/>
  <c r="Y1176" i="16" s="1"/>
  <c r="H1175" i="16"/>
  <c r="J1175" i="16" s="1"/>
  <c r="V1175" i="16" s="1"/>
  <c r="W1175" i="16" s="1"/>
  <c r="Y1175" i="16" s="1"/>
  <c r="H1174" i="16"/>
  <c r="J1174" i="16" s="1"/>
  <c r="V1174" i="16" s="1"/>
  <c r="W1174" i="16" s="1"/>
  <c r="Y1174" i="16" s="1"/>
  <c r="H1173" i="16"/>
  <c r="J1173" i="16" s="1"/>
  <c r="V1173" i="16" s="1"/>
  <c r="W1173" i="16" s="1"/>
  <c r="Y1173" i="16" s="1"/>
  <c r="H1172" i="16"/>
  <c r="J1172" i="16" s="1"/>
  <c r="V1172" i="16" s="1"/>
  <c r="W1172" i="16" s="1"/>
  <c r="Y1172" i="16" s="1"/>
  <c r="H1171" i="16"/>
  <c r="J1171" i="16" s="1"/>
  <c r="V1171" i="16" s="1"/>
  <c r="W1171" i="16" s="1"/>
  <c r="Y1171" i="16" s="1"/>
  <c r="H1170" i="16"/>
  <c r="J1170" i="16" s="1"/>
  <c r="V1170" i="16" s="1"/>
  <c r="W1170" i="16" s="1"/>
  <c r="Y1170" i="16" s="1"/>
  <c r="R1169" i="16"/>
  <c r="H1169" i="16"/>
  <c r="J1169" i="16" s="1"/>
  <c r="R1167" i="16"/>
  <c r="T1167" i="16" s="1"/>
  <c r="U1167" i="16" s="1"/>
  <c r="R1166" i="16"/>
  <c r="R1165" i="16"/>
  <c r="R1164" i="16"/>
  <c r="R1163" i="16"/>
  <c r="R1162" i="16"/>
  <c r="R1161" i="16"/>
  <c r="R1160" i="16"/>
  <c r="R1159" i="16"/>
  <c r="T1159" i="16" s="1"/>
  <c r="U1159" i="16" s="1"/>
  <c r="R1158" i="16"/>
  <c r="T1158" i="16" s="1"/>
  <c r="U1158" i="16" s="1"/>
  <c r="H1157" i="16"/>
  <c r="J1157" i="16" s="1"/>
  <c r="R1155" i="16"/>
  <c r="T1155" i="16" s="1"/>
  <c r="R1154" i="16"/>
  <c r="T1154" i="16" s="1"/>
  <c r="U1154" i="16" s="1"/>
  <c r="R1153" i="16"/>
  <c r="T1153" i="16" s="1"/>
  <c r="U1153" i="16" s="1"/>
  <c r="R1152" i="16"/>
  <c r="R1151" i="16"/>
  <c r="R1150" i="16"/>
  <c r="R1149" i="16"/>
  <c r="R1148" i="16"/>
  <c r="H1147" i="16"/>
  <c r="J1147" i="16" s="1"/>
  <c r="H1146" i="16"/>
  <c r="J1146" i="16" s="1"/>
  <c r="V1146" i="16" s="1"/>
  <c r="W1146" i="16" s="1"/>
  <c r="Y1146" i="16" s="1"/>
  <c r="H1145" i="16"/>
  <c r="J1145" i="16" s="1"/>
  <c r="V1145" i="16" s="1"/>
  <c r="W1145" i="16" s="1"/>
  <c r="Y1145" i="16" s="1"/>
  <c r="H1144" i="16"/>
  <c r="J1144" i="16" s="1"/>
  <c r="V1144" i="16" s="1"/>
  <c r="W1144" i="16" s="1"/>
  <c r="Y1144" i="16" s="1"/>
  <c r="H1143" i="16"/>
  <c r="J1143" i="16" s="1"/>
  <c r="V1143" i="16" s="1"/>
  <c r="W1143" i="16" s="1"/>
  <c r="Y1143" i="16" s="1"/>
  <c r="H1142" i="16"/>
  <c r="J1142" i="16" s="1"/>
  <c r="V1142" i="16" s="1"/>
  <c r="W1142" i="16" s="1"/>
  <c r="Y1142" i="16" s="1"/>
  <c r="H1141" i="16"/>
  <c r="J1141" i="16" s="1"/>
  <c r="V1141" i="16" s="1"/>
  <c r="W1141" i="16" s="1"/>
  <c r="Y1141" i="16" s="1"/>
  <c r="H1140" i="16"/>
  <c r="J1140" i="16" s="1"/>
  <c r="V1140" i="16" s="1"/>
  <c r="W1140" i="16" s="1"/>
  <c r="Y1140" i="16" s="1"/>
  <c r="R1138" i="16"/>
  <c r="R1137" i="16"/>
  <c r="H1137" i="16"/>
  <c r="J1137" i="16" s="1"/>
  <c r="H1136" i="16"/>
  <c r="J1136" i="16" s="1"/>
  <c r="V1136" i="16" s="1"/>
  <c r="W1136" i="16" s="1"/>
  <c r="Y1136" i="16" s="1"/>
  <c r="H1135" i="16"/>
  <c r="J1135" i="16" s="1"/>
  <c r="V1135" i="16" s="1"/>
  <c r="W1135" i="16" s="1"/>
  <c r="Y1135" i="16" s="1"/>
  <c r="H1134" i="16"/>
  <c r="J1134" i="16" s="1"/>
  <c r="V1134" i="16" s="1"/>
  <c r="W1134" i="16" s="1"/>
  <c r="Y1134" i="16" s="1"/>
  <c r="H1133" i="16"/>
  <c r="J1133" i="16" s="1"/>
  <c r="V1133" i="16" s="1"/>
  <c r="W1133" i="16" s="1"/>
  <c r="Y1133" i="16" s="1"/>
  <c r="R1118" i="16"/>
  <c r="T1118" i="16" s="1"/>
  <c r="U1118" i="16" s="1"/>
  <c r="R1117" i="16"/>
  <c r="T1117" i="16" s="1"/>
  <c r="R1116" i="16"/>
  <c r="T1116" i="16" s="1"/>
  <c r="R1115" i="16"/>
  <c r="T1115" i="16" s="1"/>
  <c r="R1114" i="16"/>
  <c r="T1114" i="16" s="1"/>
  <c r="U1114" i="16" s="1"/>
  <c r="R1113" i="16"/>
  <c r="R1112" i="16"/>
  <c r="T1112" i="16" s="1"/>
  <c r="R1111" i="16"/>
  <c r="T1111" i="16" s="1"/>
  <c r="R1110" i="16"/>
  <c r="T1110" i="16" s="1"/>
  <c r="U1110" i="16" s="1"/>
  <c r="R1109" i="16"/>
  <c r="T1109" i="16" s="1"/>
  <c r="R1108" i="16"/>
  <c r="T1108" i="16" s="1"/>
  <c r="R1107" i="16"/>
  <c r="R1106" i="16"/>
  <c r="T1106" i="16" s="1"/>
  <c r="U1106" i="16" s="1"/>
  <c r="R1105" i="16"/>
  <c r="R1104" i="16"/>
  <c r="T1104" i="16" s="1"/>
  <c r="R1103" i="16"/>
  <c r="R1102" i="16"/>
  <c r="T1102" i="16" s="1"/>
  <c r="U1102" i="16" s="1"/>
  <c r="R1101" i="16"/>
  <c r="T1101" i="16" s="1"/>
  <c r="R1100" i="16"/>
  <c r="T1100" i="16" s="1"/>
  <c r="H1099" i="16"/>
  <c r="J1099" i="16" s="1"/>
  <c r="J1098" i="16"/>
  <c r="V1098" i="16" s="1"/>
  <c r="W1098" i="16" s="1"/>
  <c r="Y1098" i="16" s="1"/>
  <c r="H1097" i="16"/>
  <c r="J1097" i="16" s="1"/>
  <c r="J1095" i="16"/>
  <c r="V1095" i="16" s="1"/>
  <c r="W1095" i="16" s="1"/>
  <c r="Y1095" i="16" s="1"/>
  <c r="J1093" i="16"/>
  <c r="V1093" i="16" s="1"/>
  <c r="W1093" i="16" s="1"/>
  <c r="Y1093" i="16" s="1"/>
  <c r="J1091" i="16"/>
  <c r="V1091" i="16" s="1"/>
  <c r="W1091" i="16" s="1"/>
  <c r="Y1091" i="16" s="1"/>
  <c r="J1089" i="16"/>
  <c r="V1089" i="16" s="1"/>
  <c r="W1089" i="16" s="1"/>
  <c r="Y1089" i="16" s="1"/>
  <c r="H1088" i="16"/>
  <c r="J1088" i="16" s="1"/>
  <c r="H1087" i="16"/>
  <c r="J1087" i="16" s="1"/>
  <c r="V1087" i="16" s="1"/>
  <c r="W1087" i="16" s="1"/>
  <c r="Y1087" i="16" s="1"/>
  <c r="H1086" i="16"/>
  <c r="J1086" i="16" s="1"/>
  <c r="V1086" i="16" s="1"/>
  <c r="W1086" i="16" s="1"/>
  <c r="Y1086" i="16" s="1"/>
  <c r="H1085" i="16"/>
  <c r="J1085" i="16" s="1"/>
  <c r="V1085" i="16" s="1"/>
  <c r="W1085" i="16" s="1"/>
  <c r="Y1085" i="16" s="1"/>
  <c r="J1084" i="16"/>
  <c r="V1084" i="16" s="1"/>
  <c r="W1084" i="16" s="1"/>
  <c r="Y1084" i="16" s="1"/>
  <c r="R1083" i="16"/>
  <c r="R1082" i="16"/>
  <c r="R1081" i="16"/>
  <c r="J1080" i="16"/>
  <c r="R1079" i="16"/>
  <c r="T1079" i="16" s="1"/>
  <c r="U1079" i="16" s="1"/>
  <c r="R1078" i="16"/>
  <c r="T1078" i="16" s="1"/>
  <c r="R1077" i="16"/>
  <c r="J1076" i="16"/>
  <c r="R1075" i="16"/>
  <c r="R1074" i="16"/>
  <c r="R1073" i="16"/>
  <c r="T1073" i="16" s="1"/>
  <c r="U1073" i="16" s="1"/>
  <c r="J1072" i="16"/>
  <c r="R1071" i="16"/>
  <c r="T1071" i="16" s="1"/>
  <c r="R1070" i="16"/>
  <c r="R1069" i="16"/>
  <c r="T1069" i="16" s="1"/>
  <c r="U1069" i="16" s="1"/>
  <c r="J1068" i="16"/>
  <c r="R1067" i="16"/>
  <c r="T1067" i="16" s="1"/>
  <c r="R1066" i="16"/>
  <c r="T1066" i="16" s="1"/>
  <c r="U1066" i="16" s="1"/>
  <c r="R1065" i="16"/>
  <c r="J1064" i="16"/>
  <c r="R1063" i="16"/>
  <c r="T1063" i="16" s="1"/>
  <c r="U1063" i="16" s="1"/>
  <c r="R1062" i="16"/>
  <c r="T1062" i="16" s="1"/>
  <c r="R1061" i="16"/>
  <c r="T1061" i="16" s="1"/>
  <c r="J1060" i="16"/>
  <c r="R1059" i="16"/>
  <c r="T1059" i="16" s="1"/>
  <c r="U1059" i="16" s="1"/>
  <c r="R1058" i="16"/>
  <c r="T1058" i="16" s="1"/>
  <c r="R1057" i="16"/>
  <c r="T1057" i="16" s="1"/>
  <c r="U1057" i="16" s="1"/>
  <c r="J1056" i="16"/>
  <c r="R1055" i="16"/>
  <c r="R1054" i="16"/>
  <c r="T1054" i="16" s="1"/>
  <c r="U1054" i="16" s="1"/>
  <c r="R1053" i="16"/>
  <c r="T1053" i="16" s="1"/>
  <c r="J1052" i="16"/>
  <c r="H1051" i="16"/>
  <c r="J1051" i="16" s="1"/>
  <c r="H1050" i="16"/>
  <c r="J1050" i="16" s="1"/>
  <c r="V1050" i="16" s="1"/>
  <c r="W1050" i="16" s="1"/>
  <c r="Y1050" i="16" s="1"/>
  <c r="H1049" i="16"/>
  <c r="J1049" i="16" s="1"/>
  <c r="V1049" i="16" s="1"/>
  <c r="W1049" i="16" s="1"/>
  <c r="Y1049" i="16" s="1"/>
  <c r="R1047" i="16"/>
  <c r="T1047" i="16" s="1"/>
  <c r="R1046" i="16"/>
  <c r="R1045" i="16"/>
  <c r="R1044" i="16"/>
  <c r="R1043" i="16"/>
  <c r="T1043" i="16" s="1"/>
  <c r="U1043" i="16" s="1"/>
  <c r="R1042" i="16"/>
  <c r="T1042" i="16" s="1"/>
  <c r="R1041" i="16"/>
  <c r="T1041" i="16" s="1"/>
  <c r="R1040" i="16"/>
  <c r="T1040" i="16" s="1"/>
  <c r="R1039" i="16"/>
  <c r="T1039" i="16" s="1"/>
  <c r="R1038" i="16"/>
  <c r="R1037" i="16"/>
  <c r="R1036" i="16"/>
  <c r="R1035" i="16"/>
  <c r="T1035" i="16" s="1"/>
  <c r="U1035" i="16" s="1"/>
  <c r="R1034" i="16"/>
  <c r="T1034" i="16" s="1"/>
  <c r="U1034" i="16" s="1"/>
  <c r="H1034" i="16"/>
  <c r="J1034" i="16" s="1"/>
  <c r="H1033" i="16"/>
  <c r="J1033" i="16" s="1"/>
  <c r="V1033" i="16" s="1"/>
  <c r="W1033" i="16" s="1"/>
  <c r="Y1033" i="16" s="1"/>
  <c r="R1031" i="16"/>
  <c r="T1031" i="16" s="1"/>
  <c r="U1031" i="16" s="1"/>
  <c r="R1030" i="16"/>
  <c r="T1030" i="16" s="1"/>
  <c r="U1030" i="16" s="1"/>
  <c r="R1029" i="16"/>
  <c r="T1029" i="16" s="1"/>
  <c r="R1028" i="16"/>
  <c r="T1028" i="16" s="1"/>
  <c r="R1027" i="16"/>
  <c r="T1027" i="16" s="1"/>
  <c r="R1026" i="16"/>
  <c r="R1025" i="16"/>
  <c r="H1024" i="16"/>
  <c r="J1024" i="16" s="1"/>
  <c r="R1022" i="16"/>
  <c r="T1022" i="16" s="1"/>
  <c r="U1022" i="16" s="1"/>
  <c r="R1021" i="16"/>
  <c r="H1020" i="16"/>
  <c r="J1020" i="16" s="1"/>
  <c r="R1017" i="16"/>
  <c r="H1017" i="16"/>
  <c r="J1017" i="16" s="1"/>
  <c r="H1016" i="16"/>
  <c r="J1016" i="16" s="1"/>
  <c r="R1015" i="16"/>
  <c r="H1015" i="16"/>
  <c r="J1015" i="16" s="1"/>
  <c r="R1014" i="16"/>
  <c r="H1014" i="16"/>
  <c r="J1014" i="16" s="1"/>
  <c r="R1013" i="16"/>
  <c r="T1013" i="16" s="1"/>
  <c r="U1013" i="16" s="1"/>
  <c r="H1013" i="16"/>
  <c r="J1013" i="16" s="1"/>
  <c r="R1012" i="16"/>
  <c r="H1012" i="16"/>
  <c r="J1012" i="16" s="1"/>
  <c r="R1009" i="16"/>
  <c r="J1009" i="16"/>
  <c r="R1008" i="16"/>
  <c r="T1008" i="16" s="1"/>
  <c r="H1008" i="16"/>
  <c r="J1008" i="16" s="1"/>
  <c r="R1007" i="16"/>
  <c r="H1007" i="16"/>
  <c r="J1007" i="16" s="1"/>
  <c r="R1004" i="16"/>
  <c r="T1004" i="16" s="1"/>
  <c r="J1004" i="16"/>
  <c r="H1003" i="16"/>
  <c r="J1003" i="16" s="1"/>
  <c r="R1002" i="16"/>
  <c r="T1002" i="16" s="1"/>
  <c r="U1002" i="16" s="1"/>
  <c r="H1002" i="16"/>
  <c r="J1002" i="16" s="1"/>
  <c r="R1001" i="16"/>
  <c r="H1001" i="16"/>
  <c r="J1001" i="16" s="1"/>
  <c r="R1000" i="16"/>
  <c r="H1000" i="16"/>
  <c r="J1000" i="16" s="1"/>
  <c r="R999" i="16"/>
  <c r="T999" i="16" s="1"/>
  <c r="H999" i="16"/>
  <c r="J999" i="16" s="1"/>
  <c r="R996" i="16"/>
  <c r="T996" i="16" s="1"/>
  <c r="H996" i="16"/>
  <c r="J996" i="16" s="1"/>
  <c r="R995" i="16"/>
  <c r="T995" i="16" s="1"/>
  <c r="U995" i="16" s="1"/>
  <c r="H995" i="16"/>
  <c r="J995" i="16" s="1"/>
  <c r="R992" i="16"/>
  <c r="J992" i="16"/>
  <c r="H991" i="16"/>
  <c r="J991" i="16" s="1"/>
  <c r="J990" i="16"/>
  <c r="V990" i="16" s="1"/>
  <c r="W990" i="16" s="1"/>
  <c r="Y990" i="16" s="1"/>
  <c r="H989" i="16"/>
  <c r="J989" i="16" s="1"/>
  <c r="V989" i="16" s="1"/>
  <c r="W989" i="16" s="1"/>
  <c r="Y989" i="16" s="1"/>
  <c r="H988" i="16"/>
  <c r="J988" i="16" s="1"/>
  <c r="V988" i="16" s="1"/>
  <c r="W988" i="16" s="1"/>
  <c r="Y988" i="16" s="1"/>
  <c r="H987" i="16"/>
  <c r="J987" i="16" s="1"/>
  <c r="V987" i="16" s="1"/>
  <c r="W987" i="16" s="1"/>
  <c r="Y987" i="16" s="1"/>
  <c r="H986" i="16"/>
  <c r="J986" i="16" s="1"/>
  <c r="V986" i="16" s="1"/>
  <c r="W986" i="16" s="1"/>
  <c r="Y986" i="16" s="1"/>
  <c r="H985" i="16"/>
  <c r="J985" i="16" s="1"/>
  <c r="V985" i="16" s="1"/>
  <c r="W985" i="16" s="1"/>
  <c r="Y985" i="16" s="1"/>
  <c r="H984" i="16"/>
  <c r="J984" i="16" s="1"/>
  <c r="V984" i="16" s="1"/>
  <c r="W984" i="16" s="1"/>
  <c r="Y984" i="16" s="1"/>
  <c r="H983" i="16"/>
  <c r="J983" i="16" s="1"/>
  <c r="V983" i="16" s="1"/>
  <c r="W983" i="16" s="1"/>
  <c r="Y983" i="16" s="1"/>
  <c r="H982" i="16"/>
  <c r="J982" i="16" s="1"/>
  <c r="V982" i="16" s="1"/>
  <c r="W982" i="16" s="1"/>
  <c r="Y982" i="16" s="1"/>
  <c r="H981" i="16"/>
  <c r="J981" i="16" s="1"/>
  <c r="V981" i="16" s="1"/>
  <c r="W981" i="16" s="1"/>
  <c r="Y981" i="16" s="1"/>
  <c r="R979" i="16"/>
  <c r="T979" i="16" s="1"/>
  <c r="R978" i="16"/>
  <c r="R977" i="16"/>
  <c r="T977" i="16" s="1"/>
  <c r="U977" i="16" s="1"/>
  <c r="R976" i="16"/>
  <c r="T976" i="16" s="1"/>
  <c r="R975" i="16"/>
  <c r="T975" i="16" s="1"/>
  <c r="U975" i="16" s="1"/>
  <c r="R974" i="16"/>
  <c r="T974" i="16" s="1"/>
  <c r="R973" i="16"/>
  <c r="T973" i="16" s="1"/>
  <c r="R972" i="16"/>
  <c r="T972" i="16" s="1"/>
  <c r="U972" i="16" s="1"/>
  <c r="R971" i="16"/>
  <c r="T971" i="16" s="1"/>
  <c r="R970" i="16"/>
  <c r="T970" i="16" s="1"/>
  <c r="R969" i="16"/>
  <c r="T969" i="16" s="1"/>
  <c r="U969" i="16" s="1"/>
  <c r="R968" i="16"/>
  <c r="T968" i="16" s="1"/>
  <c r="R967" i="16"/>
  <c r="T967" i="16" s="1"/>
  <c r="R966" i="16"/>
  <c r="R965" i="16"/>
  <c r="R964" i="16"/>
  <c r="R963" i="16"/>
  <c r="T963" i="16" s="1"/>
  <c r="R962" i="16"/>
  <c r="R961" i="16"/>
  <c r="T961" i="16" s="1"/>
  <c r="U961" i="16" s="1"/>
  <c r="R960" i="16"/>
  <c r="T960" i="16" s="1"/>
  <c r="R959" i="16"/>
  <c r="T959" i="16" s="1"/>
  <c r="U959" i="16" s="1"/>
  <c r="R958" i="16"/>
  <c r="T958" i="16" s="1"/>
  <c r="R957" i="16"/>
  <c r="T957" i="16" s="1"/>
  <c r="R956" i="16"/>
  <c r="T956" i="16" s="1"/>
  <c r="U956" i="16" s="1"/>
  <c r="R955" i="16"/>
  <c r="T955" i="16" s="1"/>
  <c r="R954" i="16"/>
  <c r="T954" i="16" s="1"/>
  <c r="R953" i="16"/>
  <c r="T953" i="16" s="1"/>
  <c r="U953" i="16" s="1"/>
  <c r="H952" i="16"/>
  <c r="J952" i="16" s="1"/>
  <c r="H951" i="16"/>
  <c r="J951" i="16" s="1"/>
  <c r="V951" i="16" s="1"/>
  <c r="W951" i="16" s="1"/>
  <c r="Y951" i="16" s="1"/>
  <c r="H950" i="16"/>
  <c r="J950" i="16" s="1"/>
  <c r="V950" i="16" s="1"/>
  <c r="W950" i="16" s="1"/>
  <c r="Y950" i="16" s="1"/>
  <c r="H949" i="16"/>
  <c r="J949" i="16" s="1"/>
  <c r="V949" i="16" s="1"/>
  <c r="W949" i="16" s="1"/>
  <c r="Y949" i="16" s="1"/>
  <c r="H948" i="16"/>
  <c r="J948" i="16" s="1"/>
  <c r="V948" i="16" s="1"/>
  <c r="W948" i="16" s="1"/>
  <c r="Y948" i="16" s="1"/>
  <c r="H947" i="16"/>
  <c r="J947" i="16" s="1"/>
  <c r="V947" i="16" s="1"/>
  <c r="W947" i="16" s="1"/>
  <c r="Y947" i="16" s="1"/>
  <c r="H946" i="16"/>
  <c r="J946" i="16" s="1"/>
  <c r="V946" i="16" s="1"/>
  <c r="W946" i="16" s="1"/>
  <c r="Y946" i="16" s="1"/>
  <c r="H945" i="16"/>
  <c r="J945" i="16" s="1"/>
  <c r="V945" i="16" s="1"/>
  <c r="W945" i="16" s="1"/>
  <c r="Y945" i="16" s="1"/>
  <c r="H944" i="16"/>
  <c r="J944" i="16" s="1"/>
  <c r="V944" i="16" s="1"/>
  <c r="W944" i="16" s="1"/>
  <c r="Y944" i="16" s="1"/>
  <c r="H943" i="16"/>
  <c r="J943" i="16" s="1"/>
  <c r="V943" i="16" s="1"/>
  <c r="W943" i="16" s="1"/>
  <c r="Y943" i="16" s="1"/>
  <c r="H942" i="16"/>
  <c r="J942" i="16" s="1"/>
  <c r="V942" i="16" s="1"/>
  <c r="W942" i="16" s="1"/>
  <c r="Y942" i="16" s="1"/>
  <c r="H941" i="16"/>
  <c r="J941" i="16" s="1"/>
  <c r="V941" i="16" s="1"/>
  <c r="W941" i="16" s="1"/>
  <c r="Y941" i="16" s="1"/>
  <c r="H940" i="16"/>
  <c r="J940" i="16" s="1"/>
  <c r="V940" i="16" s="1"/>
  <c r="W940" i="16" s="1"/>
  <c r="Y940" i="16" s="1"/>
  <c r="H939" i="16"/>
  <c r="J939" i="16" s="1"/>
  <c r="V939" i="16" s="1"/>
  <c r="W939" i="16" s="1"/>
  <c r="Y939" i="16" s="1"/>
  <c r="H938" i="16"/>
  <c r="J938" i="16" s="1"/>
  <c r="V938" i="16" s="1"/>
  <c r="W938" i="16" s="1"/>
  <c r="Y938" i="16" s="1"/>
  <c r="H937" i="16"/>
  <c r="J937" i="16" s="1"/>
  <c r="V937" i="16" s="1"/>
  <c r="W937" i="16" s="1"/>
  <c r="Y937" i="16" s="1"/>
  <c r="H936" i="16"/>
  <c r="J936" i="16" s="1"/>
  <c r="V936" i="16" s="1"/>
  <c r="W936" i="16" s="1"/>
  <c r="Y936" i="16" s="1"/>
  <c r="H935" i="16"/>
  <c r="J935" i="16" s="1"/>
  <c r="V935" i="16" s="1"/>
  <c r="W935" i="16" s="1"/>
  <c r="Y935" i="16" s="1"/>
  <c r="H934" i="16"/>
  <c r="J934" i="16" s="1"/>
  <c r="V934" i="16" s="1"/>
  <c r="W934" i="16" s="1"/>
  <c r="Y934" i="16" s="1"/>
  <c r="H933" i="16"/>
  <c r="J933" i="16" s="1"/>
  <c r="V933" i="16" s="1"/>
  <c r="W933" i="16" s="1"/>
  <c r="Y933" i="16" s="1"/>
  <c r="H932" i="16"/>
  <c r="J932" i="16" s="1"/>
  <c r="V932" i="16" s="1"/>
  <c r="W932" i="16" s="1"/>
  <c r="Y932" i="16" s="1"/>
  <c r="H931" i="16"/>
  <c r="J931" i="16" s="1"/>
  <c r="V931" i="16" s="1"/>
  <c r="W931" i="16" s="1"/>
  <c r="Y931" i="16" s="1"/>
  <c r="H930" i="16"/>
  <c r="J930" i="16" s="1"/>
  <c r="V930" i="16" s="1"/>
  <c r="W930" i="16" s="1"/>
  <c r="Y930" i="16" s="1"/>
  <c r="H929" i="16"/>
  <c r="J929" i="16" s="1"/>
  <c r="V929" i="16" s="1"/>
  <c r="W929" i="16" s="1"/>
  <c r="Y929" i="16" s="1"/>
  <c r="H928" i="16"/>
  <c r="J928" i="16" s="1"/>
  <c r="V928" i="16" s="1"/>
  <c r="W928" i="16" s="1"/>
  <c r="Y928" i="16" s="1"/>
  <c r="H927" i="16"/>
  <c r="J927" i="16" s="1"/>
  <c r="V927" i="16" s="1"/>
  <c r="W927" i="16" s="1"/>
  <c r="Y927" i="16" s="1"/>
  <c r="H926" i="16"/>
  <c r="J926" i="16" s="1"/>
  <c r="V926" i="16" s="1"/>
  <c r="W926" i="16" s="1"/>
  <c r="Y926" i="16" s="1"/>
  <c r="H925" i="16"/>
  <c r="J925" i="16" s="1"/>
  <c r="V925" i="16" s="1"/>
  <c r="W925" i="16" s="1"/>
  <c r="Y925" i="16" s="1"/>
  <c r="H924" i="16"/>
  <c r="J924" i="16" s="1"/>
  <c r="V924" i="16" s="1"/>
  <c r="W924" i="16" s="1"/>
  <c r="Y924" i="16" s="1"/>
  <c r="H923" i="16"/>
  <c r="J923" i="16" s="1"/>
  <c r="V923" i="16" s="1"/>
  <c r="W923" i="16" s="1"/>
  <c r="Y923" i="16" s="1"/>
  <c r="H922" i="16"/>
  <c r="J922" i="16" s="1"/>
  <c r="V922" i="16" s="1"/>
  <c r="W922" i="16" s="1"/>
  <c r="Y922" i="16" s="1"/>
  <c r="H921" i="16"/>
  <c r="J921" i="16" s="1"/>
  <c r="V921" i="16" s="1"/>
  <c r="W921" i="16" s="1"/>
  <c r="Y921" i="16" s="1"/>
  <c r="H920" i="16"/>
  <c r="J920" i="16" s="1"/>
  <c r="V920" i="16" s="1"/>
  <c r="W920" i="16" s="1"/>
  <c r="Y920" i="16" s="1"/>
  <c r="H919" i="16"/>
  <c r="J919" i="16" s="1"/>
  <c r="V919" i="16" s="1"/>
  <c r="W919" i="16" s="1"/>
  <c r="Y919" i="16" s="1"/>
  <c r="H918" i="16"/>
  <c r="J918" i="16" s="1"/>
  <c r="V918" i="16" s="1"/>
  <c r="W918" i="16" s="1"/>
  <c r="Y918" i="16" s="1"/>
  <c r="H917" i="16"/>
  <c r="J917" i="16" s="1"/>
  <c r="V917" i="16" s="1"/>
  <c r="W917" i="16" s="1"/>
  <c r="Y917" i="16" s="1"/>
  <c r="H916" i="16"/>
  <c r="J916" i="16" s="1"/>
  <c r="V916" i="16" s="1"/>
  <c r="W916" i="16" s="1"/>
  <c r="Y916" i="16" s="1"/>
  <c r="R914" i="16"/>
  <c r="T914" i="16" s="1"/>
  <c r="R913" i="16"/>
  <c r="T913" i="16" s="1"/>
  <c r="R912" i="16"/>
  <c r="T912" i="16" s="1"/>
  <c r="U912" i="16" s="1"/>
  <c r="R911" i="16"/>
  <c r="T911" i="16" s="1"/>
  <c r="R910" i="16"/>
  <c r="T910" i="16" s="1"/>
  <c r="U910" i="16" s="1"/>
  <c r="R909" i="16"/>
  <c r="T909" i="16" s="1"/>
  <c r="U909" i="16" s="1"/>
  <c r="R908" i="16"/>
  <c r="T908" i="16" s="1"/>
  <c r="R907" i="16"/>
  <c r="T907" i="16" s="1"/>
  <c r="R906" i="16"/>
  <c r="T906" i="16" s="1"/>
  <c r="H906" i="16"/>
  <c r="J906" i="16" s="1"/>
  <c r="H905" i="16"/>
  <c r="J905" i="16" s="1"/>
  <c r="V905" i="16" s="1"/>
  <c r="W905" i="16" s="1"/>
  <c r="Y905" i="16" s="1"/>
  <c r="H904" i="16"/>
  <c r="J904" i="16" s="1"/>
  <c r="V904" i="16" s="1"/>
  <c r="W904" i="16" s="1"/>
  <c r="Y904" i="16" s="1"/>
  <c r="H903" i="16"/>
  <c r="J903" i="16" s="1"/>
  <c r="V903" i="16" s="1"/>
  <c r="W903" i="16" s="1"/>
  <c r="Y903" i="16" s="1"/>
  <c r="H889" i="16"/>
  <c r="J889" i="16" s="1"/>
  <c r="H888" i="16"/>
  <c r="J888" i="16" s="1"/>
  <c r="V888" i="16" s="1"/>
  <c r="W888" i="16" s="1"/>
  <c r="Y888" i="16" s="1"/>
  <c r="H887" i="16"/>
  <c r="J887" i="16" s="1"/>
  <c r="V887" i="16" s="1"/>
  <c r="W887" i="16" s="1"/>
  <c r="Y887" i="16" s="1"/>
  <c r="H886" i="16"/>
  <c r="J886" i="16" s="1"/>
  <c r="V886" i="16" s="1"/>
  <c r="W886" i="16" s="1"/>
  <c r="Y886" i="16" s="1"/>
  <c r="H885" i="16"/>
  <c r="J885" i="16" s="1"/>
  <c r="V885" i="16" s="1"/>
  <c r="W885" i="16" s="1"/>
  <c r="Y885" i="16" s="1"/>
  <c r="H884" i="16"/>
  <c r="J884" i="16" s="1"/>
  <c r="V884" i="16" s="1"/>
  <c r="W884" i="16" s="1"/>
  <c r="Y884" i="16" s="1"/>
  <c r="H883" i="16"/>
  <c r="J883" i="16" s="1"/>
  <c r="V883" i="16" s="1"/>
  <c r="W883" i="16" s="1"/>
  <c r="Y883" i="16" s="1"/>
  <c r="H882" i="16"/>
  <c r="J882" i="16" s="1"/>
  <c r="V882" i="16" s="1"/>
  <c r="W882" i="16" s="1"/>
  <c r="Y882" i="16" s="1"/>
  <c r="H881" i="16"/>
  <c r="J881" i="16" s="1"/>
  <c r="V881" i="16" s="1"/>
  <c r="W881" i="16" s="1"/>
  <c r="Y881" i="16" s="1"/>
  <c r="R879" i="16"/>
  <c r="T879" i="16" s="1"/>
  <c r="U879" i="16" s="1"/>
  <c r="R878" i="16"/>
  <c r="T878" i="16" s="1"/>
  <c r="H878" i="16"/>
  <c r="J878" i="16" s="1"/>
  <c r="R876" i="16"/>
  <c r="T876" i="16" s="1"/>
  <c r="U876" i="16" s="1"/>
  <c r="R875" i="16"/>
  <c r="T875" i="16" s="1"/>
  <c r="R874" i="16"/>
  <c r="T874" i="16" s="1"/>
  <c r="R873" i="16"/>
  <c r="R872" i="16"/>
  <c r="T872" i="16" s="1"/>
  <c r="U872" i="16" s="1"/>
  <c r="R871" i="16"/>
  <c r="R870" i="16"/>
  <c r="T870" i="16" s="1"/>
  <c r="R869" i="16"/>
  <c r="R868" i="16"/>
  <c r="T868" i="16" s="1"/>
  <c r="U868" i="16" s="1"/>
  <c r="H868" i="16"/>
  <c r="J868" i="16" s="1"/>
  <c r="H867" i="16"/>
  <c r="J867" i="16" s="1"/>
  <c r="V867" i="16" s="1"/>
  <c r="W867" i="16" s="1"/>
  <c r="Y867" i="16" s="1"/>
  <c r="H866" i="16"/>
  <c r="J866" i="16" s="1"/>
  <c r="V866" i="16" s="1"/>
  <c r="W866" i="16" s="1"/>
  <c r="Y866" i="16" s="1"/>
  <c r="H865" i="16"/>
  <c r="J865" i="16" s="1"/>
  <c r="V865" i="16" s="1"/>
  <c r="W865" i="16" s="1"/>
  <c r="Y865" i="16" s="1"/>
  <c r="H864" i="16"/>
  <c r="J864" i="16" s="1"/>
  <c r="V864" i="16" s="1"/>
  <c r="W864" i="16" s="1"/>
  <c r="Y864" i="16" s="1"/>
  <c r="H863" i="16"/>
  <c r="J863" i="16" s="1"/>
  <c r="V863" i="16" s="1"/>
  <c r="W863" i="16" s="1"/>
  <c r="Y863" i="16" s="1"/>
  <c r="H862" i="16"/>
  <c r="J862" i="16" s="1"/>
  <c r="V862" i="16" s="1"/>
  <c r="W862" i="16" s="1"/>
  <c r="Y862" i="16" s="1"/>
  <c r="H861" i="16"/>
  <c r="J861" i="16" s="1"/>
  <c r="V861" i="16" s="1"/>
  <c r="W861" i="16" s="1"/>
  <c r="Y861" i="16" s="1"/>
  <c r="H860" i="16"/>
  <c r="J860" i="16" s="1"/>
  <c r="V860" i="16" s="1"/>
  <c r="W860" i="16" s="1"/>
  <c r="Y860" i="16" s="1"/>
  <c r="H859" i="16"/>
  <c r="J859" i="16" s="1"/>
  <c r="V859" i="16" s="1"/>
  <c r="W859" i="16" s="1"/>
  <c r="Y859" i="16" s="1"/>
  <c r="H858" i="16"/>
  <c r="J858" i="16" s="1"/>
  <c r="V858" i="16" s="1"/>
  <c r="W858" i="16" s="1"/>
  <c r="Y858" i="16" s="1"/>
  <c r="H857" i="16"/>
  <c r="J857" i="16" s="1"/>
  <c r="V857" i="16" s="1"/>
  <c r="W857" i="16" s="1"/>
  <c r="Y857" i="16" s="1"/>
  <c r="H856" i="16"/>
  <c r="J856" i="16" s="1"/>
  <c r="V856" i="16" s="1"/>
  <c r="W856" i="16" s="1"/>
  <c r="Y856" i="16" s="1"/>
  <c r="H855" i="16"/>
  <c r="J855" i="16" s="1"/>
  <c r="V855" i="16" s="1"/>
  <c r="W855" i="16" s="1"/>
  <c r="Y855" i="16" s="1"/>
  <c r="H854" i="16"/>
  <c r="J854" i="16" s="1"/>
  <c r="V854" i="16" s="1"/>
  <c r="W854" i="16" s="1"/>
  <c r="Y854" i="16" s="1"/>
  <c r="H853" i="16"/>
  <c r="J853" i="16" s="1"/>
  <c r="V853" i="16" s="1"/>
  <c r="W853" i="16" s="1"/>
  <c r="Y853" i="16" s="1"/>
  <c r="H852" i="16"/>
  <c r="J852" i="16" s="1"/>
  <c r="V852" i="16" s="1"/>
  <c r="W852" i="16" s="1"/>
  <c r="Y852" i="16" s="1"/>
  <c r="H851" i="16"/>
  <c r="J851" i="16" s="1"/>
  <c r="V851" i="16" s="1"/>
  <c r="W851" i="16" s="1"/>
  <c r="Y851" i="16" s="1"/>
  <c r="H850" i="16"/>
  <c r="J850" i="16" s="1"/>
  <c r="V850" i="16" s="1"/>
  <c r="W850" i="16" s="1"/>
  <c r="Y850" i="16" s="1"/>
  <c r="H849" i="16"/>
  <c r="J849" i="16" s="1"/>
  <c r="V849" i="16" s="1"/>
  <c r="W849" i="16" s="1"/>
  <c r="Y849" i="16" s="1"/>
  <c r="H848" i="16"/>
  <c r="J848" i="16" s="1"/>
  <c r="V848" i="16" s="1"/>
  <c r="W848" i="16" s="1"/>
  <c r="Y848" i="16" s="1"/>
  <c r="H847" i="16"/>
  <c r="J847" i="16" s="1"/>
  <c r="V847" i="16" s="1"/>
  <c r="W847" i="16" s="1"/>
  <c r="Y847" i="16" s="1"/>
  <c r="H846" i="16"/>
  <c r="J846" i="16" s="1"/>
  <c r="V846" i="16" s="1"/>
  <c r="W846" i="16" s="1"/>
  <c r="Y846" i="16" s="1"/>
  <c r="H845" i="16"/>
  <c r="J845" i="16" s="1"/>
  <c r="V845" i="16" s="1"/>
  <c r="W845" i="16" s="1"/>
  <c r="Y845" i="16" s="1"/>
  <c r="H844" i="16"/>
  <c r="J844" i="16" s="1"/>
  <c r="V844" i="16" s="1"/>
  <c r="W844" i="16" s="1"/>
  <c r="Y844" i="16" s="1"/>
  <c r="H843" i="16"/>
  <c r="J843" i="16" s="1"/>
  <c r="V843" i="16" s="1"/>
  <c r="W843" i="16" s="1"/>
  <c r="Y843" i="16" s="1"/>
  <c r="H842" i="16"/>
  <c r="J842" i="16" s="1"/>
  <c r="V842" i="16" s="1"/>
  <c r="W842" i="16" s="1"/>
  <c r="Y842" i="16" s="1"/>
  <c r="H841" i="16"/>
  <c r="J841" i="16" s="1"/>
  <c r="V841" i="16" s="1"/>
  <c r="W841" i="16" s="1"/>
  <c r="Y841" i="16" s="1"/>
  <c r="H840" i="16"/>
  <c r="J840" i="16" s="1"/>
  <c r="V840" i="16" s="1"/>
  <c r="W840" i="16" s="1"/>
  <c r="Y840" i="16" s="1"/>
  <c r="H839" i="16"/>
  <c r="J839" i="16" s="1"/>
  <c r="V839" i="16" s="1"/>
  <c r="W839" i="16" s="1"/>
  <c r="Y839" i="16" s="1"/>
  <c r="H838" i="16"/>
  <c r="J838" i="16" s="1"/>
  <c r="V838" i="16" s="1"/>
  <c r="W838" i="16" s="1"/>
  <c r="Y838" i="16" s="1"/>
  <c r="H837" i="16"/>
  <c r="J837" i="16" s="1"/>
  <c r="V837" i="16" s="1"/>
  <c r="W837" i="16" s="1"/>
  <c r="Y837" i="16" s="1"/>
  <c r="H836" i="16"/>
  <c r="J836" i="16" s="1"/>
  <c r="V836" i="16" s="1"/>
  <c r="W836" i="16" s="1"/>
  <c r="Y836" i="16" s="1"/>
  <c r="H835" i="16"/>
  <c r="J835" i="16" s="1"/>
  <c r="V835" i="16" s="1"/>
  <c r="W835" i="16" s="1"/>
  <c r="Y835" i="16" s="1"/>
  <c r="H834" i="16"/>
  <c r="J834" i="16" s="1"/>
  <c r="V834" i="16" s="1"/>
  <c r="W834" i="16" s="1"/>
  <c r="Y834" i="16" s="1"/>
  <c r="H833" i="16"/>
  <c r="J833" i="16" s="1"/>
  <c r="V833" i="16" s="1"/>
  <c r="W833" i="16" s="1"/>
  <c r="Y833" i="16" s="1"/>
  <c r="H832" i="16"/>
  <c r="J832" i="16" s="1"/>
  <c r="V832" i="16" s="1"/>
  <c r="W832" i="16" s="1"/>
  <c r="Y832" i="16" s="1"/>
  <c r="H831" i="16"/>
  <c r="J831" i="16" s="1"/>
  <c r="V831" i="16" s="1"/>
  <c r="W831" i="16" s="1"/>
  <c r="Y831" i="16" s="1"/>
  <c r="H830" i="16"/>
  <c r="J830" i="16" s="1"/>
  <c r="V830" i="16" s="1"/>
  <c r="W830" i="16" s="1"/>
  <c r="Y830" i="16" s="1"/>
  <c r="H829" i="16"/>
  <c r="J829" i="16" s="1"/>
  <c r="V829" i="16" s="1"/>
  <c r="W829" i="16" s="1"/>
  <c r="Y829" i="16" s="1"/>
  <c r="H828" i="16"/>
  <c r="J828" i="16" s="1"/>
  <c r="V828" i="16" s="1"/>
  <c r="W828" i="16" s="1"/>
  <c r="Y828" i="16" s="1"/>
  <c r="H827" i="16"/>
  <c r="J827" i="16" s="1"/>
  <c r="V827" i="16" s="1"/>
  <c r="W827" i="16" s="1"/>
  <c r="Y827" i="16" s="1"/>
  <c r="H826" i="16"/>
  <c r="J826" i="16" s="1"/>
  <c r="V826" i="16" s="1"/>
  <c r="W826" i="16" s="1"/>
  <c r="Y826" i="16" s="1"/>
  <c r="H825" i="16"/>
  <c r="J825" i="16" s="1"/>
  <c r="V825" i="16" s="1"/>
  <c r="W825" i="16" s="1"/>
  <c r="Y825" i="16" s="1"/>
  <c r="H824" i="16"/>
  <c r="J824" i="16" s="1"/>
  <c r="V824" i="16" s="1"/>
  <c r="W824" i="16" s="1"/>
  <c r="Y824" i="16" s="1"/>
  <c r="H823" i="16"/>
  <c r="J823" i="16" s="1"/>
  <c r="V823" i="16" s="1"/>
  <c r="W823" i="16" s="1"/>
  <c r="Y823" i="16" s="1"/>
  <c r="H822" i="16"/>
  <c r="J822" i="16" s="1"/>
  <c r="V822" i="16" s="1"/>
  <c r="W822" i="16" s="1"/>
  <c r="Y822" i="16" s="1"/>
  <c r="H821" i="16"/>
  <c r="J821" i="16" s="1"/>
  <c r="V821" i="16" s="1"/>
  <c r="W821" i="16" s="1"/>
  <c r="Y821" i="16" s="1"/>
  <c r="H820" i="16"/>
  <c r="J820" i="16" s="1"/>
  <c r="V820" i="16" s="1"/>
  <c r="W820" i="16" s="1"/>
  <c r="Y820" i="16" s="1"/>
  <c r="H819" i="16"/>
  <c r="J819" i="16" s="1"/>
  <c r="V819" i="16" s="1"/>
  <c r="W819" i="16" s="1"/>
  <c r="Y819" i="16" s="1"/>
  <c r="H818" i="16"/>
  <c r="J818" i="16" s="1"/>
  <c r="V818" i="16" s="1"/>
  <c r="W818" i="16" s="1"/>
  <c r="Y818" i="16" s="1"/>
  <c r="H817" i="16"/>
  <c r="J817" i="16" s="1"/>
  <c r="V817" i="16" s="1"/>
  <c r="W817" i="16" s="1"/>
  <c r="Y817" i="16" s="1"/>
  <c r="H816" i="16"/>
  <c r="J816" i="16" s="1"/>
  <c r="V816" i="16" s="1"/>
  <c r="W816" i="16" s="1"/>
  <c r="Y816" i="16" s="1"/>
  <c r="H815" i="16"/>
  <c r="J815" i="16" s="1"/>
  <c r="V815" i="16" s="1"/>
  <c r="W815" i="16" s="1"/>
  <c r="Y815" i="16" s="1"/>
  <c r="H814" i="16"/>
  <c r="J814" i="16" s="1"/>
  <c r="V814" i="16" s="1"/>
  <c r="W814" i="16" s="1"/>
  <c r="Y814" i="16" s="1"/>
  <c r="H813" i="16"/>
  <c r="J813" i="16" s="1"/>
  <c r="V813" i="16" s="1"/>
  <c r="W813" i="16" s="1"/>
  <c r="Y813" i="16" s="1"/>
  <c r="H812" i="16"/>
  <c r="J812" i="16" s="1"/>
  <c r="V812" i="16" s="1"/>
  <c r="W812" i="16" s="1"/>
  <c r="Y812" i="16" s="1"/>
  <c r="H811" i="16"/>
  <c r="J811" i="16" s="1"/>
  <c r="V811" i="16" s="1"/>
  <c r="W811" i="16" s="1"/>
  <c r="Y811" i="16" s="1"/>
  <c r="H810" i="16"/>
  <c r="J810" i="16" s="1"/>
  <c r="V810" i="16" s="1"/>
  <c r="W810" i="16" s="1"/>
  <c r="Y810" i="16" s="1"/>
  <c r="H809" i="16"/>
  <c r="J809" i="16" s="1"/>
  <c r="V809" i="16" s="1"/>
  <c r="W809" i="16" s="1"/>
  <c r="Y809" i="16" s="1"/>
  <c r="H808" i="16"/>
  <c r="J808" i="16" s="1"/>
  <c r="V808" i="16" s="1"/>
  <c r="W808" i="16" s="1"/>
  <c r="Y808" i="16" s="1"/>
  <c r="H807" i="16"/>
  <c r="J807" i="16" s="1"/>
  <c r="V807" i="16" s="1"/>
  <c r="W807" i="16" s="1"/>
  <c r="Y807" i="16" s="1"/>
  <c r="H806" i="16"/>
  <c r="J806" i="16" s="1"/>
  <c r="V806" i="16" s="1"/>
  <c r="W806" i="16" s="1"/>
  <c r="Y806" i="16" s="1"/>
  <c r="H805" i="16"/>
  <c r="J805" i="16" s="1"/>
  <c r="V805" i="16" s="1"/>
  <c r="W805" i="16" s="1"/>
  <c r="Y805" i="16" s="1"/>
  <c r="H804" i="16"/>
  <c r="J804" i="16" s="1"/>
  <c r="V804" i="16" s="1"/>
  <c r="W804" i="16" s="1"/>
  <c r="Y804" i="16" s="1"/>
  <c r="H803" i="16"/>
  <c r="J803" i="16" s="1"/>
  <c r="V803" i="16" s="1"/>
  <c r="W803" i="16" s="1"/>
  <c r="Y803" i="16" s="1"/>
  <c r="H802" i="16"/>
  <c r="J802" i="16" s="1"/>
  <c r="V802" i="16" s="1"/>
  <c r="W802" i="16" s="1"/>
  <c r="Y802" i="16" s="1"/>
  <c r="H801" i="16"/>
  <c r="J801" i="16" s="1"/>
  <c r="V801" i="16" s="1"/>
  <c r="W801" i="16" s="1"/>
  <c r="Y801" i="16" s="1"/>
  <c r="H800" i="16"/>
  <c r="J800" i="16" s="1"/>
  <c r="V800" i="16" s="1"/>
  <c r="W800" i="16" s="1"/>
  <c r="Y800" i="16" s="1"/>
  <c r="H799" i="16"/>
  <c r="J799" i="16" s="1"/>
  <c r="V799" i="16" s="1"/>
  <c r="W799" i="16" s="1"/>
  <c r="Y799" i="16" s="1"/>
  <c r="H798" i="16"/>
  <c r="J798" i="16" s="1"/>
  <c r="V798" i="16" s="1"/>
  <c r="W798" i="16" s="1"/>
  <c r="Y798" i="16" s="1"/>
  <c r="H797" i="16"/>
  <c r="J797" i="16" s="1"/>
  <c r="V797" i="16" s="1"/>
  <c r="W797" i="16" s="1"/>
  <c r="Y797" i="16" s="1"/>
  <c r="H796" i="16"/>
  <c r="J796" i="16" s="1"/>
  <c r="V796" i="16" s="1"/>
  <c r="W796" i="16" s="1"/>
  <c r="Y796" i="16" s="1"/>
  <c r="H795" i="16"/>
  <c r="J795" i="16" s="1"/>
  <c r="V795" i="16" s="1"/>
  <c r="W795" i="16" s="1"/>
  <c r="Y795" i="16" s="1"/>
  <c r="H794" i="16"/>
  <c r="J794" i="16" s="1"/>
  <c r="V794" i="16" s="1"/>
  <c r="W794" i="16" s="1"/>
  <c r="Y794" i="16" s="1"/>
  <c r="H793" i="16"/>
  <c r="J793" i="16" s="1"/>
  <c r="V793" i="16" s="1"/>
  <c r="W793" i="16" s="1"/>
  <c r="Y793" i="16" s="1"/>
  <c r="H792" i="16"/>
  <c r="J792" i="16" s="1"/>
  <c r="V792" i="16" s="1"/>
  <c r="W792" i="16" s="1"/>
  <c r="Y792" i="16" s="1"/>
  <c r="H791" i="16"/>
  <c r="J791" i="16" s="1"/>
  <c r="V791" i="16" s="1"/>
  <c r="W791" i="16" s="1"/>
  <c r="Y791" i="16" s="1"/>
  <c r="H790" i="16"/>
  <c r="J790" i="16" s="1"/>
  <c r="V790" i="16" s="1"/>
  <c r="W790" i="16" s="1"/>
  <c r="Y790" i="16" s="1"/>
  <c r="H789" i="16"/>
  <c r="J789" i="16" s="1"/>
  <c r="V789" i="16" s="1"/>
  <c r="W789" i="16" s="1"/>
  <c r="Y789" i="16" s="1"/>
  <c r="H788" i="16"/>
  <c r="J788" i="16" s="1"/>
  <c r="V788" i="16" s="1"/>
  <c r="W788" i="16" s="1"/>
  <c r="Y788" i="16" s="1"/>
  <c r="H787" i="16"/>
  <c r="J787" i="16" s="1"/>
  <c r="V787" i="16" s="1"/>
  <c r="W787" i="16" s="1"/>
  <c r="Y787" i="16" s="1"/>
  <c r="H786" i="16"/>
  <c r="J786" i="16" s="1"/>
  <c r="V786" i="16" s="1"/>
  <c r="W786" i="16" s="1"/>
  <c r="Y786" i="16" s="1"/>
  <c r="H785" i="16"/>
  <c r="J785" i="16" s="1"/>
  <c r="V785" i="16" s="1"/>
  <c r="W785" i="16" s="1"/>
  <c r="Y785" i="16" s="1"/>
  <c r="H784" i="16"/>
  <c r="J784" i="16" s="1"/>
  <c r="V784" i="16" s="1"/>
  <c r="W784" i="16" s="1"/>
  <c r="Y784" i="16" s="1"/>
  <c r="H783" i="16"/>
  <c r="J783" i="16" s="1"/>
  <c r="V783" i="16" s="1"/>
  <c r="W783" i="16" s="1"/>
  <c r="Y783" i="16" s="1"/>
  <c r="H782" i="16"/>
  <c r="J782" i="16" s="1"/>
  <c r="V782" i="16" s="1"/>
  <c r="W782" i="16" s="1"/>
  <c r="Y782" i="16" s="1"/>
  <c r="H781" i="16"/>
  <c r="J781" i="16" s="1"/>
  <c r="V781" i="16" s="1"/>
  <c r="W781" i="16" s="1"/>
  <c r="Y781" i="16" s="1"/>
  <c r="H780" i="16"/>
  <c r="J780" i="16" s="1"/>
  <c r="V780" i="16" s="1"/>
  <c r="W780" i="16" s="1"/>
  <c r="Y780" i="16" s="1"/>
  <c r="H779" i="16"/>
  <c r="J779" i="16" s="1"/>
  <c r="V779" i="16" s="1"/>
  <c r="W779" i="16" s="1"/>
  <c r="Y779" i="16" s="1"/>
  <c r="H778" i="16"/>
  <c r="J778" i="16" s="1"/>
  <c r="V778" i="16" s="1"/>
  <c r="W778" i="16" s="1"/>
  <c r="Y778" i="16" s="1"/>
  <c r="H777" i="16"/>
  <c r="J777" i="16" s="1"/>
  <c r="V777" i="16" s="1"/>
  <c r="W777" i="16" s="1"/>
  <c r="Y777" i="16" s="1"/>
  <c r="H776" i="16"/>
  <c r="J776" i="16" s="1"/>
  <c r="V776" i="16" s="1"/>
  <c r="W776" i="16" s="1"/>
  <c r="Y776" i="16" s="1"/>
  <c r="H775" i="16"/>
  <c r="J775" i="16" s="1"/>
  <c r="V775" i="16" s="1"/>
  <c r="W775" i="16" s="1"/>
  <c r="Y775" i="16" s="1"/>
  <c r="H774" i="16"/>
  <c r="J774" i="16" s="1"/>
  <c r="V774" i="16" s="1"/>
  <c r="W774" i="16" s="1"/>
  <c r="Y774" i="16" s="1"/>
  <c r="H773" i="16"/>
  <c r="J773" i="16" s="1"/>
  <c r="V773" i="16" s="1"/>
  <c r="W773" i="16" s="1"/>
  <c r="Y773" i="16" s="1"/>
  <c r="H772" i="16"/>
  <c r="J772" i="16" s="1"/>
  <c r="V772" i="16" s="1"/>
  <c r="W772" i="16" s="1"/>
  <c r="Y772" i="16" s="1"/>
  <c r="H771" i="16"/>
  <c r="J771" i="16" s="1"/>
  <c r="V771" i="16" s="1"/>
  <c r="W771" i="16" s="1"/>
  <c r="Y771" i="16" s="1"/>
  <c r="H770" i="16"/>
  <c r="J770" i="16" s="1"/>
  <c r="V770" i="16" s="1"/>
  <c r="W770" i="16" s="1"/>
  <c r="Y770" i="16" s="1"/>
  <c r="H769" i="16"/>
  <c r="J769" i="16" s="1"/>
  <c r="V769" i="16" s="1"/>
  <c r="W769" i="16" s="1"/>
  <c r="Y769" i="16" s="1"/>
  <c r="H768" i="16"/>
  <c r="J768" i="16" s="1"/>
  <c r="V768" i="16" s="1"/>
  <c r="W768" i="16" s="1"/>
  <c r="Y768" i="16" s="1"/>
  <c r="H767" i="16"/>
  <c r="J767" i="16" s="1"/>
  <c r="V767" i="16" s="1"/>
  <c r="W767" i="16" s="1"/>
  <c r="Y767" i="16" s="1"/>
  <c r="H766" i="16"/>
  <c r="J766" i="16" s="1"/>
  <c r="V766" i="16" s="1"/>
  <c r="W766" i="16" s="1"/>
  <c r="Y766" i="16" s="1"/>
  <c r="H765" i="16"/>
  <c r="J765" i="16" s="1"/>
  <c r="V765" i="16" s="1"/>
  <c r="W765" i="16" s="1"/>
  <c r="Y765" i="16" s="1"/>
  <c r="H764" i="16"/>
  <c r="J764" i="16" s="1"/>
  <c r="V764" i="16" s="1"/>
  <c r="W764" i="16" s="1"/>
  <c r="Y764" i="16" s="1"/>
  <c r="H763" i="16"/>
  <c r="J763" i="16" s="1"/>
  <c r="V763" i="16" s="1"/>
  <c r="W763" i="16" s="1"/>
  <c r="Y763" i="16" s="1"/>
  <c r="H762" i="16"/>
  <c r="J762" i="16" s="1"/>
  <c r="V762" i="16" s="1"/>
  <c r="W762" i="16" s="1"/>
  <c r="Y762" i="16" s="1"/>
  <c r="H761" i="16"/>
  <c r="J761" i="16" s="1"/>
  <c r="V761" i="16" s="1"/>
  <c r="W761" i="16" s="1"/>
  <c r="Y761" i="16" s="1"/>
  <c r="H760" i="16"/>
  <c r="J760" i="16" s="1"/>
  <c r="V760" i="16" s="1"/>
  <c r="W760" i="16" s="1"/>
  <c r="Y760" i="16" s="1"/>
  <c r="H759" i="16"/>
  <c r="J759" i="16" s="1"/>
  <c r="V759" i="16" s="1"/>
  <c r="W759" i="16" s="1"/>
  <c r="Y759" i="16" s="1"/>
  <c r="H758" i="16"/>
  <c r="J758" i="16" s="1"/>
  <c r="V758" i="16" s="1"/>
  <c r="W758" i="16" s="1"/>
  <c r="Y758" i="16" s="1"/>
  <c r="H757" i="16"/>
  <c r="J757" i="16" s="1"/>
  <c r="V757" i="16" s="1"/>
  <c r="W757" i="16" s="1"/>
  <c r="Y757" i="16" s="1"/>
  <c r="H756" i="16"/>
  <c r="J756" i="16" s="1"/>
  <c r="V756" i="16" s="1"/>
  <c r="W756" i="16" s="1"/>
  <c r="Y756" i="16" s="1"/>
  <c r="H755" i="16"/>
  <c r="J755" i="16" s="1"/>
  <c r="V755" i="16" s="1"/>
  <c r="W755" i="16" s="1"/>
  <c r="Y755" i="16" s="1"/>
  <c r="H754" i="16"/>
  <c r="J754" i="16" s="1"/>
  <c r="V754" i="16" s="1"/>
  <c r="W754" i="16" s="1"/>
  <c r="Y754" i="16" s="1"/>
  <c r="H753" i="16"/>
  <c r="J753" i="16" s="1"/>
  <c r="V753" i="16" s="1"/>
  <c r="W753" i="16" s="1"/>
  <c r="Y753" i="16" s="1"/>
  <c r="H752" i="16"/>
  <c r="J752" i="16" s="1"/>
  <c r="V752" i="16" s="1"/>
  <c r="W752" i="16" s="1"/>
  <c r="Y752" i="16" s="1"/>
  <c r="H751" i="16"/>
  <c r="J751" i="16" s="1"/>
  <c r="V751" i="16" s="1"/>
  <c r="W751" i="16" s="1"/>
  <c r="Y751" i="16" s="1"/>
  <c r="H750" i="16"/>
  <c r="J750" i="16" s="1"/>
  <c r="V750" i="16" s="1"/>
  <c r="W750" i="16" s="1"/>
  <c r="Y750" i="16" s="1"/>
  <c r="H749" i="16"/>
  <c r="J749" i="16" s="1"/>
  <c r="V749" i="16" s="1"/>
  <c r="W749" i="16" s="1"/>
  <c r="Y749" i="16" s="1"/>
  <c r="H748" i="16"/>
  <c r="J748" i="16" s="1"/>
  <c r="V748" i="16" s="1"/>
  <c r="W748" i="16" s="1"/>
  <c r="Y748" i="16" s="1"/>
  <c r="H747" i="16"/>
  <c r="J747" i="16" s="1"/>
  <c r="V747" i="16" s="1"/>
  <c r="W747" i="16" s="1"/>
  <c r="Y747" i="16" s="1"/>
  <c r="H746" i="16"/>
  <c r="J746" i="16" s="1"/>
  <c r="V746" i="16" s="1"/>
  <c r="W746" i="16" s="1"/>
  <c r="Y746" i="16" s="1"/>
  <c r="H745" i="16"/>
  <c r="J745" i="16" s="1"/>
  <c r="V745" i="16" s="1"/>
  <c r="W745" i="16" s="1"/>
  <c r="Y745" i="16" s="1"/>
  <c r="H744" i="16"/>
  <c r="J744" i="16" s="1"/>
  <c r="V744" i="16" s="1"/>
  <c r="W744" i="16" s="1"/>
  <c r="Y744" i="16" s="1"/>
  <c r="H743" i="16"/>
  <c r="J743" i="16" s="1"/>
  <c r="V743" i="16" s="1"/>
  <c r="W743" i="16" s="1"/>
  <c r="Y743" i="16" s="1"/>
  <c r="H742" i="16"/>
  <c r="J742" i="16" s="1"/>
  <c r="V742" i="16" s="1"/>
  <c r="W742" i="16" s="1"/>
  <c r="Y742" i="16" s="1"/>
  <c r="H741" i="16"/>
  <c r="J741" i="16" s="1"/>
  <c r="V741" i="16" s="1"/>
  <c r="W741" i="16" s="1"/>
  <c r="Y741" i="16" s="1"/>
  <c r="H740" i="16"/>
  <c r="J740" i="16" s="1"/>
  <c r="V740" i="16" s="1"/>
  <c r="W740" i="16" s="1"/>
  <c r="Y740" i="16" s="1"/>
  <c r="H739" i="16"/>
  <c r="J739" i="16" s="1"/>
  <c r="V739" i="16" s="1"/>
  <c r="W739" i="16" s="1"/>
  <c r="Y739" i="16" s="1"/>
  <c r="H738" i="16"/>
  <c r="J738" i="16" s="1"/>
  <c r="V738" i="16" s="1"/>
  <c r="W738" i="16" s="1"/>
  <c r="Y738" i="16" s="1"/>
  <c r="H737" i="16"/>
  <c r="J737" i="16" s="1"/>
  <c r="V737" i="16" s="1"/>
  <c r="W737" i="16" s="1"/>
  <c r="Y737" i="16" s="1"/>
  <c r="H736" i="16"/>
  <c r="J736" i="16" s="1"/>
  <c r="V736" i="16" s="1"/>
  <c r="W736" i="16" s="1"/>
  <c r="Y736" i="16" s="1"/>
  <c r="H735" i="16"/>
  <c r="J735" i="16" s="1"/>
  <c r="V735" i="16" s="1"/>
  <c r="W735" i="16" s="1"/>
  <c r="Y735" i="16" s="1"/>
  <c r="H734" i="16"/>
  <c r="J734" i="16" s="1"/>
  <c r="V734" i="16" s="1"/>
  <c r="W734" i="16" s="1"/>
  <c r="Y734" i="16" s="1"/>
  <c r="H733" i="16"/>
  <c r="J733" i="16" s="1"/>
  <c r="V733" i="16" s="1"/>
  <c r="W733" i="16" s="1"/>
  <c r="Y733" i="16" s="1"/>
  <c r="H732" i="16"/>
  <c r="J732" i="16" s="1"/>
  <c r="V732" i="16" s="1"/>
  <c r="W732" i="16" s="1"/>
  <c r="Y732" i="16" s="1"/>
  <c r="H731" i="16"/>
  <c r="J731" i="16" s="1"/>
  <c r="V731" i="16" s="1"/>
  <c r="W731" i="16" s="1"/>
  <c r="Y731" i="16" s="1"/>
  <c r="H730" i="16"/>
  <c r="J730" i="16" s="1"/>
  <c r="V730" i="16" s="1"/>
  <c r="W730" i="16" s="1"/>
  <c r="Y730" i="16" s="1"/>
  <c r="H729" i="16"/>
  <c r="J729" i="16" s="1"/>
  <c r="V729" i="16" s="1"/>
  <c r="W729" i="16" s="1"/>
  <c r="Y729" i="16" s="1"/>
  <c r="H728" i="16"/>
  <c r="J728" i="16" s="1"/>
  <c r="V728" i="16" s="1"/>
  <c r="W728" i="16" s="1"/>
  <c r="Y728" i="16" s="1"/>
  <c r="H727" i="16"/>
  <c r="J727" i="16" s="1"/>
  <c r="V727" i="16" s="1"/>
  <c r="W727" i="16" s="1"/>
  <c r="Y727" i="16" s="1"/>
  <c r="H726" i="16"/>
  <c r="J726" i="16" s="1"/>
  <c r="V726" i="16" s="1"/>
  <c r="W726" i="16" s="1"/>
  <c r="Y726" i="16" s="1"/>
  <c r="H725" i="16"/>
  <c r="J725" i="16" s="1"/>
  <c r="V725" i="16" s="1"/>
  <c r="W725" i="16" s="1"/>
  <c r="Y725" i="16" s="1"/>
  <c r="H724" i="16"/>
  <c r="J724" i="16" s="1"/>
  <c r="V724" i="16" s="1"/>
  <c r="W724" i="16" s="1"/>
  <c r="Y724" i="16" s="1"/>
  <c r="H723" i="16"/>
  <c r="J723" i="16" s="1"/>
  <c r="V723" i="16" s="1"/>
  <c r="W723" i="16" s="1"/>
  <c r="Y723" i="16" s="1"/>
  <c r="H722" i="16"/>
  <c r="J722" i="16" s="1"/>
  <c r="V722" i="16" s="1"/>
  <c r="W722" i="16" s="1"/>
  <c r="Y722" i="16" s="1"/>
  <c r="H721" i="16"/>
  <c r="J721" i="16" s="1"/>
  <c r="V721" i="16" s="1"/>
  <c r="W721" i="16" s="1"/>
  <c r="Y721" i="16" s="1"/>
  <c r="H720" i="16"/>
  <c r="J720" i="16" s="1"/>
  <c r="V720" i="16" s="1"/>
  <c r="W720" i="16" s="1"/>
  <c r="Y720" i="16" s="1"/>
  <c r="H719" i="16"/>
  <c r="J719" i="16" s="1"/>
  <c r="V719" i="16" s="1"/>
  <c r="W719" i="16" s="1"/>
  <c r="Y719" i="16" s="1"/>
  <c r="H718" i="16"/>
  <c r="J718" i="16" s="1"/>
  <c r="V718" i="16" s="1"/>
  <c r="W718" i="16" s="1"/>
  <c r="Y718" i="16" s="1"/>
  <c r="H717" i="16"/>
  <c r="J717" i="16" s="1"/>
  <c r="V717" i="16" s="1"/>
  <c r="W717" i="16" s="1"/>
  <c r="Y717" i="16" s="1"/>
  <c r="H716" i="16"/>
  <c r="J716" i="16" s="1"/>
  <c r="V716" i="16" s="1"/>
  <c r="W716" i="16" s="1"/>
  <c r="Y716" i="16" s="1"/>
  <c r="H715" i="16"/>
  <c r="J715" i="16" s="1"/>
  <c r="V715" i="16" s="1"/>
  <c r="W715" i="16" s="1"/>
  <c r="Y715" i="16" s="1"/>
  <c r="H714" i="16"/>
  <c r="J714" i="16" s="1"/>
  <c r="V714" i="16" s="1"/>
  <c r="W714" i="16" s="1"/>
  <c r="Y714" i="16" s="1"/>
  <c r="H713" i="16"/>
  <c r="J713" i="16" s="1"/>
  <c r="V713" i="16" s="1"/>
  <c r="W713" i="16" s="1"/>
  <c r="Y713" i="16" s="1"/>
  <c r="H712" i="16"/>
  <c r="J712" i="16" s="1"/>
  <c r="V712" i="16" s="1"/>
  <c r="W712" i="16" s="1"/>
  <c r="Y712" i="16" s="1"/>
  <c r="H711" i="16"/>
  <c r="J711" i="16" s="1"/>
  <c r="V711" i="16" s="1"/>
  <c r="W711" i="16" s="1"/>
  <c r="Y711" i="16" s="1"/>
  <c r="H710" i="16"/>
  <c r="J710" i="16" s="1"/>
  <c r="V710" i="16" s="1"/>
  <c r="W710" i="16" s="1"/>
  <c r="Y710" i="16" s="1"/>
  <c r="H709" i="16"/>
  <c r="J709" i="16" s="1"/>
  <c r="V709" i="16" s="1"/>
  <c r="W709" i="16" s="1"/>
  <c r="Y709" i="16" s="1"/>
  <c r="H708" i="16"/>
  <c r="J708" i="16" s="1"/>
  <c r="V708" i="16" s="1"/>
  <c r="W708" i="16" s="1"/>
  <c r="Y708" i="16" s="1"/>
  <c r="H707" i="16"/>
  <c r="J707" i="16" s="1"/>
  <c r="V707" i="16" s="1"/>
  <c r="W707" i="16" s="1"/>
  <c r="Y707" i="16" s="1"/>
  <c r="H706" i="16"/>
  <c r="J706" i="16" s="1"/>
  <c r="V706" i="16" s="1"/>
  <c r="W706" i="16" s="1"/>
  <c r="Y706" i="16" s="1"/>
  <c r="H705" i="16"/>
  <c r="J705" i="16" s="1"/>
  <c r="V705" i="16" s="1"/>
  <c r="W705" i="16" s="1"/>
  <c r="Y705" i="16" s="1"/>
  <c r="H704" i="16"/>
  <c r="J704" i="16" s="1"/>
  <c r="V704" i="16" s="1"/>
  <c r="W704" i="16" s="1"/>
  <c r="Y704" i="16" s="1"/>
  <c r="H703" i="16"/>
  <c r="J703" i="16" s="1"/>
  <c r="V703" i="16" s="1"/>
  <c r="W703" i="16" s="1"/>
  <c r="Y703" i="16" s="1"/>
  <c r="H702" i="16"/>
  <c r="J702" i="16" s="1"/>
  <c r="V702" i="16" s="1"/>
  <c r="W702" i="16" s="1"/>
  <c r="Y702" i="16" s="1"/>
  <c r="H701" i="16"/>
  <c r="J701" i="16" s="1"/>
  <c r="V701" i="16" s="1"/>
  <c r="W701" i="16" s="1"/>
  <c r="Y701" i="16" s="1"/>
  <c r="H700" i="16"/>
  <c r="J700" i="16" s="1"/>
  <c r="V700" i="16" s="1"/>
  <c r="W700" i="16" s="1"/>
  <c r="Y700" i="16" s="1"/>
  <c r="H699" i="16"/>
  <c r="J699" i="16" s="1"/>
  <c r="V699" i="16" s="1"/>
  <c r="W699" i="16" s="1"/>
  <c r="Y699" i="16" s="1"/>
  <c r="H698" i="16"/>
  <c r="J698" i="16" s="1"/>
  <c r="V698" i="16" s="1"/>
  <c r="W698" i="16" s="1"/>
  <c r="Y698" i="16" s="1"/>
  <c r="H697" i="16"/>
  <c r="J697" i="16" s="1"/>
  <c r="V697" i="16" s="1"/>
  <c r="W697" i="16" s="1"/>
  <c r="Y697" i="16" s="1"/>
  <c r="H696" i="16"/>
  <c r="J696" i="16" s="1"/>
  <c r="V696" i="16" s="1"/>
  <c r="W696" i="16" s="1"/>
  <c r="Y696" i="16" s="1"/>
  <c r="H695" i="16"/>
  <c r="J695" i="16" s="1"/>
  <c r="V695" i="16" s="1"/>
  <c r="W695" i="16" s="1"/>
  <c r="Y695" i="16" s="1"/>
  <c r="H694" i="16"/>
  <c r="J694" i="16" s="1"/>
  <c r="V694" i="16" s="1"/>
  <c r="W694" i="16" s="1"/>
  <c r="Y694" i="16" s="1"/>
  <c r="H693" i="16"/>
  <c r="J693" i="16" s="1"/>
  <c r="V693" i="16" s="1"/>
  <c r="W693" i="16" s="1"/>
  <c r="Y693" i="16" s="1"/>
  <c r="H692" i="16"/>
  <c r="J692" i="16" s="1"/>
  <c r="V692" i="16" s="1"/>
  <c r="W692" i="16" s="1"/>
  <c r="Y692" i="16" s="1"/>
  <c r="H691" i="16"/>
  <c r="J691" i="16" s="1"/>
  <c r="V691" i="16" s="1"/>
  <c r="W691" i="16" s="1"/>
  <c r="Y691" i="16" s="1"/>
  <c r="H690" i="16"/>
  <c r="J690" i="16" s="1"/>
  <c r="V690" i="16" s="1"/>
  <c r="W690" i="16" s="1"/>
  <c r="Y690" i="16" s="1"/>
  <c r="H689" i="16"/>
  <c r="J689" i="16" s="1"/>
  <c r="V689" i="16" s="1"/>
  <c r="W689" i="16" s="1"/>
  <c r="Y689" i="16" s="1"/>
  <c r="H688" i="16"/>
  <c r="J688" i="16" s="1"/>
  <c r="V688" i="16" s="1"/>
  <c r="W688" i="16" s="1"/>
  <c r="Y688" i="16" s="1"/>
  <c r="H687" i="16"/>
  <c r="J687" i="16" s="1"/>
  <c r="V687" i="16" s="1"/>
  <c r="W687" i="16" s="1"/>
  <c r="Y687" i="16" s="1"/>
  <c r="H686" i="16"/>
  <c r="J686" i="16" s="1"/>
  <c r="V686" i="16" s="1"/>
  <c r="W686" i="16" s="1"/>
  <c r="Y686" i="16" s="1"/>
  <c r="H685" i="16"/>
  <c r="J685" i="16" s="1"/>
  <c r="V685" i="16" s="1"/>
  <c r="W685" i="16" s="1"/>
  <c r="Y685" i="16" s="1"/>
  <c r="H684" i="16"/>
  <c r="J684" i="16" s="1"/>
  <c r="V684" i="16" s="1"/>
  <c r="W684" i="16" s="1"/>
  <c r="Y684" i="16" s="1"/>
  <c r="H683" i="16"/>
  <c r="J683" i="16" s="1"/>
  <c r="V683" i="16" s="1"/>
  <c r="W683" i="16" s="1"/>
  <c r="Y683" i="16" s="1"/>
  <c r="H682" i="16"/>
  <c r="J682" i="16" s="1"/>
  <c r="V682" i="16" s="1"/>
  <c r="W682" i="16" s="1"/>
  <c r="Y682" i="16" s="1"/>
  <c r="H681" i="16"/>
  <c r="J681" i="16" s="1"/>
  <c r="V681" i="16" s="1"/>
  <c r="W681" i="16" s="1"/>
  <c r="Y681" i="16" s="1"/>
  <c r="H680" i="16"/>
  <c r="J680" i="16" s="1"/>
  <c r="V680" i="16" s="1"/>
  <c r="W680" i="16" s="1"/>
  <c r="Y680" i="16" s="1"/>
  <c r="H679" i="16"/>
  <c r="J679" i="16" s="1"/>
  <c r="V679" i="16" s="1"/>
  <c r="W679" i="16" s="1"/>
  <c r="Y679" i="16" s="1"/>
  <c r="H678" i="16"/>
  <c r="J678" i="16" s="1"/>
  <c r="V678" i="16" s="1"/>
  <c r="W678" i="16" s="1"/>
  <c r="Y678" i="16" s="1"/>
  <c r="H677" i="16"/>
  <c r="J677" i="16" s="1"/>
  <c r="V677" i="16" s="1"/>
  <c r="W677" i="16" s="1"/>
  <c r="Y677" i="16" s="1"/>
  <c r="H676" i="16"/>
  <c r="J676" i="16" s="1"/>
  <c r="V676" i="16" s="1"/>
  <c r="W676" i="16" s="1"/>
  <c r="Y676" i="16" s="1"/>
  <c r="H675" i="16"/>
  <c r="J675" i="16" s="1"/>
  <c r="V675" i="16" s="1"/>
  <c r="W675" i="16" s="1"/>
  <c r="Y675" i="16" s="1"/>
  <c r="H674" i="16"/>
  <c r="J674" i="16" s="1"/>
  <c r="V674" i="16" s="1"/>
  <c r="W674" i="16" s="1"/>
  <c r="Y674" i="16" s="1"/>
  <c r="H673" i="16"/>
  <c r="J673" i="16" s="1"/>
  <c r="V673" i="16" s="1"/>
  <c r="W673" i="16" s="1"/>
  <c r="Y673" i="16" s="1"/>
  <c r="H672" i="16"/>
  <c r="J672" i="16" s="1"/>
  <c r="V672" i="16" s="1"/>
  <c r="W672" i="16" s="1"/>
  <c r="Y672" i="16" s="1"/>
  <c r="H671" i="16"/>
  <c r="J671" i="16" s="1"/>
  <c r="V671" i="16" s="1"/>
  <c r="W671" i="16" s="1"/>
  <c r="Y671" i="16" s="1"/>
  <c r="H670" i="16"/>
  <c r="J670" i="16" s="1"/>
  <c r="V670" i="16" s="1"/>
  <c r="W670" i="16" s="1"/>
  <c r="Y670" i="16" s="1"/>
  <c r="H669" i="16"/>
  <c r="J669" i="16" s="1"/>
  <c r="V669" i="16" s="1"/>
  <c r="W669" i="16" s="1"/>
  <c r="Y669" i="16" s="1"/>
  <c r="H668" i="16"/>
  <c r="J668" i="16" s="1"/>
  <c r="V668" i="16" s="1"/>
  <c r="W668" i="16" s="1"/>
  <c r="Y668" i="16" s="1"/>
  <c r="H667" i="16"/>
  <c r="J667" i="16" s="1"/>
  <c r="V667" i="16" s="1"/>
  <c r="W667" i="16" s="1"/>
  <c r="Y667" i="16" s="1"/>
  <c r="H666" i="16"/>
  <c r="J666" i="16" s="1"/>
  <c r="V666" i="16" s="1"/>
  <c r="W666" i="16" s="1"/>
  <c r="Y666" i="16" s="1"/>
  <c r="H665" i="16"/>
  <c r="J665" i="16" s="1"/>
  <c r="V665" i="16" s="1"/>
  <c r="W665" i="16" s="1"/>
  <c r="Y665" i="16" s="1"/>
  <c r="H664" i="16"/>
  <c r="J664" i="16" s="1"/>
  <c r="V664" i="16" s="1"/>
  <c r="W664" i="16" s="1"/>
  <c r="Y664" i="16" s="1"/>
  <c r="H663" i="16"/>
  <c r="J663" i="16" s="1"/>
  <c r="V663" i="16" s="1"/>
  <c r="W663" i="16" s="1"/>
  <c r="Y663" i="16" s="1"/>
  <c r="H662" i="16"/>
  <c r="J662" i="16" s="1"/>
  <c r="V662" i="16" s="1"/>
  <c r="W662" i="16" s="1"/>
  <c r="Y662" i="16" s="1"/>
  <c r="H661" i="16"/>
  <c r="J661" i="16" s="1"/>
  <c r="V661" i="16" s="1"/>
  <c r="W661" i="16" s="1"/>
  <c r="Y661" i="16" s="1"/>
  <c r="H660" i="16"/>
  <c r="J660" i="16" s="1"/>
  <c r="V660" i="16" s="1"/>
  <c r="W660" i="16" s="1"/>
  <c r="Y660" i="16" s="1"/>
  <c r="H659" i="16"/>
  <c r="J659" i="16" s="1"/>
  <c r="V659" i="16" s="1"/>
  <c r="W659" i="16" s="1"/>
  <c r="Y659" i="16" s="1"/>
  <c r="H658" i="16"/>
  <c r="J658" i="16" s="1"/>
  <c r="V658" i="16" s="1"/>
  <c r="W658" i="16" s="1"/>
  <c r="Y658" i="16" s="1"/>
  <c r="H657" i="16"/>
  <c r="J657" i="16" s="1"/>
  <c r="V657" i="16" s="1"/>
  <c r="W657" i="16" s="1"/>
  <c r="Y657" i="16" s="1"/>
  <c r="H656" i="16"/>
  <c r="J656" i="16" s="1"/>
  <c r="V656" i="16" s="1"/>
  <c r="W656" i="16" s="1"/>
  <c r="Y656" i="16" s="1"/>
  <c r="H655" i="16"/>
  <c r="J655" i="16" s="1"/>
  <c r="V655" i="16" s="1"/>
  <c r="W655" i="16" s="1"/>
  <c r="Y655" i="16" s="1"/>
  <c r="H654" i="16"/>
  <c r="J654" i="16" s="1"/>
  <c r="V654" i="16" s="1"/>
  <c r="W654" i="16" s="1"/>
  <c r="Y654" i="16" s="1"/>
  <c r="H653" i="16"/>
  <c r="J653" i="16" s="1"/>
  <c r="V653" i="16" s="1"/>
  <c r="W653" i="16" s="1"/>
  <c r="Y653" i="16" s="1"/>
  <c r="H652" i="16"/>
  <c r="J652" i="16" s="1"/>
  <c r="V652" i="16" s="1"/>
  <c r="W652" i="16" s="1"/>
  <c r="Y652" i="16" s="1"/>
  <c r="H651" i="16"/>
  <c r="J651" i="16" s="1"/>
  <c r="V651" i="16" s="1"/>
  <c r="W651" i="16" s="1"/>
  <c r="Y651" i="16" s="1"/>
  <c r="H650" i="16"/>
  <c r="J650" i="16" s="1"/>
  <c r="V650" i="16" s="1"/>
  <c r="W650" i="16" s="1"/>
  <c r="Y650" i="16" s="1"/>
  <c r="H649" i="16"/>
  <c r="J649" i="16" s="1"/>
  <c r="V649" i="16" s="1"/>
  <c r="W649" i="16" s="1"/>
  <c r="Y649" i="16" s="1"/>
  <c r="H648" i="16"/>
  <c r="J648" i="16" s="1"/>
  <c r="V648" i="16" s="1"/>
  <c r="W648" i="16" s="1"/>
  <c r="Y648" i="16" s="1"/>
  <c r="H647" i="16"/>
  <c r="J647" i="16" s="1"/>
  <c r="V647" i="16" s="1"/>
  <c r="W647" i="16" s="1"/>
  <c r="Y647" i="16" s="1"/>
  <c r="H646" i="16"/>
  <c r="J646" i="16" s="1"/>
  <c r="V646" i="16" s="1"/>
  <c r="W646" i="16" s="1"/>
  <c r="Y646" i="16" s="1"/>
  <c r="H645" i="16"/>
  <c r="J645" i="16" s="1"/>
  <c r="V645" i="16" s="1"/>
  <c r="W645" i="16" s="1"/>
  <c r="Y645" i="16" s="1"/>
  <c r="H644" i="16"/>
  <c r="J644" i="16" s="1"/>
  <c r="V644" i="16" s="1"/>
  <c r="W644" i="16" s="1"/>
  <c r="Y644" i="16" s="1"/>
  <c r="H643" i="16"/>
  <c r="J643" i="16" s="1"/>
  <c r="V643" i="16" s="1"/>
  <c r="W643" i="16" s="1"/>
  <c r="Y643" i="16" s="1"/>
  <c r="H642" i="16"/>
  <c r="J642" i="16" s="1"/>
  <c r="V642" i="16" s="1"/>
  <c r="W642" i="16" s="1"/>
  <c r="Y642" i="16" s="1"/>
  <c r="H641" i="16"/>
  <c r="J641" i="16" s="1"/>
  <c r="V641" i="16" s="1"/>
  <c r="W641" i="16" s="1"/>
  <c r="Y641" i="16" s="1"/>
  <c r="H640" i="16"/>
  <c r="J640" i="16" s="1"/>
  <c r="V640" i="16" s="1"/>
  <c r="W640" i="16" s="1"/>
  <c r="Y640" i="16" s="1"/>
  <c r="H639" i="16"/>
  <c r="J639" i="16" s="1"/>
  <c r="V639" i="16" s="1"/>
  <c r="W639" i="16" s="1"/>
  <c r="Y639" i="16" s="1"/>
  <c r="H638" i="16"/>
  <c r="J638" i="16" s="1"/>
  <c r="V638" i="16" s="1"/>
  <c r="W638" i="16" s="1"/>
  <c r="Y638" i="16" s="1"/>
  <c r="H637" i="16"/>
  <c r="J637" i="16" s="1"/>
  <c r="V637" i="16" s="1"/>
  <c r="W637" i="16" s="1"/>
  <c r="Y637" i="16" s="1"/>
  <c r="H636" i="16"/>
  <c r="J636" i="16" s="1"/>
  <c r="V636" i="16" s="1"/>
  <c r="W636" i="16" s="1"/>
  <c r="Y636" i="16" s="1"/>
  <c r="H635" i="16"/>
  <c r="J635" i="16" s="1"/>
  <c r="V635" i="16" s="1"/>
  <c r="W635" i="16" s="1"/>
  <c r="Y635" i="16" s="1"/>
  <c r="H634" i="16"/>
  <c r="J634" i="16" s="1"/>
  <c r="V634" i="16" s="1"/>
  <c r="W634" i="16" s="1"/>
  <c r="Y634" i="16" s="1"/>
  <c r="H633" i="16"/>
  <c r="J633" i="16" s="1"/>
  <c r="V633" i="16" s="1"/>
  <c r="W633" i="16" s="1"/>
  <c r="Y633" i="16" s="1"/>
  <c r="H632" i="16"/>
  <c r="J632" i="16" s="1"/>
  <c r="V632" i="16" s="1"/>
  <c r="W632" i="16" s="1"/>
  <c r="Y632" i="16" s="1"/>
  <c r="H631" i="16"/>
  <c r="J631" i="16" s="1"/>
  <c r="V631" i="16" s="1"/>
  <c r="W631" i="16" s="1"/>
  <c r="Y631" i="16" s="1"/>
  <c r="H630" i="16"/>
  <c r="J630" i="16" s="1"/>
  <c r="V630" i="16" s="1"/>
  <c r="W630" i="16" s="1"/>
  <c r="Y630" i="16" s="1"/>
  <c r="H629" i="16"/>
  <c r="J629" i="16" s="1"/>
  <c r="V629" i="16" s="1"/>
  <c r="W629" i="16" s="1"/>
  <c r="Y629" i="16" s="1"/>
  <c r="H628" i="16"/>
  <c r="J628" i="16" s="1"/>
  <c r="V628" i="16" s="1"/>
  <c r="W628" i="16" s="1"/>
  <c r="Y628" i="16" s="1"/>
  <c r="H627" i="16"/>
  <c r="J627" i="16" s="1"/>
  <c r="V627" i="16" s="1"/>
  <c r="W627" i="16" s="1"/>
  <c r="Y627" i="16" s="1"/>
  <c r="H626" i="16"/>
  <c r="J626" i="16" s="1"/>
  <c r="V626" i="16" s="1"/>
  <c r="W626" i="16" s="1"/>
  <c r="Y626" i="16" s="1"/>
  <c r="H625" i="16"/>
  <c r="J625" i="16" s="1"/>
  <c r="V625" i="16" s="1"/>
  <c r="W625" i="16" s="1"/>
  <c r="Y625" i="16" s="1"/>
  <c r="H624" i="16"/>
  <c r="J624" i="16" s="1"/>
  <c r="V624" i="16" s="1"/>
  <c r="W624" i="16" s="1"/>
  <c r="Y624" i="16" s="1"/>
  <c r="H623" i="16"/>
  <c r="J623" i="16" s="1"/>
  <c r="V623" i="16" s="1"/>
  <c r="W623" i="16" s="1"/>
  <c r="Y623" i="16" s="1"/>
  <c r="H622" i="16"/>
  <c r="J622" i="16" s="1"/>
  <c r="V622" i="16" s="1"/>
  <c r="W622" i="16" s="1"/>
  <c r="Y622" i="16" s="1"/>
  <c r="H621" i="16"/>
  <c r="J621" i="16" s="1"/>
  <c r="V621" i="16" s="1"/>
  <c r="W621" i="16" s="1"/>
  <c r="Y621" i="16" s="1"/>
  <c r="H620" i="16"/>
  <c r="J620" i="16" s="1"/>
  <c r="V620" i="16" s="1"/>
  <c r="W620" i="16" s="1"/>
  <c r="Y620" i="16" s="1"/>
  <c r="H619" i="16"/>
  <c r="J619" i="16" s="1"/>
  <c r="V619" i="16" s="1"/>
  <c r="W619" i="16" s="1"/>
  <c r="Y619" i="16" s="1"/>
  <c r="H618" i="16"/>
  <c r="J618" i="16" s="1"/>
  <c r="V618" i="16" s="1"/>
  <c r="W618" i="16" s="1"/>
  <c r="Y618" i="16" s="1"/>
  <c r="H617" i="16"/>
  <c r="J617" i="16" s="1"/>
  <c r="V617" i="16" s="1"/>
  <c r="W617" i="16" s="1"/>
  <c r="Y617" i="16" s="1"/>
  <c r="H616" i="16"/>
  <c r="J616" i="16" s="1"/>
  <c r="V616" i="16" s="1"/>
  <c r="W616" i="16" s="1"/>
  <c r="Y616" i="16" s="1"/>
  <c r="H615" i="16"/>
  <c r="J615" i="16" s="1"/>
  <c r="V615" i="16" s="1"/>
  <c r="W615" i="16" s="1"/>
  <c r="Y615" i="16" s="1"/>
  <c r="H614" i="16"/>
  <c r="J614" i="16" s="1"/>
  <c r="V614" i="16" s="1"/>
  <c r="W614" i="16" s="1"/>
  <c r="Y614" i="16" s="1"/>
  <c r="H613" i="16"/>
  <c r="J613" i="16" s="1"/>
  <c r="V613" i="16" s="1"/>
  <c r="W613" i="16" s="1"/>
  <c r="Y613" i="16" s="1"/>
  <c r="H612" i="16"/>
  <c r="J612" i="16" s="1"/>
  <c r="V612" i="16" s="1"/>
  <c r="W612" i="16" s="1"/>
  <c r="Y612" i="16" s="1"/>
  <c r="H611" i="16"/>
  <c r="J611" i="16" s="1"/>
  <c r="V611" i="16" s="1"/>
  <c r="W611" i="16" s="1"/>
  <c r="Y611" i="16" s="1"/>
  <c r="H610" i="16"/>
  <c r="J610" i="16" s="1"/>
  <c r="V610" i="16" s="1"/>
  <c r="W610" i="16" s="1"/>
  <c r="Y610" i="16" s="1"/>
  <c r="H609" i="16"/>
  <c r="J609" i="16" s="1"/>
  <c r="V609" i="16" s="1"/>
  <c r="W609" i="16" s="1"/>
  <c r="Y609" i="16" s="1"/>
  <c r="H608" i="16"/>
  <c r="J608" i="16" s="1"/>
  <c r="V608" i="16" s="1"/>
  <c r="W608" i="16" s="1"/>
  <c r="Y608" i="16" s="1"/>
  <c r="H607" i="16"/>
  <c r="J607" i="16" s="1"/>
  <c r="V607" i="16" s="1"/>
  <c r="W607" i="16" s="1"/>
  <c r="Y607" i="16" s="1"/>
  <c r="H606" i="16"/>
  <c r="J606" i="16" s="1"/>
  <c r="V606" i="16" s="1"/>
  <c r="W606" i="16" s="1"/>
  <c r="Y606" i="16" s="1"/>
  <c r="H605" i="16"/>
  <c r="J605" i="16" s="1"/>
  <c r="V605" i="16" s="1"/>
  <c r="W605" i="16" s="1"/>
  <c r="Y605" i="16" s="1"/>
  <c r="H604" i="16"/>
  <c r="J604" i="16" s="1"/>
  <c r="V604" i="16" s="1"/>
  <c r="W604" i="16" s="1"/>
  <c r="Y604" i="16" s="1"/>
  <c r="H603" i="16"/>
  <c r="J603" i="16" s="1"/>
  <c r="V603" i="16" s="1"/>
  <c r="W603" i="16" s="1"/>
  <c r="Y603" i="16" s="1"/>
  <c r="H602" i="16"/>
  <c r="J602" i="16" s="1"/>
  <c r="V602" i="16" s="1"/>
  <c r="W602" i="16" s="1"/>
  <c r="Y602" i="16" s="1"/>
  <c r="H601" i="16"/>
  <c r="J601" i="16" s="1"/>
  <c r="V601" i="16" s="1"/>
  <c r="W601" i="16" s="1"/>
  <c r="Y601" i="16" s="1"/>
  <c r="H600" i="16"/>
  <c r="J600" i="16" s="1"/>
  <c r="V600" i="16" s="1"/>
  <c r="W600" i="16" s="1"/>
  <c r="Y600" i="16" s="1"/>
  <c r="H599" i="16"/>
  <c r="J599" i="16" s="1"/>
  <c r="V599" i="16" s="1"/>
  <c r="W599" i="16" s="1"/>
  <c r="Y599" i="16" s="1"/>
  <c r="H598" i="16"/>
  <c r="J598" i="16" s="1"/>
  <c r="V598" i="16" s="1"/>
  <c r="W598" i="16" s="1"/>
  <c r="Y598" i="16" s="1"/>
  <c r="H597" i="16"/>
  <c r="J597" i="16" s="1"/>
  <c r="V597" i="16" s="1"/>
  <c r="W597" i="16" s="1"/>
  <c r="Y597" i="16" s="1"/>
  <c r="H596" i="16"/>
  <c r="J596" i="16" s="1"/>
  <c r="V596" i="16" s="1"/>
  <c r="W596" i="16" s="1"/>
  <c r="Y596" i="16" s="1"/>
  <c r="H595" i="16"/>
  <c r="J595" i="16" s="1"/>
  <c r="V595" i="16" s="1"/>
  <c r="W595" i="16" s="1"/>
  <c r="Y595" i="16" s="1"/>
  <c r="H594" i="16"/>
  <c r="J594" i="16" s="1"/>
  <c r="V594" i="16" s="1"/>
  <c r="W594" i="16" s="1"/>
  <c r="Y594" i="16" s="1"/>
  <c r="H593" i="16"/>
  <c r="J593" i="16" s="1"/>
  <c r="V593" i="16" s="1"/>
  <c r="W593" i="16" s="1"/>
  <c r="Y593" i="16" s="1"/>
  <c r="H592" i="16"/>
  <c r="J592" i="16" s="1"/>
  <c r="V592" i="16" s="1"/>
  <c r="W592" i="16" s="1"/>
  <c r="Y592" i="16" s="1"/>
  <c r="H591" i="16"/>
  <c r="J591" i="16" s="1"/>
  <c r="V591" i="16" s="1"/>
  <c r="W591" i="16" s="1"/>
  <c r="Y591" i="16" s="1"/>
  <c r="H590" i="16"/>
  <c r="J590" i="16" s="1"/>
  <c r="V590" i="16" s="1"/>
  <c r="W590" i="16" s="1"/>
  <c r="Y590" i="16" s="1"/>
  <c r="H589" i="16"/>
  <c r="J589" i="16" s="1"/>
  <c r="V589" i="16" s="1"/>
  <c r="W589" i="16" s="1"/>
  <c r="Y589" i="16" s="1"/>
  <c r="H588" i="16"/>
  <c r="J588" i="16" s="1"/>
  <c r="V588" i="16" s="1"/>
  <c r="W588" i="16" s="1"/>
  <c r="Y588" i="16" s="1"/>
  <c r="H587" i="16"/>
  <c r="J587" i="16" s="1"/>
  <c r="V587" i="16" s="1"/>
  <c r="W587" i="16" s="1"/>
  <c r="Y587" i="16" s="1"/>
  <c r="H586" i="16"/>
  <c r="J586" i="16" s="1"/>
  <c r="V586" i="16" s="1"/>
  <c r="W586" i="16" s="1"/>
  <c r="Y586" i="16" s="1"/>
  <c r="H585" i="16"/>
  <c r="J585" i="16" s="1"/>
  <c r="V585" i="16" s="1"/>
  <c r="W585" i="16" s="1"/>
  <c r="Y585" i="16" s="1"/>
  <c r="H584" i="16"/>
  <c r="J584" i="16" s="1"/>
  <c r="V584" i="16" s="1"/>
  <c r="W584" i="16" s="1"/>
  <c r="Y584" i="16" s="1"/>
  <c r="H583" i="16"/>
  <c r="J583" i="16" s="1"/>
  <c r="V583" i="16" s="1"/>
  <c r="W583" i="16" s="1"/>
  <c r="Y583" i="16" s="1"/>
  <c r="H582" i="16"/>
  <c r="J582" i="16" s="1"/>
  <c r="V582" i="16" s="1"/>
  <c r="W582" i="16" s="1"/>
  <c r="Y582" i="16" s="1"/>
  <c r="H581" i="16"/>
  <c r="J581" i="16" s="1"/>
  <c r="V581" i="16" s="1"/>
  <c r="W581" i="16" s="1"/>
  <c r="Y581" i="16" s="1"/>
  <c r="H580" i="16"/>
  <c r="J580" i="16" s="1"/>
  <c r="V580" i="16" s="1"/>
  <c r="W580" i="16" s="1"/>
  <c r="Y580" i="16" s="1"/>
  <c r="H579" i="16"/>
  <c r="J579" i="16" s="1"/>
  <c r="V579" i="16" s="1"/>
  <c r="W579" i="16" s="1"/>
  <c r="Y579" i="16" s="1"/>
  <c r="H578" i="16"/>
  <c r="J578" i="16" s="1"/>
  <c r="V578" i="16" s="1"/>
  <c r="W578" i="16" s="1"/>
  <c r="Y578" i="16" s="1"/>
  <c r="H577" i="16"/>
  <c r="J577" i="16" s="1"/>
  <c r="V577" i="16" s="1"/>
  <c r="W577" i="16" s="1"/>
  <c r="Y577" i="16" s="1"/>
  <c r="H576" i="16"/>
  <c r="J576" i="16" s="1"/>
  <c r="V576" i="16" s="1"/>
  <c r="W576" i="16" s="1"/>
  <c r="Y576" i="16" s="1"/>
  <c r="H575" i="16"/>
  <c r="J575" i="16" s="1"/>
  <c r="V575" i="16" s="1"/>
  <c r="W575" i="16" s="1"/>
  <c r="Y575" i="16" s="1"/>
  <c r="H574" i="16"/>
  <c r="J574" i="16" s="1"/>
  <c r="V574" i="16" s="1"/>
  <c r="W574" i="16" s="1"/>
  <c r="Y574" i="16" s="1"/>
  <c r="H573" i="16"/>
  <c r="J573" i="16" s="1"/>
  <c r="V573" i="16" s="1"/>
  <c r="W573" i="16" s="1"/>
  <c r="Y573" i="16" s="1"/>
  <c r="H572" i="16"/>
  <c r="J572" i="16" s="1"/>
  <c r="V572" i="16" s="1"/>
  <c r="W572" i="16" s="1"/>
  <c r="Y572" i="16" s="1"/>
  <c r="H571" i="16"/>
  <c r="J571" i="16" s="1"/>
  <c r="V571" i="16" s="1"/>
  <c r="W571" i="16" s="1"/>
  <c r="Y571" i="16" s="1"/>
  <c r="H570" i="16"/>
  <c r="J570" i="16" s="1"/>
  <c r="V570" i="16" s="1"/>
  <c r="W570" i="16" s="1"/>
  <c r="Y570" i="16" s="1"/>
  <c r="H569" i="16"/>
  <c r="J569" i="16" s="1"/>
  <c r="V569" i="16" s="1"/>
  <c r="W569" i="16" s="1"/>
  <c r="Y569" i="16" s="1"/>
  <c r="H568" i="16"/>
  <c r="J568" i="16" s="1"/>
  <c r="V568" i="16" s="1"/>
  <c r="W568" i="16" s="1"/>
  <c r="Y568" i="16" s="1"/>
  <c r="H567" i="16"/>
  <c r="J567" i="16" s="1"/>
  <c r="V567" i="16" s="1"/>
  <c r="W567" i="16" s="1"/>
  <c r="Y567" i="16" s="1"/>
  <c r="H566" i="16"/>
  <c r="J566" i="16" s="1"/>
  <c r="V566" i="16" s="1"/>
  <c r="W566" i="16" s="1"/>
  <c r="Y566" i="16" s="1"/>
  <c r="H565" i="16"/>
  <c r="J565" i="16" s="1"/>
  <c r="V565" i="16" s="1"/>
  <c r="W565" i="16" s="1"/>
  <c r="Y565" i="16" s="1"/>
  <c r="H564" i="16"/>
  <c r="J564" i="16" s="1"/>
  <c r="V564" i="16" s="1"/>
  <c r="W564" i="16" s="1"/>
  <c r="Y564" i="16" s="1"/>
  <c r="H563" i="16"/>
  <c r="J563" i="16" s="1"/>
  <c r="V563" i="16" s="1"/>
  <c r="W563" i="16" s="1"/>
  <c r="Y563" i="16" s="1"/>
  <c r="H562" i="16"/>
  <c r="J562" i="16" s="1"/>
  <c r="V562" i="16" s="1"/>
  <c r="W562" i="16" s="1"/>
  <c r="Y562" i="16" s="1"/>
  <c r="H561" i="16"/>
  <c r="J561" i="16" s="1"/>
  <c r="V561" i="16" s="1"/>
  <c r="W561" i="16" s="1"/>
  <c r="Y561" i="16" s="1"/>
  <c r="H560" i="16"/>
  <c r="J560" i="16" s="1"/>
  <c r="V560" i="16" s="1"/>
  <c r="W560" i="16" s="1"/>
  <c r="Y560" i="16" s="1"/>
  <c r="H559" i="16"/>
  <c r="J559" i="16" s="1"/>
  <c r="V559" i="16" s="1"/>
  <c r="W559" i="16" s="1"/>
  <c r="Y559" i="16" s="1"/>
  <c r="H558" i="16"/>
  <c r="J558" i="16" s="1"/>
  <c r="V558" i="16" s="1"/>
  <c r="W558" i="16" s="1"/>
  <c r="Y558" i="16" s="1"/>
  <c r="H557" i="16"/>
  <c r="J557" i="16" s="1"/>
  <c r="V557" i="16" s="1"/>
  <c r="W557" i="16" s="1"/>
  <c r="Y557" i="16" s="1"/>
  <c r="H556" i="16"/>
  <c r="J556" i="16" s="1"/>
  <c r="V556" i="16" s="1"/>
  <c r="W556" i="16" s="1"/>
  <c r="Y556" i="16" s="1"/>
  <c r="H555" i="16"/>
  <c r="J555" i="16" s="1"/>
  <c r="V555" i="16" s="1"/>
  <c r="W555" i="16" s="1"/>
  <c r="Y555" i="16" s="1"/>
  <c r="H554" i="16"/>
  <c r="J554" i="16" s="1"/>
  <c r="V554" i="16" s="1"/>
  <c r="W554" i="16" s="1"/>
  <c r="Y554" i="16" s="1"/>
  <c r="H553" i="16"/>
  <c r="J553" i="16" s="1"/>
  <c r="V553" i="16" s="1"/>
  <c r="W553" i="16" s="1"/>
  <c r="Y553" i="16" s="1"/>
  <c r="H552" i="16"/>
  <c r="J552" i="16" s="1"/>
  <c r="V552" i="16" s="1"/>
  <c r="W552" i="16" s="1"/>
  <c r="Y552" i="16" s="1"/>
  <c r="H551" i="16"/>
  <c r="J551" i="16" s="1"/>
  <c r="V551" i="16" s="1"/>
  <c r="W551" i="16" s="1"/>
  <c r="Y551" i="16" s="1"/>
  <c r="H550" i="16"/>
  <c r="J550" i="16" s="1"/>
  <c r="V550" i="16" s="1"/>
  <c r="W550" i="16" s="1"/>
  <c r="Y550" i="16" s="1"/>
  <c r="H549" i="16"/>
  <c r="J549" i="16" s="1"/>
  <c r="V549" i="16" s="1"/>
  <c r="W549" i="16" s="1"/>
  <c r="Y549" i="16" s="1"/>
  <c r="H548" i="16"/>
  <c r="J548" i="16" s="1"/>
  <c r="V548" i="16" s="1"/>
  <c r="W548" i="16" s="1"/>
  <c r="Y548" i="16" s="1"/>
  <c r="H547" i="16"/>
  <c r="J547" i="16" s="1"/>
  <c r="V547" i="16" s="1"/>
  <c r="W547" i="16" s="1"/>
  <c r="Y547" i="16" s="1"/>
  <c r="H546" i="16"/>
  <c r="J546" i="16" s="1"/>
  <c r="V546" i="16" s="1"/>
  <c r="W546" i="16" s="1"/>
  <c r="Y546" i="16" s="1"/>
  <c r="H545" i="16"/>
  <c r="J545" i="16" s="1"/>
  <c r="V545" i="16" s="1"/>
  <c r="W545" i="16" s="1"/>
  <c r="Y545" i="16" s="1"/>
  <c r="H544" i="16"/>
  <c r="J544" i="16" s="1"/>
  <c r="V544" i="16" s="1"/>
  <c r="W544" i="16" s="1"/>
  <c r="Y544" i="16" s="1"/>
  <c r="H543" i="16"/>
  <c r="J543" i="16" s="1"/>
  <c r="V543" i="16" s="1"/>
  <c r="W543" i="16" s="1"/>
  <c r="Y543" i="16" s="1"/>
  <c r="H542" i="16"/>
  <c r="J542" i="16" s="1"/>
  <c r="V542" i="16" s="1"/>
  <c r="W542" i="16" s="1"/>
  <c r="Y542" i="16" s="1"/>
  <c r="H541" i="16"/>
  <c r="J541" i="16" s="1"/>
  <c r="V541" i="16" s="1"/>
  <c r="W541" i="16" s="1"/>
  <c r="Y541" i="16" s="1"/>
  <c r="H540" i="16"/>
  <c r="J540" i="16" s="1"/>
  <c r="V540" i="16" s="1"/>
  <c r="W540" i="16" s="1"/>
  <c r="Y540" i="16" s="1"/>
  <c r="H539" i="16"/>
  <c r="J539" i="16" s="1"/>
  <c r="V539" i="16" s="1"/>
  <c r="W539" i="16" s="1"/>
  <c r="Y539" i="16" s="1"/>
  <c r="H538" i="16"/>
  <c r="J538" i="16" s="1"/>
  <c r="V538" i="16" s="1"/>
  <c r="W538" i="16" s="1"/>
  <c r="Y538" i="16" s="1"/>
  <c r="H537" i="16"/>
  <c r="J537" i="16" s="1"/>
  <c r="V537" i="16" s="1"/>
  <c r="W537" i="16" s="1"/>
  <c r="Y537" i="16" s="1"/>
  <c r="H536" i="16"/>
  <c r="J536" i="16" s="1"/>
  <c r="V536" i="16" s="1"/>
  <c r="W536" i="16" s="1"/>
  <c r="Y536" i="16" s="1"/>
  <c r="H535" i="16"/>
  <c r="J535" i="16" s="1"/>
  <c r="V535" i="16" s="1"/>
  <c r="W535" i="16" s="1"/>
  <c r="Y535" i="16" s="1"/>
  <c r="H534" i="16"/>
  <c r="J534" i="16" s="1"/>
  <c r="V534" i="16" s="1"/>
  <c r="W534" i="16" s="1"/>
  <c r="Y534" i="16" s="1"/>
  <c r="H533" i="16"/>
  <c r="J533" i="16" s="1"/>
  <c r="V533" i="16" s="1"/>
  <c r="W533" i="16" s="1"/>
  <c r="Y533" i="16" s="1"/>
  <c r="H532" i="16"/>
  <c r="J532" i="16" s="1"/>
  <c r="V532" i="16" s="1"/>
  <c r="W532" i="16" s="1"/>
  <c r="Y532" i="16" s="1"/>
  <c r="H531" i="16"/>
  <c r="J531" i="16" s="1"/>
  <c r="V531" i="16" s="1"/>
  <c r="W531" i="16" s="1"/>
  <c r="Y531" i="16" s="1"/>
  <c r="H530" i="16"/>
  <c r="J530" i="16" s="1"/>
  <c r="V530" i="16" s="1"/>
  <c r="W530" i="16" s="1"/>
  <c r="Y530" i="16" s="1"/>
  <c r="H529" i="16"/>
  <c r="J529" i="16" s="1"/>
  <c r="V529" i="16" s="1"/>
  <c r="W529" i="16" s="1"/>
  <c r="Y529" i="16" s="1"/>
  <c r="H528" i="16"/>
  <c r="J528" i="16" s="1"/>
  <c r="V528" i="16" s="1"/>
  <c r="W528" i="16" s="1"/>
  <c r="Y528" i="16" s="1"/>
  <c r="H527" i="16"/>
  <c r="J527" i="16" s="1"/>
  <c r="V527" i="16" s="1"/>
  <c r="W527" i="16" s="1"/>
  <c r="Y527" i="16" s="1"/>
  <c r="H526" i="16"/>
  <c r="J526" i="16" s="1"/>
  <c r="V526" i="16" s="1"/>
  <c r="W526" i="16" s="1"/>
  <c r="Y526" i="16" s="1"/>
  <c r="H525" i="16"/>
  <c r="J525" i="16" s="1"/>
  <c r="V525" i="16" s="1"/>
  <c r="W525" i="16" s="1"/>
  <c r="Y525" i="16" s="1"/>
  <c r="H524" i="16"/>
  <c r="J524" i="16" s="1"/>
  <c r="V524" i="16" s="1"/>
  <c r="W524" i="16" s="1"/>
  <c r="Y524" i="16" s="1"/>
  <c r="H523" i="16"/>
  <c r="J523" i="16" s="1"/>
  <c r="V523" i="16" s="1"/>
  <c r="W523" i="16" s="1"/>
  <c r="Y523" i="16" s="1"/>
  <c r="H522" i="16"/>
  <c r="J522" i="16" s="1"/>
  <c r="V522" i="16" s="1"/>
  <c r="W522" i="16" s="1"/>
  <c r="Y522" i="16" s="1"/>
  <c r="H521" i="16"/>
  <c r="J521" i="16" s="1"/>
  <c r="V521" i="16" s="1"/>
  <c r="W521" i="16" s="1"/>
  <c r="Y521" i="16" s="1"/>
  <c r="H520" i="16"/>
  <c r="J520" i="16" s="1"/>
  <c r="V520" i="16" s="1"/>
  <c r="W520" i="16" s="1"/>
  <c r="Y520" i="16" s="1"/>
  <c r="H519" i="16"/>
  <c r="J519" i="16" s="1"/>
  <c r="V519" i="16" s="1"/>
  <c r="W519" i="16" s="1"/>
  <c r="Y519" i="16" s="1"/>
  <c r="H518" i="16"/>
  <c r="J518" i="16" s="1"/>
  <c r="V518" i="16" s="1"/>
  <c r="W518" i="16" s="1"/>
  <c r="Y518" i="16" s="1"/>
  <c r="H517" i="16"/>
  <c r="J517" i="16" s="1"/>
  <c r="V517" i="16" s="1"/>
  <c r="W517" i="16" s="1"/>
  <c r="Y517" i="16" s="1"/>
  <c r="H516" i="16"/>
  <c r="J516" i="16" s="1"/>
  <c r="V516" i="16" s="1"/>
  <c r="W516" i="16" s="1"/>
  <c r="Y516" i="16" s="1"/>
  <c r="H515" i="16"/>
  <c r="J515" i="16" s="1"/>
  <c r="V515" i="16" s="1"/>
  <c r="W515" i="16" s="1"/>
  <c r="Y515" i="16" s="1"/>
  <c r="H514" i="16"/>
  <c r="J514" i="16" s="1"/>
  <c r="V514" i="16" s="1"/>
  <c r="W514" i="16" s="1"/>
  <c r="Y514" i="16" s="1"/>
  <c r="H513" i="16"/>
  <c r="J513" i="16" s="1"/>
  <c r="V513" i="16" s="1"/>
  <c r="W513" i="16" s="1"/>
  <c r="Y513" i="16" s="1"/>
  <c r="H512" i="16"/>
  <c r="J512" i="16" s="1"/>
  <c r="V512" i="16" s="1"/>
  <c r="W512" i="16" s="1"/>
  <c r="Y512" i="16" s="1"/>
  <c r="H511" i="16"/>
  <c r="J511" i="16" s="1"/>
  <c r="V511" i="16" s="1"/>
  <c r="W511" i="16" s="1"/>
  <c r="Y511" i="16" s="1"/>
  <c r="H510" i="16"/>
  <c r="J510" i="16" s="1"/>
  <c r="V510" i="16" s="1"/>
  <c r="W510" i="16" s="1"/>
  <c r="Y510" i="16" s="1"/>
  <c r="H509" i="16"/>
  <c r="J509" i="16" s="1"/>
  <c r="V509" i="16" s="1"/>
  <c r="W509" i="16" s="1"/>
  <c r="Y509" i="16" s="1"/>
  <c r="H508" i="16"/>
  <c r="J508" i="16" s="1"/>
  <c r="V508" i="16" s="1"/>
  <c r="W508" i="16" s="1"/>
  <c r="Y508" i="16" s="1"/>
  <c r="H507" i="16"/>
  <c r="J507" i="16" s="1"/>
  <c r="V507" i="16" s="1"/>
  <c r="W507" i="16" s="1"/>
  <c r="Y507" i="16" s="1"/>
  <c r="H506" i="16"/>
  <c r="J506" i="16" s="1"/>
  <c r="V506" i="16" s="1"/>
  <c r="W506" i="16" s="1"/>
  <c r="Y506" i="16" s="1"/>
  <c r="H505" i="16"/>
  <c r="J505" i="16" s="1"/>
  <c r="V505" i="16" s="1"/>
  <c r="W505" i="16" s="1"/>
  <c r="Y505" i="16" s="1"/>
  <c r="H504" i="16"/>
  <c r="J504" i="16" s="1"/>
  <c r="V504" i="16" s="1"/>
  <c r="W504" i="16" s="1"/>
  <c r="Y504" i="16" s="1"/>
  <c r="H503" i="16"/>
  <c r="J503" i="16" s="1"/>
  <c r="V503" i="16" s="1"/>
  <c r="W503" i="16" s="1"/>
  <c r="Y503" i="16" s="1"/>
  <c r="H502" i="16"/>
  <c r="J502" i="16" s="1"/>
  <c r="V502" i="16" s="1"/>
  <c r="W502" i="16" s="1"/>
  <c r="Y502" i="16" s="1"/>
  <c r="H501" i="16"/>
  <c r="J501" i="16" s="1"/>
  <c r="V501" i="16" s="1"/>
  <c r="W501" i="16" s="1"/>
  <c r="Y501" i="16" s="1"/>
  <c r="H500" i="16"/>
  <c r="J500" i="16" s="1"/>
  <c r="V500" i="16" s="1"/>
  <c r="W500" i="16" s="1"/>
  <c r="Y500" i="16" s="1"/>
  <c r="H499" i="16"/>
  <c r="J499" i="16" s="1"/>
  <c r="V499" i="16" s="1"/>
  <c r="W499" i="16" s="1"/>
  <c r="Y499" i="16" s="1"/>
  <c r="H498" i="16"/>
  <c r="J498" i="16" s="1"/>
  <c r="V498" i="16" s="1"/>
  <c r="W498" i="16" s="1"/>
  <c r="Y498" i="16" s="1"/>
  <c r="H497" i="16"/>
  <c r="J497" i="16" s="1"/>
  <c r="V497" i="16" s="1"/>
  <c r="W497" i="16" s="1"/>
  <c r="Y497" i="16" s="1"/>
  <c r="H496" i="16"/>
  <c r="J496" i="16" s="1"/>
  <c r="V496" i="16" s="1"/>
  <c r="W496" i="16" s="1"/>
  <c r="Y496" i="16" s="1"/>
  <c r="H495" i="16"/>
  <c r="J495" i="16" s="1"/>
  <c r="V495" i="16" s="1"/>
  <c r="W495" i="16" s="1"/>
  <c r="Y495" i="16" s="1"/>
  <c r="H494" i="16"/>
  <c r="J494" i="16" s="1"/>
  <c r="V494" i="16" s="1"/>
  <c r="W494" i="16" s="1"/>
  <c r="Y494" i="16" s="1"/>
  <c r="H493" i="16"/>
  <c r="J493" i="16" s="1"/>
  <c r="V493" i="16" s="1"/>
  <c r="W493" i="16" s="1"/>
  <c r="Y493" i="16" s="1"/>
  <c r="H492" i="16"/>
  <c r="J492" i="16" s="1"/>
  <c r="V492" i="16" s="1"/>
  <c r="W492" i="16" s="1"/>
  <c r="Y492" i="16" s="1"/>
  <c r="H491" i="16"/>
  <c r="J491" i="16" s="1"/>
  <c r="V491" i="16" s="1"/>
  <c r="W491" i="16" s="1"/>
  <c r="Y491" i="16" s="1"/>
  <c r="H490" i="16"/>
  <c r="J490" i="16" s="1"/>
  <c r="V490" i="16" s="1"/>
  <c r="W490" i="16" s="1"/>
  <c r="Y490" i="16" s="1"/>
  <c r="H489" i="16"/>
  <c r="J489" i="16" s="1"/>
  <c r="V489" i="16" s="1"/>
  <c r="W489" i="16" s="1"/>
  <c r="Y489" i="16" s="1"/>
  <c r="H488" i="16"/>
  <c r="J488" i="16" s="1"/>
  <c r="V488" i="16" s="1"/>
  <c r="W488" i="16" s="1"/>
  <c r="Y488" i="16" s="1"/>
  <c r="H487" i="16"/>
  <c r="J487" i="16" s="1"/>
  <c r="V487" i="16" s="1"/>
  <c r="W487" i="16" s="1"/>
  <c r="Y487" i="16" s="1"/>
  <c r="H486" i="16"/>
  <c r="J486" i="16" s="1"/>
  <c r="V486" i="16" s="1"/>
  <c r="W486" i="16" s="1"/>
  <c r="Y486" i="16" s="1"/>
  <c r="H485" i="16"/>
  <c r="J485" i="16" s="1"/>
  <c r="V485" i="16" s="1"/>
  <c r="W485" i="16" s="1"/>
  <c r="Y485" i="16" s="1"/>
  <c r="H484" i="16"/>
  <c r="J484" i="16" s="1"/>
  <c r="V484" i="16" s="1"/>
  <c r="W484" i="16" s="1"/>
  <c r="Y484" i="16" s="1"/>
  <c r="H483" i="16"/>
  <c r="J483" i="16" s="1"/>
  <c r="V483" i="16" s="1"/>
  <c r="W483" i="16" s="1"/>
  <c r="Y483" i="16" s="1"/>
  <c r="H482" i="16"/>
  <c r="J482" i="16" s="1"/>
  <c r="V482" i="16" s="1"/>
  <c r="W482" i="16" s="1"/>
  <c r="Y482" i="16" s="1"/>
  <c r="H481" i="16"/>
  <c r="J481" i="16" s="1"/>
  <c r="V481" i="16" s="1"/>
  <c r="W481" i="16" s="1"/>
  <c r="Y481" i="16" s="1"/>
  <c r="H480" i="16"/>
  <c r="J480" i="16" s="1"/>
  <c r="V480" i="16" s="1"/>
  <c r="W480" i="16" s="1"/>
  <c r="Y480" i="16" s="1"/>
  <c r="H479" i="16"/>
  <c r="J479" i="16" s="1"/>
  <c r="V479" i="16" s="1"/>
  <c r="W479" i="16" s="1"/>
  <c r="Y479" i="16" s="1"/>
  <c r="H478" i="16"/>
  <c r="J478" i="16" s="1"/>
  <c r="V478" i="16" s="1"/>
  <c r="W478" i="16" s="1"/>
  <c r="Y478" i="16" s="1"/>
  <c r="H477" i="16"/>
  <c r="J477" i="16" s="1"/>
  <c r="V477" i="16" s="1"/>
  <c r="W477" i="16" s="1"/>
  <c r="Y477" i="16" s="1"/>
  <c r="H476" i="16"/>
  <c r="J476" i="16" s="1"/>
  <c r="V476" i="16" s="1"/>
  <c r="W476" i="16" s="1"/>
  <c r="Y476" i="16" s="1"/>
  <c r="H475" i="16"/>
  <c r="J475" i="16" s="1"/>
  <c r="V475" i="16" s="1"/>
  <c r="W475" i="16" s="1"/>
  <c r="Y475" i="16" s="1"/>
  <c r="H474" i="16"/>
  <c r="J474" i="16" s="1"/>
  <c r="V474" i="16" s="1"/>
  <c r="W474" i="16" s="1"/>
  <c r="Y474" i="16" s="1"/>
  <c r="H473" i="16"/>
  <c r="J473" i="16" s="1"/>
  <c r="V473" i="16" s="1"/>
  <c r="W473" i="16" s="1"/>
  <c r="Y473" i="16" s="1"/>
  <c r="H472" i="16"/>
  <c r="J472" i="16" s="1"/>
  <c r="V472" i="16" s="1"/>
  <c r="W472" i="16" s="1"/>
  <c r="Y472" i="16" s="1"/>
  <c r="H471" i="16"/>
  <c r="J471" i="16" s="1"/>
  <c r="V471" i="16" s="1"/>
  <c r="W471" i="16" s="1"/>
  <c r="Y471" i="16" s="1"/>
  <c r="H470" i="16"/>
  <c r="J470" i="16" s="1"/>
  <c r="V470" i="16" s="1"/>
  <c r="W470" i="16" s="1"/>
  <c r="Y470" i="16" s="1"/>
  <c r="H469" i="16"/>
  <c r="J469" i="16" s="1"/>
  <c r="V469" i="16" s="1"/>
  <c r="W469" i="16" s="1"/>
  <c r="Y469" i="16" s="1"/>
  <c r="H468" i="16"/>
  <c r="J468" i="16" s="1"/>
  <c r="V468" i="16" s="1"/>
  <c r="W468" i="16" s="1"/>
  <c r="Y468" i="16" s="1"/>
  <c r="H467" i="16"/>
  <c r="J467" i="16" s="1"/>
  <c r="V467" i="16" s="1"/>
  <c r="W467" i="16" s="1"/>
  <c r="Y467" i="16" s="1"/>
  <c r="H466" i="16"/>
  <c r="J466" i="16" s="1"/>
  <c r="V466" i="16" s="1"/>
  <c r="W466" i="16" s="1"/>
  <c r="Y466" i="16" s="1"/>
  <c r="H465" i="16"/>
  <c r="J465" i="16" s="1"/>
  <c r="V465" i="16" s="1"/>
  <c r="W465" i="16" s="1"/>
  <c r="Y465" i="16" s="1"/>
  <c r="H464" i="16"/>
  <c r="J464" i="16" s="1"/>
  <c r="V464" i="16" s="1"/>
  <c r="W464" i="16" s="1"/>
  <c r="Y464" i="16" s="1"/>
  <c r="H463" i="16"/>
  <c r="J463" i="16" s="1"/>
  <c r="V463" i="16" s="1"/>
  <c r="W463" i="16" s="1"/>
  <c r="Y463" i="16" s="1"/>
  <c r="H462" i="16"/>
  <c r="J462" i="16" s="1"/>
  <c r="V462" i="16" s="1"/>
  <c r="W462" i="16" s="1"/>
  <c r="Y462" i="16" s="1"/>
  <c r="H461" i="16"/>
  <c r="J461" i="16" s="1"/>
  <c r="V461" i="16" s="1"/>
  <c r="W461" i="16" s="1"/>
  <c r="Y461" i="16" s="1"/>
  <c r="H460" i="16"/>
  <c r="J460" i="16" s="1"/>
  <c r="V460" i="16" s="1"/>
  <c r="W460" i="16" s="1"/>
  <c r="Y460" i="16" s="1"/>
  <c r="H459" i="16"/>
  <c r="J459" i="16" s="1"/>
  <c r="V459" i="16" s="1"/>
  <c r="W459" i="16" s="1"/>
  <c r="Y459" i="16" s="1"/>
  <c r="H458" i="16"/>
  <c r="J458" i="16" s="1"/>
  <c r="V458" i="16" s="1"/>
  <c r="W458" i="16" s="1"/>
  <c r="Y458" i="16" s="1"/>
  <c r="H457" i="16"/>
  <c r="J457" i="16" s="1"/>
  <c r="V457" i="16" s="1"/>
  <c r="W457" i="16" s="1"/>
  <c r="Y457" i="16" s="1"/>
  <c r="H456" i="16"/>
  <c r="J456" i="16" s="1"/>
  <c r="V456" i="16" s="1"/>
  <c r="W456" i="16" s="1"/>
  <c r="Y456" i="16" s="1"/>
  <c r="H455" i="16"/>
  <c r="J455" i="16" s="1"/>
  <c r="V455" i="16" s="1"/>
  <c r="W455" i="16" s="1"/>
  <c r="Y455" i="16" s="1"/>
  <c r="H454" i="16"/>
  <c r="J454" i="16" s="1"/>
  <c r="V454" i="16" s="1"/>
  <c r="W454" i="16" s="1"/>
  <c r="Y454" i="16" s="1"/>
  <c r="H453" i="16"/>
  <c r="J453" i="16" s="1"/>
  <c r="V453" i="16" s="1"/>
  <c r="W453" i="16" s="1"/>
  <c r="Y453" i="16" s="1"/>
  <c r="H452" i="16"/>
  <c r="J452" i="16" s="1"/>
  <c r="V452" i="16" s="1"/>
  <c r="W452" i="16" s="1"/>
  <c r="Y452" i="16" s="1"/>
  <c r="H451" i="16"/>
  <c r="J451" i="16" s="1"/>
  <c r="V451" i="16" s="1"/>
  <c r="W451" i="16" s="1"/>
  <c r="Y451" i="16" s="1"/>
  <c r="H450" i="16"/>
  <c r="J450" i="16" s="1"/>
  <c r="V450" i="16" s="1"/>
  <c r="W450" i="16" s="1"/>
  <c r="Y450" i="16" s="1"/>
  <c r="H449" i="16"/>
  <c r="J449" i="16" s="1"/>
  <c r="V449" i="16" s="1"/>
  <c r="W449" i="16" s="1"/>
  <c r="Y449" i="16" s="1"/>
  <c r="H448" i="16"/>
  <c r="J448" i="16" s="1"/>
  <c r="V448" i="16" s="1"/>
  <c r="W448" i="16" s="1"/>
  <c r="Y448" i="16" s="1"/>
  <c r="H447" i="16"/>
  <c r="J447" i="16" s="1"/>
  <c r="V447" i="16" s="1"/>
  <c r="W447" i="16" s="1"/>
  <c r="Y447" i="16" s="1"/>
  <c r="H446" i="16"/>
  <c r="J446" i="16" s="1"/>
  <c r="V446" i="16" s="1"/>
  <c r="W446" i="16" s="1"/>
  <c r="Y446" i="16" s="1"/>
  <c r="H445" i="16"/>
  <c r="J445" i="16" s="1"/>
  <c r="V445" i="16" s="1"/>
  <c r="W445" i="16" s="1"/>
  <c r="Y445" i="16" s="1"/>
  <c r="H444" i="16"/>
  <c r="J444" i="16" s="1"/>
  <c r="V444" i="16" s="1"/>
  <c r="W444" i="16" s="1"/>
  <c r="Y444" i="16" s="1"/>
  <c r="H443" i="16"/>
  <c r="J443" i="16" s="1"/>
  <c r="V443" i="16" s="1"/>
  <c r="W443" i="16" s="1"/>
  <c r="Y443" i="16" s="1"/>
  <c r="H442" i="16"/>
  <c r="J442" i="16" s="1"/>
  <c r="V442" i="16" s="1"/>
  <c r="W442" i="16" s="1"/>
  <c r="Y442" i="16" s="1"/>
  <c r="H441" i="16"/>
  <c r="J441" i="16" s="1"/>
  <c r="V441" i="16" s="1"/>
  <c r="W441" i="16" s="1"/>
  <c r="Y441" i="16" s="1"/>
  <c r="H440" i="16"/>
  <c r="J440" i="16" s="1"/>
  <c r="V440" i="16" s="1"/>
  <c r="W440" i="16" s="1"/>
  <c r="Y440" i="16" s="1"/>
  <c r="H439" i="16"/>
  <c r="J439" i="16" s="1"/>
  <c r="V439" i="16" s="1"/>
  <c r="W439" i="16" s="1"/>
  <c r="Y439" i="16" s="1"/>
  <c r="H438" i="16"/>
  <c r="J438" i="16" s="1"/>
  <c r="V438" i="16" s="1"/>
  <c r="W438" i="16" s="1"/>
  <c r="Y438" i="16" s="1"/>
  <c r="H437" i="16"/>
  <c r="J437" i="16" s="1"/>
  <c r="V437" i="16" s="1"/>
  <c r="W437" i="16" s="1"/>
  <c r="Y437" i="16" s="1"/>
  <c r="H436" i="16"/>
  <c r="J436" i="16" s="1"/>
  <c r="V436" i="16" s="1"/>
  <c r="W436" i="16" s="1"/>
  <c r="Y436" i="16" s="1"/>
  <c r="H435" i="16"/>
  <c r="J435" i="16" s="1"/>
  <c r="V435" i="16" s="1"/>
  <c r="W435" i="16" s="1"/>
  <c r="Y435" i="16" s="1"/>
  <c r="H434" i="16"/>
  <c r="J434" i="16" s="1"/>
  <c r="V434" i="16" s="1"/>
  <c r="W434" i="16" s="1"/>
  <c r="Y434" i="16" s="1"/>
  <c r="H433" i="16"/>
  <c r="J433" i="16" s="1"/>
  <c r="V433" i="16" s="1"/>
  <c r="W433" i="16" s="1"/>
  <c r="Y433" i="16" s="1"/>
  <c r="H432" i="16"/>
  <c r="J432" i="16" s="1"/>
  <c r="V432" i="16" s="1"/>
  <c r="W432" i="16" s="1"/>
  <c r="Y432" i="16" s="1"/>
  <c r="H431" i="16"/>
  <c r="J431" i="16" s="1"/>
  <c r="V431" i="16" s="1"/>
  <c r="W431" i="16" s="1"/>
  <c r="Y431" i="16" s="1"/>
  <c r="H430" i="16"/>
  <c r="J430" i="16" s="1"/>
  <c r="V430" i="16" s="1"/>
  <c r="W430" i="16" s="1"/>
  <c r="Y430" i="16" s="1"/>
  <c r="H429" i="16"/>
  <c r="J429" i="16" s="1"/>
  <c r="V429" i="16" s="1"/>
  <c r="W429" i="16" s="1"/>
  <c r="Y429" i="16" s="1"/>
  <c r="H428" i="16"/>
  <c r="J428" i="16" s="1"/>
  <c r="V428" i="16" s="1"/>
  <c r="W428" i="16" s="1"/>
  <c r="Y428" i="16" s="1"/>
  <c r="H427" i="16"/>
  <c r="J427" i="16" s="1"/>
  <c r="V427" i="16" s="1"/>
  <c r="W427" i="16" s="1"/>
  <c r="Y427" i="16" s="1"/>
  <c r="H426" i="16"/>
  <c r="J426" i="16" s="1"/>
  <c r="V426" i="16" s="1"/>
  <c r="W426" i="16" s="1"/>
  <c r="Y426" i="16" s="1"/>
  <c r="H425" i="16"/>
  <c r="J425" i="16" s="1"/>
  <c r="V425" i="16" s="1"/>
  <c r="W425" i="16" s="1"/>
  <c r="Y425" i="16" s="1"/>
  <c r="H424" i="16"/>
  <c r="J424" i="16" s="1"/>
  <c r="V424" i="16" s="1"/>
  <c r="W424" i="16" s="1"/>
  <c r="Y424" i="16" s="1"/>
  <c r="H423" i="16"/>
  <c r="J423" i="16" s="1"/>
  <c r="V423" i="16" s="1"/>
  <c r="W423" i="16" s="1"/>
  <c r="Y423" i="16" s="1"/>
  <c r="H422" i="16"/>
  <c r="J422" i="16" s="1"/>
  <c r="V422" i="16" s="1"/>
  <c r="W422" i="16" s="1"/>
  <c r="Y422" i="16" s="1"/>
  <c r="H421" i="16"/>
  <c r="J421" i="16" s="1"/>
  <c r="V421" i="16" s="1"/>
  <c r="W421" i="16" s="1"/>
  <c r="Y421" i="16" s="1"/>
  <c r="H420" i="16"/>
  <c r="J420" i="16" s="1"/>
  <c r="V420" i="16" s="1"/>
  <c r="W420" i="16" s="1"/>
  <c r="Y420" i="16" s="1"/>
  <c r="H419" i="16"/>
  <c r="J419" i="16" s="1"/>
  <c r="V419" i="16" s="1"/>
  <c r="W419" i="16" s="1"/>
  <c r="Y419" i="16" s="1"/>
  <c r="H418" i="16"/>
  <c r="J418" i="16" s="1"/>
  <c r="V418" i="16" s="1"/>
  <c r="W418" i="16" s="1"/>
  <c r="Y418" i="16" s="1"/>
  <c r="H417" i="16"/>
  <c r="J417" i="16" s="1"/>
  <c r="V417" i="16" s="1"/>
  <c r="W417" i="16" s="1"/>
  <c r="Y417" i="16" s="1"/>
  <c r="H416" i="16"/>
  <c r="J416" i="16" s="1"/>
  <c r="V416" i="16" s="1"/>
  <c r="W416" i="16" s="1"/>
  <c r="Y416" i="16" s="1"/>
  <c r="H415" i="16"/>
  <c r="J415" i="16" s="1"/>
  <c r="V415" i="16" s="1"/>
  <c r="W415" i="16" s="1"/>
  <c r="Y415" i="16" s="1"/>
  <c r="H414" i="16"/>
  <c r="J414" i="16" s="1"/>
  <c r="V414" i="16" s="1"/>
  <c r="W414" i="16" s="1"/>
  <c r="Y414" i="16" s="1"/>
  <c r="H413" i="16"/>
  <c r="J413" i="16" s="1"/>
  <c r="V413" i="16" s="1"/>
  <c r="W413" i="16" s="1"/>
  <c r="Y413" i="16" s="1"/>
  <c r="H412" i="16"/>
  <c r="J412" i="16" s="1"/>
  <c r="V412" i="16" s="1"/>
  <c r="W412" i="16" s="1"/>
  <c r="Y412" i="16" s="1"/>
  <c r="H411" i="16"/>
  <c r="J411" i="16" s="1"/>
  <c r="V411" i="16" s="1"/>
  <c r="W411" i="16" s="1"/>
  <c r="Y411" i="16" s="1"/>
  <c r="H410" i="16"/>
  <c r="J410" i="16" s="1"/>
  <c r="V410" i="16" s="1"/>
  <c r="W410" i="16" s="1"/>
  <c r="Y410" i="16" s="1"/>
  <c r="H409" i="16"/>
  <c r="J409" i="16" s="1"/>
  <c r="V409" i="16" s="1"/>
  <c r="W409" i="16" s="1"/>
  <c r="Y409" i="16" s="1"/>
  <c r="H408" i="16"/>
  <c r="J408" i="16" s="1"/>
  <c r="V408" i="16" s="1"/>
  <c r="W408" i="16" s="1"/>
  <c r="Y408" i="16" s="1"/>
  <c r="H407" i="16"/>
  <c r="J407" i="16" s="1"/>
  <c r="V407" i="16" s="1"/>
  <c r="W407" i="16" s="1"/>
  <c r="Y407" i="16" s="1"/>
  <c r="H406" i="16"/>
  <c r="J406" i="16" s="1"/>
  <c r="V406" i="16" s="1"/>
  <c r="W406" i="16" s="1"/>
  <c r="Y406" i="16" s="1"/>
  <c r="H405" i="16"/>
  <c r="J405" i="16" s="1"/>
  <c r="V405" i="16" s="1"/>
  <c r="W405" i="16" s="1"/>
  <c r="Y405" i="16" s="1"/>
  <c r="H404" i="16"/>
  <c r="J404" i="16" s="1"/>
  <c r="V404" i="16" s="1"/>
  <c r="W404" i="16" s="1"/>
  <c r="Y404" i="16" s="1"/>
  <c r="H403" i="16"/>
  <c r="J403" i="16" s="1"/>
  <c r="V403" i="16" s="1"/>
  <c r="W403" i="16" s="1"/>
  <c r="Y403" i="16" s="1"/>
  <c r="H402" i="16"/>
  <c r="J402" i="16" s="1"/>
  <c r="V402" i="16" s="1"/>
  <c r="W402" i="16" s="1"/>
  <c r="Y402" i="16" s="1"/>
  <c r="H401" i="16"/>
  <c r="J401" i="16" s="1"/>
  <c r="V401" i="16" s="1"/>
  <c r="W401" i="16" s="1"/>
  <c r="Y401" i="16" s="1"/>
  <c r="H400" i="16"/>
  <c r="J400" i="16" s="1"/>
  <c r="V400" i="16" s="1"/>
  <c r="W400" i="16" s="1"/>
  <c r="Y400" i="16" s="1"/>
  <c r="H399" i="16"/>
  <c r="J399" i="16" s="1"/>
  <c r="V399" i="16" s="1"/>
  <c r="W399" i="16" s="1"/>
  <c r="Y399" i="16" s="1"/>
  <c r="H398" i="16"/>
  <c r="J398" i="16" s="1"/>
  <c r="V398" i="16" s="1"/>
  <c r="W398" i="16" s="1"/>
  <c r="Y398" i="16" s="1"/>
  <c r="H397" i="16"/>
  <c r="J397" i="16" s="1"/>
  <c r="V397" i="16" s="1"/>
  <c r="W397" i="16" s="1"/>
  <c r="Y397" i="16" s="1"/>
  <c r="H396" i="16"/>
  <c r="J396" i="16" s="1"/>
  <c r="V396" i="16" s="1"/>
  <c r="W396" i="16" s="1"/>
  <c r="Y396" i="16" s="1"/>
  <c r="H395" i="16"/>
  <c r="J395" i="16" s="1"/>
  <c r="V395" i="16" s="1"/>
  <c r="W395" i="16" s="1"/>
  <c r="Y395" i="16" s="1"/>
  <c r="H394" i="16"/>
  <c r="J394" i="16" s="1"/>
  <c r="V394" i="16" s="1"/>
  <c r="W394" i="16" s="1"/>
  <c r="Y394" i="16" s="1"/>
  <c r="H393" i="16"/>
  <c r="J393" i="16" s="1"/>
  <c r="V393" i="16" s="1"/>
  <c r="W393" i="16" s="1"/>
  <c r="Y393" i="16" s="1"/>
  <c r="H392" i="16"/>
  <c r="J392" i="16" s="1"/>
  <c r="V392" i="16" s="1"/>
  <c r="W392" i="16" s="1"/>
  <c r="Y392" i="16" s="1"/>
  <c r="H391" i="16"/>
  <c r="J391" i="16" s="1"/>
  <c r="V391" i="16" s="1"/>
  <c r="W391" i="16" s="1"/>
  <c r="Y391" i="16" s="1"/>
  <c r="H390" i="16"/>
  <c r="J390" i="16" s="1"/>
  <c r="V390" i="16" s="1"/>
  <c r="W390" i="16" s="1"/>
  <c r="Y390" i="16" s="1"/>
  <c r="H389" i="16"/>
  <c r="J389" i="16" s="1"/>
  <c r="V389" i="16" s="1"/>
  <c r="W389" i="16" s="1"/>
  <c r="Y389" i="16" s="1"/>
  <c r="H388" i="16"/>
  <c r="J388" i="16" s="1"/>
  <c r="V388" i="16" s="1"/>
  <c r="W388" i="16" s="1"/>
  <c r="Y388" i="16" s="1"/>
  <c r="H387" i="16"/>
  <c r="J387" i="16" s="1"/>
  <c r="V387" i="16" s="1"/>
  <c r="W387" i="16" s="1"/>
  <c r="Y387" i="16" s="1"/>
  <c r="R385" i="16"/>
  <c r="R384" i="16"/>
  <c r="T384" i="16" s="1"/>
  <c r="U384" i="16" s="1"/>
  <c r="R383" i="16"/>
  <c r="T383" i="16" s="1"/>
  <c r="R382" i="16"/>
  <c r="T382" i="16" s="1"/>
  <c r="R381" i="16"/>
  <c r="T381" i="16" s="1"/>
  <c r="R380" i="16"/>
  <c r="R379" i="16"/>
  <c r="T379" i="16" s="1"/>
  <c r="R378" i="16"/>
  <c r="R377" i="16"/>
  <c r="R376" i="16"/>
  <c r="T376" i="16" s="1"/>
  <c r="R375" i="16"/>
  <c r="T375" i="16" s="1"/>
  <c r="R374" i="16"/>
  <c r="T374" i="16" s="1"/>
  <c r="R373" i="16"/>
  <c r="T373" i="16" s="1"/>
  <c r="R372" i="16"/>
  <c r="R371" i="16"/>
  <c r="T371" i="16" s="1"/>
  <c r="U371" i="16" s="1"/>
  <c r="R370" i="16"/>
  <c r="T370" i="16" s="1"/>
  <c r="R369" i="16"/>
  <c r="R368" i="16"/>
  <c r="T368" i="16" s="1"/>
  <c r="U368" i="16" s="1"/>
  <c r="R367" i="16"/>
  <c r="T367" i="16" s="1"/>
  <c r="R366" i="16"/>
  <c r="T366" i="16" s="1"/>
  <c r="J366" i="16"/>
  <c r="H365" i="16"/>
  <c r="J365" i="16" s="1"/>
  <c r="V365" i="16" s="1"/>
  <c r="W365" i="16" s="1"/>
  <c r="Y365" i="16" s="1"/>
  <c r="R363" i="16"/>
  <c r="R362" i="16"/>
  <c r="T362" i="16" s="1"/>
  <c r="U362" i="16" s="1"/>
  <c r="R361" i="16"/>
  <c r="T361" i="16" s="1"/>
  <c r="U361" i="16" s="1"/>
  <c r="R360" i="16"/>
  <c r="R359" i="16"/>
  <c r="T359" i="16" s="1"/>
  <c r="U359" i="16" s="1"/>
  <c r="H359" i="16"/>
  <c r="J359" i="16" s="1"/>
  <c r="R357" i="16"/>
  <c r="T357" i="16" s="1"/>
  <c r="U357" i="16" s="1"/>
  <c r="R356" i="16"/>
  <c r="T356" i="16" s="1"/>
  <c r="R355" i="16"/>
  <c r="T355" i="16" s="1"/>
  <c r="R354" i="16"/>
  <c r="T354" i="16" s="1"/>
  <c r="U354" i="16" s="1"/>
  <c r="R353" i="16"/>
  <c r="T353" i="16" s="1"/>
  <c r="R352" i="16"/>
  <c r="T352" i="16" s="1"/>
  <c r="R351" i="16"/>
  <c r="R350" i="16"/>
  <c r="R349" i="16"/>
  <c r="T349" i="16" s="1"/>
  <c r="R348" i="16"/>
  <c r="T348" i="16" s="1"/>
  <c r="R347" i="16"/>
  <c r="T347" i="16" s="1"/>
  <c r="R346" i="16"/>
  <c r="T346" i="16" s="1"/>
  <c r="U346" i="16" s="1"/>
  <c r="R345" i="16"/>
  <c r="T345" i="16" s="1"/>
  <c r="R344" i="16"/>
  <c r="T344" i="16" s="1"/>
  <c r="R343" i="16"/>
  <c r="H343" i="16"/>
  <c r="J343" i="16" s="1"/>
  <c r="R341" i="16"/>
  <c r="T341" i="16" s="1"/>
  <c r="R340" i="16"/>
  <c r="T340" i="16" s="1"/>
  <c r="R339" i="16"/>
  <c r="T339" i="16" s="1"/>
  <c r="U339" i="16" s="1"/>
  <c r="R338" i="16"/>
  <c r="T338" i="16" s="1"/>
  <c r="R337" i="16"/>
  <c r="T337" i="16" s="1"/>
  <c r="R336" i="16"/>
  <c r="R335" i="16"/>
  <c r="R334" i="16"/>
  <c r="H333" i="16"/>
  <c r="J333" i="16" s="1"/>
  <c r="R331" i="16"/>
  <c r="R330" i="16"/>
  <c r="T330" i="16" s="1"/>
  <c r="U330" i="16" s="1"/>
  <c r="R329" i="16"/>
  <c r="T329" i="16" s="1"/>
  <c r="R328" i="16"/>
  <c r="T328" i="16" s="1"/>
  <c r="R327" i="16"/>
  <c r="R326" i="16"/>
  <c r="T326" i="16" s="1"/>
  <c r="R325" i="16"/>
  <c r="T325" i="16" s="1"/>
  <c r="R324" i="16"/>
  <c r="T324" i="16" s="1"/>
  <c r="U324" i="16" s="1"/>
  <c r="R323" i="16"/>
  <c r="T323" i="16" s="1"/>
  <c r="R322" i="16"/>
  <c r="T322" i="16" s="1"/>
  <c r="U322" i="16" s="1"/>
  <c r="R321" i="16"/>
  <c r="T321" i="16" s="1"/>
  <c r="H321" i="16"/>
  <c r="J321" i="16" s="1"/>
  <c r="R319" i="16"/>
  <c r="T319" i="16" s="1"/>
  <c r="R318" i="16"/>
  <c r="T318" i="16" s="1"/>
  <c r="U318" i="16" s="1"/>
  <c r="R317" i="16"/>
  <c r="T317" i="16" s="1"/>
  <c r="R316" i="16"/>
  <c r="T316" i="16" s="1"/>
  <c r="R315" i="16"/>
  <c r="T315" i="16" s="1"/>
  <c r="R314" i="16"/>
  <c r="T314" i="16" s="1"/>
  <c r="R313" i="16"/>
  <c r="T313" i="16" s="1"/>
  <c r="R312" i="16"/>
  <c r="T312" i="16" s="1"/>
  <c r="U312" i="16" s="1"/>
  <c r="R311" i="16"/>
  <c r="T311" i="16" s="1"/>
  <c r="R310" i="16"/>
  <c r="T310" i="16" s="1"/>
  <c r="U310" i="16" s="1"/>
  <c r="R309" i="16"/>
  <c r="T309" i="16" s="1"/>
  <c r="R308" i="16"/>
  <c r="T308" i="16" s="1"/>
  <c r="R307" i="16"/>
  <c r="T307" i="16" s="1"/>
  <c r="H306" i="16"/>
  <c r="J306" i="16" s="1"/>
  <c r="H305" i="16"/>
  <c r="J305" i="16" s="1"/>
  <c r="V305" i="16" s="1"/>
  <c r="W305" i="16" s="1"/>
  <c r="Y305" i="16" s="1"/>
  <c r="H304" i="16"/>
  <c r="J304" i="16" s="1"/>
  <c r="V304" i="16" s="1"/>
  <c r="W304" i="16" s="1"/>
  <c r="Y304" i="16" s="1"/>
  <c r="H303" i="16"/>
  <c r="J303" i="16" s="1"/>
  <c r="V303" i="16" s="1"/>
  <c r="W303" i="16" s="1"/>
  <c r="Y303" i="16" s="1"/>
  <c r="H302" i="16"/>
  <c r="J302" i="16" s="1"/>
  <c r="V302" i="16" s="1"/>
  <c r="W302" i="16" s="1"/>
  <c r="Y302" i="16" s="1"/>
  <c r="H301" i="16"/>
  <c r="J301" i="16" s="1"/>
  <c r="V301" i="16" s="1"/>
  <c r="W301" i="16" s="1"/>
  <c r="Y301" i="16" s="1"/>
  <c r="H300" i="16"/>
  <c r="J300" i="16" s="1"/>
  <c r="V300" i="16" s="1"/>
  <c r="W300" i="16" s="1"/>
  <c r="Y300" i="16" s="1"/>
  <c r="H299" i="16"/>
  <c r="J299" i="16" s="1"/>
  <c r="V299" i="16" s="1"/>
  <c r="W299" i="16" s="1"/>
  <c r="Y299" i="16" s="1"/>
  <c r="H298" i="16"/>
  <c r="J298" i="16" s="1"/>
  <c r="V298" i="16" s="1"/>
  <c r="W298" i="16" s="1"/>
  <c r="Y298" i="16" s="1"/>
  <c r="H297" i="16"/>
  <c r="J297" i="16" s="1"/>
  <c r="V297" i="16" s="1"/>
  <c r="W297" i="16" s="1"/>
  <c r="Y297" i="16" s="1"/>
  <c r="H296" i="16"/>
  <c r="J296" i="16" s="1"/>
  <c r="V296" i="16" s="1"/>
  <c r="W296" i="16" s="1"/>
  <c r="Y296" i="16" s="1"/>
  <c r="H295" i="16"/>
  <c r="J295" i="16" s="1"/>
  <c r="V295" i="16" s="1"/>
  <c r="W295" i="16" s="1"/>
  <c r="Y295" i="16" s="1"/>
  <c r="H294" i="16"/>
  <c r="J294" i="16" s="1"/>
  <c r="V294" i="16" s="1"/>
  <c r="W294" i="16" s="1"/>
  <c r="Y294" i="16" s="1"/>
  <c r="H293" i="16"/>
  <c r="J293" i="16" s="1"/>
  <c r="V293" i="16" s="1"/>
  <c r="W293" i="16" s="1"/>
  <c r="Y293" i="16" s="1"/>
  <c r="H292" i="16"/>
  <c r="J292" i="16" s="1"/>
  <c r="V292" i="16" s="1"/>
  <c r="W292" i="16" s="1"/>
  <c r="Y292" i="16" s="1"/>
  <c r="H291" i="16"/>
  <c r="J291" i="16" s="1"/>
  <c r="V291" i="16" s="1"/>
  <c r="W291" i="16" s="1"/>
  <c r="Y291" i="16" s="1"/>
  <c r="H290" i="16"/>
  <c r="J290" i="16" s="1"/>
  <c r="V290" i="16" s="1"/>
  <c r="W290" i="16" s="1"/>
  <c r="Y290" i="16" s="1"/>
  <c r="H289" i="16"/>
  <c r="J289" i="16" s="1"/>
  <c r="V289" i="16" s="1"/>
  <c r="W289" i="16" s="1"/>
  <c r="Y289" i="16" s="1"/>
  <c r="H288" i="16"/>
  <c r="J288" i="16" s="1"/>
  <c r="V288" i="16" s="1"/>
  <c r="W288" i="16" s="1"/>
  <c r="Y288" i="16" s="1"/>
  <c r="H287" i="16"/>
  <c r="J287" i="16" s="1"/>
  <c r="V287" i="16" s="1"/>
  <c r="W287" i="16" s="1"/>
  <c r="Y287" i="16" s="1"/>
  <c r="H286" i="16"/>
  <c r="J286" i="16" s="1"/>
  <c r="V286" i="16" s="1"/>
  <c r="W286" i="16" s="1"/>
  <c r="Y286" i="16" s="1"/>
  <c r="H285" i="16"/>
  <c r="J285" i="16" s="1"/>
  <c r="V285" i="16" s="1"/>
  <c r="W285" i="16" s="1"/>
  <c r="Y285" i="16" s="1"/>
  <c r="H284" i="16"/>
  <c r="J284" i="16" s="1"/>
  <c r="V284" i="16" s="1"/>
  <c r="W284" i="16" s="1"/>
  <c r="Y284" i="16" s="1"/>
  <c r="H283" i="16"/>
  <c r="J283" i="16" s="1"/>
  <c r="V283" i="16" s="1"/>
  <c r="W283" i="16" s="1"/>
  <c r="Y283" i="16" s="1"/>
  <c r="H282" i="16"/>
  <c r="J282" i="16" s="1"/>
  <c r="V282" i="16" s="1"/>
  <c r="W282" i="16" s="1"/>
  <c r="Y282" i="16" s="1"/>
  <c r="H281" i="16"/>
  <c r="J281" i="16" s="1"/>
  <c r="V281" i="16" s="1"/>
  <c r="W281" i="16" s="1"/>
  <c r="Y281" i="16" s="1"/>
  <c r="H280" i="16"/>
  <c r="J280" i="16" s="1"/>
  <c r="V280" i="16" s="1"/>
  <c r="W280" i="16" s="1"/>
  <c r="Y280" i="16" s="1"/>
  <c r="H279" i="16"/>
  <c r="J279" i="16" s="1"/>
  <c r="V279" i="16" s="1"/>
  <c r="W279" i="16" s="1"/>
  <c r="Y279" i="16" s="1"/>
  <c r="H278" i="16"/>
  <c r="J278" i="16" s="1"/>
  <c r="V278" i="16" s="1"/>
  <c r="W278" i="16" s="1"/>
  <c r="Y278" i="16" s="1"/>
  <c r="H277" i="16"/>
  <c r="J277" i="16" s="1"/>
  <c r="V277" i="16" s="1"/>
  <c r="W277" i="16" s="1"/>
  <c r="Y277" i="16" s="1"/>
  <c r="H276" i="16"/>
  <c r="J276" i="16" s="1"/>
  <c r="V276" i="16" s="1"/>
  <c r="W276" i="16" s="1"/>
  <c r="Y276" i="16" s="1"/>
  <c r="H275" i="16"/>
  <c r="J275" i="16" s="1"/>
  <c r="V275" i="16" s="1"/>
  <c r="W275" i="16" s="1"/>
  <c r="Y275" i="16" s="1"/>
  <c r="H274" i="16"/>
  <c r="J274" i="16" s="1"/>
  <c r="V274" i="16" s="1"/>
  <c r="W274" i="16" s="1"/>
  <c r="Y274" i="16" s="1"/>
  <c r="H273" i="16"/>
  <c r="J273" i="16" s="1"/>
  <c r="V273" i="16" s="1"/>
  <c r="W273" i="16" s="1"/>
  <c r="Y273" i="16" s="1"/>
  <c r="H272" i="16"/>
  <c r="J272" i="16" s="1"/>
  <c r="V272" i="16" s="1"/>
  <c r="W272" i="16" s="1"/>
  <c r="Y272" i="16" s="1"/>
  <c r="H271" i="16"/>
  <c r="J271" i="16" s="1"/>
  <c r="V271" i="16" s="1"/>
  <c r="W271" i="16" s="1"/>
  <c r="Y271" i="16" s="1"/>
  <c r="H270" i="16"/>
  <c r="J270" i="16" s="1"/>
  <c r="V270" i="16" s="1"/>
  <c r="W270" i="16" s="1"/>
  <c r="Y270" i="16" s="1"/>
  <c r="H269" i="16"/>
  <c r="J269" i="16" s="1"/>
  <c r="V269" i="16" s="1"/>
  <c r="W269" i="16" s="1"/>
  <c r="Y269" i="16" s="1"/>
  <c r="H268" i="16"/>
  <c r="J268" i="16" s="1"/>
  <c r="V268" i="16" s="1"/>
  <c r="W268" i="16" s="1"/>
  <c r="Y268" i="16" s="1"/>
  <c r="H267" i="16"/>
  <c r="J267" i="16" s="1"/>
  <c r="V267" i="16" s="1"/>
  <c r="W267" i="16" s="1"/>
  <c r="Y267" i="16" s="1"/>
  <c r="H266" i="16"/>
  <c r="J266" i="16" s="1"/>
  <c r="V266" i="16" s="1"/>
  <c r="W266" i="16" s="1"/>
  <c r="Y266" i="16" s="1"/>
  <c r="H265" i="16"/>
  <c r="J265" i="16" s="1"/>
  <c r="V265" i="16" s="1"/>
  <c r="W265" i="16" s="1"/>
  <c r="Y265" i="16" s="1"/>
  <c r="H264" i="16"/>
  <c r="J264" i="16" s="1"/>
  <c r="V264" i="16" s="1"/>
  <c r="W264" i="16" s="1"/>
  <c r="Y264" i="16" s="1"/>
  <c r="H263" i="16"/>
  <c r="J263" i="16" s="1"/>
  <c r="V263" i="16" s="1"/>
  <c r="W263" i="16" s="1"/>
  <c r="Y263" i="16" s="1"/>
  <c r="H262" i="16"/>
  <c r="J262" i="16" s="1"/>
  <c r="V262" i="16" s="1"/>
  <c r="W262" i="16" s="1"/>
  <c r="Y262" i="16" s="1"/>
  <c r="H261" i="16"/>
  <c r="J261" i="16" s="1"/>
  <c r="V261" i="16" s="1"/>
  <c r="W261" i="16" s="1"/>
  <c r="Y261" i="16" s="1"/>
  <c r="H260" i="16"/>
  <c r="J260" i="16" s="1"/>
  <c r="V260" i="16" s="1"/>
  <c r="W260" i="16" s="1"/>
  <c r="Y260" i="16" s="1"/>
  <c r="H259" i="16"/>
  <c r="J259" i="16" s="1"/>
  <c r="V259" i="16" s="1"/>
  <c r="W259" i="16" s="1"/>
  <c r="Y259" i="16" s="1"/>
  <c r="H258" i="16"/>
  <c r="J258" i="16" s="1"/>
  <c r="V258" i="16" s="1"/>
  <c r="W258" i="16" s="1"/>
  <c r="Y258" i="16" s="1"/>
  <c r="H257" i="16"/>
  <c r="J257" i="16" s="1"/>
  <c r="V257" i="16" s="1"/>
  <c r="W257" i="16" s="1"/>
  <c r="Y257" i="16" s="1"/>
  <c r="H256" i="16"/>
  <c r="J256" i="16" s="1"/>
  <c r="V256" i="16" s="1"/>
  <c r="W256" i="16" s="1"/>
  <c r="Y256" i="16" s="1"/>
  <c r="H255" i="16"/>
  <c r="J255" i="16" s="1"/>
  <c r="V255" i="16" s="1"/>
  <c r="W255" i="16" s="1"/>
  <c r="Y255" i="16" s="1"/>
  <c r="H254" i="16"/>
  <c r="J254" i="16" s="1"/>
  <c r="V254" i="16" s="1"/>
  <c r="W254" i="16" s="1"/>
  <c r="Y254" i="16" s="1"/>
  <c r="H253" i="16"/>
  <c r="J253" i="16" s="1"/>
  <c r="V253" i="16" s="1"/>
  <c r="W253" i="16" s="1"/>
  <c r="Y253" i="16" s="1"/>
  <c r="H252" i="16"/>
  <c r="J252" i="16" s="1"/>
  <c r="V252" i="16" s="1"/>
  <c r="W252" i="16" s="1"/>
  <c r="Y252" i="16" s="1"/>
  <c r="H251" i="16"/>
  <c r="J251" i="16" s="1"/>
  <c r="V251" i="16" s="1"/>
  <c r="W251" i="16" s="1"/>
  <c r="Y251" i="16" s="1"/>
  <c r="H250" i="16"/>
  <c r="J250" i="16" s="1"/>
  <c r="V250" i="16" s="1"/>
  <c r="W250" i="16" s="1"/>
  <c r="Y250" i="16" s="1"/>
  <c r="H249" i="16"/>
  <c r="J249" i="16" s="1"/>
  <c r="V249" i="16" s="1"/>
  <c r="W249" i="16" s="1"/>
  <c r="Y249" i="16" s="1"/>
  <c r="H248" i="16"/>
  <c r="J248" i="16" s="1"/>
  <c r="V248" i="16" s="1"/>
  <c r="W248" i="16" s="1"/>
  <c r="Y248" i="16" s="1"/>
  <c r="H247" i="16"/>
  <c r="J247" i="16" s="1"/>
  <c r="V247" i="16" s="1"/>
  <c r="W247" i="16" s="1"/>
  <c r="Y247" i="16" s="1"/>
  <c r="H246" i="16"/>
  <c r="J246" i="16" s="1"/>
  <c r="V246" i="16" s="1"/>
  <c r="W246" i="16" s="1"/>
  <c r="Y246" i="16" s="1"/>
  <c r="H245" i="16"/>
  <c r="J245" i="16" s="1"/>
  <c r="V245" i="16" s="1"/>
  <c r="W245" i="16" s="1"/>
  <c r="Y245" i="16" s="1"/>
  <c r="H244" i="16"/>
  <c r="J244" i="16" s="1"/>
  <c r="V244" i="16" s="1"/>
  <c r="W244" i="16" s="1"/>
  <c r="Y244" i="16" s="1"/>
  <c r="H243" i="16"/>
  <c r="J243" i="16" s="1"/>
  <c r="V243" i="16" s="1"/>
  <c r="W243" i="16" s="1"/>
  <c r="Y243" i="16" s="1"/>
  <c r="H242" i="16"/>
  <c r="J242" i="16" s="1"/>
  <c r="V242" i="16" s="1"/>
  <c r="W242" i="16" s="1"/>
  <c r="Y242" i="16" s="1"/>
  <c r="H241" i="16"/>
  <c r="J241" i="16" s="1"/>
  <c r="V241" i="16" s="1"/>
  <c r="W241" i="16" s="1"/>
  <c r="Y241" i="16" s="1"/>
  <c r="H240" i="16"/>
  <c r="J240" i="16" s="1"/>
  <c r="V240" i="16" s="1"/>
  <c r="W240" i="16" s="1"/>
  <c r="Y240" i="16" s="1"/>
  <c r="H239" i="16"/>
  <c r="J239" i="16" s="1"/>
  <c r="V239" i="16" s="1"/>
  <c r="W239" i="16" s="1"/>
  <c r="Y239" i="16" s="1"/>
  <c r="H238" i="16"/>
  <c r="J238" i="16" s="1"/>
  <c r="V238" i="16" s="1"/>
  <c r="W238" i="16" s="1"/>
  <c r="Y238" i="16" s="1"/>
  <c r="H237" i="16"/>
  <c r="J237" i="16" s="1"/>
  <c r="V237" i="16" s="1"/>
  <c r="W237" i="16" s="1"/>
  <c r="Y237" i="16" s="1"/>
  <c r="R235" i="16"/>
  <c r="T235" i="16" s="1"/>
  <c r="U235" i="16" s="1"/>
  <c r="R234" i="16"/>
  <c r="T234" i="16" s="1"/>
  <c r="R233" i="16"/>
  <c r="T233" i="16" s="1"/>
  <c r="R232" i="16"/>
  <c r="T232" i="16" s="1"/>
  <c r="R231" i="16"/>
  <c r="T231" i="16" s="1"/>
  <c r="R230" i="16"/>
  <c r="T230" i="16" s="1"/>
  <c r="R229" i="16"/>
  <c r="T229" i="16" s="1"/>
  <c r="U229" i="16" s="1"/>
  <c r="R228" i="16"/>
  <c r="T228" i="16" s="1"/>
  <c r="R227" i="16"/>
  <c r="T227" i="16" s="1"/>
  <c r="U227" i="16" s="1"/>
  <c r="R226" i="16"/>
  <c r="T226" i="16" s="1"/>
  <c r="R225" i="16"/>
  <c r="T225" i="16" s="1"/>
  <c r="R224" i="16"/>
  <c r="T224" i="16" s="1"/>
  <c r="R223" i="16"/>
  <c r="T223" i="16" s="1"/>
  <c r="R222" i="16"/>
  <c r="T222" i="16" s="1"/>
  <c r="R221" i="16"/>
  <c r="T221" i="16" s="1"/>
  <c r="U221" i="16" s="1"/>
  <c r="R220" i="16"/>
  <c r="T220" i="16" s="1"/>
  <c r="R219" i="16"/>
  <c r="T219" i="16" s="1"/>
  <c r="U219" i="16" s="1"/>
  <c r="R218" i="16"/>
  <c r="T218" i="16" s="1"/>
  <c r="R217" i="16"/>
  <c r="T217" i="16" s="1"/>
  <c r="R216" i="16"/>
  <c r="T216" i="16" s="1"/>
  <c r="R215" i="16"/>
  <c r="T215" i="16" s="1"/>
  <c r="J215" i="16"/>
  <c r="R213" i="16"/>
  <c r="T213" i="16" s="1"/>
  <c r="R212" i="16"/>
  <c r="T212" i="16" s="1"/>
  <c r="R211" i="16"/>
  <c r="T211" i="16" s="1"/>
  <c r="U211" i="16" s="1"/>
  <c r="J211" i="16"/>
  <c r="H210" i="16"/>
  <c r="J210" i="16" s="1"/>
  <c r="V210" i="16" s="1"/>
  <c r="W210" i="16" s="1"/>
  <c r="Y210" i="16" s="1"/>
  <c r="H209" i="16"/>
  <c r="J209" i="16" s="1"/>
  <c r="V209" i="16" s="1"/>
  <c r="W209" i="16" s="1"/>
  <c r="Y209" i="16" s="1"/>
  <c r="H208" i="16"/>
  <c r="J208" i="16" s="1"/>
  <c r="V208" i="16" s="1"/>
  <c r="W208" i="16" s="1"/>
  <c r="Y208" i="16" s="1"/>
  <c r="H207" i="16"/>
  <c r="J207" i="16" s="1"/>
  <c r="V207" i="16" s="1"/>
  <c r="W207" i="16" s="1"/>
  <c r="Y207" i="16" s="1"/>
  <c r="H206" i="16"/>
  <c r="J206" i="16" s="1"/>
  <c r="V206" i="16" s="1"/>
  <c r="W206" i="16" s="1"/>
  <c r="Y206" i="16" s="1"/>
  <c r="H205" i="16"/>
  <c r="J205" i="16" s="1"/>
  <c r="V205" i="16" s="1"/>
  <c r="W205" i="16" s="1"/>
  <c r="Y205" i="16" s="1"/>
  <c r="H204" i="16"/>
  <c r="J204" i="16" s="1"/>
  <c r="V204" i="16" s="1"/>
  <c r="W204" i="16" s="1"/>
  <c r="Y204" i="16" s="1"/>
  <c r="H203" i="16"/>
  <c r="J203" i="16" s="1"/>
  <c r="V203" i="16" s="1"/>
  <c r="W203" i="16" s="1"/>
  <c r="Y203" i="16" s="1"/>
  <c r="H202" i="16"/>
  <c r="J202" i="16" s="1"/>
  <c r="V202" i="16" s="1"/>
  <c r="W202" i="16" s="1"/>
  <c r="Y202" i="16" s="1"/>
  <c r="H201" i="16"/>
  <c r="J201" i="16" s="1"/>
  <c r="V201" i="16" s="1"/>
  <c r="W201" i="16" s="1"/>
  <c r="Y201" i="16" s="1"/>
  <c r="H200" i="16"/>
  <c r="J200" i="16" s="1"/>
  <c r="V200" i="16" s="1"/>
  <c r="W200" i="16" s="1"/>
  <c r="Y200" i="16" s="1"/>
  <c r="H199" i="16"/>
  <c r="J199" i="16" s="1"/>
  <c r="V199" i="16" s="1"/>
  <c r="W199" i="16" s="1"/>
  <c r="Y199" i="16" s="1"/>
  <c r="H198" i="16"/>
  <c r="J198" i="16" s="1"/>
  <c r="V198" i="16" s="1"/>
  <c r="W198" i="16" s="1"/>
  <c r="Y198" i="16" s="1"/>
  <c r="H197" i="16"/>
  <c r="J197" i="16" s="1"/>
  <c r="V197" i="16" s="1"/>
  <c r="W197" i="16" s="1"/>
  <c r="Y197" i="16" s="1"/>
  <c r="H196" i="16"/>
  <c r="J196" i="16" s="1"/>
  <c r="V196" i="16" s="1"/>
  <c r="W196" i="16" s="1"/>
  <c r="Y196" i="16" s="1"/>
  <c r="R195" i="16"/>
  <c r="T195" i="16" s="1"/>
  <c r="U195" i="16" s="1"/>
  <c r="H195" i="16"/>
  <c r="J195" i="16" s="1"/>
  <c r="R194" i="16"/>
  <c r="T194" i="16" s="1"/>
  <c r="H194" i="16"/>
  <c r="J194" i="16" s="1"/>
  <c r="R193" i="16"/>
  <c r="T193" i="16" s="1"/>
  <c r="H193" i="16"/>
  <c r="J193" i="16" s="1"/>
  <c r="R192" i="16"/>
  <c r="T192" i="16" s="1"/>
  <c r="H192" i="16"/>
  <c r="J192" i="16" s="1"/>
  <c r="R191" i="16"/>
  <c r="T191" i="16" s="1"/>
  <c r="H191" i="16"/>
  <c r="J191" i="16" s="1"/>
  <c r="H190" i="16"/>
  <c r="J190" i="16" s="1"/>
  <c r="V190" i="16" s="1"/>
  <c r="W190" i="16" s="1"/>
  <c r="Y190" i="16" s="1"/>
  <c r="H189" i="16"/>
  <c r="J189" i="16" s="1"/>
  <c r="V189" i="16" s="1"/>
  <c r="W189" i="16" s="1"/>
  <c r="Y189" i="16" s="1"/>
  <c r="H188" i="16"/>
  <c r="J188" i="16" s="1"/>
  <c r="V188" i="16" s="1"/>
  <c r="W188" i="16" s="1"/>
  <c r="Y188" i="16" s="1"/>
  <c r="H187" i="16"/>
  <c r="J187" i="16" s="1"/>
  <c r="V187" i="16" s="1"/>
  <c r="W187" i="16" s="1"/>
  <c r="Y187" i="16" s="1"/>
  <c r="H186" i="16"/>
  <c r="J186" i="16" s="1"/>
  <c r="V186" i="16" s="1"/>
  <c r="W186" i="16" s="1"/>
  <c r="Y186" i="16" s="1"/>
  <c r="H185" i="16"/>
  <c r="J185" i="16" s="1"/>
  <c r="V185" i="16" s="1"/>
  <c r="W185" i="16" s="1"/>
  <c r="Y185" i="16" s="1"/>
  <c r="H184" i="16"/>
  <c r="J184" i="16" s="1"/>
  <c r="V184" i="16" s="1"/>
  <c r="W184" i="16" s="1"/>
  <c r="Y184" i="16" s="1"/>
  <c r="H183" i="16"/>
  <c r="J183" i="16" s="1"/>
  <c r="V183" i="16" s="1"/>
  <c r="W183" i="16" s="1"/>
  <c r="Y183" i="16" s="1"/>
  <c r="H182" i="16"/>
  <c r="J182" i="16" s="1"/>
  <c r="V182" i="16" s="1"/>
  <c r="W182" i="16" s="1"/>
  <c r="Y182" i="16" s="1"/>
  <c r="H181" i="16"/>
  <c r="J181" i="16" s="1"/>
  <c r="V181" i="16" s="1"/>
  <c r="W181" i="16" s="1"/>
  <c r="Y181" i="16" s="1"/>
  <c r="H180" i="16"/>
  <c r="J180" i="16" s="1"/>
  <c r="V180" i="16" s="1"/>
  <c r="W180" i="16" s="1"/>
  <c r="Y180" i="16" s="1"/>
  <c r="H179" i="16"/>
  <c r="J179" i="16" s="1"/>
  <c r="V179" i="16" s="1"/>
  <c r="W179" i="16" s="1"/>
  <c r="Y179" i="16" s="1"/>
  <c r="H178" i="16"/>
  <c r="J178" i="16" s="1"/>
  <c r="V178" i="16" s="1"/>
  <c r="W178" i="16" s="1"/>
  <c r="Y178" i="16" s="1"/>
  <c r="H177" i="16"/>
  <c r="J177" i="16" s="1"/>
  <c r="V177" i="16" s="1"/>
  <c r="W177" i="16" s="1"/>
  <c r="Y177" i="16" s="1"/>
  <c r="H176" i="16"/>
  <c r="J176" i="16" s="1"/>
  <c r="V176" i="16" s="1"/>
  <c r="W176" i="16" s="1"/>
  <c r="Y176" i="16" s="1"/>
  <c r="H175" i="16"/>
  <c r="J175" i="16" s="1"/>
  <c r="V175" i="16" s="1"/>
  <c r="W175" i="16" s="1"/>
  <c r="Y175" i="16" s="1"/>
  <c r="H174" i="16"/>
  <c r="J174" i="16" s="1"/>
  <c r="V174" i="16" s="1"/>
  <c r="W174" i="16" s="1"/>
  <c r="Y174" i="16" s="1"/>
  <c r="H173" i="16"/>
  <c r="J173" i="16" s="1"/>
  <c r="V173" i="16" s="1"/>
  <c r="W173" i="16" s="1"/>
  <c r="Y173" i="16" s="1"/>
  <c r="H172" i="16"/>
  <c r="J172" i="16" s="1"/>
  <c r="V172" i="16" s="1"/>
  <c r="W172" i="16" s="1"/>
  <c r="Y172" i="16" s="1"/>
  <c r="H171" i="16"/>
  <c r="J171" i="16" s="1"/>
  <c r="V171" i="16" s="1"/>
  <c r="W171" i="16" s="1"/>
  <c r="Y171" i="16" s="1"/>
  <c r="H170" i="16"/>
  <c r="J170" i="16" s="1"/>
  <c r="V170" i="16" s="1"/>
  <c r="W170" i="16" s="1"/>
  <c r="Y170" i="16" s="1"/>
  <c r="H169" i="16"/>
  <c r="J169" i="16" s="1"/>
  <c r="V169" i="16" s="1"/>
  <c r="W169" i="16" s="1"/>
  <c r="Y169" i="16" s="1"/>
  <c r="H168" i="16"/>
  <c r="J168" i="16" s="1"/>
  <c r="V168" i="16" s="1"/>
  <c r="W168" i="16" s="1"/>
  <c r="Y168" i="16" s="1"/>
  <c r="H167" i="16"/>
  <c r="J167" i="16" s="1"/>
  <c r="V167" i="16" s="1"/>
  <c r="W167" i="16" s="1"/>
  <c r="Y167" i="16" s="1"/>
  <c r="H166" i="16"/>
  <c r="J166" i="16" s="1"/>
  <c r="V166" i="16" s="1"/>
  <c r="W166" i="16" s="1"/>
  <c r="Y166" i="16" s="1"/>
  <c r="H165" i="16"/>
  <c r="J165" i="16" s="1"/>
  <c r="V165" i="16" s="1"/>
  <c r="W165" i="16" s="1"/>
  <c r="Y165" i="16" s="1"/>
  <c r="H164" i="16"/>
  <c r="J164" i="16" s="1"/>
  <c r="V164" i="16" s="1"/>
  <c r="W164" i="16" s="1"/>
  <c r="Y164" i="16" s="1"/>
  <c r="H163" i="16"/>
  <c r="J163" i="16" s="1"/>
  <c r="V163" i="16" s="1"/>
  <c r="W163" i="16" s="1"/>
  <c r="Y163" i="16" s="1"/>
  <c r="H162" i="16"/>
  <c r="J162" i="16" s="1"/>
  <c r="V162" i="16" s="1"/>
  <c r="W162" i="16" s="1"/>
  <c r="Y162" i="16" s="1"/>
  <c r="H161" i="16"/>
  <c r="J161" i="16" s="1"/>
  <c r="V161" i="16" s="1"/>
  <c r="W161" i="16" s="1"/>
  <c r="Y161" i="16" s="1"/>
  <c r="H160" i="16"/>
  <c r="J160" i="16" s="1"/>
  <c r="V160" i="16" s="1"/>
  <c r="W160" i="16" s="1"/>
  <c r="Y160" i="16" s="1"/>
  <c r="H159" i="16"/>
  <c r="J159" i="16" s="1"/>
  <c r="V159" i="16" s="1"/>
  <c r="W159" i="16" s="1"/>
  <c r="Y159" i="16" s="1"/>
  <c r="H158" i="16"/>
  <c r="J158" i="16" s="1"/>
  <c r="V158" i="16" s="1"/>
  <c r="W158" i="16" s="1"/>
  <c r="Y158" i="16" s="1"/>
  <c r="H157" i="16"/>
  <c r="J157" i="16" s="1"/>
  <c r="V157" i="16" s="1"/>
  <c r="W157" i="16" s="1"/>
  <c r="Y157" i="16" s="1"/>
  <c r="H156" i="16"/>
  <c r="J156" i="16" s="1"/>
  <c r="V156" i="16" s="1"/>
  <c r="W156" i="16" s="1"/>
  <c r="Y156" i="16" s="1"/>
  <c r="H155" i="16"/>
  <c r="J155" i="16" s="1"/>
  <c r="V155" i="16" s="1"/>
  <c r="W155" i="16" s="1"/>
  <c r="Y155" i="16" s="1"/>
  <c r="H154" i="16"/>
  <c r="J154" i="16" s="1"/>
  <c r="V154" i="16" s="1"/>
  <c r="W154" i="16" s="1"/>
  <c r="Y154" i="16" s="1"/>
  <c r="H153" i="16"/>
  <c r="J153" i="16" s="1"/>
  <c r="V153" i="16" s="1"/>
  <c r="W153" i="16" s="1"/>
  <c r="Y153" i="16" s="1"/>
  <c r="H152" i="16"/>
  <c r="J152" i="16" s="1"/>
  <c r="V152" i="16" s="1"/>
  <c r="W152" i="16" s="1"/>
  <c r="Y152" i="16" s="1"/>
  <c r="H151" i="16"/>
  <c r="J151" i="16" s="1"/>
  <c r="V151" i="16" s="1"/>
  <c r="W151" i="16" s="1"/>
  <c r="Y151" i="16" s="1"/>
  <c r="H150" i="16"/>
  <c r="J150" i="16" s="1"/>
  <c r="V150" i="16" s="1"/>
  <c r="W150" i="16" s="1"/>
  <c r="Y150" i="16" s="1"/>
  <c r="H149" i="16"/>
  <c r="J149" i="16" s="1"/>
  <c r="V149" i="16" s="1"/>
  <c r="W149" i="16" s="1"/>
  <c r="Y149" i="16" s="1"/>
  <c r="H148" i="16"/>
  <c r="J148" i="16" s="1"/>
  <c r="V148" i="16" s="1"/>
  <c r="W148" i="16" s="1"/>
  <c r="Y148" i="16" s="1"/>
  <c r="H147" i="16"/>
  <c r="J147" i="16" s="1"/>
  <c r="V147" i="16" s="1"/>
  <c r="W147" i="16" s="1"/>
  <c r="Y147" i="16" s="1"/>
  <c r="H146" i="16"/>
  <c r="J146" i="16" s="1"/>
  <c r="V146" i="16" s="1"/>
  <c r="W146" i="16" s="1"/>
  <c r="Y146" i="16" s="1"/>
  <c r="H145" i="16"/>
  <c r="J145" i="16" s="1"/>
  <c r="V145" i="16" s="1"/>
  <c r="W145" i="16" s="1"/>
  <c r="Y145" i="16" s="1"/>
  <c r="H144" i="16"/>
  <c r="J144" i="16" s="1"/>
  <c r="V144" i="16" s="1"/>
  <c r="W144" i="16" s="1"/>
  <c r="Y144" i="16" s="1"/>
  <c r="H143" i="16"/>
  <c r="J143" i="16" s="1"/>
  <c r="V143" i="16" s="1"/>
  <c r="W143" i="16" s="1"/>
  <c r="Y143" i="16" s="1"/>
  <c r="H142" i="16"/>
  <c r="J142" i="16" s="1"/>
  <c r="V142" i="16" s="1"/>
  <c r="W142" i="16" s="1"/>
  <c r="Y142" i="16" s="1"/>
  <c r="H141" i="16"/>
  <c r="J141" i="16" s="1"/>
  <c r="V141" i="16" s="1"/>
  <c r="W141" i="16" s="1"/>
  <c r="Y141" i="16" s="1"/>
  <c r="H140" i="16"/>
  <c r="J140" i="16" s="1"/>
  <c r="V140" i="16" s="1"/>
  <c r="W140" i="16" s="1"/>
  <c r="Y140" i="16" s="1"/>
  <c r="H139" i="16"/>
  <c r="J139" i="16" s="1"/>
  <c r="V139" i="16" s="1"/>
  <c r="W139" i="16" s="1"/>
  <c r="Y139" i="16" s="1"/>
  <c r="H138" i="16"/>
  <c r="J138" i="16" s="1"/>
  <c r="V138" i="16" s="1"/>
  <c r="W138" i="16" s="1"/>
  <c r="Y138" i="16" s="1"/>
  <c r="H137" i="16"/>
  <c r="J137" i="16" s="1"/>
  <c r="V137" i="16" s="1"/>
  <c r="W137" i="16" s="1"/>
  <c r="Y137" i="16" s="1"/>
  <c r="H136" i="16"/>
  <c r="J136" i="16" s="1"/>
  <c r="V136" i="16" s="1"/>
  <c r="W136" i="16" s="1"/>
  <c r="Y136" i="16" s="1"/>
  <c r="H135" i="16"/>
  <c r="J135" i="16" s="1"/>
  <c r="V135" i="16" s="1"/>
  <c r="W135" i="16" s="1"/>
  <c r="Y135" i="16" s="1"/>
  <c r="H134" i="16"/>
  <c r="J134" i="16" s="1"/>
  <c r="V134" i="16" s="1"/>
  <c r="W134" i="16" s="1"/>
  <c r="Y134" i="16" s="1"/>
  <c r="H133" i="16"/>
  <c r="J133" i="16" s="1"/>
  <c r="V133" i="16" s="1"/>
  <c r="W133" i="16" s="1"/>
  <c r="Y133" i="16" s="1"/>
  <c r="H132" i="16"/>
  <c r="J132" i="16" s="1"/>
  <c r="V132" i="16" s="1"/>
  <c r="W132" i="16" s="1"/>
  <c r="Y132" i="16" s="1"/>
  <c r="H131" i="16"/>
  <c r="J131" i="16" s="1"/>
  <c r="V131" i="16" s="1"/>
  <c r="W131" i="16" s="1"/>
  <c r="Y131" i="16" s="1"/>
  <c r="H130" i="16"/>
  <c r="J130" i="16" s="1"/>
  <c r="V130" i="16" s="1"/>
  <c r="W130" i="16" s="1"/>
  <c r="Y130" i="16" s="1"/>
  <c r="H129" i="16"/>
  <c r="J129" i="16" s="1"/>
  <c r="V129" i="16" s="1"/>
  <c r="W129" i="16" s="1"/>
  <c r="Y129" i="16" s="1"/>
  <c r="H128" i="16"/>
  <c r="J128" i="16" s="1"/>
  <c r="V128" i="16" s="1"/>
  <c r="W128" i="16" s="1"/>
  <c r="Y128" i="16" s="1"/>
  <c r="H127" i="16"/>
  <c r="J127" i="16" s="1"/>
  <c r="V127" i="16" s="1"/>
  <c r="W127" i="16" s="1"/>
  <c r="Y127" i="16" s="1"/>
  <c r="H126" i="16"/>
  <c r="J126" i="16" s="1"/>
  <c r="V126" i="16" s="1"/>
  <c r="W126" i="16" s="1"/>
  <c r="Y126" i="16" s="1"/>
  <c r="H125" i="16"/>
  <c r="J125" i="16" s="1"/>
  <c r="V125" i="16" s="1"/>
  <c r="W125" i="16" s="1"/>
  <c r="Y125" i="16" s="1"/>
  <c r="H124" i="16"/>
  <c r="J124" i="16" s="1"/>
  <c r="V124" i="16" s="1"/>
  <c r="W124" i="16" s="1"/>
  <c r="Y124" i="16" s="1"/>
  <c r="H123" i="16"/>
  <c r="J123" i="16" s="1"/>
  <c r="V123" i="16" s="1"/>
  <c r="W123" i="16" s="1"/>
  <c r="Y123" i="16" s="1"/>
  <c r="H122" i="16"/>
  <c r="J122" i="16" s="1"/>
  <c r="V122" i="16" s="1"/>
  <c r="W122" i="16" s="1"/>
  <c r="Y122" i="16" s="1"/>
  <c r="H121" i="16"/>
  <c r="J121" i="16" s="1"/>
  <c r="V121" i="16" s="1"/>
  <c r="W121" i="16" s="1"/>
  <c r="Y121" i="16" s="1"/>
  <c r="H120" i="16"/>
  <c r="J120" i="16" s="1"/>
  <c r="V120" i="16" s="1"/>
  <c r="W120" i="16" s="1"/>
  <c r="Y120" i="16" s="1"/>
  <c r="H119" i="16"/>
  <c r="J119" i="16" s="1"/>
  <c r="V119" i="16" s="1"/>
  <c r="W119" i="16" s="1"/>
  <c r="Y119" i="16" s="1"/>
  <c r="H118" i="16"/>
  <c r="J118" i="16" s="1"/>
  <c r="V118" i="16" s="1"/>
  <c r="W118" i="16" s="1"/>
  <c r="Y118" i="16" s="1"/>
  <c r="H117" i="16"/>
  <c r="J117" i="16" s="1"/>
  <c r="V117" i="16" s="1"/>
  <c r="W117" i="16" s="1"/>
  <c r="Y117" i="16" s="1"/>
  <c r="H116" i="16"/>
  <c r="J116" i="16" s="1"/>
  <c r="V116" i="16" s="1"/>
  <c r="W116" i="16" s="1"/>
  <c r="Y116" i="16" s="1"/>
  <c r="H115" i="16"/>
  <c r="J115" i="16" s="1"/>
  <c r="V115" i="16" s="1"/>
  <c r="W115" i="16" s="1"/>
  <c r="Y115" i="16" s="1"/>
  <c r="H114" i="16"/>
  <c r="J114" i="16" s="1"/>
  <c r="V114" i="16" s="1"/>
  <c r="W114" i="16" s="1"/>
  <c r="Y114" i="16" s="1"/>
  <c r="H113" i="16"/>
  <c r="J113" i="16" s="1"/>
  <c r="V113" i="16" s="1"/>
  <c r="W113" i="16" s="1"/>
  <c r="Y113" i="16" s="1"/>
  <c r="H112" i="16"/>
  <c r="J112" i="16" s="1"/>
  <c r="V112" i="16" s="1"/>
  <c r="W112" i="16" s="1"/>
  <c r="Y112" i="16" s="1"/>
  <c r="H111" i="16"/>
  <c r="J111" i="16" s="1"/>
  <c r="V111" i="16" s="1"/>
  <c r="W111" i="16" s="1"/>
  <c r="Y111" i="16" s="1"/>
  <c r="H110" i="16"/>
  <c r="J110" i="16" s="1"/>
  <c r="V110" i="16" s="1"/>
  <c r="W110" i="16" s="1"/>
  <c r="Y110" i="16" s="1"/>
  <c r="R109" i="16"/>
  <c r="H108" i="16"/>
  <c r="J108" i="16" s="1"/>
  <c r="V108" i="16" s="1"/>
  <c r="W108" i="16" s="1"/>
  <c r="H107" i="16"/>
  <c r="J107" i="16" s="1"/>
  <c r="V107" i="16" s="1"/>
  <c r="W107" i="16" s="1"/>
  <c r="H106" i="16"/>
  <c r="J106" i="16" s="1"/>
  <c r="V106" i="16" s="1"/>
  <c r="W106" i="16" s="1"/>
  <c r="H105" i="16"/>
  <c r="J105" i="16" s="1"/>
  <c r="V105" i="16" s="1"/>
  <c r="W105" i="16" s="1"/>
  <c r="H104" i="16"/>
  <c r="J104" i="16" s="1"/>
  <c r="V104" i="16" s="1"/>
  <c r="W104" i="16" s="1"/>
  <c r="Y104" i="16" s="1"/>
  <c r="H103" i="16"/>
  <c r="J103" i="16" s="1"/>
  <c r="V103" i="16" s="1"/>
  <c r="W103" i="16" s="1"/>
  <c r="H102" i="16"/>
  <c r="J102" i="16" s="1"/>
  <c r="V102" i="16" s="1"/>
  <c r="W102" i="16" s="1"/>
  <c r="H101" i="16"/>
  <c r="J101" i="16" s="1"/>
  <c r="V101" i="16" s="1"/>
  <c r="W101" i="16" s="1"/>
  <c r="Y101" i="16" s="1"/>
  <c r="H100" i="16"/>
  <c r="J100" i="16" s="1"/>
  <c r="V100" i="16" s="1"/>
  <c r="W100" i="16" s="1"/>
  <c r="H99" i="16"/>
  <c r="J99" i="16" s="1"/>
  <c r="V99" i="16" s="1"/>
  <c r="W99" i="16" s="1"/>
  <c r="H98" i="16"/>
  <c r="J98" i="16" s="1"/>
  <c r="V98" i="16" s="1"/>
  <c r="H97" i="16"/>
  <c r="J97" i="16" s="1"/>
  <c r="V97" i="16" s="1"/>
  <c r="H96" i="16"/>
  <c r="J96" i="16" s="1"/>
  <c r="V96" i="16" s="1"/>
  <c r="H95" i="16"/>
  <c r="J95" i="16" s="1"/>
  <c r="V95" i="16" s="1"/>
  <c r="H94" i="16"/>
  <c r="J94" i="16" s="1"/>
  <c r="V94" i="16" s="1"/>
  <c r="H93" i="16"/>
  <c r="J93" i="16" s="1"/>
  <c r="V93" i="16" s="1"/>
  <c r="W93" i="16" s="1"/>
  <c r="Y93" i="16" s="1"/>
  <c r="H92" i="16"/>
  <c r="J92" i="16" s="1"/>
  <c r="V92" i="16" s="1"/>
  <c r="H91" i="16"/>
  <c r="J91" i="16" s="1"/>
  <c r="V91" i="16" s="1"/>
  <c r="H90" i="16"/>
  <c r="J90" i="16" s="1"/>
  <c r="V90" i="16" s="1"/>
  <c r="H89" i="16"/>
  <c r="J89" i="16" s="1"/>
  <c r="V89" i="16" s="1"/>
  <c r="H88" i="16"/>
  <c r="J88" i="16" s="1"/>
  <c r="V88" i="16" s="1"/>
  <c r="H87" i="16"/>
  <c r="J87" i="16" s="1"/>
  <c r="V87" i="16" s="1"/>
  <c r="H86" i="16"/>
  <c r="J86" i="16" s="1"/>
  <c r="V86" i="16" s="1"/>
  <c r="H85" i="16"/>
  <c r="J85" i="16" s="1"/>
  <c r="V85" i="16" s="1"/>
  <c r="H84" i="16"/>
  <c r="J84" i="16" s="1"/>
  <c r="V84" i="16" s="1"/>
  <c r="H83" i="16"/>
  <c r="J83" i="16" s="1"/>
  <c r="V83" i="16" s="1"/>
  <c r="H82" i="16"/>
  <c r="J82" i="16" s="1"/>
  <c r="V82" i="16" s="1"/>
  <c r="H81" i="16"/>
  <c r="J81" i="16" s="1"/>
  <c r="V81" i="16" s="1"/>
  <c r="H80" i="16"/>
  <c r="J80" i="16" s="1"/>
  <c r="V80" i="16" s="1"/>
  <c r="H79" i="16"/>
  <c r="J79" i="16" s="1"/>
  <c r="V79" i="16" s="1"/>
  <c r="H78" i="16"/>
  <c r="J78" i="16" s="1"/>
  <c r="V78" i="16" s="1"/>
  <c r="H77" i="16"/>
  <c r="J77" i="16" s="1"/>
  <c r="V77" i="16" s="1"/>
  <c r="H76" i="16"/>
  <c r="J76" i="16" s="1"/>
  <c r="V76" i="16" s="1"/>
  <c r="H75" i="16"/>
  <c r="J75" i="16" s="1"/>
  <c r="V75" i="16" s="1"/>
  <c r="W75" i="16" s="1"/>
  <c r="Y75" i="16" s="1"/>
  <c r="H74" i="16"/>
  <c r="J74" i="16" s="1"/>
  <c r="V74" i="16" s="1"/>
  <c r="H73" i="16"/>
  <c r="J73" i="16" s="1"/>
  <c r="V73" i="16" s="1"/>
  <c r="J72" i="16"/>
  <c r="V72" i="16" s="1"/>
  <c r="W72" i="16" s="1"/>
  <c r="T71" i="16"/>
  <c r="U71" i="16" s="1"/>
  <c r="J71" i="16"/>
  <c r="U70" i="16"/>
  <c r="J70" i="16"/>
  <c r="T69" i="16"/>
  <c r="U69" i="16" s="1"/>
  <c r="J69" i="16"/>
  <c r="T68" i="16"/>
  <c r="U68" i="16" s="1"/>
  <c r="J68" i="16"/>
  <c r="J67" i="16"/>
  <c r="V67" i="16" s="1"/>
  <c r="W67" i="16" s="1"/>
  <c r="T66" i="16"/>
  <c r="U66" i="16" s="1"/>
  <c r="J66" i="16"/>
  <c r="T65" i="16"/>
  <c r="U65" i="16" s="1"/>
  <c r="J65" i="16"/>
  <c r="T64" i="16"/>
  <c r="U64" i="16" s="1"/>
  <c r="J64" i="16"/>
  <c r="T63" i="16"/>
  <c r="U63" i="16" s="1"/>
  <c r="J63" i="16"/>
  <c r="T62" i="16"/>
  <c r="U62" i="16" s="1"/>
  <c r="J62" i="16"/>
  <c r="T61" i="16"/>
  <c r="U61" i="16" s="1"/>
  <c r="J61" i="16"/>
  <c r="T60" i="16"/>
  <c r="U60" i="16" s="1"/>
  <c r="J60" i="16"/>
  <c r="T59" i="16"/>
  <c r="U59" i="16" s="1"/>
  <c r="J59" i="16"/>
  <c r="J58" i="16"/>
  <c r="V58" i="16" s="1"/>
  <c r="W58" i="16" s="1"/>
  <c r="J57" i="16"/>
  <c r="V57" i="16" s="1"/>
  <c r="W57" i="16" s="1"/>
  <c r="J56" i="16"/>
  <c r="V56" i="16" s="1"/>
  <c r="W56" i="16" s="1"/>
  <c r="J55" i="16"/>
  <c r="V55" i="16" s="1"/>
  <c r="W55" i="16" s="1"/>
  <c r="J54" i="16"/>
  <c r="V54" i="16" s="1"/>
  <c r="W54" i="16" s="1"/>
  <c r="J53" i="16"/>
  <c r="V53" i="16" s="1"/>
  <c r="W53" i="16" s="1"/>
  <c r="J52" i="16"/>
  <c r="V52" i="16" s="1"/>
  <c r="W52" i="16" s="1"/>
  <c r="R51" i="16"/>
  <c r="T51" i="16" s="1"/>
  <c r="U51" i="16" s="1"/>
  <c r="J51" i="16"/>
  <c r="R50" i="16"/>
  <c r="T50" i="16" s="1"/>
  <c r="U50" i="16" s="1"/>
  <c r="J50" i="16"/>
  <c r="R49" i="16"/>
  <c r="T49" i="16" s="1"/>
  <c r="U49" i="16" s="1"/>
  <c r="J49" i="16"/>
  <c r="R48" i="16"/>
  <c r="T48" i="16" s="1"/>
  <c r="U48" i="16" s="1"/>
  <c r="J48" i="16"/>
  <c r="R47" i="16"/>
  <c r="T47" i="16" s="1"/>
  <c r="U47" i="16" s="1"/>
  <c r="J47" i="16"/>
  <c r="R46" i="16"/>
  <c r="T46" i="16" s="1"/>
  <c r="U46" i="16" s="1"/>
  <c r="J46" i="16"/>
  <c r="R45" i="16"/>
  <c r="T45" i="16" s="1"/>
  <c r="U45" i="16" s="1"/>
  <c r="J45" i="16"/>
  <c r="J44" i="16"/>
  <c r="V44" i="16" s="1"/>
  <c r="W44" i="16" s="1"/>
  <c r="R43" i="16"/>
  <c r="T43" i="16" s="1"/>
  <c r="U43" i="16" s="1"/>
  <c r="J43" i="16"/>
  <c r="R42" i="16"/>
  <c r="T42" i="16" s="1"/>
  <c r="J42" i="16"/>
  <c r="J41" i="16"/>
  <c r="V41" i="16" s="1"/>
  <c r="W41" i="16" s="1"/>
  <c r="R40" i="16"/>
  <c r="J40" i="16"/>
  <c r="R39" i="16"/>
  <c r="J39" i="16"/>
  <c r="J38" i="16"/>
  <c r="V38" i="16" s="1"/>
  <c r="W38" i="16" s="1"/>
  <c r="J37" i="16"/>
  <c r="V37" i="16" s="1"/>
  <c r="R35" i="16"/>
  <c r="R34" i="16"/>
  <c r="T34" i="16" s="1"/>
  <c r="R33" i="16"/>
  <c r="T33" i="16" s="1"/>
  <c r="R32" i="16"/>
  <c r="T32" i="16" s="1"/>
  <c r="U32" i="16" s="1"/>
  <c r="J31" i="16"/>
  <c r="R29" i="16"/>
  <c r="R28" i="16"/>
  <c r="R27" i="16"/>
  <c r="R26" i="16"/>
  <c r="T26" i="16" s="1"/>
  <c r="R25" i="16"/>
  <c r="T25" i="16" s="1"/>
  <c r="U25" i="16" s="1"/>
  <c r="J24" i="16"/>
  <c r="J23" i="16"/>
  <c r="V23" i="16" s="1"/>
  <c r="R22" i="16"/>
  <c r="T22" i="16" s="1"/>
  <c r="J22" i="16"/>
  <c r="R21" i="16"/>
  <c r="T21" i="16" s="1"/>
  <c r="J21" i="16"/>
  <c r="J20" i="16"/>
  <c r="J19" i="16"/>
  <c r="V19" i="16" s="1"/>
  <c r="J18" i="16"/>
  <c r="V18" i="16" s="1"/>
  <c r="W18" i="16" s="1"/>
  <c r="R17" i="16"/>
  <c r="T17" i="16" s="1"/>
  <c r="U17" i="16" s="1"/>
  <c r="J17" i="16"/>
  <c r="R16" i="16"/>
  <c r="T16" i="16" s="1"/>
  <c r="U16" i="16" s="1"/>
  <c r="J16" i="16"/>
  <c r="R15" i="16"/>
  <c r="T15" i="16" s="1"/>
  <c r="U15" i="16" s="1"/>
  <c r="J15" i="16"/>
  <c r="R14" i="16"/>
  <c r="T14" i="16" s="1"/>
  <c r="U14" i="16" s="1"/>
  <c r="J14" i="16"/>
  <c r="J12" i="16"/>
  <c r="V1862" i="16" l="1"/>
  <c r="W1862" i="16" s="1"/>
  <c r="W1864" i="16" s="1"/>
  <c r="T109" i="16"/>
  <c r="U109" i="16" s="1"/>
  <c r="V109" i="16" s="1"/>
  <c r="W109" i="16" s="1"/>
  <c r="Y109" i="16" s="1"/>
  <c r="T3369" i="16"/>
  <c r="U3369" i="16" s="1"/>
  <c r="V3369" i="16" s="1"/>
  <c r="W3369" i="16" s="1"/>
  <c r="Y3369" i="16" s="1"/>
  <c r="W3261" i="16"/>
  <c r="W3262" i="16"/>
  <c r="T3334" i="16"/>
  <c r="U3334" i="16" s="1"/>
  <c r="V3334" i="16" s="1"/>
  <c r="W3334" i="16" s="1"/>
  <c r="V1984" i="16"/>
  <c r="W1984" i="16" s="1"/>
  <c r="W2814" i="16"/>
  <c r="Y2814" i="16" s="1"/>
  <c r="W2813" i="16"/>
  <c r="W2821" i="16"/>
  <c r="W2820" i="16"/>
  <c r="V2459" i="16"/>
  <c r="W2556" i="16"/>
  <c r="W2557" i="16"/>
  <c r="Y2557" i="16" s="1"/>
  <c r="T2298" i="16"/>
  <c r="U2298" i="16" s="1"/>
  <c r="V2298" i="16" s="1"/>
  <c r="W2298" i="16" s="1"/>
  <c r="T1204" i="16"/>
  <c r="U1204" i="16" s="1"/>
  <c r="T1017" i="16"/>
  <c r="U1017" i="16" s="1"/>
  <c r="V1017" i="16" s="1"/>
  <c r="W1017" i="16" s="1"/>
  <c r="Y1566" i="16"/>
  <c r="Y44" i="16"/>
  <c r="Y53" i="16"/>
  <c r="Y105" i="16"/>
  <c r="Y54" i="16"/>
  <c r="Y106" i="16"/>
  <c r="Y55" i="16"/>
  <c r="Y99" i="16"/>
  <c r="Y107" i="16"/>
  <c r="Y52" i="16"/>
  <c r="Y41" i="16"/>
  <c r="Y56" i="16"/>
  <c r="Y100" i="16"/>
  <c r="Y108" i="16"/>
  <c r="Y57" i="16"/>
  <c r="Y58" i="16"/>
  <c r="Y102" i="16"/>
  <c r="Y72" i="16"/>
  <c r="Y38" i="16"/>
  <c r="Y67" i="16"/>
  <c r="Y103" i="16"/>
  <c r="U2195" i="16"/>
  <c r="V2195" i="16" s="1"/>
  <c r="W2195" i="16" s="1"/>
  <c r="Y2195" i="16" s="1"/>
  <c r="U3109" i="16"/>
  <c r="V3109" i="16" s="1"/>
  <c r="W3109" i="16" s="1"/>
  <c r="Y3109" i="16" s="1"/>
  <c r="U3571" i="16"/>
  <c r="V3571" i="16" s="1"/>
  <c r="W3571" i="16" s="1"/>
  <c r="U3106" i="16"/>
  <c r="V3106" i="16" s="1"/>
  <c r="W3106" i="16" s="1"/>
  <c r="Y3106" i="16" s="1"/>
  <c r="T3096" i="16"/>
  <c r="U3096" i="16" s="1"/>
  <c r="V3096" i="16" s="1"/>
  <c r="W3096" i="16" s="1"/>
  <c r="Y3096" i="16" s="1"/>
  <c r="T3107" i="16"/>
  <c r="U3107" i="16" s="1"/>
  <c r="V3107" i="16" s="1"/>
  <c r="W3107" i="16" s="1"/>
  <c r="Y3107" i="16" s="1"/>
  <c r="T3108" i="16"/>
  <c r="U3108" i="16" s="1"/>
  <c r="V3108" i="16" s="1"/>
  <c r="V3097" i="16"/>
  <c r="W3097" i="16" s="1"/>
  <c r="Y3097" i="16" s="1"/>
  <c r="V3098" i="16"/>
  <c r="W3098" i="16" s="1"/>
  <c r="Y3098" i="16" s="1"/>
  <c r="V1263" i="16"/>
  <c r="W1263" i="16" s="1"/>
  <c r="Y1263" i="16" s="1"/>
  <c r="U3566" i="16"/>
  <c r="V3566" i="16" s="1"/>
  <c r="W3566" i="16" s="1"/>
  <c r="Y3566" i="16" s="1"/>
  <c r="U3464" i="16"/>
  <c r="V3464" i="16" s="1"/>
  <c r="W3464" i="16" s="1"/>
  <c r="Y3464" i="16" s="1"/>
  <c r="T3463" i="16"/>
  <c r="U3463" i="16" s="1"/>
  <c r="V3463" i="16" s="1"/>
  <c r="W3463" i="16" s="1"/>
  <c r="V1258" i="16"/>
  <c r="W1258" i="16" s="1"/>
  <c r="Y1258" i="16" s="1"/>
  <c r="V1266" i="16"/>
  <c r="W1266" i="16" s="1"/>
  <c r="Y1266" i="16" s="1"/>
  <c r="U2726" i="16"/>
  <c r="V2726" i="16" s="1"/>
  <c r="W2726" i="16" s="1"/>
  <c r="Y2726" i="16" s="1"/>
  <c r="T3560" i="16"/>
  <c r="U3560" i="16" s="1"/>
  <c r="V3560" i="16" s="1"/>
  <c r="W3560" i="16" s="1"/>
  <c r="U2885" i="16"/>
  <c r="V2885" i="16" s="1"/>
  <c r="W2885" i="16" s="1"/>
  <c r="Y2885" i="16" s="1"/>
  <c r="V2728" i="16"/>
  <c r="W2728" i="16" s="1"/>
  <c r="Y2728" i="16" s="1"/>
  <c r="T2731" i="16"/>
  <c r="U2731" i="16" s="1"/>
  <c r="U2733" i="16"/>
  <c r="U2734" i="16"/>
  <c r="U2730" i="16"/>
  <c r="U2737" i="16"/>
  <c r="V2737" i="16" s="1"/>
  <c r="W2737" i="16" s="1"/>
  <c r="Y2737" i="16" s="1"/>
  <c r="U2732" i="16"/>
  <c r="U2735" i="16"/>
  <c r="U2722" i="16"/>
  <c r="U2721" i="16"/>
  <c r="U2723" i="16"/>
  <c r="V2727" i="16"/>
  <c r="W2727" i="16" s="1"/>
  <c r="Y2727" i="16" s="1"/>
  <c r="V2725" i="16"/>
  <c r="W2725" i="16" s="1"/>
  <c r="Y2725" i="16" s="1"/>
  <c r="V1259" i="16"/>
  <c r="W1259" i="16" s="1"/>
  <c r="Y1259" i="16" s="1"/>
  <c r="V1267" i="16"/>
  <c r="W1267" i="16" s="1"/>
  <c r="Y1267" i="16" s="1"/>
  <c r="V1260" i="16"/>
  <c r="W1260" i="16" s="1"/>
  <c r="Y1260" i="16" s="1"/>
  <c r="V1268" i="16"/>
  <c r="W1268" i="16" s="1"/>
  <c r="Y1268" i="16" s="1"/>
  <c r="V1261" i="16"/>
  <c r="W1261" i="16" s="1"/>
  <c r="Y1261" i="16" s="1"/>
  <c r="V1257" i="16"/>
  <c r="W1257" i="16" s="1"/>
  <c r="Y1257" i="16" s="1"/>
  <c r="V1262" i="16"/>
  <c r="W1262" i="16" s="1"/>
  <c r="Y1262" i="16" s="1"/>
  <c r="V1265" i="16"/>
  <c r="W1265" i="16" s="1"/>
  <c r="Y1265" i="16" s="1"/>
  <c r="U1255" i="16"/>
  <c r="V1255" i="16" s="1"/>
  <c r="W1255" i="16" s="1"/>
  <c r="Y1255" i="16" s="1"/>
  <c r="V1256" i="16"/>
  <c r="W1256" i="16" s="1"/>
  <c r="Y1256" i="16" s="1"/>
  <c r="V1264" i="16"/>
  <c r="W1264" i="16" s="1"/>
  <c r="Y1264" i="16" s="1"/>
  <c r="T1123" i="16"/>
  <c r="U1123" i="16" s="1"/>
  <c r="U1125" i="16" s="1"/>
  <c r="V1125" i="16" s="1"/>
  <c r="W1125" i="16" s="1"/>
  <c r="Y1125" i="16" s="1"/>
  <c r="T1126" i="16"/>
  <c r="U1126" i="16" s="1"/>
  <c r="V1126" i="16" s="1"/>
  <c r="W1126" i="16" s="1"/>
  <c r="Y1126" i="16" s="1"/>
  <c r="V2860" i="16"/>
  <c r="W2860" i="16" s="1"/>
  <c r="Y2860" i="16" s="1"/>
  <c r="V1924" i="16"/>
  <c r="W1924" i="16" s="1"/>
  <c r="Y1924" i="16" s="1"/>
  <c r="V1121" i="16"/>
  <c r="W1121" i="16" s="1"/>
  <c r="Y1121" i="16" s="1"/>
  <c r="V3141" i="16"/>
  <c r="W3141" i="16" s="1"/>
  <c r="Y3141" i="16" s="1"/>
  <c r="U1096" i="16"/>
  <c r="V1096" i="16" s="1"/>
  <c r="W1096" i="16" s="1"/>
  <c r="Y1096" i="16" s="1"/>
  <c r="V1742" i="16"/>
  <c r="W1742" i="16" s="1"/>
  <c r="Y1742" i="16" s="1"/>
  <c r="V3405" i="16"/>
  <c r="W3405" i="16" s="1"/>
  <c r="Y3405" i="16" s="1"/>
  <c r="V1559" i="16"/>
  <c r="W1559" i="16" s="1"/>
  <c r="V2052" i="16"/>
  <c r="W2052" i="16" s="1"/>
  <c r="Y2052" i="16" s="1"/>
  <c r="V2102" i="16"/>
  <c r="W2102" i="16" s="1"/>
  <c r="Y2102" i="16" s="1"/>
  <c r="V2326" i="16"/>
  <c r="W2326" i="16" s="1"/>
  <c r="U3243" i="16"/>
  <c r="V3243" i="16" s="1"/>
  <c r="V1735" i="16"/>
  <c r="W1735" i="16" s="1"/>
  <c r="Y1735" i="16" s="1"/>
  <c r="V1739" i="16"/>
  <c r="W1739" i="16" s="1"/>
  <c r="Y1739" i="16" s="1"/>
  <c r="V1747" i="16"/>
  <c r="W1747" i="16" s="1"/>
  <c r="Y1747" i="16" s="1"/>
  <c r="V1900" i="16"/>
  <c r="W1900" i="16" s="1"/>
  <c r="Y1900" i="16" s="1"/>
  <c r="V2339" i="16"/>
  <c r="W2339" i="16" s="1"/>
  <c r="Y2339" i="16" s="1"/>
  <c r="V2172" i="16"/>
  <c r="W2172" i="16" s="1"/>
  <c r="Y2172" i="16" s="1"/>
  <c r="V2558" i="16"/>
  <c r="U3324" i="16"/>
  <c r="V3324" i="16" s="1"/>
  <c r="W3324" i="16" s="1"/>
  <c r="Y3324" i="16" s="1"/>
  <c r="U3453" i="16"/>
  <c r="V3453" i="16" s="1"/>
  <c r="W3453" i="16" s="1"/>
  <c r="Y3453" i="16" s="1"/>
  <c r="U2831" i="16"/>
  <c r="V2824" i="16"/>
  <c r="W2824" i="16" s="1"/>
  <c r="Y2824" i="16" s="1"/>
  <c r="V2532" i="16"/>
  <c r="W2532" i="16" s="1"/>
  <c r="Y2532" i="16" s="1"/>
  <c r="V2616" i="16"/>
  <c r="W2616" i="16" s="1"/>
  <c r="Y2616" i="16" s="1"/>
  <c r="U2623" i="16"/>
  <c r="V1744" i="16"/>
  <c r="W1744" i="16" s="1"/>
  <c r="Y1744" i="16" s="1"/>
  <c r="V3473" i="16"/>
  <c r="W3473" i="16" s="1"/>
  <c r="Y3473" i="16" s="1"/>
  <c r="V1759" i="16"/>
  <c r="W1759" i="16" s="1"/>
  <c r="Y1759" i="16" s="1"/>
  <c r="U2851" i="16"/>
  <c r="V2896" i="16"/>
  <c r="W2896" i="16" s="1"/>
  <c r="Y2896" i="16" s="1"/>
  <c r="U3475" i="16"/>
  <c r="V3475" i="16" s="1"/>
  <c r="W3475" i="16" s="1"/>
  <c r="Y3475" i="16" s="1"/>
  <c r="U891" i="16"/>
  <c r="V3471" i="16"/>
  <c r="W3471" i="16" s="1"/>
  <c r="Y3471" i="16" s="1"/>
  <c r="U892" i="16"/>
  <c r="U2275" i="16"/>
  <c r="U2276" i="16" s="1"/>
  <c r="V2276" i="16" s="1"/>
  <c r="U1008" i="16"/>
  <c r="V1008" i="16" s="1"/>
  <c r="W1008" i="16" s="1"/>
  <c r="Y1008" i="16" s="1"/>
  <c r="V1753" i="16"/>
  <c r="W1753" i="16" s="1"/>
  <c r="Y1753" i="16" s="1"/>
  <c r="V3504" i="16"/>
  <c r="W3504" i="16" s="1"/>
  <c r="Y3504" i="16" s="1"/>
  <c r="U1242" i="16"/>
  <c r="U1993" i="16"/>
  <c r="V1993" i="16" s="1"/>
  <c r="W1993" i="16" s="1"/>
  <c r="Y1993" i="16" s="1"/>
  <c r="V2278" i="16"/>
  <c r="W2278" i="16" s="1"/>
  <c r="U2435" i="16"/>
  <c r="U2436" i="16" s="1"/>
  <c r="V2436" i="16" s="1"/>
  <c r="W2436" i="16" s="1"/>
  <c r="U3127" i="16"/>
  <c r="U913" i="16"/>
  <c r="U973" i="16"/>
  <c r="V1745" i="16"/>
  <c r="W1745" i="16" s="1"/>
  <c r="Y1745" i="16" s="1"/>
  <c r="U2222" i="16"/>
  <c r="V2222" i="16" s="1"/>
  <c r="W2222" i="16" s="1"/>
  <c r="Y2222" i="16" s="1"/>
  <c r="U2250" i="16"/>
  <c r="V2250" i="16" s="1"/>
  <c r="W2250" i="16" s="1"/>
  <c r="T890" i="16"/>
  <c r="U890" i="16" s="1"/>
  <c r="V43" i="16"/>
  <c r="W43" i="16" s="1"/>
  <c r="U1027" i="16"/>
  <c r="U1039" i="16"/>
  <c r="V1348" i="16"/>
  <c r="W1348" i="16" s="1"/>
  <c r="Y1348" i="16" s="1"/>
  <c r="U1375" i="16"/>
  <c r="V1542" i="16"/>
  <c r="W1542" i="16" s="1"/>
  <c r="Y1542" i="16" s="1"/>
  <c r="U1654" i="16"/>
  <c r="U2188" i="16"/>
  <c r="V2503" i="16"/>
  <c r="W2503" i="16" s="1"/>
  <c r="V2530" i="16"/>
  <c r="W2530" i="16" s="1"/>
  <c r="Y2530" i="16" s="1"/>
  <c r="U3028" i="16"/>
  <c r="U3149" i="16"/>
  <c r="U3415" i="16"/>
  <c r="V3415" i="16" s="1"/>
  <c r="W3415" i="16" s="1"/>
  <c r="Y3415" i="16" s="1"/>
  <c r="T3444" i="16"/>
  <c r="U3444" i="16" s="1"/>
  <c r="V3444" i="16" s="1"/>
  <c r="W3444" i="16" s="1"/>
  <c r="U3524" i="16"/>
  <c r="V3524" i="16" s="1"/>
  <c r="W3524" i="16" s="1"/>
  <c r="Y3524" i="16" s="1"/>
  <c r="U974" i="16"/>
  <c r="U1067" i="16"/>
  <c r="U1758" i="16"/>
  <c r="V1758" i="16" s="1"/>
  <c r="W1758" i="16" s="1"/>
  <c r="Y1758" i="16" s="1"/>
  <c r="U1940" i="16"/>
  <c r="V1940" i="16" s="1"/>
  <c r="W1940" i="16" s="1"/>
  <c r="Y1940" i="16" s="1"/>
  <c r="T2030" i="16"/>
  <c r="U2030" i="16" s="1"/>
  <c r="V2030" i="16" s="1"/>
  <c r="W2030" i="16" s="1"/>
  <c r="Y2030" i="16" s="1"/>
  <c r="U3043" i="16"/>
  <c r="U3138" i="16"/>
  <c r="V3138" i="16" s="1"/>
  <c r="W3138" i="16" s="1"/>
  <c r="Y3138" i="16" s="1"/>
  <c r="U3155" i="16"/>
  <c r="V3155" i="16" s="1"/>
  <c r="W3155" i="16" s="1"/>
  <c r="Y3155" i="16" s="1"/>
  <c r="U3406" i="16"/>
  <c r="V3406" i="16" s="1"/>
  <c r="W3406" i="16" s="1"/>
  <c r="U3435" i="16"/>
  <c r="V3435" i="16" s="1"/>
  <c r="W3435" i="16" s="1"/>
  <c r="Y3435" i="16" s="1"/>
  <c r="U1028" i="16"/>
  <c r="U1047" i="16"/>
  <c r="T1743" i="16"/>
  <c r="U1743" i="16" s="1"/>
  <c r="V1743" i="16" s="1"/>
  <c r="W1743" i="16" s="1"/>
  <c r="Y1743" i="16" s="1"/>
  <c r="U2228" i="16"/>
  <c r="V2228" i="16" s="1"/>
  <c r="W2228" i="16" s="1"/>
  <c r="Y2228" i="16" s="1"/>
  <c r="V3476" i="16"/>
  <c r="W3476" i="16" s="1"/>
  <c r="Y3476" i="16" s="1"/>
  <c r="V17" i="16"/>
  <c r="Y17" i="16" s="1"/>
  <c r="U1448" i="16"/>
  <c r="V1507" i="16"/>
  <c r="W1507" i="16" s="1"/>
  <c r="Y1507" i="16" s="1"/>
  <c r="V1737" i="16"/>
  <c r="W1737" i="16" s="1"/>
  <c r="Y1737" i="16" s="1"/>
  <c r="U1881" i="16"/>
  <c r="V2035" i="16"/>
  <c r="W2035" i="16" s="1"/>
  <c r="Y2035" i="16" s="1"/>
  <c r="U2184" i="16"/>
  <c r="V2523" i="16"/>
  <c r="W2523" i="16" s="1"/>
  <c r="Y2523" i="16" s="1"/>
  <c r="U2777" i="16"/>
  <c r="V2777" i="16" s="1"/>
  <c r="W2777" i="16" s="1"/>
  <c r="Y2777" i="16" s="1"/>
  <c r="U3279" i="16"/>
  <c r="V3279" i="16" s="1"/>
  <c r="W3279" i="16" s="1"/>
  <c r="Y3279" i="16" s="1"/>
  <c r="U3318" i="16"/>
  <c r="V3318" i="16" s="1"/>
  <c r="W3318" i="16" s="1"/>
  <c r="Y3318" i="16" s="1"/>
  <c r="V1353" i="16"/>
  <c r="W1353" i="16" s="1"/>
  <c r="Y1353" i="16" s="1"/>
  <c r="U1552" i="16"/>
  <c r="V1552" i="16" s="1"/>
  <c r="W1552" i="16" s="1"/>
  <c r="Y1552" i="16" s="1"/>
  <c r="V2520" i="16"/>
  <c r="W2520" i="16" s="1"/>
  <c r="Y2520" i="16" s="1"/>
  <c r="U2937" i="16"/>
  <c r="V2937" i="16" s="1"/>
  <c r="W2937" i="16" s="1"/>
  <c r="Y2937" i="16" s="1"/>
  <c r="V3291" i="16"/>
  <c r="W3291" i="16" s="1"/>
  <c r="Y3291" i="16" s="1"/>
  <c r="U3314" i="16"/>
  <c r="V1982" i="16"/>
  <c r="W1982" i="16" s="1"/>
  <c r="T2403" i="16"/>
  <c r="U2403" i="16" s="1"/>
  <c r="U2410" i="16"/>
  <c r="V2938" i="16"/>
  <c r="W2938" i="16" s="1"/>
  <c r="Y2938" i="16" s="1"/>
  <c r="U2957" i="16"/>
  <c r="U3067" i="16"/>
  <c r="V3067" i="16" s="1"/>
  <c r="W3067" i="16" s="1"/>
  <c r="Y3067" i="16" s="1"/>
  <c r="U1712" i="16"/>
  <c r="V1712" i="16" s="1"/>
  <c r="W1712" i="16" s="1"/>
  <c r="Y1712" i="16" s="1"/>
  <c r="U1903" i="16"/>
  <c r="V1903" i="16" s="1"/>
  <c r="W1903" i="16" s="1"/>
  <c r="Y1903" i="16" s="1"/>
  <c r="U2076" i="16"/>
  <c r="U2205" i="16"/>
  <c r="V2205" i="16" s="1"/>
  <c r="W2205" i="16" s="1"/>
  <c r="V2295" i="16"/>
  <c r="W2295" i="16" s="1"/>
  <c r="U3280" i="16"/>
  <c r="V3280" i="16" s="1"/>
  <c r="W3280" i="16" s="1"/>
  <c r="Y3280" i="16" s="1"/>
  <c r="V14" i="16"/>
  <c r="W14" i="16" s="1"/>
  <c r="V195" i="16"/>
  <c r="W195" i="16" s="1"/>
  <c r="Y195" i="16" s="1"/>
  <c r="V15" i="16"/>
  <c r="W15" i="16" s="1"/>
  <c r="T1738" i="16"/>
  <c r="U1738" i="16" s="1"/>
  <c r="V1738" i="16" s="1"/>
  <c r="W1738" i="16" s="1"/>
  <c r="Y1738" i="16" s="1"/>
  <c r="T3346" i="16"/>
  <c r="U3346" i="16" s="1"/>
  <c r="V3346" i="16" s="1"/>
  <c r="W3346" i="16" s="1"/>
  <c r="Y3346" i="16" s="1"/>
  <c r="U1456" i="16"/>
  <c r="U1469" i="16"/>
  <c r="T1757" i="16"/>
  <c r="U1757" i="16" s="1"/>
  <c r="V1757" i="16" s="1"/>
  <c r="W1757" i="16" s="1"/>
  <c r="Y1757" i="16" s="1"/>
  <c r="R2057" i="16"/>
  <c r="T2057" i="16" s="1"/>
  <c r="U2057" i="16" s="1"/>
  <c r="V2057" i="16" s="1"/>
  <c r="W2057" i="16" s="1"/>
  <c r="Y2057" i="16" s="1"/>
  <c r="T2056" i="16"/>
  <c r="U2056" i="16" s="1"/>
  <c r="V2056" i="16" s="1"/>
  <c r="W2056" i="16" s="1"/>
  <c r="U216" i="16"/>
  <c r="U908" i="16"/>
  <c r="U1029" i="16"/>
  <c r="U1040" i="16"/>
  <c r="U1053" i="16"/>
  <c r="U1058" i="16"/>
  <c r="U1056" i="16" s="1"/>
  <c r="V1056" i="16" s="1"/>
  <c r="W1056" i="16" s="1"/>
  <c r="Y1056" i="16" s="1"/>
  <c r="U1115" i="16"/>
  <c r="V1659" i="16"/>
  <c r="W1659" i="16" s="1"/>
  <c r="U1673" i="16"/>
  <c r="V1754" i="16"/>
  <c r="W1754" i="16" s="1"/>
  <c r="Y1754" i="16" s="1"/>
  <c r="T1854" i="16"/>
  <c r="U1854" i="16" s="1"/>
  <c r="V1854" i="16" s="1"/>
  <c r="U1888" i="16"/>
  <c r="T2879" i="16"/>
  <c r="U2879" i="16" s="1"/>
  <c r="T2960" i="16"/>
  <c r="U2960" i="16" s="1"/>
  <c r="U3227" i="16"/>
  <c r="V3227" i="16" s="1"/>
  <c r="W3227" i="16" s="1"/>
  <c r="Y3227" i="16" s="1"/>
  <c r="T1684" i="16"/>
  <c r="U1684" i="16" s="1"/>
  <c r="V1684" i="16" s="1"/>
  <c r="W1684" i="16" s="1"/>
  <c r="Y1684" i="16" s="1"/>
  <c r="V1013" i="16"/>
  <c r="W1013" i="16" s="1"/>
  <c r="Y1013" i="16" s="1"/>
  <c r="T2748" i="16"/>
  <c r="U2748" i="16" s="1"/>
  <c r="U1669" i="16"/>
  <c r="U1860" i="16"/>
  <c r="V1860" i="16" s="1"/>
  <c r="W1860" i="16" s="1"/>
  <c r="Y1860" i="16" s="1"/>
  <c r="U2071" i="16"/>
  <c r="U2160" i="16"/>
  <c r="T2912" i="16"/>
  <c r="U2912" i="16" s="1"/>
  <c r="V2912" i="16" s="1"/>
  <c r="W2912" i="16" s="1"/>
  <c r="Y2912" i="16" s="1"/>
  <c r="T3151" i="16"/>
  <c r="U3151" i="16" s="1"/>
  <c r="U3383" i="16"/>
  <c r="V3383" i="16" s="1"/>
  <c r="W3383" i="16" s="1"/>
  <c r="Y3383" i="16" s="1"/>
  <c r="U367" i="16"/>
  <c r="U914" i="16"/>
  <c r="U957" i="16"/>
  <c r="U1740" i="16"/>
  <c r="V1740" i="16" s="1"/>
  <c r="W1740" i="16" s="1"/>
  <c r="Y1740" i="16" s="1"/>
  <c r="T1746" i="16"/>
  <c r="U1746" i="16" s="1"/>
  <c r="V1746" i="16" s="1"/>
  <c r="W1746" i="16" s="1"/>
  <c r="Y1746" i="16" s="1"/>
  <c r="V2292" i="16"/>
  <c r="W2292" i="16" s="1"/>
  <c r="T2742" i="16"/>
  <c r="U2742" i="16" s="1"/>
  <c r="V2742" i="16" s="1"/>
  <c r="W2742" i="16" s="1"/>
  <c r="Y2742" i="16" s="1"/>
  <c r="T3483" i="16"/>
  <c r="U3483" i="16" s="1"/>
  <c r="V3483" i="16" s="1"/>
  <c r="W3483" i="16" s="1"/>
  <c r="Y3483" i="16" s="1"/>
  <c r="V61" i="16"/>
  <c r="W61" i="16" s="1"/>
  <c r="U906" i="16"/>
  <c r="U954" i="16"/>
  <c r="U958" i="16"/>
  <c r="U970" i="16"/>
  <c r="V1319" i="16"/>
  <c r="W1319" i="16" s="1"/>
  <c r="Y1319" i="16" s="1"/>
  <c r="U1468" i="16"/>
  <c r="T1858" i="16"/>
  <c r="U1858" i="16" s="1"/>
  <c r="V1858" i="16" s="1"/>
  <c r="W1858" i="16" s="1"/>
  <c r="Y1858" i="16" s="1"/>
  <c r="U2216" i="16"/>
  <c r="V2216" i="16" s="1"/>
  <c r="W2216" i="16" s="1"/>
  <c r="Y2216" i="16" s="1"/>
  <c r="U2392" i="16"/>
  <c r="U2924" i="16"/>
  <c r="V2924" i="16" s="1"/>
  <c r="W2924" i="16" s="1"/>
  <c r="Y2924" i="16" s="1"/>
  <c r="U3209" i="16"/>
  <c r="U3351" i="16"/>
  <c r="V2049" i="16"/>
  <c r="W2049" i="16" s="1"/>
  <c r="Y2049" i="16" s="1"/>
  <c r="V2217" i="16"/>
  <c r="W2217" i="16" s="1"/>
  <c r="V2289" i="16"/>
  <c r="W2289" i="16" s="1"/>
  <c r="Y2289" i="16" s="1"/>
  <c r="V2453" i="16"/>
  <c r="V2529" i="16"/>
  <c r="W2529" i="16" s="1"/>
  <c r="Y2529" i="16" s="1"/>
  <c r="V2762" i="16"/>
  <c r="U3256" i="16"/>
  <c r="V3256" i="16" s="1"/>
  <c r="W3256" i="16" s="1"/>
  <c r="T900" i="16"/>
  <c r="U900" i="16" s="1"/>
  <c r="U1703" i="16"/>
  <c r="V1703" i="16" s="1"/>
  <c r="W1703" i="16" s="1"/>
  <c r="Y1703" i="16" s="1"/>
  <c r="T1946" i="16"/>
  <c r="U1946" i="16" s="1"/>
  <c r="U2156" i="16"/>
  <c r="U2282" i="16"/>
  <c r="V2282" i="16" s="1"/>
  <c r="W2282" i="16" s="1"/>
  <c r="U2336" i="16"/>
  <c r="U2619" i="16"/>
  <c r="V2626" i="16"/>
  <c r="W2626" i="16" s="1"/>
  <c r="U2776" i="16"/>
  <c r="V2776" i="16" s="1"/>
  <c r="W2776" i="16" s="1"/>
  <c r="U2823" i="16"/>
  <c r="V2823" i="16" s="1"/>
  <c r="W2823" i="16" s="1"/>
  <c r="Y2823" i="16" s="1"/>
  <c r="T3190" i="16"/>
  <c r="U3190" i="16" s="1"/>
  <c r="U3281" i="16"/>
  <c r="V3281" i="16" s="1"/>
  <c r="W3281" i="16" s="1"/>
  <c r="Y3281" i="16" s="1"/>
  <c r="U3372" i="16"/>
  <c r="V3372" i="16" s="1"/>
  <c r="V3374" i="16" s="1"/>
  <c r="W3374" i="16" s="1"/>
  <c r="U2046" i="16"/>
  <c r="V2046" i="16" s="1"/>
  <c r="W2046" i="16" s="1"/>
  <c r="Y2046" i="16" s="1"/>
  <c r="T2061" i="16"/>
  <c r="U2061" i="16" s="1"/>
  <c r="U2068" i="16"/>
  <c r="T2090" i="16"/>
  <c r="U2090" i="16" s="1"/>
  <c r="V2090" i="16" s="1"/>
  <c r="W2090" i="16" s="1"/>
  <c r="T2182" i="16"/>
  <c r="U2182" i="16" s="1"/>
  <c r="U3215" i="16"/>
  <c r="U3384" i="16"/>
  <c r="V3441" i="16"/>
  <c r="U1670" i="16"/>
  <c r="U1674" i="16"/>
  <c r="U1773" i="16"/>
  <c r="V1773" i="16" s="1"/>
  <c r="W1773" i="16" s="1"/>
  <c r="Y1773" i="16" s="1"/>
  <c r="T1880" i="16"/>
  <c r="U1880" i="16" s="1"/>
  <c r="U1885" i="16"/>
  <c r="U1915" i="16"/>
  <c r="V1915" i="16" s="1"/>
  <c r="W1915" i="16" s="1"/>
  <c r="Y1915" i="16" s="1"/>
  <c r="T2108" i="16"/>
  <c r="U2108" i="16" s="1"/>
  <c r="V2108" i="16" s="1"/>
  <c r="W2108" i="16" s="1"/>
  <c r="U2178" i="16"/>
  <c r="V2178" i="16" s="1"/>
  <c r="W2178" i="16" s="1"/>
  <c r="T2187" i="16"/>
  <c r="U2187" i="16" s="1"/>
  <c r="V2234" i="16"/>
  <c r="W2234" i="16" s="1"/>
  <c r="T2242" i="16"/>
  <c r="U2242" i="16" s="1"/>
  <c r="V2242" i="16" s="1"/>
  <c r="W2242" i="16" s="1"/>
  <c r="T2319" i="16"/>
  <c r="U2319" i="16" s="1"/>
  <c r="V2332" i="16"/>
  <c r="V2395" i="16"/>
  <c r="U1698" i="16"/>
  <c r="V1698" i="16" s="1"/>
  <c r="W1698" i="16" s="1"/>
  <c r="Y1698" i="16" s="1"/>
  <c r="U1855" i="16"/>
  <c r="V1855" i="16" s="1"/>
  <c r="T1974" i="16"/>
  <c r="U1974" i="16" s="1"/>
  <c r="V1999" i="16"/>
  <c r="U2105" i="16"/>
  <c r="V2105" i="16" s="1"/>
  <c r="W2105" i="16" s="1"/>
  <c r="Y2105" i="16" s="1"/>
  <c r="U2519" i="16"/>
  <c r="V2519" i="16" s="1"/>
  <c r="W2519" i="16" s="1"/>
  <c r="V2531" i="16"/>
  <c r="W2531" i="16" s="1"/>
  <c r="Y2531" i="16" s="1"/>
  <c r="U2610" i="16"/>
  <c r="V2610" i="16" s="1"/>
  <c r="W2610" i="16" s="1"/>
  <c r="U2770" i="16"/>
  <c r="U2899" i="16"/>
  <c r="V2899" i="16" s="1"/>
  <c r="W2899" i="16" s="1"/>
  <c r="Y2899" i="16" s="1"/>
  <c r="U3042" i="16"/>
  <c r="U3049" i="16"/>
  <c r="U3083" i="16"/>
  <c r="V3083" i="16" s="1"/>
  <c r="W3083" i="16" s="1"/>
  <c r="Y3083" i="16" s="1"/>
  <c r="T3221" i="16"/>
  <c r="U3221" i="16" s="1"/>
  <c r="U3226" i="16"/>
  <c r="V3226" i="16" s="1"/>
  <c r="W3226" i="16" s="1"/>
  <c r="U3297" i="16"/>
  <c r="V3470" i="16"/>
  <c r="W3470" i="16" s="1"/>
  <c r="Y3470" i="16" s="1"/>
  <c r="T1962" i="16"/>
  <c r="U1962" i="16" s="1"/>
  <c r="V2375" i="16"/>
  <c r="W2375" i="16" s="1"/>
  <c r="V3527" i="16"/>
  <c r="W3527" i="16" s="1"/>
  <c r="Y3527" i="16" s="1"/>
  <c r="U898" i="16"/>
  <c r="U897" i="16"/>
  <c r="U895" i="16"/>
  <c r="U896" i="16"/>
  <c r="V63" i="16"/>
  <c r="W63" i="16" s="1"/>
  <c r="T378" i="16"/>
  <c r="U378" i="16" s="1"/>
  <c r="W96" i="16"/>
  <c r="Y96" i="16" s="1"/>
  <c r="V59" i="16"/>
  <c r="W59" i="16" s="1"/>
  <c r="U383" i="16"/>
  <c r="V16" i="16"/>
  <c r="W16" i="16" s="1"/>
  <c r="V65" i="16"/>
  <c r="W65" i="16" s="1"/>
  <c r="U309" i="16"/>
  <c r="U370" i="16"/>
  <c r="U375" i="16"/>
  <c r="U875" i="16"/>
  <c r="T1274" i="16"/>
  <c r="U1274" i="16" s="1"/>
  <c r="Y18" i="16"/>
  <c r="U220" i="16"/>
  <c r="U317" i="16"/>
  <c r="U338" i="16"/>
  <c r="T363" i="16"/>
  <c r="U363" i="16" s="1"/>
  <c r="T871" i="16"/>
  <c r="U871" i="16" s="1"/>
  <c r="T1107" i="16"/>
  <c r="U1107" i="16" s="1"/>
  <c r="T1083" i="16"/>
  <c r="U1083" i="16" s="1"/>
  <c r="T1462" i="16"/>
  <c r="U1462" i="16" s="1"/>
  <c r="U228" i="16"/>
  <c r="T1077" i="16"/>
  <c r="U1077" i="16" s="1"/>
  <c r="U22" i="16"/>
  <c r="V22" i="16" s="1"/>
  <c r="W90" i="16"/>
  <c r="Y90" i="16" s="1"/>
  <c r="U192" i="16"/>
  <c r="V192" i="16" s="1"/>
  <c r="W192" i="16" s="1"/>
  <c r="Y192" i="16" s="1"/>
  <c r="U42" i="16"/>
  <c r="V42" i="16" s="1"/>
  <c r="W42" i="16" s="1"/>
  <c r="U33" i="16"/>
  <c r="W87" i="16"/>
  <c r="U313" i="16"/>
  <c r="W84" i="16"/>
  <c r="Y84" i="16" s="1"/>
  <c r="T978" i="16"/>
  <c r="U978" i="16" s="1"/>
  <c r="U232" i="16"/>
  <c r="T327" i="16"/>
  <c r="U327" i="16" s="1"/>
  <c r="V47" i="16"/>
  <c r="W47" i="16" s="1"/>
  <c r="V60" i="16"/>
  <c r="W60" i="16" s="1"/>
  <c r="U224" i="16"/>
  <c r="T1708" i="16"/>
  <c r="U1708" i="16" s="1"/>
  <c r="V1708" i="16" s="1"/>
  <c r="W1708" i="16" s="1"/>
  <c r="Y1708" i="16" s="1"/>
  <c r="V50" i="16"/>
  <c r="W50" i="16" s="1"/>
  <c r="T964" i="16"/>
  <c r="U964" i="16" s="1"/>
  <c r="V995" i="16"/>
  <c r="W995" i="16" s="1"/>
  <c r="Y995" i="16" s="1"/>
  <c r="U1360" i="16"/>
  <c r="V1360" i="16" s="1"/>
  <c r="W1360" i="16" s="1"/>
  <c r="Y1360" i="16" s="1"/>
  <c r="U1452" i="16"/>
  <c r="U1042" i="16"/>
  <c r="T1927" i="16"/>
  <c r="U1927" i="16" s="1"/>
  <c r="V1927" i="16" s="1"/>
  <c r="W1927" i="16" s="1"/>
  <c r="Y1927" i="16" s="1"/>
  <c r="V64" i="16"/>
  <c r="W64" i="16" s="1"/>
  <c r="V69" i="16"/>
  <c r="W69" i="16" s="1"/>
  <c r="T28" i="16"/>
  <c r="U28" i="16" s="1"/>
  <c r="U34" i="16"/>
  <c r="T39" i="16"/>
  <c r="U39" i="16" s="1"/>
  <c r="V39" i="16" s="1"/>
  <c r="V70" i="16"/>
  <c r="W70" i="16" s="1"/>
  <c r="U213" i="16"/>
  <c r="U323" i="16"/>
  <c r="U328" i="16"/>
  <c r="T334" i="16"/>
  <c r="U334" i="16" s="1"/>
  <c r="U345" i="16"/>
  <c r="T372" i="16"/>
  <c r="U372" i="16" s="1"/>
  <c r="T380" i="16"/>
  <c r="U380" i="16" s="1"/>
  <c r="T873" i="16"/>
  <c r="U873" i="16" s="1"/>
  <c r="T965" i="16"/>
  <c r="U965" i="16" s="1"/>
  <c r="V1002" i="16"/>
  <c r="W1002" i="16" s="1"/>
  <c r="Y1002" i="16" s="1"/>
  <c r="T1289" i="16"/>
  <c r="U1289" i="16" s="1"/>
  <c r="T966" i="16"/>
  <c r="U966" i="16" s="1"/>
  <c r="T2106" i="16"/>
  <c r="U2106" i="16" s="1"/>
  <c r="V2106" i="16" s="1"/>
  <c r="W2106" i="16" s="1"/>
  <c r="Y2106" i="16" s="1"/>
  <c r="U21" i="16"/>
  <c r="V21" i="16" s="1"/>
  <c r="V51" i="16"/>
  <c r="W51" i="16" s="1"/>
  <c r="V62" i="16"/>
  <c r="W62" i="16" s="1"/>
  <c r="V71" i="16"/>
  <c r="W71" i="16" s="1"/>
  <c r="U191" i="16"/>
  <c r="V191" i="16" s="1"/>
  <c r="W191" i="16" s="1"/>
  <c r="Y191" i="16" s="1"/>
  <c r="U218" i="16"/>
  <c r="U222" i="16"/>
  <c r="U226" i="16"/>
  <c r="U230" i="16"/>
  <c r="U234" i="16"/>
  <c r="U307" i="16"/>
  <c r="U311" i="16"/>
  <c r="U315" i="16"/>
  <c r="U319" i="16"/>
  <c r="U373" i="16"/>
  <c r="U381" i="16"/>
  <c r="T1138" i="16"/>
  <c r="U1138" i="16" s="1"/>
  <c r="T1488" i="16"/>
  <c r="U1488" i="16" s="1"/>
  <c r="V1488" i="16" s="1"/>
  <c r="W1488" i="16" s="1"/>
  <c r="Y1488" i="16" s="1"/>
  <c r="T2029" i="16"/>
  <c r="U2029" i="16" s="1"/>
  <c r="V2029" i="16" s="1"/>
  <c r="W2029" i="16" s="1"/>
  <c r="Y2029" i="16" s="1"/>
  <c r="V46" i="16"/>
  <c r="W46" i="16" s="1"/>
  <c r="T869" i="16"/>
  <c r="U869" i="16" s="1"/>
  <c r="U1564" i="16"/>
  <c r="V1564" i="16" s="1"/>
  <c r="W1564" i="16" s="1"/>
  <c r="V68" i="16"/>
  <c r="W68" i="16" s="1"/>
  <c r="U26" i="16"/>
  <c r="V66" i="16"/>
  <c r="W66" i="16" s="1"/>
  <c r="U326" i="16"/>
  <c r="U337" i="16"/>
  <c r="U353" i="16"/>
  <c r="T962" i="16"/>
  <c r="U962" i="16" s="1"/>
  <c r="U1206" i="16"/>
  <c r="T1473" i="16"/>
  <c r="U1473" i="16" s="1"/>
  <c r="V1473" i="16" s="1"/>
  <c r="W1473" i="16" s="1"/>
  <c r="T1337" i="16"/>
  <c r="U1337" i="16" s="1"/>
  <c r="T1371" i="16"/>
  <c r="U1371" i="16" s="1"/>
  <c r="T1714" i="16"/>
  <c r="U1714" i="16" s="1"/>
  <c r="V1714" i="16" s="1"/>
  <c r="W1714" i="16" s="1"/>
  <c r="Y1714" i="16" s="1"/>
  <c r="T1960" i="16"/>
  <c r="U1960" i="16" s="1"/>
  <c r="V1960" i="16" s="1"/>
  <c r="W1960" i="16" s="1"/>
  <c r="Y1960" i="16" s="1"/>
  <c r="T1285" i="16"/>
  <c r="U1285" i="16" s="1"/>
  <c r="U1290" i="16"/>
  <c r="U1361" i="16"/>
  <c r="V1361" i="16" s="1"/>
  <c r="W1361" i="16" s="1"/>
  <c r="Y1361" i="16" s="1"/>
  <c r="U1474" i="16"/>
  <c r="V1474" i="16" s="1"/>
  <c r="W1474" i="16" s="1"/>
  <c r="Y1474" i="16" s="1"/>
  <c r="U1486" i="16"/>
  <c r="V1486" i="16" s="1"/>
  <c r="W1486" i="16" s="1"/>
  <c r="Y1486" i="16" s="1"/>
  <c r="U1661" i="16"/>
  <c r="V1661" i="16" s="1"/>
  <c r="W1661" i="16" s="1"/>
  <c r="Y1661" i="16" s="1"/>
  <c r="T1705" i="16"/>
  <c r="U1705" i="16" s="1"/>
  <c r="V1705" i="16" s="1"/>
  <c r="W1705" i="16" s="1"/>
  <c r="Y1705" i="16" s="1"/>
  <c r="V1871" i="16"/>
  <c r="W1871" i="16" s="1"/>
  <c r="Y1871" i="16" s="1"/>
  <c r="U2013" i="16"/>
  <c r="T2027" i="16"/>
  <c r="U2027" i="16" s="1"/>
  <c r="V2027" i="16" s="1"/>
  <c r="W2027" i="16" s="1"/>
  <c r="Y2027" i="16" s="1"/>
  <c r="U1004" i="16"/>
  <c r="V1004" i="16" s="1"/>
  <c r="T1281" i="16"/>
  <c r="U1281" i="16" s="1"/>
  <c r="U1356" i="16"/>
  <c r="V1356" i="16" s="1"/>
  <c r="W1356" i="16" s="1"/>
  <c r="Y1356" i="16" s="1"/>
  <c r="U1373" i="16"/>
  <c r="T1489" i="16"/>
  <c r="U1489" i="16" s="1"/>
  <c r="V1489" i="16" s="1"/>
  <c r="W1489" i="16" s="1"/>
  <c r="Y1489" i="16" s="1"/>
  <c r="V1563" i="16"/>
  <c r="W1563" i="16" s="1"/>
  <c r="T1648" i="16"/>
  <c r="U1648" i="16" s="1"/>
  <c r="U1992" i="16"/>
  <c r="V1992" i="16" s="1"/>
  <c r="W1992" i="16" s="1"/>
  <c r="Y1992" i="16" s="1"/>
  <c r="T2177" i="16"/>
  <c r="U2177" i="16" s="1"/>
  <c r="V2177" i="16" s="1"/>
  <c r="W2177" i="16" s="1"/>
  <c r="T2238" i="16"/>
  <c r="U2238" i="16" s="1"/>
  <c r="V2238" i="16" s="1"/>
  <c r="W2238" i="16" s="1"/>
  <c r="T2415" i="16"/>
  <c r="U2415" i="16" s="1"/>
  <c r="V2415" i="16" s="1"/>
  <c r="W2415" i="16" s="1"/>
  <c r="Y2415" i="16" s="1"/>
  <c r="T2437" i="16"/>
  <c r="U2437" i="16" s="1"/>
  <c r="V2437" i="16" s="1"/>
  <c r="W2437" i="16" s="1"/>
  <c r="Y2437" i="16" s="1"/>
  <c r="V1485" i="16"/>
  <c r="W1485" i="16" s="1"/>
  <c r="Y1485" i="16" s="1"/>
  <c r="U1308" i="16"/>
  <c r="U1325" i="16"/>
  <c r="V1325" i="16" s="1"/>
  <c r="W1325" i="16" s="1"/>
  <c r="Y1325" i="16" s="1"/>
  <c r="V1332" i="16"/>
  <c r="W1332" i="16" s="1"/>
  <c r="Y1332" i="16" s="1"/>
  <c r="U1362" i="16"/>
  <c r="V1362" i="16" s="1"/>
  <c r="W1362" i="16" s="1"/>
  <c r="Y1362" i="16" s="1"/>
  <c r="U1364" i="16"/>
  <c r="V1364" i="16" s="1"/>
  <c r="W1364" i="16" s="1"/>
  <c r="Y1364" i="16" s="1"/>
  <c r="U1467" i="16"/>
  <c r="V1549" i="16"/>
  <c r="W1549" i="16" s="1"/>
  <c r="V1555" i="16"/>
  <c r="W1555" i="16" s="1"/>
  <c r="U1685" i="16"/>
  <c r="V1685" i="16" s="1"/>
  <c r="W1685" i="16" s="1"/>
  <c r="Y1685" i="16" s="1"/>
  <c r="T1736" i="16"/>
  <c r="U1736" i="16" s="1"/>
  <c r="V1736" i="16" s="1"/>
  <c r="W1736" i="16" s="1"/>
  <c r="Y1736" i="16" s="1"/>
  <c r="U1741" i="16"/>
  <c r="V1741" i="16" s="1"/>
  <c r="W1741" i="16" s="1"/>
  <c r="Y1741" i="16" s="1"/>
  <c r="U1859" i="16"/>
  <c r="V1859" i="16" s="1"/>
  <c r="W1859" i="16" s="1"/>
  <c r="Y1859" i="16" s="1"/>
  <c r="U1941" i="16"/>
  <c r="V1941" i="16" s="1"/>
  <c r="W1941" i="16" s="1"/>
  <c r="Y1941" i="16" s="1"/>
  <c r="U1920" i="16"/>
  <c r="V1920" i="16" s="1"/>
  <c r="W1920" i="16" s="1"/>
  <c r="Y1920" i="16" s="1"/>
  <c r="U1925" i="16"/>
  <c r="V1925" i="16" s="1"/>
  <c r="W1925" i="16" s="1"/>
  <c r="Y1925" i="16" s="1"/>
  <c r="T1945" i="16"/>
  <c r="U1945" i="16" s="1"/>
  <c r="U1884" i="16"/>
  <c r="V1928" i="16"/>
  <c r="W1928" i="16" s="1"/>
  <c r="Y1928" i="16" s="1"/>
  <c r="U1969" i="16"/>
  <c r="T2158" i="16"/>
  <c r="U2158" i="16" s="1"/>
  <c r="V1660" i="16"/>
  <c r="W1660" i="16" s="1"/>
  <c r="Y1660" i="16" s="1"/>
  <c r="V1916" i="16"/>
  <c r="W1916" i="16" s="1"/>
  <c r="Y1916" i="16" s="1"/>
  <c r="T1942" i="16"/>
  <c r="U1942" i="16" s="1"/>
  <c r="V1942" i="16" s="1"/>
  <c r="W1942" i="16" s="1"/>
  <c r="Y1942" i="16" s="1"/>
  <c r="T1990" i="16"/>
  <c r="U1990" i="16" s="1"/>
  <c r="V1990" i="16" s="1"/>
  <c r="W1990" i="16" s="1"/>
  <c r="Y1990" i="16" s="1"/>
  <c r="T2009" i="16"/>
  <c r="U2009" i="16" s="1"/>
  <c r="T2953" i="16"/>
  <c r="U2953" i="16" s="1"/>
  <c r="V1357" i="16"/>
  <c r="W1357" i="16" s="1"/>
  <c r="Y1357" i="16" s="1"/>
  <c r="U1713" i="16"/>
  <c r="V1713" i="16" s="1"/>
  <c r="W1713" i="16" s="1"/>
  <c r="Y1713" i="16" s="1"/>
  <c r="V1755" i="16"/>
  <c r="W1755" i="16" s="1"/>
  <c r="Y1755" i="16" s="1"/>
  <c r="T1843" i="16"/>
  <c r="U1843" i="16" s="1"/>
  <c r="T1865" i="16"/>
  <c r="U1865" i="16" s="1"/>
  <c r="V1865" i="16" s="1"/>
  <c r="W1865" i="16" s="1"/>
  <c r="X1865" i="16" s="1"/>
  <c r="T1889" i="16"/>
  <c r="U1889" i="16" s="1"/>
  <c r="T1970" i="16"/>
  <c r="U1970" i="16" s="1"/>
  <c r="U1981" i="16"/>
  <c r="V1981" i="16" s="1"/>
  <c r="W1981" i="16" s="1"/>
  <c r="U1987" i="16"/>
  <c r="V1987" i="16" s="1"/>
  <c r="W1987" i="16" s="1"/>
  <c r="Y1987" i="16" s="1"/>
  <c r="V2001" i="16"/>
  <c r="W2001" i="16" s="1"/>
  <c r="U2118" i="16"/>
  <c r="V2118" i="16" s="1"/>
  <c r="W2118" i="16" s="1"/>
  <c r="Y2118" i="16" s="1"/>
  <c r="T2126" i="16"/>
  <c r="U2126" i="16" s="1"/>
  <c r="T2179" i="16"/>
  <c r="U2179" i="16" s="1"/>
  <c r="V2179" i="16" s="1"/>
  <c r="W2179" i="16" s="1"/>
  <c r="Y2179" i="16" s="1"/>
  <c r="T2362" i="16"/>
  <c r="U2362" i="16" s="1"/>
  <c r="V2362" i="16" s="1"/>
  <c r="W2362" i="16" s="1"/>
  <c r="T2372" i="16"/>
  <c r="U2372" i="16" s="1"/>
  <c r="V2372" i="16" s="1"/>
  <c r="W2372" i="16" s="1"/>
  <c r="V1751" i="16"/>
  <c r="W1751" i="16" s="1"/>
  <c r="Y1751" i="16" s="1"/>
  <c r="V1929" i="16"/>
  <c r="W1929" i="16" s="1"/>
  <c r="Y1929" i="16" s="1"/>
  <c r="T2316" i="16"/>
  <c r="T2795" i="16"/>
  <c r="U2795" i="16" s="1"/>
  <c r="V2795" i="16" s="1"/>
  <c r="W2795" i="16" s="1"/>
  <c r="T2916" i="16"/>
  <c r="U2916" i="16" s="1"/>
  <c r="U1700" i="16"/>
  <c r="V1700" i="16" s="1"/>
  <c r="W1700" i="16" s="1"/>
  <c r="Y1700" i="16" s="1"/>
  <c r="U1704" i="16"/>
  <c r="V1704" i="16" s="1"/>
  <c r="W1704" i="16" s="1"/>
  <c r="Y1704" i="16" s="1"/>
  <c r="T1804" i="16"/>
  <c r="U1804" i="16" s="1"/>
  <c r="T1844" i="16"/>
  <c r="U1844" i="16" s="1"/>
  <c r="T2026" i="16"/>
  <c r="U2026" i="16" s="1"/>
  <c r="V2026" i="16" s="1"/>
  <c r="W2026" i="16" s="1"/>
  <c r="Y2026" i="16" s="1"/>
  <c r="T2053" i="16"/>
  <c r="U2053" i="16" s="1"/>
  <c r="V2053" i="16" s="1"/>
  <c r="W2053" i="16" s="1"/>
  <c r="Y2053" i="16" s="1"/>
  <c r="V2121" i="16"/>
  <c r="W2121" i="16" s="1"/>
  <c r="T2150" i="16"/>
  <c r="U2150" i="16" s="1"/>
  <c r="V2150" i="16" s="1"/>
  <c r="W2150" i="16" s="1"/>
  <c r="Y2150" i="16" s="1"/>
  <c r="U1839" i="16"/>
  <c r="U1868" i="16"/>
  <c r="V1868" i="16" s="1"/>
  <c r="V1870" i="16" s="1"/>
  <c r="W1870" i="16" s="1"/>
  <c r="U2087" i="16"/>
  <c r="U2104" i="16"/>
  <c r="V2104" i="16" s="1"/>
  <c r="W2104" i="16" s="1"/>
  <c r="V2140" i="16"/>
  <c r="W2140" i="16" s="1"/>
  <c r="V2193" i="16"/>
  <c r="W2193" i="16" s="1"/>
  <c r="U2213" i="16"/>
  <c r="T2232" i="16"/>
  <c r="U2232" i="16" s="1"/>
  <c r="V2232" i="16" s="1"/>
  <c r="W2232" i="16" s="1"/>
  <c r="Y2232" i="16" s="1"/>
  <c r="V2241" i="16"/>
  <c r="T2394" i="16"/>
  <c r="U2394" i="16" s="1"/>
  <c r="U2806" i="16"/>
  <c r="U2893" i="16"/>
  <c r="V2893" i="16" s="1"/>
  <c r="W2893" i="16" s="1"/>
  <c r="Y2893" i="16" s="1"/>
  <c r="U2994" i="16"/>
  <c r="V2994" i="16" s="1"/>
  <c r="W2994" i="16" s="1"/>
  <c r="Y2994" i="16" s="1"/>
  <c r="V3437" i="16"/>
  <c r="W3437" i="16" s="1"/>
  <c r="Y3437" i="16" s="1"/>
  <c r="T3448" i="16"/>
  <c r="U3448" i="16" s="1"/>
  <c r="V3448" i="16" s="1"/>
  <c r="W3448" i="16" s="1"/>
  <c r="Y3448" i="16" s="1"/>
  <c r="T2457" i="16"/>
  <c r="U2457" i="16" s="1"/>
  <c r="V2457" i="16" s="1"/>
  <c r="W2457" i="16" s="1"/>
  <c r="Y2457" i="16" s="1"/>
  <c r="V2083" i="16"/>
  <c r="W2083" i="16" s="1"/>
  <c r="Y2083" i="16" s="1"/>
  <c r="U2115" i="16"/>
  <c r="U2127" i="16"/>
  <c r="T2173" i="16"/>
  <c r="U2173" i="16" s="1"/>
  <c r="V2173" i="16" s="1"/>
  <c r="W2173" i="16" s="1"/>
  <c r="Y2173" i="16" s="1"/>
  <c r="U2175" i="16"/>
  <c r="V2175" i="16" s="1"/>
  <c r="W2175" i="16" s="1"/>
  <c r="Y2175" i="16" s="1"/>
  <c r="T2214" i="16"/>
  <c r="U2214" i="16" s="1"/>
  <c r="V2369" i="16"/>
  <c r="W2369" i="16" s="1"/>
  <c r="Y2369" i="16" s="1"/>
  <c r="V2507" i="16"/>
  <c r="W2507" i="16" s="1"/>
  <c r="Y2507" i="16" s="1"/>
  <c r="U2511" i="16"/>
  <c r="U2638" i="16"/>
  <c r="V2638" i="16" s="1"/>
  <c r="W2638" i="16" s="1"/>
  <c r="Y2638" i="16" s="1"/>
  <c r="T2787" i="16"/>
  <c r="U2787" i="16" s="1"/>
  <c r="V2787" i="16" s="1"/>
  <c r="W2787" i="16" s="1"/>
  <c r="U2908" i="16"/>
  <c r="T2987" i="16"/>
  <c r="U2987" i="16" s="1"/>
  <c r="V2987" i="16" s="1"/>
  <c r="W2987" i="16" s="1"/>
  <c r="U1991" i="16"/>
  <c r="V1991" i="16" s="1"/>
  <c r="W1991" i="16" s="1"/>
  <c r="Y1991" i="16" s="1"/>
  <c r="U2419" i="16"/>
  <c r="U2420" i="16" s="1"/>
  <c r="V2420" i="16" s="1"/>
  <c r="W2420" i="16" s="1"/>
  <c r="T2566" i="16"/>
  <c r="U2566" i="16" s="1"/>
  <c r="T2934" i="16"/>
  <c r="U2934" i="16" s="1"/>
  <c r="T2965" i="16"/>
  <c r="U2965" i="16" s="1"/>
  <c r="U2097" i="16"/>
  <c r="V2097" i="16" s="1"/>
  <c r="W2097" i="16" s="1"/>
  <c r="Y2097" i="16" s="1"/>
  <c r="V2256" i="16"/>
  <c r="W2256" i="16" s="1"/>
  <c r="Y2256" i="16" s="1"/>
  <c r="T2712" i="16"/>
  <c r="U2712" i="16" s="1"/>
  <c r="V2712" i="16" s="1"/>
  <c r="W2712" i="16" s="1"/>
  <c r="Y2712" i="16" s="1"/>
  <c r="T3024" i="16"/>
  <c r="U3024" i="16" s="1"/>
  <c r="T3039" i="16"/>
  <c r="U3039" i="16" s="1"/>
  <c r="T3050" i="16"/>
  <c r="U3050" i="16" s="1"/>
  <c r="U3189" i="16"/>
  <c r="T2211" i="16"/>
  <c r="U2211" i="16" s="1"/>
  <c r="V2211" i="16" s="1"/>
  <c r="W2211" i="16" s="1"/>
  <c r="Y2211" i="16" s="1"/>
  <c r="V2398" i="16"/>
  <c r="W2398" i="16" s="1"/>
  <c r="T2427" i="16"/>
  <c r="U2427" i="16" s="1"/>
  <c r="V2427" i="16" s="1"/>
  <c r="W2427" i="16" s="1"/>
  <c r="Y2427" i="16" s="1"/>
  <c r="V2499" i="16"/>
  <c r="W2499" i="16" s="1"/>
  <c r="Y2499" i="16" s="1"/>
  <c r="T2579" i="16"/>
  <c r="U2579" i="16" s="1"/>
  <c r="V2579" i="16" s="1"/>
  <c r="W2579" i="16" s="1"/>
  <c r="Y2579" i="16" s="1"/>
  <c r="U2798" i="16"/>
  <c r="V2798" i="16" s="1"/>
  <c r="V2900" i="16"/>
  <c r="W2900" i="16" s="1"/>
  <c r="Y2900" i="16" s="1"/>
  <c r="V3006" i="16"/>
  <c r="W3006" i="16" s="1"/>
  <c r="Y3006" i="16" s="1"/>
  <c r="V2359" i="16"/>
  <c r="W2359" i="16" s="1"/>
  <c r="Y2359" i="16" s="1"/>
  <c r="U2454" i="16"/>
  <c r="V2454" i="16" s="1"/>
  <c r="U2505" i="16"/>
  <c r="V2505" i="16" s="1"/>
  <c r="W2505" i="16" s="1"/>
  <c r="U2512" i="16"/>
  <c r="T3033" i="16"/>
  <c r="U3033" i="16" s="1"/>
  <c r="T3045" i="16"/>
  <c r="U3045" i="16" s="1"/>
  <c r="T3177" i="16"/>
  <c r="U3177" i="16" s="1"/>
  <c r="U3319" i="16"/>
  <c r="V3319" i="16" s="1"/>
  <c r="W3319" i="16" s="1"/>
  <c r="Y3319" i="16" s="1"/>
  <c r="T3376" i="16"/>
  <c r="U3376" i="16" s="1"/>
  <c r="V3376" i="16" s="1"/>
  <c r="W3376" i="16" s="1"/>
  <c r="Y3376" i="16" s="1"/>
  <c r="U3498" i="16"/>
  <c r="V3498" i="16" s="1"/>
  <c r="W3498" i="16" s="1"/>
  <c r="Y3498" i="16" s="1"/>
  <c r="V3501" i="16"/>
  <c r="W3501" i="16" s="1"/>
  <c r="Y3501" i="16" s="1"/>
  <c r="V2421" i="16"/>
  <c r="W2421" i="16" s="1"/>
  <c r="Y2421" i="16" s="1"/>
  <c r="V2508" i="16"/>
  <c r="W2508" i="16" s="1"/>
  <c r="Y2508" i="16" s="1"/>
  <c r="V2882" i="16"/>
  <c r="W2882" i="16" s="1"/>
  <c r="Y2882" i="16" s="1"/>
  <c r="V2927" i="16"/>
  <c r="W2927" i="16" s="1"/>
  <c r="T3112" i="16"/>
  <c r="U3112" i="16" s="1"/>
  <c r="T3342" i="16"/>
  <c r="U3342" i="16" s="1"/>
  <c r="V3342" i="16" s="1"/>
  <c r="W3342" i="16" s="1"/>
  <c r="Y3342" i="16" s="1"/>
  <c r="T2277" i="16"/>
  <c r="U2277" i="16" s="1"/>
  <c r="V2277" i="16" s="1"/>
  <c r="U2313" i="16"/>
  <c r="U2314" i="16" s="1"/>
  <c r="V2349" i="16"/>
  <c r="W2349" i="16" s="1"/>
  <c r="Y2349" i="16" s="1"/>
  <c r="T2426" i="16"/>
  <c r="U2426" i="16" s="1"/>
  <c r="V2426" i="16" s="1"/>
  <c r="W2426" i="16" s="1"/>
  <c r="Y2426" i="16" s="1"/>
  <c r="U2482" i="16"/>
  <c r="U2501" i="16"/>
  <c r="V2501" i="16" s="1"/>
  <c r="W2501" i="16" s="1"/>
  <c r="Y2501" i="16" s="1"/>
  <c r="V2506" i="16"/>
  <c r="W2506" i="16" s="1"/>
  <c r="Y2506" i="16" s="1"/>
  <c r="V2522" i="16"/>
  <c r="W2522" i="16" s="1"/>
  <c r="T2568" i="16"/>
  <c r="U2568" i="16" s="1"/>
  <c r="V2568" i="16" s="1"/>
  <c r="W2568" i="16" s="1"/>
  <c r="Y2568" i="16" s="1"/>
  <c r="T2571" i="16"/>
  <c r="U2571" i="16" s="1"/>
  <c r="V2571" i="16" s="1"/>
  <c r="W2571" i="16" s="1"/>
  <c r="Y2571" i="16" s="1"/>
  <c r="U2577" i="16"/>
  <c r="V2577" i="16" s="1"/>
  <c r="W2577" i="16" s="1"/>
  <c r="U2614" i="16"/>
  <c r="V2614" i="16" s="1"/>
  <c r="W2614" i="16" s="1"/>
  <c r="T2637" i="16"/>
  <c r="U2637" i="16" s="1"/>
  <c r="V2637" i="16" s="1"/>
  <c r="W2637" i="16" s="1"/>
  <c r="Y2637" i="16" s="1"/>
  <c r="T2671" i="16"/>
  <c r="U2671" i="16" s="1"/>
  <c r="T2766" i="16"/>
  <c r="U2766" i="16" s="1"/>
  <c r="V2766" i="16" s="1"/>
  <c r="W2766" i="16" s="1"/>
  <c r="Y2766" i="16" s="1"/>
  <c r="T2808" i="16"/>
  <c r="U2808" i="16" s="1"/>
  <c r="V2808" i="16" s="1"/>
  <c r="W2808" i="16" s="1"/>
  <c r="U2975" i="16"/>
  <c r="U2976" i="16" s="1"/>
  <c r="V2976" i="16" s="1"/>
  <c r="W2976" i="16" s="1"/>
  <c r="Y2976" i="16" s="1"/>
  <c r="U2984" i="16"/>
  <c r="V2984" i="16" s="1"/>
  <c r="W2984" i="16" s="1"/>
  <c r="Y2984" i="16" s="1"/>
  <c r="T3061" i="16"/>
  <c r="U3061" i="16" s="1"/>
  <c r="T3292" i="16"/>
  <c r="U3292" i="16" s="1"/>
  <c r="V3292" i="16" s="1"/>
  <c r="W3292" i="16" s="1"/>
  <c r="Y3292" i="16" s="1"/>
  <c r="T3391" i="16"/>
  <c r="U3391" i="16" s="1"/>
  <c r="V3391" i="16" s="1"/>
  <c r="W3391" i="16" s="1"/>
  <c r="Y3391" i="16" s="1"/>
  <c r="U2247" i="16"/>
  <c r="U2248" i="16" s="1"/>
  <c r="V2248" i="16" s="1"/>
  <c r="W2248" i="16" s="1"/>
  <c r="U2285" i="16"/>
  <c r="U2309" i="16"/>
  <c r="U2402" i="16"/>
  <c r="U2414" i="16"/>
  <c r="V2414" i="16" s="1"/>
  <c r="W2414" i="16" s="1"/>
  <c r="Y2414" i="16" s="1"/>
  <c r="U2525" i="16"/>
  <c r="V2525" i="16" s="1"/>
  <c r="W2525" i="16" s="1"/>
  <c r="V2537" i="16"/>
  <c r="U2564" i="16"/>
  <c r="V2578" i="16"/>
  <c r="W2578" i="16" s="1"/>
  <c r="Y2578" i="16" s="1"/>
  <c r="U2756" i="16"/>
  <c r="U2784" i="16"/>
  <c r="U2804" i="16"/>
  <c r="U2826" i="16"/>
  <c r="V2826" i="16" s="1"/>
  <c r="W2826" i="16" s="1"/>
  <c r="U2866" i="16"/>
  <c r="V2887" i="16"/>
  <c r="W2887" i="16" s="1"/>
  <c r="V2890" i="16"/>
  <c r="W2890" i="16" s="1"/>
  <c r="U2911" i="16"/>
  <c r="V2911" i="16" s="1"/>
  <c r="W2911" i="16" s="1"/>
  <c r="Y2911" i="16" s="1"/>
  <c r="U2922" i="16"/>
  <c r="V2922" i="16" s="1"/>
  <c r="W2922" i="16" s="1"/>
  <c r="Y2922" i="16" s="1"/>
  <c r="T2963" i="16"/>
  <c r="U2963" i="16" s="1"/>
  <c r="V2989" i="16"/>
  <c r="W2989" i="16" s="1"/>
  <c r="Y2989" i="16" s="1"/>
  <c r="T3165" i="16"/>
  <c r="U3165" i="16" s="1"/>
  <c r="T3249" i="16"/>
  <c r="U3249" i="16" s="1"/>
  <c r="V3249" i="16" s="1"/>
  <c r="W3249" i="16" s="1"/>
  <c r="T3339" i="16"/>
  <c r="U3339" i="16" s="1"/>
  <c r="V3339" i="16" s="1"/>
  <c r="W3339" i="16" s="1"/>
  <c r="Y3339" i="16" s="1"/>
  <c r="U3361" i="16"/>
  <c r="T3396" i="16"/>
  <c r="U3396" i="16" s="1"/>
  <c r="U3413" i="16"/>
  <c r="V3413" i="16" s="1"/>
  <c r="W3413" i="16" s="1"/>
  <c r="T3439" i="16"/>
  <c r="U3439" i="16" s="1"/>
  <c r="V3439" i="16" s="1"/>
  <c r="W3439" i="16" s="1"/>
  <c r="Y3439" i="16" s="1"/>
  <c r="V2389" i="16"/>
  <c r="W2389" i="16" s="1"/>
  <c r="Y2389" i="16" s="1"/>
  <c r="V2440" i="16"/>
  <c r="W2440" i="16" s="1"/>
  <c r="V2551" i="16"/>
  <c r="V2601" i="16"/>
  <c r="W2601" i="16" s="1"/>
  <c r="Y2601" i="16" s="1"/>
  <c r="T3126" i="16"/>
  <c r="U3126" i="16" s="1"/>
  <c r="U3232" i="16"/>
  <c r="V3232" i="16" s="1"/>
  <c r="W3232" i="16" s="1"/>
  <c r="T3290" i="16"/>
  <c r="U3290" i="16" s="1"/>
  <c r="V3290" i="16" s="1"/>
  <c r="W3290" i="16" s="1"/>
  <c r="Y3290" i="16" s="1"/>
  <c r="T3428" i="16"/>
  <c r="U3428" i="16" s="1"/>
  <c r="V3428" i="16" s="1"/>
  <c r="W3428" i="16" s="1"/>
  <c r="Y3428" i="16" s="1"/>
  <c r="U2287" i="16"/>
  <c r="T2408" i="16"/>
  <c r="U2408" i="16" s="1"/>
  <c r="U2456" i="16"/>
  <c r="V2456" i="16" s="1"/>
  <c r="W2456" i="16" s="1"/>
  <c r="U2468" i="16"/>
  <c r="U2480" i="16"/>
  <c r="T2504" i="16"/>
  <c r="U2504" i="16" s="1"/>
  <c r="V2504" i="16" s="1"/>
  <c r="W2504" i="16" s="1"/>
  <c r="Y2504" i="16" s="1"/>
  <c r="U2543" i="16"/>
  <c r="V2543" i="16" s="1"/>
  <c r="W2543" i="16" s="1"/>
  <c r="V2573" i="16"/>
  <c r="W2573" i="16" s="1"/>
  <c r="U2672" i="16"/>
  <c r="T2754" i="16"/>
  <c r="U2754" i="16" s="1"/>
  <c r="V2754" i="16" s="1"/>
  <c r="W2754" i="16" s="1"/>
  <c r="Y2754" i="16" s="1"/>
  <c r="U2790" i="16"/>
  <c r="U2945" i="16"/>
  <c r="U2949" i="16"/>
  <c r="T3038" i="16"/>
  <c r="U3038" i="16" s="1"/>
  <c r="T3160" i="16"/>
  <c r="U3160" i="16" s="1"/>
  <c r="T3182" i="16"/>
  <c r="U3182" i="16" s="1"/>
  <c r="V3182" i="16" s="1"/>
  <c r="W3182" i="16" s="1"/>
  <c r="Y3182" i="16" s="1"/>
  <c r="T3336" i="16"/>
  <c r="U3336" i="16" s="1"/>
  <c r="V3336" i="16" s="1"/>
  <c r="W3336" i="16" s="1"/>
  <c r="T3468" i="16"/>
  <c r="U3468" i="16" s="1"/>
  <c r="V3468" i="16" s="1"/>
  <c r="W3468" i="16" s="1"/>
  <c r="Y3468" i="16" s="1"/>
  <c r="T3532" i="16"/>
  <c r="U3532" i="16" s="1"/>
  <c r="V3532" i="16" s="1"/>
  <c r="W3532" i="16" s="1"/>
  <c r="Y3532" i="16" s="1"/>
  <c r="V3506" i="16"/>
  <c r="W3506" i="16" s="1"/>
  <c r="Y3506" i="16" s="1"/>
  <c r="V3065" i="16"/>
  <c r="W3065" i="16" s="1"/>
  <c r="Y3065" i="16" s="1"/>
  <c r="V3085" i="16"/>
  <c r="W3085" i="16" s="1"/>
  <c r="Y3085" i="16" s="1"/>
  <c r="U3210" i="16"/>
  <c r="U3278" i="16"/>
  <c r="V3278" i="16" s="1"/>
  <c r="W3278" i="16" s="1"/>
  <c r="U3304" i="16"/>
  <c r="U3308" i="16"/>
  <c r="V3308" i="16" s="1"/>
  <c r="W3308" i="16" s="1"/>
  <c r="Y3308" i="16" s="1"/>
  <c r="V3320" i="16"/>
  <c r="W3320" i="16" s="1"/>
  <c r="Y3320" i="16" s="1"/>
  <c r="U3326" i="16"/>
  <c r="V3326" i="16" s="1"/>
  <c r="W3326" i="16" s="1"/>
  <c r="Y3326" i="16" s="1"/>
  <c r="U3352" i="16"/>
  <c r="V3363" i="16"/>
  <c r="W3363" i="16" s="1"/>
  <c r="U3385" i="16"/>
  <c r="U3424" i="16"/>
  <c r="U3425" i="16" s="1"/>
  <c r="V3425" i="16" s="1"/>
  <c r="W3425" i="16" s="1"/>
  <c r="V3433" i="16"/>
  <c r="W3433" i="16" s="1"/>
  <c r="Y3433" i="16" s="1"/>
  <c r="V3469" i="16"/>
  <c r="W3469" i="16" s="1"/>
  <c r="Y3469" i="16" s="1"/>
  <c r="V3171" i="16"/>
  <c r="W3171" i="16" s="1"/>
  <c r="U3011" i="16"/>
  <c r="U3168" i="16"/>
  <c r="V3168" i="16" s="1"/>
  <c r="W3168" i="16" s="1"/>
  <c r="Y3168" i="16" s="1"/>
  <c r="U3233" i="16"/>
  <c r="V3233" i="16" s="1"/>
  <c r="U3236" i="16"/>
  <c r="V3236" i="16" s="1"/>
  <c r="W3236" i="16" s="1"/>
  <c r="Y3236" i="16" s="1"/>
  <c r="U3263" i="16"/>
  <c r="V3263" i="16" s="1"/>
  <c r="U3331" i="16"/>
  <c r="V3331" i="16" s="1"/>
  <c r="V3375" i="16"/>
  <c r="W3375" i="16" s="1"/>
  <c r="Y3375" i="16" s="1"/>
  <c r="T3472" i="16"/>
  <c r="U3472" i="16" s="1"/>
  <c r="V3472" i="16" s="1"/>
  <c r="W3472" i="16" s="1"/>
  <c r="Y3472" i="16" s="1"/>
  <c r="V3511" i="16"/>
  <c r="W3511" i="16" s="1"/>
  <c r="Y3511" i="16" s="1"/>
  <c r="U3523" i="16"/>
  <c r="V3523" i="16" s="1"/>
  <c r="W3523" i="16" s="1"/>
  <c r="Y3523" i="16" s="1"/>
  <c r="U3533" i="16"/>
  <c r="V3533" i="16" s="1"/>
  <c r="W3533" i="16" s="1"/>
  <c r="Y3533" i="16" s="1"/>
  <c r="V3328" i="16"/>
  <c r="W3328" i="16" s="1"/>
  <c r="V3502" i="16"/>
  <c r="W3502" i="16" s="1"/>
  <c r="Y3502" i="16" s="1"/>
  <c r="T3183" i="16"/>
  <c r="U3183" i="16" s="1"/>
  <c r="V3183" i="16" s="1"/>
  <c r="W3183" i="16" s="1"/>
  <c r="Y3183" i="16" s="1"/>
  <c r="U3222" i="16"/>
  <c r="T3253" i="16"/>
  <c r="U3253" i="16" s="1"/>
  <c r="V3253" i="16" s="1"/>
  <c r="W3253" i="16" s="1"/>
  <c r="U3316" i="16"/>
  <c r="V3316" i="16" s="1"/>
  <c r="W3316" i="16" s="1"/>
  <c r="Y3316" i="16" s="1"/>
  <c r="U3335" i="16"/>
  <c r="V3335" i="16" s="1"/>
  <c r="W3335" i="16" s="1"/>
  <c r="U3341" i="16"/>
  <c r="V3341" i="16" s="1"/>
  <c r="W3341" i="16" s="1"/>
  <c r="U3354" i="16"/>
  <c r="V3354" i="16" s="1"/>
  <c r="W3354" i="16" s="1"/>
  <c r="T3392" i="16"/>
  <c r="U3392" i="16" s="1"/>
  <c r="V3392" i="16" s="1"/>
  <c r="W3392" i="16" s="1"/>
  <c r="Y3392" i="16" s="1"/>
  <c r="T3436" i="16"/>
  <c r="U3436" i="16" s="1"/>
  <c r="V3436" i="16" s="1"/>
  <c r="W3436" i="16" s="1"/>
  <c r="Y3436" i="16" s="1"/>
  <c r="U3438" i="16"/>
  <c r="V3438" i="16" s="1"/>
  <c r="W3438" i="16" s="1"/>
  <c r="Y3438" i="16" s="1"/>
  <c r="U3118" i="16"/>
  <c r="T3125" i="16"/>
  <c r="U3125" i="16" s="1"/>
  <c r="U3244" i="16"/>
  <c r="V3244" i="16" s="1"/>
  <c r="U3268" i="16"/>
  <c r="V3268" i="16" s="1"/>
  <c r="W3268" i="16" s="1"/>
  <c r="U3307" i="16"/>
  <c r="V3307" i="16" s="1"/>
  <c r="W3307" i="16" s="1"/>
  <c r="Y3307" i="16" s="1"/>
  <c r="U3344" i="16"/>
  <c r="V3344" i="16" s="1"/>
  <c r="W3344" i="16" s="1"/>
  <c r="V3410" i="16"/>
  <c r="W3410" i="16" s="1"/>
  <c r="U3420" i="16"/>
  <c r="V3420" i="16" s="1"/>
  <c r="W3420" i="16" s="1"/>
  <c r="Y3420" i="16" s="1"/>
  <c r="V3474" i="16"/>
  <c r="W3474" i="16" s="1"/>
  <c r="Y3474" i="16" s="1"/>
  <c r="U3529" i="16"/>
  <c r="V3529" i="16" s="1"/>
  <c r="W3529" i="16" s="1"/>
  <c r="Y3529" i="16" s="1"/>
  <c r="W82" i="16"/>
  <c r="Y19" i="16"/>
  <c r="W19" i="16"/>
  <c r="W76" i="16"/>
  <c r="Y76" i="16" s="1"/>
  <c r="W86" i="16"/>
  <c r="W23" i="16"/>
  <c r="Y23" i="16"/>
  <c r="V45" i="16"/>
  <c r="W45" i="16" s="1"/>
  <c r="W83" i="16"/>
  <c r="W97" i="16"/>
  <c r="W77" i="16"/>
  <c r="Y77" i="16" s="1"/>
  <c r="V48" i="16"/>
  <c r="W48" i="16" s="1"/>
  <c r="W73" i="16"/>
  <c r="W78" i="16"/>
  <c r="W98" i="16"/>
  <c r="Y98" i="16" s="1"/>
  <c r="W94" i="16"/>
  <c r="W79" i="16"/>
  <c r="W37" i="16"/>
  <c r="Y37" i="16" s="1"/>
  <c r="W88" i="16"/>
  <c r="Y88" i="16" s="1"/>
  <c r="W95" i="16"/>
  <c r="W74" i="16"/>
  <c r="W80" i="16"/>
  <c r="W91" i="16"/>
  <c r="Y91" i="16" s="1"/>
  <c r="V49" i="16"/>
  <c r="W49" i="16" s="1"/>
  <c r="W85" i="16"/>
  <c r="W81" i="16"/>
  <c r="W89" i="16"/>
  <c r="T1977" i="16"/>
  <c r="U1977" i="16" s="1"/>
  <c r="V1977" i="16" s="1"/>
  <c r="W1977" i="16" s="1"/>
  <c r="T2019" i="16"/>
  <c r="U2019" i="16" s="1"/>
  <c r="V2019" i="16" s="1"/>
  <c r="W2019" i="16" s="1"/>
  <c r="Y2019" i="16" s="1"/>
  <c r="T29" i="16"/>
  <c r="U29" i="16" s="1"/>
  <c r="W92" i="16"/>
  <c r="U212" i="16"/>
  <c r="U314" i="16"/>
  <c r="U321" i="16"/>
  <c r="U325" i="16"/>
  <c r="U329" i="16"/>
  <c r="T343" i="16"/>
  <c r="U343" i="16" s="1"/>
  <c r="U347" i="16"/>
  <c r="U352" i="16"/>
  <c r="U379" i="16"/>
  <c r="T335" i="16"/>
  <c r="U335" i="16" s="1"/>
  <c r="T360" i="16"/>
  <c r="U360" i="16" s="1"/>
  <c r="T27" i="16"/>
  <c r="U27" i="16" s="1"/>
  <c r="T35" i="16"/>
  <c r="U35" i="16" s="1"/>
  <c r="T40" i="16"/>
  <c r="U40" i="16" s="1"/>
  <c r="V40" i="16" s="1"/>
  <c r="U194" i="16"/>
  <c r="V194" i="16" s="1"/>
  <c r="W194" i="16" s="1"/>
  <c r="Y194" i="16" s="1"/>
  <c r="U217" i="16"/>
  <c r="U225" i="16"/>
  <c r="U233" i="16"/>
  <c r="T336" i="16"/>
  <c r="U336" i="16" s="1"/>
  <c r="U340" i="16"/>
  <c r="U344" i="16"/>
  <c r="U376" i="16"/>
  <c r="T331" i="16"/>
  <c r="U331" i="16" s="1"/>
  <c r="U349" i="16"/>
  <c r="U193" i="16"/>
  <c r="V193" i="16" s="1"/>
  <c r="W193" i="16" s="1"/>
  <c r="Y193" i="16" s="1"/>
  <c r="U308" i="16"/>
  <c r="U316" i="16"/>
  <c r="T369" i="16"/>
  <c r="U369" i="16" s="1"/>
  <c r="T377" i="16"/>
  <c r="U377" i="16" s="1"/>
  <c r="T385" i="16"/>
  <c r="U385" i="16" s="1"/>
  <c r="T350" i="16"/>
  <c r="U350" i="16" s="1"/>
  <c r="U215" i="16"/>
  <c r="U223" i="16"/>
  <c r="U231" i="16"/>
  <c r="T351" i="16"/>
  <c r="U351" i="16" s="1"/>
  <c r="U355" i="16"/>
  <c r="U341" i="16"/>
  <c r="U356" i="16"/>
  <c r="U366" i="16"/>
  <c r="U382" i="16"/>
  <c r="T1074" i="16"/>
  <c r="U1074" i="16" s="1"/>
  <c r="U348" i="16"/>
  <c r="U374" i="16"/>
  <c r="T1036" i="16"/>
  <c r="U1036" i="16" s="1"/>
  <c r="T1046" i="16"/>
  <c r="U1046" i="16" s="1"/>
  <c r="U870" i="16"/>
  <c r="U874" i="16"/>
  <c r="U996" i="16"/>
  <c r="V996" i="16" s="1"/>
  <c r="T1000" i="16"/>
  <c r="U1000" i="16" s="1"/>
  <c r="V1000" i="16" s="1"/>
  <c r="W1000" i="16" s="1"/>
  <c r="Y1000" i="16" s="1"/>
  <c r="T1009" i="16"/>
  <c r="U1009" i="16" s="1"/>
  <c r="V1009" i="16" s="1"/>
  <c r="W1009" i="16" s="1"/>
  <c r="T1015" i="16"/>
  <c r="U1015" i="16" s="1"/>
  <c r="V1015" i="16" s="1"/>
  <c r="W1015" i="16" s="1"/>
  <c r="Y1015" i="16" s="1"/>
  <c r="T1037" i="16"/>
  <c r="U1037" i="16" s="1"/>
  <c r="T1070" i="16"/>
  <c r="U1070" i="16" s="1"/>
  <c r="T1075" i="16"/>
  <c r="U1075" i="16" s="1"/>
  <c r="T1103" i="16"/>
  <c r="U1103" i="16" s="1"/>
  <c r="T1113" i="16"/>
  <c r="U1113" i="16" s="1"/>
  <c r="T1164" i="16"/>
  <c r="U1164" i="16" s="1"/>
  <c r="T1339" i="16"/>
  <c r="U1339" i="16" s="1"/>
  <c r="T1752" i="16"/>
  <c r="U1752" i="16" s="1"/>
  <c r="V1752" i="16" s="1"/>
  <c r="W1752" i="16" s="1"/>
  <c r="Y1752" i="16" s="1"/>
  <c r="T1007" i="16"/>
  <c r="U1007" i="16" s="1"/>
  <c r="V1007" i="16" s="1"/>
  <c r="W1007" i="16" s="1"/>
  <c r="Y1007" i="16" s="1"/>
  <c r="T1026" i="16"/>
  <c r="U1026" i="16" s="1"/>
  <c r="T1038" i="16"/>
  <c r="U1038" i="16" s="1"/>
  <c r="T1280" i="16"/>
  <c r="U1280" i="16" s="1"/>
  <c r="U878" i="16"/>
  <c r="U880" i="16" s="1"/>
  <c r="V880" i="16" s="1"/>
  <c r="W880" i="16" s="1"/>
  <c r="Y880" i="16" s="1"/>
  <c r="U967" i="16"/>
  <c r="T1291" i="16"/>
  <c r="U1291" i="16" s="1"/>
  <c r="T1323" i="16"/>
  <c r="U1323" i="16" s="1"/>
  <c r="V1323" i="16" s="1"/>
  <c r="W1323" i="16" s="1"/>
  <c r="Y1323" i="16" s="1"/>
  <c r="T1335" i="16"/>
  <c r="U1335" i="16" s="1"/>
  <c r="T1001" i="16"/>
  <c r="U1001" i="16" s="1"/>
  <c r="V1001" i="16" s="1"/>
  <c r="W1001" i="16" s="1"/>
  <c r="Y1001" i="16" s="1"/>
  <c r="T1021" i="16"/>
  <c r="U1021" i="16" s="1"/>
  <c r="U1023" i="16" s="1"/>
  <c r="V1023" i="16" s="1"/>
  <c r="W1023" i="16" s="1"/>
  <c r="Y1023" i="16" s="1"/>
  <c r="T1271" i="16"/>
  <c r="U1271" i="16" s="1"/>
  <c r="U907" i="16"/>
  <c r="T1012" i="16"/>
  <c r="U1012" i="16" s="1"/>
  <c r="V1012" i="16" s="1"/>
  <c r="W1012" i="16" s="1"/>
  <c r="Y1012" i="16" s="1"/>
  <c r="T1014" i="16"/>
  <c r="U1014" i="16" s="1"/>
  <c r="V1014" i="16" s="1"/>
  <c r="W1014" i="16" s="1"/>
  <c r="Y1014" i="16" s="1"/>
  <c r="T1150" i="16"/>
  <c r="U1150" i="16" s="1"/>
  <c r="T1160" i="16"/>
  <c r="U1160" i="16" s="1"/>
  <c r="T1307" i="16"/>
  <c r="U1307" i="16" s="1"/>
  <c r="U960" i="16"/>
  <c r="U968" i="16"/>
  <c r="U976" i="16"/>
  <c r="T992" i="16"/>
  <c r="U992" i="16" s="1"/>
  <c r="V992" i="16" s="1"/>
  <c r="T1044" i="16"/>
  <c r="U1044" i="16" s="1"/>
  <c r="U1078" i="16"/>
  <c r="T1082" i="16"/>
  <c r="U1082" i="16" s="1"/>
  <c r="T1137" i="16"/>
  <c r="U1137" i="16" s="1"/>
  <c r="T1377" i="16"/>
  <c r="U1377" i="16" s="1"/>
  <c r="U999" i="16"/>
  <c r="V999" i="16" s="1"/>
  <c r="W999" i="16" s="1"/>
  <c r="Y999" i="16" s="1"/>
  <c r="U1041" i="16"/>
  <c r="T1065" i="16"/>
  <c r="U1065" i="16" s="1"/>
  <c r="T1244" i="16"/>
  <c r="U1244" i="16" s="1"/>
  <c r="T1343" i="16"/>
  <c r="U1343" i="16" s="1"/>
  <c r="U979" i="16"/>
  <c r="U1100" i="16"/>
  <c r="U1116" i="16"/>
  <c r="V1201" i="16"/>
  <c r="W1201" i="16" s="1"/>
  <c r="Y1201" i="16" s="1"/>
  <c r="T1207" i="16"/>
  <c r="U1207" i="16" s="1"/>
  <c r="T1316" i="16"/>
  <c r="U1316" i="16" s="1"/>
  <c r="V1316" i="16" s="1"/>
  <c r="W1316" i="16" s="1"/>
  <c r="Y1316" i="16" s="1"/>
  <c r="T1296" i="16"/>
  <c r="U1296" i="16" s="1"/>
  <c r="U1297" i="16" s="1"/>
  <c r="V1297" i="16" s="1"/>
  <c r="W1297" i="16" s="1"/>
  <c r="Y1297" i="16" s="1"/>
  <c r="V1322" i="16"/>
  <c r="W1322" i="16" s="1"/>
  <c r="Y1322" i="16" s="1"/>
  <c r="T1329" i="16"/>
  <c r="U1329" i="16" s="1"/>
  <c r="V1329" i="16" s="1"/>
  <c r="W1329" i="16" s="1"/>
  <c r="Y1329" i="16" s="1"/>
  <c r="T1336" i="16"/>
  <c r="U1336" i="16" s="1"/>
  <c r="T1367" i="16"/>
  <c r="U1367" i="16" s="1"/>
  <c r="U911" i="16"/>
  <c r="U971" i="16"/>
  <c r="T1025" i="16"/>
  <c r="U1025" i="16" s="1"/>
  <c r="T1045" i="16"/>
  <c r="U1045" i="16" s="1"/>
  <c r="T1055" i="16"/>
  <c r="U1055" i="16" s="1"/>
  <c r="U1071" i="16"/>
  <c r="T1081" i="16"/>
  <c r="U1081" i="16" s="1"/>
  <c r="U1101" i="16"/>
  <c r="U1104" i="16"/>
  <c r="U1117" i="16"/>
  <c r="T1151" i="16"/>
  <c r="U1151" i="16" s="1"/>
  <c r="T1161" i="16"/>
  <c r="U1161" i="16" s="1"/>
  <c r="T1165" i="16"/>
  <c r="U1165" i="16" s="1"/>
  <c r="T1208" i="16"/>
  <c r="U1208" i="16" s="1"/>
  <c r="U1211" i="16"/>
  <c r="U1275" i="16"/>
  <c r="T1284" i="16"/>
  <c r="U1284" i="16" s="1"/>
  <c r="U1341" i="16"/>
  <c r="T1350" i="16"/>
  <c r="U1350" i="16" s="1"/>
  <c r="V1350" i="16" s="1"/>
  <c r="W1350" i="16" s="1"/>
  <c r="Y1350" i="16" s="1"/>
  <c r="U1352" i="16"/>
  <c r="V1352" i="16" s="1"/>
  <c r="W1352" i="16" s="1"/>
  <c r="Y1352" i="16" s="1"/>
  <c r="T1359" i="16"/>
  <c r="U1359" i="16" s="1"/>
  <c r="V1359" i="16" s="1"/>
  <c r="W1359" i="16" s="1"/>
  <c r="Y1359" i="16" s="1"/>
  <c r="T1305" i="16"/>
  <c r="U1305" i="16" s="1"/>
  <c r="T1347" i="16"/>
  <c r="U1347" i="16" s="1"/>
  <c r="V1347" i="16" s="1"/>
  <c r="W1347" i="16" s="1"/>
  <c r="Y1347" i="16" s="1"/>
  <c r="U963" i="16"/>
  <c r="U1061" i="16"/>
  <c r="T1105" i="16"/>
  <c r="U1105" i="16" s="1"/>
  <c r="U1108" i="16"/>
  <c r="U1111" i="16"/>
  <c r="T1148" i="16"/>
  <c r="U1148" i="16" s="1"/>
  <c r="T1152" i="16"/>
  <c r="U1152" i="16" s="1"/>
  <c r="U1155" i="16"/>
  <c r="T1162" i="16"/>
  <c r="U1162" i="16" s="1"/>
  <c r="T1166" i="16"/>
  <c r="U1166" i="16" s="1"/>
  <c r="T1212" i="16"/>
  <c r="U1212" i="16" s="1"/>
  <c r="T1324" i="16"/>
  <c r="U1324" i="16" s="1"/>
  <c r="V1324" i="16" s="1"/>
  <c r="W1324" i="16" s="1"/>
  <c r="Y1324" i="16" s="1"/>
  <c r="T1328" i="16"/>
  <c r="U1328" i="16" s="1"/>
  <c r="V1328" i="16" s="1"/>
  <c r="W1328" i="16" s="1"/>
  <c r="Y1328" i="16" s="1"/>
  <c r="V1349" i="16"/>
  <c r="W1349" i="16" s="1"/>
  <c r="Y1349" i="16" s="1"/>
  <c r="T1355" i="16"/>
  <c r="U1355" i="16" s="1"/>
  <c r="V1355" i="16" s="1"/>
  <c r="W1355" i="16" s="1"/>
  <c r="Y1355" i="16" s="1"/>
  <c r="T1317" i="16"/>
  <c r="U1317" i="16" s="1"/>
  <c r="V1317" i="16" s="1"/>
  <c r="W1317" i="16" s="1"/>
  <c r="Y1317" i="16" s="1"/>
  <c r="T1358" i="16"/>
  <c r="U1358" i="16" s="1"/>
  <c r="V1358" i="16" s="1"/>
  <c r="W1358" i="16" s="1"/>
  <c r="Y1358" i="16" s="1"/>
  <c r="T1477" i="16"/>
  <c r="U1477" i="16" s="1"/>
  <c r="V1477" i="16" s="1"/>
  <c r="W1477" i="16" s="1"/>
  <c r="Y1477" i="16" s="1"/>
  <c r="T1644" i="16"/>
  <c r="U1644" i="16" s="1"/>
  <c r="U955" i="16"/>
  <c r="U1062" i="16"/>
  <c r="U1109" i="16"/>
  <c r="U1112" i="16"/>
  <c r="T1149" i="16"/>
  <c r="U1149" i="16" s="1"/>
  <c r="T1163" i="16"/>
  <c r="U1163" i="16" s="1"/>
  <c r="T1169" i="16"/>
  <c r="U1169" i="16" s="1"/>
  <c r="V1169" i="16" s="1"/>
  <c r="W1169" i="16" s="1"/>
  <c r="Y1169" i="16" s="1"/>
  <c r="U1213" i="16"/>
  <c r="T1270" i="16"/>
  <c r="U1270" i="16" s="1"/>
  <c r="T1273" i="16"/>
  <c r="U1273" i="16" s="1"/>
  <c r="U1327" i="16"/>
  <c r="V1327" i="16" s="1"/>
  <c r="W1327" i="16" s="1"/>
  <c r="Y1327" i="16" s="1"/>
  <c r="U1351" i="16"/>
  <c r="V1351" i="16" s="1"/>
  <c r="W1351" i="16" s="1"/>
  <c r="Y1351" i="16" s="1"/>
  <c r="U1354" i="16"/>
  <c r="V1354" i="16" s="1"/>
  <c r="W1354" i="16" s="1"/>
  <c r="Y1354" i="16" s="1"/>
  <c r="T1363" i="16"/>
  <c r="U1363" i="16" s="1"/>
  <c r="V1363" i="16" s="1"/>
  <c r="W1363" i="16" s="1"/>
  <c r="Y1363" i="16" s="1"/>
  <c r="T1376" i="16"/>
  <c r="U1376" i="16" s="1"/>
  <c r="T1442" i="16"/>
  <c r="U1442" i="16" s="1"/>
  <c r="T1321" i="16"/>
  <c r="U1321" i="16" s="1"/>
  <c r="V1321" i="16" s="1"/>
  <c r="W1321" i="16" s="1"/>
  <c r="Y1321" i="16" s="1"/>
  <c r="T1454" i="16"/>
  <c r="U1454" i="16" s="1"/>
  <c r="T1650" i="16"/>
  <c r="U1650" i="16" s="1"/>
  <c r="U1681" i="16"/>
  <c r="V1681" i="16" s="1"/>
  <c r="V1853" i="16"/>
  <c r="T1446" i="16"/>
  <c r="U1446" i="16" s="1"/>
  <c r="T1464" i="16"/>
  <c r="U1464" i="16" s="1"/>
  <c r="T1541" i="16"/>
  <c r="U1541" i="16" s="1"/>
  <c r="V1541" i="16" s="1"/>
  <c r="W1541" i="16" s="1"/>
  <c r="Y1541" i="16" s="1"/>
  <c r="T1930" i="16"/>
  <c r="U1930" i="16" s="1"/>
  <c r="V1930" i="16" s="1"/>
  <c r="W1930" i="16" s="1"/>
  <c r="Y1930" i="16" s="1"/>
  <c r="T1557" i="16"/>
  <c r="U1557" i="16" s="1"/>
  <c r="V1557" i="16" s="1"/>
  <c r="W1557" i="16" s="1"/>
  <c r="Y1557" i="16" s="1"/>
  <c r="T1647" i="16"/>
  <c r="U1647" i="16" s="1"/>
  <c r="U1702" i="16"/>
  <c r="V1702" i="16" s="1"/>
  <c r="W1702" i="16" s="1"/>
  <c r="Y1702" i="16" s="1"/>
  <c r="U1304" i="16"/>
  <c r="T1340" i="16"/>
  <c r="U1340" i="16" s="1"/>
  <c r="T1548" i="16"/>
  <c r="U1548" i="16" s="1"/>
  <c r="V1548" i="16" s="1"/>
  <c r="W1548" i="16" s="1"/>
  <c r="U1368" i="16"/>
  <c r="U1444" i="16"/>
  <c r="T1457" i="16"/>
  <c r="U1457" i="16" s="1"/>
  <c r="U1475" i="16"/>
  <c r="V1475" i="16" s="1"/>
  <c r="W1475" i="16" s="1"/>
  <c r="Y1475" i="16" s="1"/>
  <c r="U1372" i="16"/>
  <c r="T1443" i="16"/>
  <c r="U1443" i="16" s="1"/>
  <c r="U1490" i="16"/>
  <c r="V1490" i="16" s="1"/>
  <c r="W1490" i="16" s="1"/>
  <c r="Y1490" i="16" s="1"/>
  <c r="U1504" i="16"/>
  <c r="V1504" i="16" s="1"/>
  <c r="W1504" i="16" s="1"/>
  <c r="Y1504" i="16" s="1"/>
  <c r="V1554" i="16"/>
  <c r="W1554" i="16" s="1"/>
  <c r="T1933" i="16"/>
  <c r="U1933" i="16" s="1"/>
  <c r="V1933" i="16" s="1"/>
  <c r="W1933" i="16" s="1"/>
  <c r="U1453" i="16"/>
  <c r="U1470" i="16"/>
  <c r="U1540" i="16"/>
  <c r="V1540" i="16" s="1"/>
  <c r="W1540" i="16" s="1"/>
  <c r="Y1540" i="16" s="1"/>
  <c r="U1547" i="16"/>
  <c r="V1547" i="16" s="1"/>
  <c r="W1547" i="16" s="1"/>
  <c r="U1556" i="16"/>
  <c r="V1556" i="16" s="1"/>
  <c r="W1556" i="16" s="1"/>
  <c r="U1671" i="16"/>
  <c r="U1709" i="16"/>
  <c r="V1709" i="16" s="1"/>
  <c r="W1709" i="16" s="1"/>
  <c r="Y1709" i="16" s="1"/>
  <c r="T1856" i="16"/>
  <c r="U1856" i="16" s="1"/>
  <c r="V1856" i="16" s="1"/>
  <c r="U1957" i="16"/>
  <c r="V1957" i="16" s="1"/>
  <c r="W1957" i="16" s="1"/>
  <c r="Y1957" i="16" s="1"/>
  <c r="U1447" i="16"/>
  <c r="U1487" i="16"/>
  <c r="V1487" i="16" s="1"/>
  <c r="W1487" i="16" s="1"/>
  <c r="Y1487" i="16" s="1"/>
  <c r="U1546" i="16"/>
  <c r="V1546" i="16" s="1"/>
  <c r="W1546" i="16" s="1"/>
  <c r="Y1546" i="16" s="1"/>
  <c r="U1651" i="16"/>
  <c r="U1795" i="16"/>
  <c r="V1795" i="16" s="1"/>
  <c r="W1795" i="16" s="1"/>
  <c r="Y1795" i="16" s="1"/>
  <c r="T2391" i="16"/>
  <c r="U2391" i="16" s="1"/>
  <c r="T2489" i="16"/>
  <c r="U2489" i="16" s="1"/>
  <c r="V2489" i="16" s="1"/>
  <c r="W2489" i="16" s="1"/>
  <c r="Y2489" i="16" s="1"/>
  <c r="V1508" i="16"/>
  <c r="W1508" i="16" s="1"/>
  <c r="Y1508" i="16" s="1"/>
  <c r="V1560" i="16"/>
  <c r="W1560" i="16" s="1"/>
  <c r="T1875" i="16"/>
  <c r="U1875" i="16" s="1"/>
  <c r="V1875" i="16" s="1"/>
  <c r="W1875" i="16" s="1"/>
  <c r="W1876" i="16" s="1"/>
  <c r="W1877" i="16" s="1"/>
  <c r="T1983" i="16"/>
  <c r="U1983" i="16" s="1"/>
  <c r="V1983" i="16" s="1"/>
  <c r="W1983" i="16" s="1"/>
  <c r="U1510" i="16"/>
  <c r="V1510" i="16" s="1"/>
  <c r="W1510" i="16" s="1"/>
  <c r="Y1510" i="16" s="1"/>
  <c r="U1553" i="16"/>
  <c r="V1553" i="16" s="1"/>
  <c r="W1553" i="16" s="1"/>
  <c r="U1562" i="16"/>
  <c r="V1562" i="16" s="1"/>
  <c r="W1562" i="16" s="1"/>
  <c r="T1672" i="16"/>
  <c r="U1672" i="16" s="1"/>
  <c r="T1675" i="16"/>
  <c r="U1675" i="16" s="1"/>
  <c r="V1686" i="16"/>
  <c r="W1686" i="16" s="1"/>
  <c r="Y1686" i="16" s="1"/>
  <c r="T1701" i="16"/>
  <c r="U1701" i="16" s="1"/>
  <c r="V1701" i="16" s="1"/>
  <c r="W1701" i="16" s="1"/>
  <c r="Y1701" i="16" s="1"/>
  <c r="U1706" i="16"/>
  <c r="V1706" i="16" s="1"/>
  <c r="W1706" i="16" s="1"/>
  <c r="Y1706" i="16" s="1"/>
  <c r="T1749" i="16"/>
  <c r="U1749" i="16" s="1"/>
  <c r="V1749" i="16" s="1"/>
  <c r="W1749" i="16" s="1"/>
  <c r="Y1749" i="16" s="1"/>
  <c r="U1849" i="16"/>
  <c r="V1849" i="16" s="1"/>
  <c r="W1849" i="16" s="1"/>
  <c r="W1850" i="16" s="1"/>
  <c r="W1851" i="16" s="1"/>
  <c r="T1873" i="16"/>
  <c r="U1873" i="16" s="1"/>
  <c r="V1873" i="16" s="1"/>
  <c r="W1873" i="16" s="1"/>
  <c r="Y1873" i="16" s="1"/>
  <c r="V1917" i="16"/>
  <c r="W1917" i="16" s="1"/>
  <c r="Y1917" i="16" s="1"/>
  <c r="T1989" i="16"/>
  <c r="U1989" i="16" s="1"/>
  <c r="V1989" i="16" s="1"/>
  <c r="W1989" i="16" s="1"/>
  <c r="Y1989" i="16" s="1"/>
  <c r="U1450" i="16"/>
  <c r="U1463" i="16"/>
  <c r="U1484" i="16"/>
  <c r="V1484" i="16" s="1"/>
  <c r="W1484" i="16" s="1"/>
  <c r="Y1484" i="16" s="1"/>
  <c r="T1509" i="16"/>
  <c r="U1509" i="16" s="1"/>
  <c r="V1509" i="16" s="1"/>
  <c r="W1509" i="16" s="1"/>
  <c r="Y1509" i="16" s="1"/>
  <c r="V1543" i="16"/>
  <c r="W1543" i="16" s="1"/>
  <c r="Y1543" i="16" s="1"/>
  <c r="V1550" i="16"/>
  <c r="W1550" i="16" s="1"/>
  <c r="T1561" i="16"/>
  <c r="U1561" i="16" s="1"/>
  <c r="V1561" i="16" s="1"/>
  <c r="W1561" i="16" s="1"/>
  <c r="U1687" i="16"/>
  <c r="V1687" i="16" s="1"/>
  <c r="W1687" i="16" s="1"/>
  <c r="Y1687" i="16" s="1"/>
  <c r="U1690" i="16"/>
  <c r="V1690" i="16" s="1"/>
  <c r="W1690" i="16" s="1"/>
  <c r="Y1690" i="16" s="1"/>
  <c r="T1847" i="16"/>
  <c r="U1847" i="16" s="1"/>
  <c r="V1847" i="16" s="1"/>
  <c r="W1847" i="16" s="1"/>
  <c r="Y1847" i="16" s="1"/>
  <c r="T1919" i="16"/>
  <c r="U1919" i="16" s="1"/>
  <c r="V1919" i="16" s="1"/>
  <c r="W1919" i="16" s="1"/>
  <c r="Y1919" i="16" s="1"/>
  <c r="T1995" i="16"/>
  <c r="U1995" i="16" s="1"/>
  <c r="V1995" i="16" s="1"/>
  <c r="W1995" i="16" s="1"/>
  <c r="T2039" i="16"/>
  <c r="U2039" i="16" s="1"/>
  <c r="V2039" i="16" s="1"/>
  <c r="W2039" i="16" s="1"/>
  <c r="Y2039" i="16" s="1"/>
  <c r="V1730" i="16"/>
  <c r="W1730" i="16" s="1"/>
  <c r="Y1730" i="16" s="1"/>
  <c r="V1897" i="16"/>
  <c r="W1897" i="16" s="1"/>
  <c r="Y1897" i="16" s="1"/>
  <c r="T1899" i="16"/>
  <c r="U1899" i="16" s="1"/>
  <c r="V1899" i="16" s="1"/>
  <c r="W1899" i="16" s="1"/>
  <c r="Y1899" i="16" s="1"/>
  <c r="U1476" i="16"/>
  <c r="V1476" i="16" s="1"/>
  <c r="W1476" i="16" s="1"/>
  <c r="Y1476" i="16" s="1"/>
  <c r="U1491" i="16"/>
  <c r="V1491" i="16" s="1"/>
  <c r="W1491" i="16" s="1"/>
  <c r="Y1491" i="16" s="1"/>
  <c r="U1505" i="16"/>
  <c r="V1505" i="16" s="1"/>
  <c r="W1505" i="16" s="1"/>
  <c r="Y1505" i="16" s="1"/>
  <c r="U1506" i="16"/>
  <c r="V1506" i="16" s="1"/>
  <c r="W1506" i="16" s="1"/>
  <c r="Y1506" i="16" s="1"/>
  <c r="T1551" i="16"/>
  <c r="U1551" i="16" s="1"/>
  <c r="V1551" i="16" s="1"/>
  <c r="W1551" i="16" s="1"/>
  <c r="U1558" i="16"/>
  <c r="V1558" i="16" s="1"/>
  <c r="W1558" i="16" s="1"/>
  <c r="U1646" i="16"/>
  <c r="H1760" i="16"/>
  <c r="J1760" i="16" s="1"/>
  <c r="V1760" i="16" s="1"/>
  <c r="W1760" i="16" s="1"/>
  <c r="Y1760" i="16" s="1"/>
  <c r="J1750" i="16"/>
  <c r="T1845" i="16"/>
  <c r="U1845" i="16" s="1"/>
  <c r="U1867" i="16"/>
  <c r="V1867" i="16" s="1"/>
  <c r="W1867" i="16" s="1"/>
  <c r="U1872" i="16"/>
  <c r="V1872" i="16" s="1"/>
  <c r="W1872" i="16" s="1"/>
  <c r="Y1872" i="16" s="1"/>
  <c r="U1883" i="16"/>
  <c r="V1892" i="16"/>
  <c r="W1892" i="16" s="1"/>
  <c r="Y1892" i="16" s="1"/>
  <c r="T1907" i="16"/>
  <c r="U1907" i="16" s="1"/>
  <c r="V1907" i="16" s="1"/>
  <c r="W1907" i="16" s="1"/>
  <c r="W1908" i="16" s="1"/>
  <c r="W1909" i="16" s="1"/>
  <c r="T2169" i="16"/>
  <c r="U2169" i="16" s="1"/>
  <c r="V2169" i="16" s="1"/>
  <c r="U1882" i="16"/>
  <c r="U1898" i="16"/>
  <c r="V1898" i="16" s="1"/>
  <c r="W1898" i="16" s="1"/>
  <c r="Y1898" i="16" s="1"/>
  <c r="U1918" i="16"/>
  <c r="V1918" i="16" s="1"/>
  <c r="W1918" i="16" s="1"/>
  <c r="Y1918" i="16" s="1"/>
  <c r="T1923" i="16"/>
  <c r="U1923" i="16" s="1"/>
  <c r="V1923" i="16" s="1"/>
  <c r="W1923" i="16" s="1"/>
  <c r="Y1923" i="16" s="1"/>
  <c r="U2022" i="16"/>
  <c r="V2022" i="16" s="1"/>
  <c r="W2022" i="16" s="1"/>
  <c r="Y2022" i="16" s="1"/>
  <c r="T2032" i="16"/>
  <c r="U2032" i="16" s="1"/>
  <c r="V2032" i="16" s="1"/>
  <c r="W2032" i="16" s="1"/>
  <c r="Y2032" i="16" s="1"/>
  <c r="U2036" i="16"/>
  <c r="V2036" i="16" s="1"/>
  <c r="W2036" i="16" s="1"/>
  <c r="Y2036" i="16" s="1"/>
  <c r="U2240" i="16"/>
  <c r="V2240" i="16" s="1"/>
  <c r="T2266" i="16"/>
  <c r="U2266" i="16" s="1"/>
  <c r="V2266" i="16" s="1"/>
  <c r="W2266" i="16" s="1"/>
  <c r="V2327" i="16"/>
  <c r="T2448" i="16"/>
  <c r="U2448" i="16" s="1"/>
  <c r="V2448" i="16" s="1"/>
  <c r="V2451" i="16" s="1"/>
  <c r="W2451" i="16" s="1"/>
  <c r="Y2451" i="16" s="1"/>
  <c r="T2024" i="16"/>
  <c r="U2024" i="16" s="1"/>
  <c r="V2024" i="16" s="1"/>
  <c r="W2024" i="16" s="1"/>
  <c r="Y2024" i="16" s="1"/>
  <c r="V2123" i="16"/>
  <c r="W2123" i="16" s="1"/>
  <c r="Y2123" i="16" s="1"/>
  <c r="T2144" i="16"/>
  <c r="U2144" i="16" s="1"/>
  <c r="V2144" i="16" s="1"/>
  <c r="W2144" i="16" s="1"/>
  <c r="Y2144" i="16" s="1"/>
  <c r="T2281" i="16"/>
  <c r="U2281" i="16" s="1"/>
  <c r="V2281" i="16" s="1"/>
  <c r="T2308" i="16"/>
  <c r="U2308" i="16" s="1"/>
  <c r="T2383" i="16"/>
  <c r="U2383" i="16" s="1"/>
  <c r="V2383" i="16" s="1"/>
  <c r="W2383" i="16" s="1"/>
  <c r="Y2383" i="16" s="1"/>
  <c r="T2534" i="16"/>
  <c r="U2534" i="16" s="1"/>
  <c r="T2540" i="16"/>
  <c r="U2540" i="16" s="1"/>
  <c r="V2540" i="16" s="1"/>
  <c r="W2540" i="16" s="1"/>
  <c r="U1886" i="16"/>
  <c r="U1922" i="16"/>
  <c r="V1922" i="16" s="1"/>
  <c r="W1922" i="16" s="1"/>
  <c r="Y1922" i="16" s="1"/>
  <c r="T1932" i="16"/>
  <c r="U1932" i="16" s="1"/>
  <c r="V1932" i="16" s="1"/>
  <c r="W1932" i="16" s="1"/>
  <c r="T1947" i="16"/>
  <c r="U1947" i="16" s="1"/>
  <c r="U1972" i="16"/>
  <c r="U1986" i="16"/>
  <c r="V1986" i="16" s="1"/>
  <c r="W1986" i="16" s="1"/>
  <c r="T2010" i="16"/>
  <c r="U2010" i="16" s="1"/>
  <c r="U2017" i="16"/>
  <c r="V2017" i="16" s="1"/>
  <c r="W2017" i="16" s="1"/>
  <c r="Y2017" i="16" s="1"/>
  <c r="T2134" i="16"/>
  <c r="U2134" i="16" s="1"/>
  <c r="U2154" i="16"/>
  <c r="U2167" i="16"/>
  <c r="V2167" i="16" s="1"/>
  <c r="W2167" i="16" s="1"/>
  <c r="Y2167" i="16" s="1"/>
  <c r="T2253" i="16"/>
  <c r="U2253" i="16" s="1"/>
  <c r="V2253" i="16" s="1"/>
  <c r="W2253" i="16" s="1"/>
  <c r="U2257" i="16"/>
  <c r="U2259" i="16" s="1"/>
  <c r="V2259" i="16" s="1"/>
  <c r="W2259" i="16" s="1"/>
  <c r="Y2259" i="16" s="1"/>
  <c r="T2465" i="16"/>
  <c r="U2465" i="16" s="1"/>
  <c r="V2465" i="16" s="1"/>
  <c r="T1967" i="16"/>
  <c r="U1967" i="16" s="1"/>
  <c r="U1968" i="16" s="1"/>
  <c r="V1968" i="16" s="1"/>
  <c r="W1968" i="16" s="1"/>
  <c r="Y1968" i="16" s="1"/>
  <c r="T2063" i="16"/>
  <c r="U2063" i="16" s="1"/>
  <c r="V2063" i="16" s="1"/>
  <c r="W2063" i="16" s="1"/>
  <c r="T2270" i="16"/>
  <c r="U2270" i="16" s="1"/>
  <c r="V2270" i="16" s="1"/>
  <c r="T2286" i="16"/>
  <c r="U2286" i="16" s="1"/>
  <c r="T2368" i="16"/>
  <c r="U2368" i="16" s="1"/>
  <c r="V2368" i="16" s="1"/>
  <c r="W2368" i="16" s="1"/>
  <c r="T2514" i="16"/>
  <c r="U2514" i="16" s="1"/>
  <c r="V2514" i="16" s="1"/>
  <c r="W2514" i="16" s="1"/>
  <c r="Y2514" i="16" s="1"/>
  <c r="U1803" i="16"/>
  <c r="U1840" i="16"/>
  <c r="V1901" i="16"/>
  <c r="W1901" i="16" s="1"/>
  <c r="Y1901" i="16" s="1"/>
  <c r="T1921" i="16"/>
  <c r="U1921" i="16" s="1"/>
  <c r="V1921" i="16" s="1"/>
  <c r="W1921" i="16" s="1"/>
  <c r="Y1921" i="16" s="1"/>
  <c r="T1937" i="16"/>
  <c r="U1937" i="16" s="1"/>
  <c r="V1937" i="16" s="1"/>
  <c r="W1937" i="16" s="1"/>
  <c r="W1938" i="16" s="1"/>
  <c r="W1939" i="16" s="1"/>
  <c r="U1963" i="16"/>
  <c r="T2004" i="16"/>
  <c r="U2004" i="16" s="1"/>
  <c r="V2004" i="16" s="1"/>
  <c r="W2004" i="16" s="1"/>
  <c r="Y2004" i="16" s="1"/>
  <c r="U2028" i="16"/>
  <c r="V2028" i="16" s="1"/>
  <c r="W2028" i="16" s="1"/>
  <c r="Y2028" i="16" s="1"/>
  <c r="T2031" i="16"/>
  <c r="U2031" i="16" s="1"/>
  <c r="V2031" i="16" s="1"/>
  <c r="W2031" i="16" s="1"/>
  <c r="Y2031" i="16" s="1"/>
  <c r="T2040" i="16"/>
  <c r="U2040" i="16" s="1"/>
  <c r="U2225" i="16"/>
  <c r="U2227" i="16" s="1"/>
  <c r="V2227" i="16" s="1"/>
  <c r="W2227" i="16" s="1"/>
  <c r="T2301" i="16"/>
  <c r="U2301" i="16" s="1"/>
  <c r="V2301" i="16" s="1"/>
  <c r="W2301" i="16" s="1"/>
  <c r="T1931" i="16"/>
  <c r="U1931" i="16" s="1"/>
  <c r="V1931" i="16" s="1"/>
  <c r="W1931" i="16" s="1"/>
  <c r="Y1931" i="16" s="1"/>
  <c r="T2023" i="16"/>
  <c r="U2023" i="16" s="1"/>
  <c r="V2023" i="16" s="1"/>
  <c r="W2023" i="16" s="1"/>
  <c r="Y2023" i="16" s="1"/>
  <c r="T2038" i="16"/>
  <c r="U2038" i="16" s="1"/>
  <c r="V2038" i="16" s="1"/>
  <c r="W2038" i="16" s="1"/>
  <c r="T2060" i="16"/>
  <c r="U2060" i="16" s="1"/>
  <c r="V2137" i="16"/>
  <c r="W2137" i="16" s="1"/>
  <c r="T2263" i="16"/>
  <c r="U2263" i="16" s="1"/>
  <c r="T2291" i="16"/>
  <c r="U2291" i="16" s="1"/>
  <c r="V2291" i="16" s="1"/>
  <c r="W2291" i="16" s="1"/>
  <c r="V2377" i="16"/>
  <c r="W2377" i="16" s="1"/>
  <c r="T2380" i="16"/>
  <c r="U2380" i="16" s="1"/>
  <c r="T2385" i="16"/>
  <c r="U2385" i="16" s="1"/>
  <c r="T2581" i="16"/>
  <c r="U2581" i="16" s="1"/>
  <c r="T2589" i="16"/>
  <c r="U2589" i="16" s="1"/>
  <c r="V2589" i="16" s="1"/>
  <c r="W2589" i="16" s="1"/>
  <c r="T1902" i="16"/>
  <c r="U1902" i="16" s="1"/>
  <c r="V1902" i="16" s="1"/>
  <c r="W1902" i="16" s="1"/>
  <c r="Y1902" i="16" s="1"/>
  <c r="T1926" i="16"/>
  <c r="U1926" i="16" s="1"/>
  <c r="V1926" i="16" s="1"/>
  <c r="W1926" i="16" s="1"/>
  <c r="Y1926" i="16" s="1"/>
  <c r="U2016" i="16"/>
  <c r="V2016" i="16" s="1"/>
  <c r="W2016" i="16" s="1"/>
  <c r="T2041" i="16"/>
  <c r="U2041" i="16" s="1"/>
  <c r="T2051" i="16"/>
  <c r="U2051" i="16" s="1"/>
  <c r="V2051" i="16" s="1"/>
  <c r="W2051" i="16" s="1"/>
  <c r="T2074" i="16"/>
  <c r="U2074" i="16" s="1"/>
  <c r="T2229" i="16"/>
  <c r="U2229" i="16" s="1"/>
  <c r="V2229" i="16" s="1"/>
  <c r="W2229" i="16" s="1"/>
  <c r="T2306" i="16"/>
  <c r="U2306" i="16" s="1"/>
  <c r="V2306" i="16" s="1"/>
  <c r="W2306" i="16" s="1"/>
  <c r="Y2306" i="16" s="1"/>
  <c r="T2320" i="16"/>
  <c r="U2320" i="16" s="1"/>
  <c r="U2128" i="16"/>
  <c r="U2133" i="16"/>
  <c r="V2133" i="16" s="1"/>
  <c r="W2133" i="16" s="1"/>
  <c r="Y2133" i="16" s="1"/>
  <c r="U2146" i="16"/>
  <c r="V2146" i="16" s="1"/>
  <c r="W2146" i="16" s="1"/>
  <c r="U2185" i="16"/>
  <c r="U2346" i="16"/>
  <c r="V2346" i="16" s="1"/>
  <c r="W2346" i="16" s="1"/>
  <c r="U2378" i="16"/>
  <c r="V2378" i="16" s="1"/>
  <c r="W2378" i="16" s="1"/>
  <c r="Y2378" i="16" s="1"/>
  <c r="T2423" i="16"/>
  <c r="U2423" i="16" s="1"/>
  <c r="V2423" i="16" s="1"/>
  <c r="W2423" i="16" s="1"/>
  <c r="T2429" i="16"/>
  <c r="U2429" i="16" s="1"/>
  <c r="V2429" i="16" s="1"/>
  <c r="W2429" i="16" s="1"/>
  <c r="T2548" i="16"/>
  <c r="U2548" i="16" s="1"/>
  <c r="V2548" i="16" s="1"/>
  <c r="W2548" i="16" s="1"/>
  <c r="U2645" i="16"/>
  <c r="V2645" i="16" s="1"/>
  <c r="W2645" i="16" s="1"/>
  <c r="Y2645" i="16" s="1"/>
  <c r="V2682" i="16"/>
  <c r="W2682" i="16" s="1"/>
  <c r="Y2682" i="16" s="1"/>
  <c r="U2112" i="16"/>
  <c r="V2112" i="16" s="1"/>
  <c r="W2112" i="16" s="1"/>
  <c r="Y2112" i="16" s="1"/>
  <c r="U2135" i="16"/>
  <c r="U2293" i="16"/>
  <c r="V2293" i="16" s="1"/>
  <c r="W2293" i="16" s="1"/>
  <c r="Y2293" i="16" s="1"/>
  <c r="U2381" i="16"/>
  <c r="U2386" i="16"/>
  <c r="U2445" i="16"/>
  <c r="V2445" i="16" s="1"/>
  <c r="W2445" i="16" s="1"/>
  <c r="U2481" i="16"/>
  <c r="T2650" i="16"/>
  <c r="U2650" i="16" s="1"/>
  <c r="U2652" i="16" s="1"/>
  <c r="V2652" i="16" s="1"/>
  <c r="W2652" i="16" s="1"/>
  <c r="Y2652" i="16" s="1"/>
  <c r="U2341" i="16"/>
  <c r="V2341" i="16" s="1"/>
  <c r="W2341" i="16" s="1"/>
  <c r="Y2341" i="16" s="1"/>
  <c r="T2343" i="16"/>
  <c r="U2343" i="16" s="1"/>
  <c r="V2343" i="16" s="1"/>
  <c r="W2343" i="16" s="1"/>
  <c r="T2476" i="16"/>
  <c r="U2476" i="16" s="1"/>
  <c r="T2490" i="16"/>
  <c r="U2490" i="16" s="1"/>
  <c r="V2490" i="16" s="1"/>
  <c r="W2490" i="16" s="1"/>
  <c r="T2515" i="16"/>
  <c r="U2515" i="16" s="1"/>
  <c r="V2515" i="16" s="1"/>
  <c r="W2515" i="16" s="1"/>
  <c r="T2584" i="16"/>
  <c r="U2584" i="16" s="1"/>
  <c r="V2584" i="16" s="1"/>
  <c r="W2584" i="16" s="1"/>
  <c r="Y2584" i="16" s="1"/>
  <c r="U2099" i="16"/>
  <c r="V2099" i="16" s="1"/>
  <c r="W2099" i="16" s="1"/>
  <c r="U2122" i="16"/>
  <c r="V2122" i="16" s="1"/>
  <c r="W2122" i="16" s="1"/>
  <c r="Y2122" i="16" s="1"/>
  <c r="T2129" i="16"/>
  <c r="U2129" i="16" s="1"/>
  <c r="T2186" i="16"/>
  <c r="U2186" i="16" s="1"/>
  <c r="T2189" i="16"/>
  <c r="U2189" i="16" s="1"/>
  <c r="T2194" i="16"/>
  <c r="U2194" i="16" s="1"/>
  <c r="V2194" i="16" s="1"/>
  <c r="W2194" i="16" s="1"/>
  <c r="Y2194" i="16" s="1"/>
  <c r="U2199" i="16"/>
  <c r="T2239" i="16"/>
  <c r="U2239" i="16" s="1"/>
  <c r="V2239" i="16" s="1"/>
  <c r="W2239" i="16" s="1"/>
  <c r="T2315" i="16"/>
  <c r="U2315" i="16" s="1"/>
  <c r="V2315" i="16" s="1"/>
  <c r="W2315" i="16" s="1"/>
  <c r="Y2315" i="16" s="1"/>
  <c r="U2322" i="16"/>
  <c r="V2322" i="16" s="1"/>
  <c r="W2322" i="16" s="1"/>
  <c r="Y2322" i="16" s="1"/>
  <c r="T2324" i="16"/>
  <c r="U2324" i="16" s="1"/>
  <c r="U2323" i="16" s="1"/>
  <c r="V2323" i="16" s="1"/>
  <c r="W2323" i="16" s="1"/>
  <c r="T2337" i="16"/>
  <c r="U2337" i="16" s="1"/>
  <c r="U2352" i="16"/>
  <c r="V2352" i="16" s="1"/>
  <c r="W2352" i="16" s="1"/>
  <c r="T2356" i="16"/>
  <c r="U2356" i="16" s="1"/>
  <c r="U2358" i="16" s="1"/>
  <c r="V2358" i="16" s="1"/>
  <c r="W2358" i="16" s="1"/>
  <c r="T2361" i="16"/>
  <c r="U2361" i="16" s="1"/>
  <c r="V2361" i="16" s="1"/>
  <c r="W2361" i="16" s="1"/>
  <c r="T2439" i="16"/>
  <c r="U2439" i="16" s="1"/>
  <c r="V2439" i="16" s="1"/>
  <c r="W2439" i="16" s="1"/>
  <c r="T2464" i="16"/>
  <c r="U2464" i="16" s="1"/>
  <c r="V2464" i="16" s="1"/>
  <c r="U2486" i="16"/>
  <c r="U2488" i="16" s="1"/>
  <c r="V2488" i="16" s="1"/>
  <c r="W2488" i="16" s="1"/>
  <c r="T2641" i="16"/>
  <c r="U2641" i="16" s="1"/>
  <c r="T2008" i="16"/>
  <c r="U2008" i="16" s="1"/>
  <c r="T2012" i="16"/>
  <c r="U2012" i="16" s="1"/>
  <c r="T2021" i="16"/>
  <c r="U2021" i="16" s="1"/>
  <c r="V2021" i="16" s="1"/>
  <c r="W2021" i="16" s="1"/>
  <c r="T2033" i="16"/>
  <c r="U2033" i="16" s="1"/>
  <c r="V2033" i="16" s="1"/>
  <c r="W2033" i="16" s="1"/>
  <c r="Y2033" i="16" s="1"/>
  <c r="U2034" i="16"/>
  <c r="V2034" i="16" s="1"/>
  <c r="W2034" i="16" s="1"/>
  <c r="Y2034" i="16" s="1"/>
  <c r="U2048" i="16"/>
  <c r="V2048" i="16" s="1"/>
  <c r="W2048" i="16" s="1"/>
  <c r="T2069" i="16"/>
  <c r="U2069" i="16" s="1"/>
  <c r="U2072" i="16"/>
  <c r="U2086" i="16"/>
  <c r="U2091" i="16"/>
  <c r="V2091" i="16" s="1"/>
  <c r="W2091" i="16" s="1"/>
  <c r="Y2091" i="16" s="1"/>
  <c r="U2092" i="16"/>
  <c r="V2092" i="16" s="1"/>
  <c r="W2092" i="16" s="1"/>
  <c r="Y2092" i="16" s="1"/>
  <c r="T2094" i="16"/>
  <c r="U2094" i="16" s="1"/>
  <c r="V2094" i="16" s="1"/>
  <c r="W2094" i="16" s="1"/>
  <c r="T2111" i="16"/>
  <c r="U2111" i="16" s="1"/>
  <c r="V2111" i="16" s="1"/>
  <c r="W2111" i="16" s="1"/>
  <c r="Y2111" i="16" s="1"/>
  <c r="T2119" i="16"/>
  <c r="U2119" i="16" s="1"/>
  <c r="V2119" i="16" s="1"/>
  <c r="W2119" i="16" s="1"/>
  <c r="Y2119" i="16" s="1"/>
  <c r="U2153" i="16"/>
  <c r="T2197" i="16"/>
  <c r="U2197" i="16" s="1"/>
  <c r="V2197" i="16" s="1"/>
  <c r="W2197" i="16" s="1"/>
  <c r="Y2197" i="16" s="1"/>
  <c r="U2200" i="16"/>
  <c r="V2203" i="16"/>
  <c r="W2203" i="16" s="1"/>
  <c r="Y2203" i="16" s="1"/>
  <c r="T2206" i="16"/>
  <c r="U2206" i="16" s="1"/>
  <c r="V2206" i="16" s="1"/>
  <c r="W2206" i="16" s="1"/>
  <c r="Y2206" i="16" s="1"/>
  <c r="T2208" i="16"/>
  <c r="U2208" i="16" s="1"/>
  <c r="U2210" i="16" s="1"/>
  <c r="V2210" i="16" s="1"/>
  <c r="W2210" i="16" s="1"/>
  <c r="Y2210" i="16" s="1"/>
  <c r="U2261" i="16"/>
  <c r="T2351" i="16"/>
  <c r="U2351" i="16" s="1"/>
  <c r="V2351" i="16" s="1"/>
  <c r="W2351" i="16" s="1"/>
  <c r="Y2351" i="16" s="1"/>
  <c r="U2365" i="16"/>
  <c r="V2365" i="16" s="1"/>
  <c r="W2365" i="16" s="1"/>
  <c r="T2387" i="16"/>
  <c r="U2387" i="16" s="1"/>
  <c r="U2412" i="16"/>
  <c r="V2412" i="16" s="1"/>
  <c r="W2412" i="16" s="1"/>
  <c r="Y2412" i="16" s="1"/>
  <c r="U2477" i="16"/>
  <c r="T2527" i="16"/>
  <c r="U2527" i="16" s="1"/>
  <c r="V2527" i="16" s="1"/>
  <c r="W2527" i="16" s="1"/>
  <c r="Y2527" i="16" s="1"/>
  <c r="U2073" i="16"/>
  <c r="U2079" i="16"/>
  <c r="V2079" i="16" s="1"/>
  <c r="W2079" i="16" s="1"/>
  <c r="U2174" i="16"/>
  <c r="V2174" i="16" s="1"/>
  <c r="W2174" i="16" s="1"/>
  <c r="Y2174" i="16" s="1"/>
  <c r="U2262" i="16"/>
  <c r="U2271" i="16"/>
  <c r="V2271" i="16" s="1"/>
  <c r="T2363" i="16"/>
  <c r="U2363" i="16" s="1"/>
  <c r="V2363" i="16" s="1"/>
  <c r="W2363" i="16" s="1"/>
  <c r="Y2363" i="16" s="1"/>
  <c r="V2528" i="16"/>
  <c r="W2528" i="16" s="1"/>
  <c r="T2538" i="16"/>
  <c r="U2538" i="16" s="1"/>
  <c r="V2538" i="16" s="1"/>
  <c r="W2538" i="16" s="1"/>
  <c r="Y2538" i="16" s="1"/>
  <c r="V2570" i="16"/>
  <c r="W2570" i="16" s="1"/>
  <c r="T2585" i="16"/>
  <c r="U2585" i="16" s="1"/>
  <c r="V2585" i="16" s="1"/>
  <c r="W2585" i="16" s="1"/>
  <c r="U2620" i="16"/>
  <c r="U2116" i="16"/>
  <c r="U2138" i="16"/>
  <c r="V2138" i="16" s="1"/>
  <c r="W2138" i="16" s="1"/>
  <c r="Y2138" i="16" s="1"/>
  <c r="U2157" i="16"/>
  <c r="U2164" i="16"/>
  <c r="U2166" i="16" s="1"/>
  <c r="V2166" i="16" s="1"/>
  <c r="W2166" i="16" s="1"/>
  <c r="U2181" i="16"/>
  <c r="U2249" i="16"/>
  <c r="V2249" i="16" s="1"/>
  <c r="W2249" i="16" s="1"/>
  <c r="Y2249" i="16" s="1"/>
  <c r="U2296" i="16"/>
  <c r="V2296" i="16" s="1"/>
  <c r="W2296" i="16" s="1"/>
  <c r="Y2296" i="16" s="1"/>
  <c r="U2329" i="16"/>
  <c r="V2329" i="16" s="1"/>
  <c r="W2329" i="16" s="1"/>
  <c r="U2348" i="16"/>
  <c r="V2348" i="16" s="1"/>
  <c r="W2348" i="16" s="1"/>
  <c r="T2463" i="16"/>
  <c r="U2463" i="16" s="1"/>
  <c r="V2463" i="16" s="1"/>
  <c r="T2630" i="16"/>
  <c r="U2630" i="16" s="1"/>
  <c r="T2644" i="16"/>
  <c r="U2644" i="16" s="1"/>
  <c r="V2644" i="16" s="1"/>
  <c r="W2644" i="16" s="1"/>
  <c r="Y2644" i="16" s="1"/>
  <c r="U2681" i="16"/>
  <c r="V2681" i="16" s="1"/>
  <c r="W2681" i="16" s="1"/>
  <c r="Y2681" i="16" s="1"/>
  <c r="U2413" i="16"/>
  <c r="V2413" i="16" s="1"/>
  <c r="W2413" i="16" s="1"/>
  <c r="Y2413" i="16" s="1"/>
  <c r="U2466" i="16"/>
  <c r="V2466" i="16" s="1"/>
  <c r="U2565" i="16"/>
  <c r="U2666" i="16"/>
  <c r="U2673" i="16"/>
  <c r="T2744" i="16"/>
  <c r="U2744" i="16" s="1"/>
  <c r="V2744" i="16" s="1"/>
  <c r="W2744" i="16" s="1"/>
  <c r="Y2744" i="16" s="1"/>
  <c r="T2782" i="16"/>
  <c r="U2782" i="16" s="1"/>
  <c r="V2782" i="16" s="1"/>
  <c r="W2782" i="16" s="1"/>
  <c r="T2856" i="16"/>
  <c r="U2856" i="16" s="1"/>
  <c r="T2906" i="16"/>
  <c r="U2906" i="16" s="1"/>
  <c r="T2935" i="16"/>
  <c r="U2935" i="16" s="1"/>
  <c r="T2929" i="16"/>
  <c r="U2929" i="16" s="1"/>
  <c r="T3145" i="16"/>
  <c r="U3145" i="16" s="1"/>
  <c r="T2547" i="16"/>
  <c r="U2547" i="16" s="1"/>
  <c r="V2547" i="16" s="1"/>
  <c r="W2547" i="16" s="1"/>
  <c r="T2582" i="16"/>
  <c r="U2582" i="16" s="1"/>
  <c r="T2603" i="16"/>
  <c r="U2603" i="16" s="1"/>
  <c r="U2605" i="16" s="1"/>
  <c r="V2605" i="16" s="1"/>
  <c r="W2605" i="16" s="1"/>
  <c r="U2606" i="16"/>
  <c r="V2606" i="16" s="1"/>
  <c r="W2606" i="16" s="1"/>
  <c r="Y2606" i="16" s="1"/>
  <c r="U2618" i="16"/>
  <c r="U2621" i="16"/>
  <c r="U2631" i="16"/>
  <c r="T2648" i="16"/>
  <c r="U2648" i="16" s="1"/>
  <c r="V2648" i="16" s="1"/>
  <c r="W2648" i="16" s="1"/>
  <c r="Y2648" i="16" s="1"/>
  <c r="U2662" i="16"/>
  <c r="V2662" i="16" s="1"/>
  <c r="W2662" i="16" s="1"/>
  <c r="T2674" i="16"/>
  <c r="U2674" i="16" s="1"/>
  <c r="T2741" i="16"/>
  <c r="U2741" i="16" s="1"/>
  <c r="V2741" i="16" s="1"/>
  <c r="W2741" i="16" s="1"/>
  <c r="Y2741" i="16" s="1"/>
  <c r="T2494" i="16"/>
  <c r="U2494" i="16" s="1"/>
  <c r="V2494" i="16" s="1"/>
  <c r="W2494" i="16" s="1"/>
  <c r="Y2494" i="16" s="1"/>
  <c r="T2495" i="16"/>
  <c r="U2495" i="16" s="1"/>
  <c r="V2495" i="16" s="1"/>
  <c r="W2495" i="16" s="1"/>
  <c r="Y2495" i="16" s="1"/>
  <c r="T2496" i="16"/>
  <c r="U2496" i="16" s="1"/>
  <c r="V2496" i="16" s="1"/>
  <c r="W2496" i="16" s="1"/>
  <c r="T2526" i="16"/>
  <c r="U2526" i="16" s="1"/>
  <c r="V2526" i="16" s="1"/>
  <c r="W2526" i="16" s="1"/>
  <c r="Y2526" i="16" s="1"/>
  <c r="T2535" i="16"/>
  <c r="U2535" i="16" s="1"/>
  <c r="T2628" i="16"/>
  <c r="U2628" i="16" s="1"/>
  <c r="T2642" i="16"/>
  <c r="U2642" i="16" s="1"/>
  <c r="T2667" i="16"/>
  <c r="U2667" i="16" s="1"/>
  <c r="T2679" i="16"/>
  <c r="U2679" i="16" s="1"/>
  <c r="U2680" i="16" s="1"/>
  <c r="V2680" i="16" s="1"/>
  <c r="W2680" i="16" s="1"/>
  <c r="T2714" i="16"/>
  <c r="U2714" i="16" s="1"/>
  <c r="T2749" i="16"/>
  <c r="U2749" i="16" s="1"/>
  <c r="T3075" i="16"/>
  <c r="U3075" i="16" s="1"/>
  <c r="V3075" i="16" s="1"/>
  <c r="U2462" i="16"/>
  <c r="V2462" i="16" s="1"/>
  <c r="U2622" i="16"/>
  <c r="T2661" i="16"/>
  <c r="U2661" i="16" s="1"/>
  <c r="V2661" i="16" s="1"/>
  <c r="W2661" i="16" s="1"/>
  <c r="Y2661" i="16" s="1"/>
  <c r="U2675" i="16"/>
  <c r="T2668" i="16"/>
  <c r="U2668" i="16" s="1"/>
  <c r="T2961" i="16"/>
  <c r="U2961" i="16" s="1"/>
  <c r="T3180" i="16"/>
  <c r="U3180" i="16" s="1"/>
  <c r="U2469" i="16"/>
  <c r="U2634" i="16"/>
  <c r="V2634" i="16" s="1"/>
  <c r="W2634" i="16" s="1"/>
  <c r="T2646" i="16"/>
  <c r="U2646" i="16" s="1"/>
  <c r="V2646" i="16" s="1"/>
  <c r="W2646" i="16" s="1"/>
  <c r="Y2646" i="16" s="1"/>
  <c r="T2660" i="16"/>
  <c r="U2660" i="16" s="1"/>
  <c r="V2660" i="16" s="1"/>
  <c r="W2660" i="16" s="1"/>
  <c r="Y2660" i="16" s="1"/>
  <c r="U2669" i="16"/>
  <c r="U2716" i="16"/>
  <c r="U2718" i="16"/>
  <c r="V2718" i="16" s="1"/>
  <c r="W2718" i="16" s="1"/>
  <c r="Y2718" i="16" s="1"/>
  <c r="T2751" i="16"/>
  <c r="U2751" i="16" s="1"/>
  <c r="T2942" i="16"/>
  <c r="U2942" i="16" s="1"/>
  <c r="T3020" i="16"/>
  <c r="U3020" i="16" s="1"/>
  <c r="T3025" i="16"/>
  <c r="U3025" i="16" s="1"/>
  <c r="V2627" i="16"/>
  <c r="W2627" i="16" s="1"/>
  <c r="Y2627" i="16" s="1"/>
  <c r="U2738" i="16"/>
  <c r="V2738" i="16" s="1"/>
  <c r="W2738" i="16" s="1"/>
  <c r="Y2738" i="16" s="1"/>
  <c r="U2805" i="16"/>
  <c r="V2828" i="16"/>
  <c r="W2828" i="16" s="1"/>
  <c r="Y2828" i="16" s="1"/>
  <c r="T2843" i="16"/>
  <c r="U2843" i="16" s="1"/>
  <c r="T2852" i="16"/>
  <c r="U2852" i="16" s="1"/>
  <c r="T2895" i="16"/>
  <c r="U2895" i="16" s="1"/>
  <c r="V2895" i="16" s="1"/>
  <c r="W2895" i="16" s="1"/>
  <c r="Y2895" i="16" s="1"/>
  <c r="T2898" i="16"/>
  <c r="U2898" i="16" s="1"/>
  <c r="V2898" i="16" s="1"/>
  <c r="W2898" i="16" s="1"/>
  <c r="Y2898" i="16" s="1"/>
  <c r="U2923" i="16"/>
  <c r="V2923" i="16" s="1"/>
  <c r="W2923" i="16" s="1"/>
  <c r="Y2923" i="16" s="1"/>
  <c r="U2947" i="16"/>
  <c r="T3080" i="16"/>
  <c r="U3080" i="16" s="1"/>
  <c r="T3089" i="16"/>
  <c r="U3089" i="16" s="1"/>
  <c r="V3089" i="16" s="1"/>
  <c r="W3089" i="16" s="1"/>
  <c r="T3102" i="16"/>
  <c r="U3102" i="16" s="1"/>
  <c r="U3103" i="16" s="1"/>
  <c r="V3103" i="16" s="1"/>
  <c r="W3103" i="16" s="1"/>
  <c r="Y3103" i="16" s="1"/>
  <c r="T2980" i="16"/>
  <c r="U2980" i="16" s="1"/>
  <c r="T2988" i="16"/>
  <c r="U2988" i="16" s="1"/>
  <c r="V2988" i="16" s="1"/>
  <c r="W2988" i="16" s="1"/>
  <c r="Y2988" i="16" s="1"/>
  <c r="T3117" i="16"/>
  <c r="U3117" i="16" s="1"/>
  <c r="Y2821" i="16"/>
  <c r="U2849" i="16"/>
  <c r="U2853" i="16"/>
  <c r="T2864" i="16"/>
  <c r="U2864" i="16" s="1"/>
  <c r="U2931" i="16"/>
  <c r="T2955" i="16"/>
  <c r="U2955" i="16" s="1"/>
  <c r="T3000" i="16"/>
  <c r="U3000" i="16" s="1"/>
  <c r="V3000" i="16" s="1"/>
  <c r="W3000" i="16" s="1"/>
  <c r="Y3000" i="16" s="1"/>
  <c r="T3037" i="16"/>
  <c r="U3037" i="16" s="1"/>
  <c r="T2847" i="16"/>
  <c r="U2847" i="16" s="1"/>
  <c r="V2847" i="16" s="1"/>
  <c r="W2847" i="16" s="1"/>
  <c r="Y2847" i="16" s="1"/>
  <c r="T2859" i="16"/>
  <c r="U2859" i="16" s="1"/>
  <c r="V2859" i="16" s="1"/>
  <c r="W2859" i="16" s="1"/>
  <c r="Y2859" i="16" s="1"/>
  <c r="T3197" i="16"/>
  <c r="U3197" i="16" s="1"/>
  <c r="V3197" i="16" s="1"/>
  <c r="W3197" i="16" s="1"/>
  <c r="Y3197" i="16" s="1"/>
  <c r="T2794" i="16"/>
  <c r="U2794" i="16" s="1"/>
  <c r="V2794" i="16" s="1"/>
  <c r="W2794" i="16" s="1"/>
  <c r="T2841" i="16"/>
  <c r="U2841" i="16" s="1"/>
  <c r="T2865" i="16"/>
  <c r="U2865" i="16" s="1"/>
  <c r="U2891" i="16"/>
  <c r="V2891" i="16" s="1"/>
  <c r="W2891" i="16" s="1"/>
  <c r="Y2891" i="16" s="1"/>
  <c r="T2904" i="16"/>
  <c r="U2904" i="16" s="1"/>
  <c r="U2913" i="16"/>
  <c r="V2913" i="16" s="1"/>
  <c r="W2913" i="16" s="1"/>
  <c r="Y2913" i="16" s="1"/>
  <c r="T2917" i="16"/>
  <c r="U2917" i="16" s="1"/>
  <c r="T2992" i="16"/>
  <c r="U2992" i="16" s="1"/>
  <c r="V2992" i="16" s="1"/>
  <c r="W2992" i="16" s="1"/>
  <c r="Y2992" i="16" s="1"/>
  <c r="T3054" i="16"/>
  <c r="U3054" i="16" s="1"/>
  <c r="V3054" i="16" s="1"/>
  <c r="W3054" i="16" s="1"/>
  <c r="Y3054" i="16" s="1"/>
  <c r="U2715" i="16"/>
  <c r="T2752" i="16"/>
  <c r="U2752" i="16" s="1"/>
  <c r="U2758" i="16"/>
  <c r="T2779" i="16"/>
  <c r="U2779" i="16" s="1"/>
  <c r="V2779" i="16" s="1"/>
  <c r="W2779" i="16" s="1"/>
  <c r="T2785" i="16"/>
  <c r="U2785" i="16" s="1"/>
  <c r="T2789" i="16"/>
  <c r="U2789" i="16" s="1"/>
  <c r="U2796" i="16"/>
  <c r="V2796" i="16" s="1"/>
  <c r="W2796" i="16" s="1"/>
  <c r="Y2796" i="16" s="1"/>
  <c r="T2801" i="16"/>
  <c r="U2801" i="16" s="1"/>
  <c r="V2801" i="16" s="1"/>
  <c r="W2801" i="16" s="1"/>
  <c r="Y2801" i="16" s="1"/>
  <c r="U2837" i="16"/>
  <c r="V2871" i="16"/>
  <c r="V2875" i="16"/>
  <c r="W2875" i="16" s="1"/>
  <c r="Y2875" i="16" s="1"/>
  <c r="T2901" i="16"/>
  <c r="U2901" i="16" s="1"/>
  <c r="V2901" i="16" s="1"/>
  <c r="W2901" i="16" s="1"/>
  <c r="Y2901" i="16" s="1"/>
  <c r="T3009" i="16"/>
  <c r="U3009" i="16" s="1"/>
  <c r="V3055" i="16"/>
  <c r="W3055" i="16" s="1"/>
  <c r="Y3055" i="16" s="1"/>
  <c r="T3068" i="16"/>
  <c r="U3068" i="16" s="1"/>
  <c r="V3068" i="16" s="1"/>
  <c r="W3068" i="16" s="1"/>
  <c r="Y3068" i="16" s="1"/>
  <c r="U2838" i="16"/>
  <c r="U2845" i="16"/>
  <c r="V2845" i="16" s="1"/>
  <c r="W2845" i="16" s="1"/>
  <c r="Y2845" i="16" s="1"/>
  <c r="T2855" i="16"/>
  <c r="U2855" i="16" s="1"/>
  <c r="U2878" i="16"/>
  <c r="T2881" i="16"/>
  <c r="U2881" i="16" s="1"/>
  <c r="V2881" i="16" s="1"/>
  <c r="W2881" i="16" s="1"/>
  <c r="Y2881" i="16" s="1"/>
  <c r="T3034" i="16"/>
  <c r="U3034" i="16" s="1"/>
  <c r="U2771" i="16"/>
  <c r="V2892" i="16"/>
  <c r="W2892" i="16" s="1"/>
  <c r="Y2892" i="16" s="1"/>
  <c r="T2941" i="16"/>
  <c r="U2941" i="16" s="1"/>
  <c r="T2983" i="16"/>
  <c r="U2983" i="16" s="1"/>
  <c r="V2983" i="16" s="1"/>
  <c r="W2983" i="16" s="1"/>
  <c r="Y2983" i="16" s="1"/>
  <c r="T3022" i="16"/>
  <c r="U3022" i="16" s="1"/>
  <c r="U3081" i="16"/>
  <c r="T3188" i="16"/>
  <c r="U3188" i="16" s="1"/>
  <c r="T3195" i="16"/>
  <c r="U3195" i="16" s="1"/>
  <c r="V3195" i="16" s="1"/>
  <c r="W3195" i="16" s="1"/>
  <c r="Y3195" i="16" s="1"/>
  <c r="T3010" i="16"/>
  <c r="U3010" i="16" s="1"/>
  <c r="T3053" i="16"/>
  <c r="U3053" i="16" s="1"/>
  <c r="V3053" i="16" s="1"/>
  <c r="W3053" i="16" s="1"/>
  <c r="Y3053" i="16" s="1"/>
  <c r="V3064" i="16"/>
  <c r="W3064" i="16" s="1"/>
  <c r="T3128" i="16"/>
  <c r="U3128" i="16" s="1"/>
  <c r="T3139" i="16"/>
  <c r="U3139" i="16" s="1"/>
  <c r="V3139" i="16" s="1"/>
  <c r="W3139" i="16" s="1"/>
  <c r="Y3139" i="16" s="1"/>
  <c r="T3170" i="16"/>
  <c r="U3170" i="16" s="1"/>
  <c r="V3170" i="16" s="1"/>
  <c r="W3170" i="16" s="1"/>
  <c r="Y3170" i="16" s="1"/>
  <c r="T3172" i="16"/>
  <c r="U3172" i="16" s="1"/>
  <c r="V3172" i="16" s="1"/>
  <c r="W3172" i="16" s="1"/>
  <c r="Y3172" i="16" s="1"/>
  <c r="T3411" i="16"/>
  <c r="U3411" i="16" s="1"/>
  <c r="V3411" i="16" s="1"/>
  <c r="W3411" i="16" s="1"/>
  <c r="Y3411" i="16" s="1"/>
  <c r="U2905" i="16"/>
  <c r="T2909" i="16"/>
  <c r="U2909" i="16" s="1"/>
  <c r="U2990" i="16"/>
  <c r="V2990" i="16" s="1"/>
  <c r="W2990" i="16" s="1"/>
  <c r="Y2990" i="16" s="1"/>
  <c r="U2999" i="16"/>
  <c r="V2999" i="16" s="1"/>
  <c r="W2999" i="16" s="1"/>
  <c r="Y2999" i="16" s="1"/>
  <c r="T3005" i="16"/>
  <c r="U3005" i="16" s="1"/>
  <c r="V3005" i="16" s="1"/>
  <c r="W3005" i="16" s="1"/>
  <c r="Y3005" i="16" s="1"/>
  <c r="T3059" i="16"/>
  <c r="U3059" i="16" s="1"/>
  <c r="U3071" i="16"/>
  <c r="V3071" i="16" s="1"/>
  <c r="W3071" i="16" s="1"/>
  <c r="T3084" i="16"/>
  <c r="U3084" i="16" s="1"/>
  <c r="V3084" i="16" s="1"/>
  <c r="W3084" i="16" s="1"/>
  <c r="Y3084" i="16" s="1"/>
  <c r="T3088" i="16"/>
  <c r="U3088" i="16" s="1"/>
  <c r="V3088" i="16" s="1"/>
  <c r="W3088" i="16" s="1"/>
  <c r="Y3088" i="16" s="1"/>
  <c r="T3119" i="16"/>
  <c r="U3119" i="16" s="1"/>
  <c r="U3129" i="16"/>
  <c r="T3158" i="16"/>
  <c r="U3158" i="16" s="1"/>
  <c r="U2979" i="16"/>
  <c r="V3056" i="16"/>
  <c r="W3056" i="16" s="1"/>
  <c r="Y3056" i="16" s="1"/>
  <c r="V3099" i="16"/>
  <c r="W3099" i="16" s="1"/>
  <c r="Y3099" i="16" s="1"/>
  <c r="T3185" i="16"/>
  <c r="U3185" i="16" s="1"/>
  <c r="V3185" i="16" s="1"/>
  <c r="W3185" i="16" s="1"/>
  <c r="Y3185" i="16" s="1"/>
  <c r="T3284" i="16"/>
  <c r="U3284" i="16" s="1"/>
  <c r="V3284" i="16" s="1"/>
  <c r="W3284" i="16" s="1"/>
  <c r="V3299" i="16"/>
  <c r="W3299" i="16" s="1"/>
  <c r="Y3299" i="16" s="1"/>
  <c r="U3004" i="16"/>
  <c r="V3004" i="16" s="1"/>
  <c r="W3004" i="16" s="1"/>
  <c r="Y3004" i="16" s="1"/>
  <c r="U3030" i="16"/>
  <c r="U3040" i="16"/>
  <c r="U3057" i="16"/>
  <c r="V3057" i="16" s="1"/>
  <c r="W3057" i="16" s="1"/>
  <c r="Y3057" i="16" s="1"/>
  <c r="U3069" i="16"/>
  <c r="V3069" i="16" s="1"/>
  <c r="W3069" i="16" s="1"/>
  <c r="Y3069" i="16" s="1"/>
  <c r="U3078" i="16"/>
  <c r="T3130" i="16"/>
  <c r="U3130" i="16" s="1"/>
  <c r="T3135" i="16"/>
  <c r="U3135" i="16" s="1"/>
  <c r="V3135" i="16" s="1"/>
  <c r="W3135" i="16" s="1"/>
  <c r="Y3135" i="16" s="1"/>
  <c r="T3144" i="16"/>
  <c r="U3144" i="16" s="1"/>
  <c r="T3166" i="16"/>
  <c r="U3166" i="16" s="1"/>
  <c r="U2815" i="16"/>
  <c r="V2815" i="16" s="1"/>
  <c r="W2815" i="16" s="1"/>
  <c r="U2827" i="16"/>
  <c r="V2827" i="16" s="1"/>
  <c r="W2827" i="16" s="1"/>
  <c r="U2832" i="16"/>
  <c r="U2846" i="16"/>
  <c r="V2846" i="16" s="1"/>
  <c r="W2846" i="16" s="1"/>
  <c r="Y2846" i="16" s="1"/>
  <c r="U2858" i="16"/>
  <c r="V2858" i="16" s="1"/>
  <c r="W2858" i="16" s="1"/>
  <c r="Y2858" i="16" s="1"/>
  <c r="T2930" i="16"/>
  <c r="U2930" i="16" s="1"/>
  <c r="U2958" i="16"/>
  <c r="T3014" i="16"/>
  <c r="U3014" i="16" s="1"/>
  <c r="V3014" i="16" s="1"/>
  <c r="W3014" i="16" s="1"/>
  <c r="U3021" i="16"/>
  <c r="U3087" i="16"/>
  <c r="V3087" i="16" s="1"/>
  <c r="W3087" i="16" s="1"/>
  <c r="U2894" i="16"/>
  <c r="V2894" i="16" s="1"/>
  <c r="W2894" i="16" s="1"/>
  <c r="Y2894" i="16" s="1"/>
  <c r="U2954" i="16"/>
  <c r="U3077" i="16"/>
  <c r="U3205" i="16"/>
  <c r="V3205" i="16" s="1"/>
  <c r="W3205" i="16" s="1"/>
  <c r="Y3205" i="16" s="1"/>
  <c r="U3176" i="16"/>
  <c r="T3179" i="16"/>
  <c r="U3179" i="16" s="1"/>
  <c r="U3201" i="16"/>
  <c r="V3201" i="16" s="1"/>
  <c r="W3201" i="16" s="1"/>
  <c r="Y3201" i="16" s="1"/>
  <c r="T3216" i="16"/>
  <c r="U3216" i="16" s="1"/>
  <c r="U3293" i="16"/>
  <c r="V3293" i="16" s="1"/>
  <c r="W3293" i="16" s="1"/>
  <c r="Y3293" i="16" s="1"/>
  <c r="T3322" i="16"/>
  <c r="U3322" i="16" s="1"/>
  <c r="V3322" i="16" s="1"/>
  <c r="W3322" i="16" s="1"/>
  <c r="Y3322" i="16" s="1"/>
  <c r="T3271" i="16"/>
  <c r="U3271" i="16" s="1"/>
  <c r="V3271" i="16" s="1"/>
  <c r="W3271" i="16" s="1"/>
  <c r="T3204" i="16"/>
  <c r="U3204" i="16" s="1"/>
  <c r="V3204" i="16" s="1"/>
  <c r="W3204" i="16" s="1"/>
  <c r="Y3204" i="16" s="1"/>
  <c r="T3217" i="16"/>
  <c r="U3217" i="16" s="1"/>
  <c r="U3220" i="16"/>
  <c r="V3220" i="16" s="1"/>
  <c r="W3220" i="16" s="1"/>
  <c r="Y3220" i="16" s="1"/>
  <c r="T3259" i="16"/>
  <c r="U3259" i="16" s="1"/>
  <c r="V3259" i="16" s="1"/>
  <c r="W3259" i="16" s="1"/>
  <c r="Y3259" i="16" s="1"/>
  <c r="T3317" i="16"/>
  <c r="U3317" i="16" s="1"/>
  <c r="V3317" i="16" s="1"/>
  <c r="W3317" i="16" s="1"/>
  <c r="Y3317" i="16" s="1"/>
  <c r="T3337" i="16"/>
  <c r="U3337" i="16" s="1"/>
  <c r="V3337" i="16" s="1"/>
  <c r="W3337" i="16" s="1"/>
  <c r="Y3337" i="16" s="1"/>
  <c r="T3345" i="16"/>
  <c r="U3345" i="16" s="1"/>
  <c r="V3345" i="16" s="1"/>
  <c r="W3345" i="16" s="1"/>
  <c r="U2888" i="16"/>
  <c r="V2888" i="16" s="1"/>
  <c r="W2888" i="16" s="1"/>
  <c r="Y2888" i="16" s="1"/>
  <c r="V2897" i="16"/>
  <c r="W2897" i="16" s="1"/>
  <c r="Y2897" i="16" s="1"/>
  <c r="U2946" i="16"/>
  <c r="U2962" i="16"/>
  <c r="U2982" i="16"/>
  <c r="V2982" i="16" s="1"/>
  <c r="W2982" i="16" s="1"/>
  <c r="Y2982" i="16" s="1"/>
  <c r="U3029" i="16"/>
  <c r="U3035" i="16"/>
  <c r="U3044" i="16"/>
  <c r="U3051" i="16"/>
  <c r="U3137" i="16"/>
  <c r="V3137" i="16" s="1"/>
  <c r="W3137" i="16" s="1"/>
  <c r="Y3137" i="16" s="1"/>
  <c r="T3150" i="16"/>
  <c r="U3150" i="16" s="1"/>
  <c r="U3154" i="16"/>
  <c r="V3154" i="16" s="1"/>
  <c r="W3154" i="16" s="1"/>
  <c r="Y3154" i="16" s="1"/>
  <c r="U3162" i="16"/>
  <c r="U3164" i="16" s="1"/>
  <c r="V3164" i="16" s="1"/>
  <c r="W3164" i="16" s="1"/>
  <c r="T3169" i="16"/>
  <c r="U3169" i="16" s="1"/>
  <c r="V3169" i="16" s="1"/>
  <c r="W3169" i="16" s="1"/>
  <c r="Y3169" i="16" s="1"/>
  <c r="T3193" i="16"/>
  <c r="U3193" i="16" s="1"/>
  <c r="V3193" i="16" s="1"/>
  <c r="W3193" i="16" s="1"/>
  <c r="Y3193" i="16" s="1"/>
  <c r="U3196" i="16"/>
  <c r="V3196" i="16" s="1"/>
  <c r="W3196" i="16" s="1"/>
  <c r="Y3196" i="16" s="1"/>
  <c r="T3200" i="16"/>
  <c r="U3200" i="16" s="1"/>
  <c r="V3200" i="16" s="1"/>
  <c r="W3200" i="16" s="1"/>
  <c r="Y3200" i="16" s="1"/>
  <c r="T3207" i="16"/>
  <c r="U3207" i="16" s="1"/>
  <c r="V3207" i="16" s="1"/>
  <c r="W3207" i="16" s="1"/>
  <c r="Y3207" i="16" s="1"/>
  <c r="U3212" i="16"/>
  <c r="V3212" i="16" s="1"/>
  <c r="W3212" i="16" s="1"/>
  <c r="Y3212" i="16" s="1"/>
  <c r="T3213" i="16"/>
  <c r="U3213" i="16" s="1"/>
  <c r="V3213" i="16" s="1"/>
  <c r="W3213" i="16" s="1"/>
  <c r="Y3213" i="16" s="1"/>
  <c r="U3223" i="16"/>
  <c r="U3246" i="16"/>
  <c r="V3246" i="16" s="1"/>
  <c r="W3246" i="16" s="1"/>
  <c r="T3305" i="16"/>
  <c r="U3305" i="16" s="1"/>
  <c r="T3124" i="16"/>
  <c r="U3124" i="16" s="1"/>
  <c r="T3203" i="16"/>
  <c r="U3203" i="16" s="1"/>
  <c r="V3203" i="16" s="1"/>
  <c r="W3203" i="16" s="1"/>
  <c r="Y3203" i="16" s="1"/>
  <c r="T3234" i="16"/>
  <c r="U3234" i="16" s="1"/>
  <c r="V3234" i="16" s="1"/>
  <c r="V3274" i="16"/>
  <c r="W3274" i="16" s="1"/>
  <c r="U2950" i="16"/>
  <c r="U2966" i="16"/>
  <c r="U2971" i="16"/>
  <c r="V2971" i="16" s="1"/>
  <c r="W2971" i="16" s="1"/>
  <c r="T3060" i="16"/>
  <c r="U3060" i="16" s="1"/>
  <c r="U3066" i="16"/>
  <c r="V3066" i="16" s="1"/>
  <c r="W3066" i="16" s="1"/>
  <c r="Y3066" i="16" s="1"/>
  <c r="U3110" i="16"/>
  <c r="V3110" i="16" s="1"/>
  <c r="U3111" i="16"/>
  <c r="U3116" i="16"/>
  <c r="T3120" i="16"/>
  <c r="U3120" i="16" s="1"/>
  <c r="U3136" i="16"/>
  <c r="V3136" i="16" s="1"/>
  <c r="W3136" i="16" s="1"/>
  <c r="Y3136" i="16" s="1"/>
  <c r="T3147" i="16"/>
  <c r="U3147" i="16" s="1"/>
  <c r="V3147" i="16" s="1"/>
  <c r="W3147" i="16" s="1"/>
  <c r="U3153" i="16"/>
  <c r="V3153" i="16" s="1"/>
  <c r="W3153" i="16" s="1"/>
  <c r="Y3153" i="16" s="1"/>
  <c r="T3191" i="16"/>
  <c r="U3191" i="16" s="1"/>
  <c r="T3199" i="16"/>
  <c r="U3199" i="16" s="1"/>
  <c r="V3199" i="16" s="1"/>
  <c r="W3199" i="16" s="1"/>
  <c r="Y3199" i="16" s="1"/>
  <c r="T3239" i="16"/>
  <c r="U3239" i="16" s="1"/>
  <c r="V3239" i="16" s="1"/>
  <c r="W3239" i="16" s="1"/>
  <c r="Y3239" i="16" s="1"/>
  <c r="U3289" i="16"/>
  <c r="V3289" i="16" s="1"/>
  <c r="W3289" i="16" s="1"/>
  <c r="Y3289" i="16" s="1"/>
  <c r="T3309" i="16"/>
  <c r="U3309" i="16" s="1"/>
  <c r="V3309" i="16" s="1"/>
  <c r="W3309" i="16" s="1"/>
  <c r="U3157" i="16"/>
  <c r="U3194" i="16"/>
  <c r="V3194" i="16" s="1"/>
  <c r="W3194" i="16" s="1"/>
  <c r="Y3194" i="16" s="1"/>
  <c r="U3202" i="16"/>
  <c r="V3202" i="16" s="1"/>
  <c r="W3202" i="16" s="1"/>
  <c r="Y3202" i="16" s="1"/>
  <c r="T3303" i="16"/>
  <c r="U3303" i="16" s="1"/>
  <c r="T3348" i="16"/>
  <c r="U3348" i="16" s="1"/>
  <c r="V3348" i="16" s="1"/>
  <c r="W3348" i="16" s="1"/>
  <c r="Y3348" i="16" s="1"/>
  <c r="T3404" i="16"/>
  <c r="U3404" i="16" s="1"/>
  <c r="V3404" i="16" s="1"/>
  <c r="W3404" i="16" s="1"/>
  <c r="Y3404" i="16" s="1"/>
  <c r="V3323" i="16"/>
  <c r="W3323" i="16" s="1"/>
  <c r="Y3323" i="16" s="1"/>
  <c r="T3357" i="16"/>
  <c r="U3357" i="16" s="1"/>
  <c r="V3357" i="16" s="1"/>
  <c r="W3357" i="16" s="1"/>
  <c r="Y3357" i="16" s="1"/>
  <c r="T3427" i="16"/>
  <c r="U3427" i="16" s="1"/>
  <c r="V3427" i="16" s="1"/>
  <c r="W3427" i="16" s="1"/>
  <c r="T3325" i="16"/>
  <c r="U3325" i="16" s="1"/>
  <c r="V3325" i="16" s="1"/>
  <c r="W3325" i="16" s="1"/>
  <c r="Y3325" i="16" s="1"/>
  <c r="U3360" i="16"/>
  <c r="U3417" i="16"/>
  <c r="T3417" i="16"/>
  <c r="T3421" i="16"/>
  <c r="U3421" i="16" s="1"/>
  <c r="V3421" i="16" s="1"/>
  <c r="W3421" i="16" s="1"/>
  <c r="Y3421" i="16" s="1"/>
  <c r="T3418" i="16"/>
  <c r="U3418" i="16" s="1"/>
  <c r="U3093" i="16"/>
  <c r="V3093" i="16" s="1"/>
  <c r="W3093" i="16" s="1"/>
  <c r="U3198" i="16"/>
  <c r="V3198" i="16" s="1"/>
  <c r="W3198" i="16" s="1"/>
  <c r="Y3198" i="16" s="1"/>
  <c r="U3206" i="16"/>
  <c r="V3206" i="16" s="1"/>
  <c r="W3206" i="16" s="1"/>
  <c r="Y3206" i="16" s="1"/>
  <c r="U3240" i="16"/>
  <c r="V3240" i="16" s="1"/>
  <c r="W3240" i="16" s="1"/>
  <c r="Y3240" i="16" s="1"/>
  <c r="U3313" i="16"/>
  <c r="V3358" i="16"/>
  <c r="W3358" i="16" s="1"/>
  <c r="Y3358" i="16" s="1"/>
  <c r="T3365" i="16"/>
  <c r="U3365" i="16" s="1"/>
  <c r="U3395" i="16"/>
  <c r="V3338" i="16"/>
  <c r="W3338" i="16" s="1"/>
  <c r="Y3338" i="16" s="1"/>
  <c r="T3366" i="16"/>
  <c r="U3366" i="16" s="1"/>
  <c r="T3379" i="16"/>
  <c r="U3379" i="16" s="1"/>
  <c r="T3400" i="16"/>
  <c r="U3400" i="16" s="1"/>
  <c r="U3431" i="16"/>
  <c r="T3380" i="16"/>
  <c r="U3380" i="16" s="1"/>
  <c r="T3426" i="16"/>
  <c r="U3426" i="16" s="1"/>
  <c r="V3426" i="16" s="1"/>
  <c r="W3426" i="16" s="1"/>
  <c r="Y3426" i="16" s="1"/>
  <c r="V3517" i="16"/>
  <c r="W3517" i="16" s="1"/>
  <c r="Y3517" i="16" s="1"/>
  <c r="V3530" i="16"/>
  <c r="W3530" i="16" s="1"/>
  <c r="Y3530" i="16" s="1"/>
  <c r="T3478" i="16"/>
  <c r="U3478" i="16" s="1"/>
  <c r="V3478" i="16" s="1"/>
  <c r="W3478" i="16" s="1"/>
  <c r="Y3478" i="16" s="1"/>
  <c r="T3499" i="16"/>
  <c r="U3499" i="16" s="1"/>
  <c r="V3499" i="16" s="1"/>
  <c r="W3499" i="16" s="1"/>
  <c r="Y3499" i="16" s="1"/>
  <c r="T3440" i="16"/>
  <c r="U3440" i="16" s="1"/>
  <c r="V3440" i="16" s="1"/>
  <c r="W3440" i="16" s="1"/>
  <c r="Y3440" i="16" s="1"/>
  <c r="T3465" i="16"/>
  <c r="U3465" i="16" s="1"/>
  <c r="V3465" i="16" s="1"/>
  <c r="W3465" i="16" s="1"/>
  <c r="T3515" i="16"/>
  <c r="U3515" i="16" s="1"/>
  <c r="V3515" i="16" s="1"/>
  <c r="W3515" i="16" s="1"/>
  <c r="Y3515" i="16" s="1"/>
  <c r="U3321" i="16"/>
  <c r="V3321" i="16" s="1"/>
  <c r="W3321" i="16" s="1"/>
  <c r="Y3321" i="16" s="1"/>
  <c r="U3394" i="16"/>
  <c r="U3403" i="16"/>
  <c r="V3403" i="16" s="1"/>
  <c r="W3403" i="16" s="1"/>
  <c r="Y3403" i="16" s="1"/>
  <c r="U3414" i="16"/>
  <c r="V3414" i="16" s="1"/>
  <c r="W3414" i="16" s="1"/>
  <c r="U3430" i="16"/>
  <c r="U3450" i="16"/>
  <c r="V3450" i="16" s="1"/>
  <c r="W3450" i="16" s="1"/>
  <c r="Y3450" i="16" s="1"/>
  <c r="V3477" i="16"/>
  <c r="W3477" i="16" s="1"/>
  <c r="Y3477" i="16" s="1"/>
  <c r="T3479" i="16"/>
  <c r="U3479" i="16" s="1"/>
  <c r="V3479" i="16" s="1"/>
  <c r="W3479" i="16" s="1"/>
  <c r="Y3479" i="16" s="1"/>
  <c r="T3500" i="16"/>
  <c r="U3500" i="16" s="1"/>
  <c r="V3500" i="16" s="1"/>
  <c r="W3500" i="16" s="1"/>
  <c r="Y3500" i="16" s="1"/>
  <c r="U3333" i="16"/>
  <c r="V3333" i="16" s="1"/>
  <c r="W3333" i="16" s="1"/>
  <c r="U3401" i="16"/>
  <c r="U3449" i="16"/>
  <c r="V3449" i="16" s="1"/>
  <c r="W3449" i="16" s="1"/>
  <c r="Y3449" i="16" s="1"/>
  <c r="V3534" i="16"/>
  <c r="W3534" i="16" s="1"/>
  <c r="Y3534" i="16" s="1"/>
  <c r="U3388" i="16"/>
  <c r="V3388" i="16" s="1"/>
  <c r="W3388" i="16" s="1"/>
  <c r="V3480" i="16"/>
  <c r="W3480" i="16" s="1"/>
  <c r="Y3480" i="16" s="1"/>
  <c r="V3514" i="16"/>
  <c r="W3514" i="16" s="1"/>
  <c r="Y3514" i="16" s="1"/>
  <c r="T3516" i="16"/>
  <c r="U3516" i="16" s="1"/>
  <c r="V3516" i="16" s="1"/>
  <c r="W3516" i="16" s="1"/>
  <c r="Y3516" i="16" s="1"/>
  <c r="V3521" i="16"/>
  <c r="W3521" i="16" s="1"/>
  <c r="Y3521" i="16" s="1"/>
  <c r="V3481" i="16"/>
  <c r="W3481" i="16" s="1"/>
  <c r="Y3481" i="16" s="1"/>
  <c r="T3510" i="16"/>
  <c r="U3510" i="16" s="1"/>
  <c r="V3510" i="16" s="1"/>
  <c r="W3510" i="16" s="1"/>
  <c r="Y3510" i="16" s="1"/>
  <c r="V3518" i="16"/>
  <c r="W3518" i="16" s="1"/>
  <c r="Y3518" i="16" s="1"/>
  <c r="T3503" i="16"/>
  <c r="U3503" i="16" s="1"/>
  <c r="V3503" i="16" s="1"/>
  <c r="W3503" i="16" s="1"/>
  <c r="Y3503" i="16" s="1"/>
  <c r="T3519" i="16"/>
  <c r="U3519" i="16" s="1"/>
  <c r="V3519" i="16" s="1"/>
  <c r="W3519" i="16" s="1"/>
  <c r="Y3519" i="16" s="1"/>
  <c r="T3522" i="16"/>
  <c r="U3522" i="16" s="1"/>
  <c r="V3522" i="16" s="1"/>
  <c r="W3522" i="16" s="1"/>
  <c r="Y3522" i="16" s="1"/>
  <c r="T3528" i="16"/>
  <c r="U3528" i="16" s="1"/>
  <c r="V3528" i="16" s="1"/>
  <c r="W3528" i="16" s="1"/>
  <c r="Y3528" i="16" s="1"/>
  <c r="T3554" i="16"/>
  <c r="U3554" i="16" s="1"/>
  <c r="V3554" i="16" s="1"/>
  <c r="W3554" i="16" s="1"/>
  <c r="U1890" i="16" l="1"/>
  <c r="V1890" i="16" s="1"/>
  <c r="W1890" i="16" s="1"/>
  <c r="Y1890" i="16" s="1"/>
  <c r="W1863" i="16"/>
  <c r="U2310" i="16"/>
  <c r="W3467" i="16"/>
  <c r="W3466" i="16"/>
  <c r="W3407" i="16"/>
  <c r="W3408" i="16"/>
  <c r="Y3408" i="16" s="1"/>
  <c r="W3445" i="16"/>
  <c r="W3446" i="16"/>
  <c r="Y3446" i="16" s="1"/>
  <c r="W3559" i="16"/>
  <c r="Y3559" i="16" s="1"/>
  <c r="W3557" i="16"/>
  <c r="W3555" i="16"/>
  <c r="W3558" i="16"/>
  <c r="W3556" i="16"/>
  <c r="W3389" i="16"/>
  <c r="W3390" i="16"/>
  <c r="Y3390" i="16" s="1"/>
  <c r="W3356" i="16"/>
  <c r="Y3356" i="16" s="1"/>
  <c r="W3355" i="16"/>
  <c r="Y3355" i="16" s="1"/>
  <c r="W3441" i="16"/>
  <c r="W3561" i="16"/>
  <c r="W3562" i="16"/>
  <c r="Y3562" i="16" s="1"/>
  <c r="W3275" i="16"/>
  <c r="W3276" i="16"/>
  <c r="W3273" i="16"/>
  <c r="W3272" i="16"/>
  <c r="W3286" i="16"/>
  <c r="W3287" i="16"/>
  <c r="W3285" i="16"/>
  <c r="W3254" i="16"/>
  <c r="W3255" i="16"/>
  <c r="W3329" i="16"/>
  <c r="W3330" i="16"/>
  <c r="Y3330" i="16" s="1"/>
  <c r="W3251" i="16"/>
  <c r="Y3251" i="16" s="1"/>
  <c r="W3250" i="16"/>
  <c r="W3311" i="16"/>
  <c r="W3310" i="16"/>
  <c r="W3234" i="16"/>
  <c r="Y3234" i="16" s="1"/>
  <c r="W3247" i="16"/>
  <c r="Y3247" i="16" s="1"/>
  <c r="W3248" i="16"/>
  <c r="W3269" i="16"/>
  <c r="W3270" i="16"/>
  <c r="W3263" i="16"/>
  <c r="W3233" i="16"/>
  <c r="Y3233" i="16" s="1"/>
  <c r="W3258" i="16"/>
  <c r="W3257" i="16"/>
  <c r="W2973" i="16"/>
  <c r="W2972" i="16"/>
  <c r="W2635" i="16"/>
  <c r="W2636" i="16"/>
  <c r="Y2636" i="16" s="1"/>
  <c r="W2462" i="16"/>
  <c r="Y2462" i="16" s="1"/>
  <c r="W2498" i="16"/>
  <c r="Y2498" i="16" s="1"/>
  <c r="W2497" i="16"/>
  <c r="W2466" i="16"/>
  <c r="Y2466" i="16" s="1"/>
  <c r="W2587" i="16"/>
  <c r="Y2587" i="16" s="1"/>
  <c r="W2586" i="16"/>
  <c r="W2491" i="16"/>
  <c r="W2492" i="16"/>
  <c r="Y2492" i="16" s="1"/>
  <c r="W2344" i="16"/>
  <c r="W2345" i="16"/>
  <c r="W2447" i="16"/>
  <c r="Y2447" i="16" s="1"/>
  <c r="W2446" i="16"/>
  <c r="W2549" i="16"/>
  <c r="W2550" i="16"/>
  <c r="Y2550" i="16" s="1"/>
  <c r="W2424" i="16"/>
  <c r="W2425" i="16"/>
  <c r="Y2425" i="16" s="1"/>
  <c r="W2590" i="16"/>
  <c r="W2591" i="16"/>
  <c r="Y2591" i="16" s="1"/>
  <c r="W2465" i="16"/>
  <c r="Y2465" i="16" s="1"/>
  <c r="W2327" i="16"/>
  <c r="Y2327" i="16" s="1"/>
  <c r="W2545" i="16"/>
  <c r="Y2545" i="16" s="1"/>
  <c r="W2544" i="16"/>
  <c r="W2551" i="16"/>
  <c r="W2798" i="16"/>
  <c r="W2399" i="16"/>
  <c r="W2400" i="16"/>
  <c r="Y2400" i="16" s="1"/>
  <c r="Y2787" i="16"/>
  <c r="W2395" i="16"/>
  <c r="U2321" i="16"/>
  <c r="V2321" i="16" s="1"/>
  <c r="W2321" i="16" s="1"/>
  <c r="W2762" i="16"/>
  <c r="W2558" i="16"/>
  <c r="W2816" i="16"/>
  <c r="W2817" i="16"/>
  <c r="Y2817" i="16" s="1"/>
  <c r="W3017" i="16"/>
  <c r="W3015" i="16"/>
  <c r="W3016" i="16"/>
  <c r="Y3016" i="16" s="1"/>
  <c r="W3074" i="16"/>
  <c r="W3072" i="16"/>
  <c r="W3073" i="16"/>
  <c r="W2780" i="16"/>
  <c r="W2781" i="16"/>
  <c r="Y2781" i="16" s="1"/>
  <c r="W3092" i="16"/>
  <c r="W3090" i="16"/>
  <c r="W3091" i="16"/>
  <c r="Y3091" i="16" s="1"/>
  <c r="W2664" i="16"/>
  <c r="Y2664" i="16" s="1"/>
  <c r="W2663" i="16"/>
  <c r="Y2782" i="16"/>
  <c r="W2463" i="16"/>
  <c r="Y2463" i="16" s="1"/>
  <c r="W2330" i="16"/>
  <c r="W2331" i="16"/>
  <c r="W2464" i="16"/>
  <c r="Y2464" i="16" s="1"/>
  <c r="W2354" i="16"/>
  <c r="Y2354" i="16" s="1"/>
  <c r="W2353" i="16"/>
  <c r="W2516" i="16"/>
  <c r="Y2516" i="16" s="1"/>
  <c r="W2517" i="16"/>
  <c r="Y2517" i="16" s="1"/>
  <c r="W2431" i="16"/>
  <c r="W2430" i="16"/>
  <c r="W2541" i="16"/>
  <c r="W2542" i="16"/>
  <c r="Y2542" i="16" s="1"/>
  <c r="W2574" i="16"/>
  <c r="W2575" i="16"/>
  <c r="Y2575" i="16" s="1"/>
  <c r="U2471" i="16"/>
  <c r="V2471" i="16" s="1"/>
  <c r="W2471" i="16" s="1"/>
  <c r="Y2471" i="16" s="1"/>
  <c r="W2441" i="16"/>
  <c r="W2442" i="16"/>
  <c r="Y2442" i="16" s="1"/>
  <c r="W2537" i="16"/>
  <c r="Y2537" i="16" s="1"/>
  <c r="W2809" i="16"/>
  <c r="W2810" i="16"/>
  <c r="Y2810" i="16" s="1"/>
  <c r="W2373" i="16"/>
  <c r="W2374" i="16"/>
  <c r="Y2374" i="16" s="1"/>
  <c r="W2332" i="16"/>
  <c r="W2459" i="16"/>
  <c r="W2281" i="16"/>
  <c r="Y2281" i="16" s="1"/>
  <c r="W2277" i="16"/>
  <c r="Y2277" i="16" s="1"/>
  <c r="W2279" i="16"/>
  <c r="W2280" i="16"/>
  <c r="Y2280" i="16" s="1"/>
  <c r="W2276" i="16"/>
  <c r="Y2276" i="16" s="1"/>
  <c r="W2271" i="16"/>
  <c r="Y2271" i="16" s="1"/>
  <c r="W2270" i="16"/>
  <c r="Y2270" i="16" s="1"/>
  <c r="V2314" i="16"/>
  <c r="W2314" i="16" s="1"/>
  <c r="U2316" i="16"/>
  <c r="V2316" i="16" s="1"/>
  <c r="W2316" i="16" s="1"/>
  <c r="Y2316" i="16" s="1"/>
  <c r="W2268" i="16"/>
  <c r="Y2268" i="16" s="1"/>
  <c r="W2267" i="16"/>
  <c r="W2081" i="16"/>
  <c r="W2082" i="16"/>
  <c r="Y2082" i="16" s="1"/>
  <c r="W2080" i="16"/>
  <c r="W2149" i="16"/>
  <c r="Y2149" i="16" s="1"/>
  <c r="W2147" i="16"/>
  <c r="W2148" i="16"/>
  <c r="W2065" i="16"/>
  <c r="Y2065" i="16" s="1"/>
  <c r="W2066" i="16"/>
  <c r="W2064" i="16"/>
  <c r="Y2064" i="16" s="1"/>
  <c r="W2255" i="16"/>
  <c r="Y2255" i="16" s="1"/>
  <c r="W2254" i="16"/>
  <c r="W1980" i="16"/>
  <c r="Y1980" i="16" s="1"/>
  <c r="W1978" i="16"/>
  <c r="W1979" i="16"/>
  <c r="W2241" i="16"/>
  <c r="Y2241" i="16" s="1"/>
  <c r="W2142" i="16"/>
  <c r="W2143" i="16"/>
  <c r="Y2143" i="16" s="1"/>
  <c r="W2141" i="16"/>
  <c r="W2244" i="16"/>
  <c r="Y2244" i="16" s="1"/>
  <c r="W2243" i="16"/>
  <c r="W2110" i="16"/>
  <c r="Y2110" i="16" s="1"/>
  <c r="W2109" i="16"/>
  <c r="W2096" i="16"/>
  <c r="W2095" i="16"/>
  <c r="W2100" i="16"/>
  <c r="W2101" i="16"/>
  <c r="Y2101" i="16" s="1"/>
  <c r="W2230" i="16"/>
  <c r="W2231" i="16"/>
  <c r="W2240" i="16"/>
  <c r="Y2240" i="16" s="1"/>
  <c r="W1997" i="16"/>
  <c r="W1998" i="16"/>
  <c r="Y1998" i="16" s="1"/>
  <c r="W1996" i="16"/>
  <c r="W2235" i="16"/>
  <c r="W2236" i="16"/>
  <c r="Y2236" i="16" s="1"/>
  <c r="W2220" i="16"/>
  <c r="Y2220" i="16" s="1"/>
  <c r="W2218" i="16"/>
  <c r="W2219" i="16"/>
  <c r="W2251" i="16"/>
  <c r="W2252" i="16"/>
  <c r="Y2252" i="16" s="1"/>
  <c r="W2304" i="16"/>
  <c r="Y2304" i="16" s="1"/>
  <c r="W2302" i="16"/>
  <c r="W2303" i="16"/>
  <c r="W2299" i="16"/>
  <c r="W2300" i="16"/>
  <c r="Y2300" i="16" s="1"/>
  <c r="V1204" i="16"/>
  <c r="W1204" i="16" s="1"/>
  <c r="Y1204" i="16" s="1"/>
  <c r="U1205" i="16"/>
  <c r="V1205" i="16" s="1"/>
  <c r="W1205" i="16" s="1"/>
  <c r="Y1205" i="16" s="1"/>
  <c r="W1010" i="16"/>
  <c r="Y1010" i="16" s="1"/>
  <c r="W1011" i="16"/>
  <c r="Y1011" i="16" s="1"/>
  <c r="W1018" i="16"/>
  <c r="Y1018" i="16" s="1"/>
  <c r="W1019" i="16"/>
  <c r="W1004" i="16"/>
  <c r="U2753" i="16"/>
  <c r="V2753" i="16" s="1"/>
  <c r="W2753" i="16" s="1"/>
  <c r="Y2753" i="16" s="1"/>
  <c r="Y1561" i="16"/>
  <c r="Y1553" i="16"/>
  <c r="Y1559" i="16"/>
  <c r="Y1551" i="16"/>
  <c r="Y1556" i="16"/>
  <c r="Y1554" i="16"/>
  <c r="Y1555" i="16"/>
  <c r="Y1564" i="16"/>
  <c r="Y1558" i="16"/>
  <c r="Y1550" i="16"/>
  <c r="Y1562" i="16"/>
  <c r="Y1560" i="16"/>
  <c r="Y1547" i="16"/>
  <c r="Y1548" i="16"/>
  <c r="Y1549" i="16"/>
  <c r="Y1563" i="16"/>
  <c r="Y81" i="16"/>
  <c r="Y78" i="16"/>
  <c r="Y86" i="16"/>
  <c r="Y92" i="16"/>
  <c r="Y79" i="16"/>
  <c r="Y80" i="16"/>
  <c r="Y94" i="16"/>
  <c r="Y97" i="16"/>
  <c r="Y87" i="16"/>
  <c r="Y85" i="16"/>
  <c r="Y74" i="16"/>
  <c r="Y83" i="16"/>
  <c r="Y73" i="16"/>
  <c r="Y89" i="16"/>
  <c r="Y95" i="16"/>
  <c r="Y82" i="16"/>
  <c r="Y66" i="16"/>
  <c r="Y42" i="16"/>
  <c r="Y59" i="16"/>
  <c r="Y43" i="16"/>
  <c r="Y49" i="16"/>
  <c r="Y51" i="16"/>
  <c r="Y68" i="16"/>
  <c r="Y69" i="16"/>
  <c r="Y50" i="16"/>
  <c r="Y61" i="16"/>
  <c r="Y64" i="16"/>
  <c r="Y63" i="16"/>
  <c r="Y45" i="16"/>
  <c r="Y46" i="16"/>
  <c r="Y71" i="16"/>
  <c r="Y60" i="16"/>
  <c r="Y65" i="16"/>
  <c r="Y48" i="16"/>
  <c r="Y62" i="16"/>
  <c r="Y70" i="16"/>
  <c r="Y47" i="16"/>
  <c r="W3110" i="16"/>
  <c r="Y3110" i="16" s="1"/>
  <c r="W3108" i="16"/>
  <c r="Y3108" i="16" s="1"/>
  <c r="U3315" i="16"/>
  <c r="V3315" i="16" s="1"/>
  <c r="U2724" i="16"/>
  <c r="V2724" i="16" s="1"/>
  <c r="W2724" i="16" s="1"/>
  <c r="U2736" i="16"/>
  <c r="V2736" i="16" s="1"/>
  <c r="W2736" i="16" s="1"/>
  <c r="U2835" i="16"/>
  <c r="V2835" i="16" s="1"/>
  <c r="W2835" i="16" s="1"/>
  <c r="U2338" i="16"/>
  <c r="V2338" i="16" s="1"/>
  <c r="W2338" i="16" s="1"/>
  <c r="U1064" i="16"/>
  <c r="V1064" i="16" s="1"/>
  <c r="W1064" i="16" s="1"/>
  <c r="Y1064" i="16" s="1"/>
  <c r="U3362" i="16"/>
  <c r="V3362" i="16" s="1"/>
  <c r="W3362" i="16" s="1"/>
  <c r="U3386" i="16"/>
  <c r="V3386" i="16" s="1"/>
  <c r="W3386" i="16" s="1"/>
  <c r="Y3386" i="16" s="1"/>
  <c r="U2791" i="16"/>
  <c r="V2791" i="16" s="1"/>
  <c r="W2791" i="16" s="1"/>
  <c r="U1246" i="16"/>
  <c r="V1246" i="16" s="1"/>
  <c r="W1246" i="16" s="1"/>
  <c r="Y1246" i="16" s="1"/>
  <c r="Y15" i="16"/>
  <c r="U893" i="16"/>
  <c r="V893" i="16" s="1"/>
  <c r="W893" i="16" s="1"/>
  <c r="Y893" i="16" s="1"/>
  <c r="U1052" i="16"/>
  <c r="V1052" i="16" s="1"/>
  <c r="W1052" i="16" s="1"/>
  <c r="Y1052" i="16" s="1"/>
  <c r="U2772" i="16"/>
  <c r="V2772" i="16" s="1"/>
  <c r="W2772" i="16" s="1"/>
  <c r="Y2772" i="16" s="1"/>
  <c r="V2455" i="16"/>
  <c r="W2455" i="16" s="1"/>
  <c r="U2513" i="16"/>
  <c r="V2513" i="16" s="1"/>
  <c r="W2513" i="16" s="1"/>
  <c r="U2786" i="16"/>
  <c r="V2786" i="16" s="1"/>
  <c r="W2786" i="16" s="1"/>
  <c r="U2014" i="16"/>
  <c r="V2014" i="16" s="1"/>
  <c r="W2014" i="16" s="1"/>
  <c r="Y2014" i="16" s="1"/>
  <c r="U3353" i="16"/>
  <c r="V3353" i="16" s="1"/>
  <c r="W3353" i="16" s="1"/>
  <c r="U2478" i="16"/>
  <c r="V2478" i="16" s="1"/>
  <c r="W2478" i="16" s="1"/>
  <c r="U2404" i="16"/>
  <c r="V2404" i="16" s="1"/>
  <c r="W2404" i="16" s="1"/>
  <c r="Y2404" i="16" s="1"/>
  <c r="V3245" i="16"/>
  <c r="W3245" i="16" s="1"/>
  <c r="W17" i="16"/>
  <c r="U3224" i="16"/>
  <c r="V3224" i="16" s="1"/>
  <c r="W3224" i="16" s="1"/>
  <c r="Y3224" i="16" s="1"/>
  <c r="U3031" i="16"/>
  <c r="V3031" i="16" s="1"/>
  <c r="W3031" i="16" s="1"/>
  <c r="Y3031" i="16" s="1"/>
  <c r="U1964" i="16"/>
  <c r="V1964" i="16" s="1"/>
  <c r="W1964" i="16" s="1"/>
  <c r="Y1964" i="16" s="1"/>
  <c r="Y14" i="16"/>
  <c r="U3211" i="16"/>
  <c r="V3211" i="16" s="1"/>
  <c r="W3211" i="16" s="1"/>
  <c r="U2807" i="16"/>
  <c r="V2807" i="16" s="1"/>
  <c r="W2807" i="16" s="1"/>
  <c r="U2509" i="16"/>
  <c r="V2509" i="16" s="1"/>
  <c r="W2509" i="16" s="1"/>
  <c r="U1076" i="16"/>
  <c r="V1076" i="16" s="1"/>
  <c r="W1076" i="16" s="1"/>
  <c r="Y1076" i="16" s="1"/>
  <c r="U3432" i="16"/>
  <c r="V3432" i="16" s="1"/>
  <c r="W3432" i="16" s="1"/>
  <c r="U3152" i="16"/>
  <c r="V3152" i="16" s="1"/>
  <c r="W3152" i="16" s="1"/>
  <c r="Y3152" i="16" s="1"/>
  <c r="U2411" i="16"/>
  <c r="V2411" i="16" s="1"/>
  <c r="W2411" i="16" s="1"/>
  <c r="U3300" i="16"/>
  <c r="V3300" i="16" s="1"/>
  <c r="W3300" i="16" s="1"/>
  <c r="U1072" i="16"/>
  <c r="V1072" i="16" s="1"/>
  <c r="W1072" i="16" s="1"/>
  <c r="Y1072" i="16" s="1"/>
  <c r="Y22" i="16"/>
  <c r="W22" i="16"/>
  <c r="Y3258" i="16"/>
  <c r="U2936" i="16"/>
  <c r="V2936" i="16" s="1"/>
  <c r="W2936" i="16" s="1"/>
  <c r="U2161" i="16"/>
  <c r="V2161" i="16" s="1"/>
  <c r="W2161" i="16" s="1"/>
  <c r="Y2161" i="16" s="1"/>
  <c r="U2088" i="16"/>
  <c r="V2088" i="16" s="1"/>
  <c r="W2088" i="16" s="1"/>
  <c r="Y2088" i="16" s="1"/>
  <c r="U3402" i="16"/>
  <c r="V3402" i="16" s="1"/>
  <c r="W3402" i="16" s="1"/>
  <c r="U3219" i="16"/>
  <c r="V3219" i="16" s="1"/>
  <c r="W3219" i="16" s="1"/>
  <c r="U2759" i="16"/>
  <c r="V2759" i="16" s="1"/>
  <c r="W2759" i="16" s="1"/>
  <c r="Y2759" i="16" s="1"/>
  <c r="U2062" i="16"/>
  <c r="V2062" i="16" s="1"/>
  <c r="W2062" i="16" s="1"/>
  <c r="U1975" i="16"/>
  <c r="V1975" i="16" s="1"/>
  <c r="W1975" i="16" s="1"/>
  <c r="Y1975" i="16" s="1"/>
  <c r="U3167" i="16"/>
  <c r="V3167" i="16" s="1"/>
  <c r="W3167" i="16" s="1"/>
  <c r="Y3167" i="16" s="1"/>
  <c r="U3082" i="16"/>
  <c r="V3082" i="16" s="1"/>
  <c r="W3082" i="16" s="1"/>
  <c r="Y3082" i="16" s="1"/>
  <c r="U2382" i="16"/>
  <c r="V2382" i="16" s="1"/>
  <c r="W2382" i="16" s="1"/>
  <c r="U214" i="16"/>
  <c r="V214" i="16" s="1"/>
  <c r="W214" i="16" s="1"/>
  <c r="Y214" i="16" s="1"/>
  <c r="U2880" i="16"/>
  <c r="V2880" i="16" s="1"/>
  <c r="W2880" i="16" s="1"/>
  <c r="U1282" i="16"/>
  <c r="V1282" i="16" s="1"/>
  <c r="W1282" i="16" s="1"/>
  <c r="Y1282" i="16" s="1"/>
  <c r="U3036" i="16"/>
  <c r="V3036" i="16" s="1"/>
  <c r="W3036" i="16" s="1"/>
  <c r="U1276" i="16"/>
  <c r="V1276" i="16" s="1"/>
  <c r="W1276" i="16" s="1"/>
  <c r="Y1276" i="16" s="1"/>
  <c r="U901" i="16"/>
  <c r="U320" i="16"/>
  <c r="V320" i="16" s="1"/>
  <c r="W320" i="16" s="1"/>
  <c r="Y320" i="16" s="1"/>
  <c r="Y16" i="16"/>
  <c r="U3026" i="16"/>
  <c r="V3026" i="16" s="1"/>
  <c r="W3026" i="16" s="1"/>
  <c r="Y3026" i="16" s="1"/>
  <c r="U1209" i="16"/>
  <c r="V1209" i="16" s="1"/>
  <c r="W1209" i="16" s="1"/>
  <c r="Y1209" i="16" s="1"/>
  <c r="Y3255" i="16"/>
  <c r="U364" i="16"/>
  <c r="V364" i="16" s="1"/>
  <c r="W364" i="16" s="1"/>
  <c r="Y364" i="16" s="1"/>
  <c r="U1678" i="16"/>
  <c r="V1678" i="16" s="1"/>
  <c r="W1678" i="16" s="1"/>
  <c r="Y1678" i="16" s="1"/>
  <c r="U1293" i="16"/>
  <c r="V1293" i="16" s="1"/>
  <c r="W1293" i="16" s="1"/>
  <c r="Y1293" i="16" s="1"/>
  <c r="U2839" i="16"/>
  <c r="V2839" i="16" s="1"/>
  <c r="W2839" i="16" s="1"/>
  <c r="U1841" i="16"/>
  <c r="V1841" i="16" s="1"/>
  <c r="W1841" i="16" s="1"/>
  <c r="Y1841" i="16" s="1"/>
  <c r="U3382" i="16"/>
  <c r="V3382" i="16" s="1"/>
  <c r="W3382" i="16" s="1"/>
  <c r="U2981" i="16"/>
  <c r="V2981" i="16" s="1"/>
  <c r="W2981" i="16" s="1"/>
  <c r="U2483" i="16"/>
  <c r="V2483" i="16" s="1"/>
  <c r="W2483" i="16" s="1"/>
  <c r="Y2483" i="16" s="1"/>
  <c r="U2043" i="16"/>
  <c r="V2043" i="16" s="1"/>
  <c r="W2043" i="16" s="1"/>
  <c r="Y2043" i="16" s="1"/>
  <c r="U1806" i="16"/>
  <c r="V1806" i="16" s="1"/>
  <c r="W1806" i="16" s="1"/>
  <c r="Y1806" i="16" s="1"/>
  <c r="U1139" i="16"/>
  <c r="V1139" i="16" s="1"/>
  <c r="W1139" i="16" s="1"/>
  <c r="Y1139" i="16" s="1"/>
  <c r="U1068" i="16"/>
  <c r="V1068" i="16" s="1"/>
  <c r="W1068" i="16" s="1"/>
  <c r="Y1068" i="16" s="1"/>
  <c r="U342" i="16"/>
  <c r="V342" i="16" s="1"/>
  <c r="W342" i="16" s="1"/>
  <c r="Y342" i="16" s="1"/>
  <c r="U2920" i="16"/>
  <c r="V2920" i="16" s="1"/>
  <c r="W2920" i="16" s="1"/>
  <c r="U2288" i="16"/>
  <c r="V2288" i="16" s="1"/>
  <c r="W2288" i="16" s="1"/>
  <c r="U2011" i="16"/>
  <c r="V2011" i="16" s="1"/>
  <c r="W2011" i="16" s="1"/>
  <c r="Y2011" i="16" s="1"/>
  <c r="U1948" i="16"/>
  <c r="V1948" i="16" s="1"/>
  <c r="W1948" i="16" s="1"/>
  <c r="Y1948" i="16" s="1"/>
  <c r="U1846" i="16"/>
  <c r="V1846" i="16" s="1"/>
  <c r="W1846" i="16" s="1"/>
  <c r="U1032" i="16"/>
  <c r="V1032" i="16" s="1"/>
  <c r="W1032" i="16" s="1"/>
  <c r="Y1032" i="16" s="1"/>
  <c r="U877" i="16"/>
  <c r="V877" i="16" s="1"/>
  <c r="W877" i="16" s="1"/>
  <c r="Y877" i="16" s="1"/>
  <c r="U1971" i="16"/>
  <c r="V1971" i="16" s="1"/>
  <c r="W1971" i="16" s="1"/>
  <c r="Y1971" i="16" s="1"/>
  <c r="U30" i="16"/>
  <c r="V30" i="16" s="1"/>
  <c r="U3113" i="16"/>
  <c r="V3113" i="16" s="1"/>
  <c r="W3113" i="16" s="1"/>
  <c r="U3062" i="16"/>
  <c r="V3062" i="16" s="1"/>
  <c r="W3062" i="16" s="1"/>
  <c r="Y3062" i="16" s="1"/>
  <c r="U2388" i="16"/>
  <c r="V2388" i="16" s="1"/>
  <c r="W2388" i="16" s="1"/>
  <c r="U1272" i="16"/>
  <c r="V1272" i="16" s="1"/>
  <c r="W1272" i="16" s="1"/>
  <c r="Y1272" i="16" s="1"/>
  <c r="U980" i="16"/>
  <c r="V980" i="16" s="1"/>
  <c r="W980" i="16" s="1"/>
  <c r="Y980" i="16" s="1"/>
  <c r="U2944" i="16"/>
  <c r="V2944" i="16" s="1"/>
  <c r="W2944" i="16" s="1"/>
  <c r="U2869" i="16"/>
  <c r="V2869" i="16" s="1"/>
  <c r="W2869" i="16" s="1"/>
  <c r="Y2869" i="16" s="1"/>
  <c r="U2968" i="16"/>
  <c r="V2968" i="16" s="1"/>
  <c r="W2968" i="16" s="1"/>
  <c r="Y2968" i="16" s="1"/>
  <c r="U2567" i="16"/>
  <c r="V2567" i="16" s="1"/>
  <c r="W2567" i="16" s="1"/>
  <c r="U2910" i="16"/>
  <c r="V2910" i="16" s="1"/>
  <c r="W2910" i="16" s="1"/>
  <c r="U3046" i="16"/>
  <c r="V3046" i="16" s="1"/>
  <c r="W3046" i="16" s="1"/>
  <c r="Y3046" i="16" s="1"/>
  <c r="U2643" i="16"/>
  <c r="V2643" i="16" s="1"/>
  <c r="W2643" i="16" s="1"/>
  <c r="U2136" i="16"/>
  <c r="V2136" i="16" s="1"/>
  <c r="W2136" i="16" s="1"/>
  <c r="Y2136" i="16" s="1"/>
  <c r="V2310" i="16"/>
  <c r="W2310" i="16" s="1"/>
  <c r="Y2310" i="16" s="1"/>
  <c r="U1287" i="16"/>
  <c r="V1287" i="16" s="1"/>
  <c r="W1287" i="16" s="1"/>
  <c r="Y1287" i="16" s="1"/>
  <c r="U915" i="16"/>
  <c r="V915" i="16" s="1"/>
  <c r="W915" i="16" s="1"/>
  <c r="Y915" i="16" s="1"/>
  <c r="U36" i="16"/>
  <c r="V36" i="16" s="1"/>
  <c r="U3161" i="16"/>
  <c r="V3161" i="16" s="1"/>
  <c r="W3161" i="16" s="1"/>
  <c r="U1378" i="16"/>
  <c r="V1378" i="16" s="1"/>
  <c r="W1378" i="16" s="1"/>
  <c r="Y1378" i="16" s="1"/>
  <c r="U3052" i="16"/>
  <c r="V3052" i="16" s="1"/>
  <c r="W3052" i="16" s="1"/>
  <c r="U2844" i="16"/>
  <c r="V2844" i="16" s="1"/>
  <c r="W2844" i="16" s="1"/>
  <c r="Y2844" i="16" s="1"/>
  <c r="U2117" i="16"/>
  <c r="V2117" i="16" s="1"/>
  <c r="W2117" i="16" s="1"/>
  <c r="U1471" i="16"/>
  <c r="V1471" i="16" s="1"/>
  <c r="W1471" i="16" s="1"/>
  <c r="Y1471" i="16" s="1"/>
  <c r="U358" i="16"/>
  <c r="V358" i="16" s="1"/>
  <c r="W358" i="16" s="1"/>
  <c r="Y358" i="16" s="1"/>
  <c r="U2215" i="16"/>
  <c r="V2215" i="16" s="1"/>
  <c r="W2215" i="16" s="1"/>
  <c r="Y3467" i="16"/>
  <c r="Y1877" i="16"/>
  <c r="U1168" i="16"/>
  <c r="V1168" i="16" s="1"/>
  <c r="W1168" i="16" s="1"/>
  <c r="Y1168" i="16" s="1"/>
  <c r="U1048" i="16"/>
  <c r="V1048" i="16" s="1"/>
  <c r="W1048" i="16" s="1"/>
  <c r="Y1048" i="16" s="1"/>
  <c r="Y3248" i="16"/>
  <c r="Y3092" i="16"/>
  <c r="Y3557" i="16"/>
  <c r="Y3558" i="16"/>
  <c r="Y3311" i="16"/>
  <c r="U3131" i="16"/>
  <c r="V3131" i="16" s="1"/>
  <c r="W3131" i="16" s="1"/>
  <c r="Y2066" i="16"/>
  <c r="Y2331" i="16"/>
  <c r="U2130" i="16"/>
  <c r="V2130" i="16" s="1"/>
  <c r="W2130" i="16" s="1"/>
  <c r="Y2130" i="16" s="1"/>
  <c r="Y1939" i="16"/>
  <c r="Y1851" i="16"/>
  <c r="U1459" i="16"/>
  <c r="V1459" i="16" s="1"/>
  <c r="W1459" i="16" s="1"/>
  <c r="Y1459" i="16" s="1"/>
  <c r="Y3074" i="16"/>
  <c r="U2632" i="16"/>
  <c r="V2632" i="16" s="1"/>
  <c r="W2632" i="16" s="1"/>
  <c r="Y2632" i="16" s="1"/>
  <c r="Y3273" i="16"/>
  <c r="U2077" i="16"/>
  <c r="V2077" i="16" s="1"/>
  <c r="W2077" i="16" s="1"/>
  <c r="Y2077" i="16" s="1"/>
  <c r="Y2345" i="16"/>
  <c r="U1655" i="16"/>
  <c r="V1655" i="16" s="1"/>
  <c r="W1655" i="16" s="1"/>
  <c r="Y1655" i="16" s="1"/>
  <c r="U2717" i="16"/>
  <c r="V2717" i="16" s="1"/>
  <c r="W2717" i="16" s="1"/>
  <c r="Y2717" i="16" s="1"/>
  <c r="Y1909" i="16"/>
  <c r="U3012" i="16"/>
  <c r="V3012" i="16" s="1"/>
  <c r="W3012" i="16" s="1"/>
  <c r="U1214" i="16"/>
  <c r="V1214" i="16" s="1"/>
  <c r="W1214" i="16" s="1"/>
  <c r="Y1214" i="16" s="1"/>
  <c r="U332" i="16"/>
  <c r="V332" i="16" s="1"/>
  <c r="W332" i="16" s="1"/>
  <c r="Y332" i="16" s="1"/>
  <c r="U3368" i="16"/>
  <c r="V3368" i="16" s="1"/>
  <c r="W3368" i="16" s="1"/>
  <c r="Y3368" i="16" s="1"/>
  <c r="Y2973" i="16"/>
  <c r="W993" i="16"/>
  <c r="Y993" i="16" s="1"/>
  <c r="W994" i="16"/>
  <c r="Y994" i="16" s="1"/>
  <c r="U3397" i="16"/>
  <c r="V3397" i="16" s="1"/>
  <c r="W3397" i="16" s="1"/>
  <c r="Y3397" i="16" s="1"/>
  <c r="U1060" i="16"/>
  <c r="V1060" i="16" s="1"/>
  <c r="W1060" i="16" s="1"/>
  <c r="Y1060" i="16" s="1"/>
  <c r="Y3287" i="16"/>
  <c r="Y3276" i="16"/>
  <c r="U3192" i="16"/>
  <c r="V3192" i="16" s="1"/>
  <c r="W3192" i="16" s="1"/>
  <c r="W2873" i="16"/>
  <c r="Y2873" i="16" s="1"/>
  <c r="W2872" i="16"/>
  <c r="U2932" i="16"/>
  <c r="U2191" i="16"/>
  <c r="V2191" i="16" s="1"/>
  <c r="W2191" i="16" s="1"/>
  <c r="Y2191" i="16" s="1"/>
  <c r="U2536" i="16"/>
  <c r="V2536" i="16" s="1"/>
  <c r="W2536" i="16" s="1"/>
  <c r="U1080" i="16"/>
  <c r="V1080" i="16" s="1"/>
  <c r="W1080" i="16" s="1"/>
  <c r="Y1080" i="16" s="1"/>
  <c r="U1119" i="16"/>
  <c r="V1119" i="16" s="1"/>
  <c r="W1119" i="16" s="1"/>
  <c r="Y1119" i="16" s="1"/>
  <c r="U236" i="16"/>
  <c r="V236" i="16" s="1"/>
  <c r="W236" i="16" s="1"/>
  <c r="Y236" i="16" s="1"/>
  <c r="U3306" i="16"/>
  <c r="V3306" i="16" s="1"/>
  <c r="W3306" i="16" s="1"/>
  <c r="U3121" i="16"/>
  <c r="V3121" i="16" s="1"/>
  <c r="W3121" i="16" s="1"/>
  <c r="Y3270" i="16"/>
  <c r="U3181" i="16"/>
  <c r="V3181" i="16" s="1"/>
  <c r="W3181" i="16" s="1"/>
  <c r="U3079" i="16"/>
  <c r="V3079" i="16" s="1"/>
  <c r="W3079" i="16" s="1"/>
  <c r="W3075" i="16"/>
  <c r="Y3075" i="16"/>
  <c r="U2624" i="16"/>
  <c r="V2624" i="16" s="1"/>
  <c r="W2624" i="16" s="1"/>
  <c r="Y2624" i="16" s="1"/>
  <c r="U2676" i="16"/>
  <c r="V2676" i="16" s="1"/>
  <c r="W2676" i="16" s="1"/>
  <c r="Y2676" i="16" s="1"/>
  <c r="U2201" i="16"/>
  <c r="V2201" i="16" s="1"/>
  <c r="W2201" i="16" s="1"/>
  <c r="Y2201" i="16" s="1"/>
  <c r="U2583" i="16"/>
  <c r="V2583" i="16" s="1"/>
  <c r="W2583" i="16" s="1"/>
  <c r="W2171" i="16"/>
  <c r="Y2171" i="16" s="1"/>
  <c r="W2170" i="16"/>
  <c r="V1857" i="16"/>
  <c r="W1857" i="16" s="1"/>
  <c r="U1449" i="16"/>
  <c r="V1449" i="16" s="1"/>
  <c r="W1449" i="16" s="1"/>
  <c r="Y1449" i="16" s="1"/>
  <c r="W998" i="16"/>
  <c r="Y998" i="16" s="1"/>
  <c r="W997" i="16"/>
  <c r="Y997" i="16" s="1"/>
  <c r="Y1865" i="16"/>
  <c r="U386" i="16"/>
  <c r="V386" i="16" s="1"/>
  <c r="W386" i="16" s="1"/>
  <c r="Y386" i="16" s="1"/>
  <c r="U2857" i="16"/>
  <c r="V2857" i="16" s="1"/>
  <c r="W2857" i="16" s="1"/>
  <c r="U1465" i="16"/>
  <c r="V1465" i="16" s="1"/>
  <c r="W1465" i="16" s="1"/>
  <c r="Y1465" i="16" s="1"/>
  <c r="U1310" i="16"/>
  <c r="V1310" i="16" s="1"/>
  <c r="W1310" i="16" s="1"/>
  <c r="Y1310" i="16" s="1"/>
  <c r="Y1019" i="16"/>
  <c r="U1344" i="16"/>
  <c r="V1344" i="16" s="1"/>
  <c r="W1344" i="16" s="1"/>
  <c r="Y1344" i="16" s="1"/>
  <c r="U3419" i="16"/>
  <c r="V3419" i="16" s="1"/>
  <c r="W3419" i="16" s="1"/>
  <c r="U2264" i="16"/>
  <c r="V2264" i="16" s="1"/>
  <c r="W2264" i="16" s="1"/>
  <c r="Y2264" i="16" s="1"/>
  <c r="Y2431" i="16"/>
  <c r="W1683" i="16"/>
  <c r="Y1683" i="16" s="1"/>
  <c r="W1682" i="16"/>
  <c r="U1156" i="16"/>
  <c r="V1156" i="16" s="1"/>
  <c r="W1156" i="16" s="1"/>
  <c r="Y1156" i="16" s="1"/>
  <c r="Y21" i="16"/>
  <c r="W21" i="16"/>
  <c r="V2932" i="16" l="1"/>
  <c r="W2932" i="16" s="1"/>
  <c r="W3443" i="16"/>
  <c r="Y3443" i="16" s="1"/>
  <c r="W3442" i="16"/>
  <c r="W3267" i="16"/>
  <c r="Y3267" i="16" s="1"/>
  <c r="W3265" i="16"/>
  <c r="Y3265" i="16" s="1"/>
  <c r="W3266" i="16"/>
  <c r="Y3266" i="16" s="1"/>
  <c r="W3264" i="16"/>
  <c r="W2397" i="16"/>
  <c r="Y2397" i="16" s="1"/>
  <c r="W2396" i="16"/>
  <c r="Y2396" i="16" s="1"/>
  <c r="W2800" i="16"/>
  <c r="Y2800" i="16" s="1"/>
  <c r="W2799" i="16"/>
  <c r="W2553" i="16"/>
  <c r="Y2553" i="16" s="1"/>
  <c r="W2552" i="16"/>
  <c r="Y2786" i="16"/>
  <c r="W2334" i="16"/>
  <c r="Y2334" i="16" s="1"/>
  <c r="W2333" i="16"/>
  <c r="W2560" i="16"/>
  <c r="Y2560" i="16" s="1"/>
  <c r="W2559" i="16"/>
  <c r="W2763" i="16"/>
  <c r="W2764" i="16"/>
  <c r="Y2764" i="16" s="1"/>
  <c r="W2461" i="16"/>
  <c r="Y2461" i="16" s="1"/>
  <c r="W2460" i="16"/>
  <c r="W1005" i="16"/>
  <c r="Y1005" i="16" s="1"/>
  <c r="W1006" i="16"/>
  <c r="Y1006" i="16" s="1"/>
  <c r="W36" i="16"/>
  <c r="Y36" i="16" s="1"/>
  <c r="V901" i="16"/>
  <c r="W901" i="16" s="1"/>
  <c r="Y901" i="16" s="1"/>
  <c r="W30" i="16"/>
  <c r="Y30" i="1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I2740" authorId="0" shapeId="0" xr:uid="{2378F4D2-39A0-4548-BBEC-A3CC80CA30AF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741" authorId="0" shapeId="0" xr:uid="{77767F4C-7EAA-4DBA-B0CF-BD989F1FEEAD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742" authorId="0" shapeId="0" xr:uid="{0738D00C-9D56-43E8-92BB-64D94F3D2D67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743" authorId="0" shapeId="0" xr:uid="{CE1EFB31-A8FE-48D5-B450-3379224DE257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744" authorId="0" shapeId="0" xr:uid="{161D16F1-93F2-4CCE-A8B5-C3AC9CE9782C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745" authorId="0" shapeId="0" xr:uid="{B7E4D5C4-B260-411D-A78E-7A52FCF7C77F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Z2801" authorId="0" shapeId="0" xr:uid="{04106FB6-5967-40EF-81A5-BB94F0A2185C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<sst xmlns="http://schemas.openxmlformats.org/spreadsheetml/2006/main" count="8098" uniqueCount="300">
  <si>
    <t>โฉนด</t>
  </si>
  <si>
    <t>ที่ดินนางสาวเนาวรัตน์ ศรีโท</t>
  </si>
  <si>
    <t xml:space="preserve"> </t>
  </si>
  <si>
    <t>150</t>
  </si>
  <si>
    <t>225</t>
  </si>
  <si>
    <t>250</t>
  </si>
  <si>
    <t>175</t>
  </si>
  <si>
    <t>350</t>
  </si>
  <si>
    <t>400</t>
  </si>
  <si>
    <t>300</t>
  </si>
  <si>
    <t>325</t>
  </si>
  <si>
    <t>275</t>
  </si>
  <si>
    <t xml:space="preserve">400 ตึกแถว </t>
  </si>
  <si>
    <t>ตึก 1 ชั้น</t>
  </si>
  <si>
    <t>502 คลังสินค้า พื้นที่เกินกว่า 300 ตารางเมตรขึ้นไป</t>
  </si>
  <si>
    <t>513 โรงงาน</t>
  </si>
  <si>
    <t>100 ประเภทบ้านเดี่ยว</t>
  </si>
  <si>
    <t>523 ห้องน้ำรวม</t>
  </si>
  <si>
    <t>520/1 อาคารอยู่อาศัยรวม ความสูงไม่เกิน 5 ชั้น</t>
  </si>
  <si>
    <t>375</t>
  </si>
  <si>
    <t>675</t>
  </si>
  <si>
    <t>700</t>
  </si>
  <si>
    <t>525</t>
  </si>
  <si>
    <t>1,000</t>
  </si>
  <si>
    <t>ตึก 2 ชั้น</t>
  </si>
  <si>
    <t>โรงงาน</t>
  </si>
  <si>
    <t>1,150</t>
  </si>
  <si>
    <t>509/1 สำนักงานความสูงไม่เกิน 5 ชั้น</t>
  </si>
  <si>
    <t>518 โรงงานซ่อมรถยนต์</t>
  </si>
  <si>
    <t>501 คลังสินค้าพื้นที่ไม่เกิน 300 ตารางเมตร</t>
  </si>
  <si>
    <t>1 ชั้น</t>
  </si>
  <si>
    <t>504 โรงจอดรถ</t>
  </si>
  <si>
    <t>200</t>
  </si>
  <si>
    <t>475</t>
  </si>
  <si>
    <t>528 โรงเลี้ยงสัตว์</t>
  </si>
  <si>
    <t>โรงจอดรถ</t>
  </si>
  <si>
    <t>501 คลังสินค้า พื้นที่ไม่เกิน 300 ตารางเมตร</t>
  </si>
  <si>
    <t>425</t>
  </si>
  <si>
    <t>300 ห้องแถว</t>
  </si>
  <si>
    <t>สำนักงาน</t>
  </si>
  <si>
    <t>ไม้ 1 ชั้น</t>
  </si>
  <si>
    <t>510 ภัตตาคาร</t>
  </si>
  <si>
    <t>พักอาศัย</t>
  </si>
  <si>
    <t>400 ตึกแถว</t>
  </si>
  <si>
    <t>502 ตลังสินค้สาพื้นที่เกินกว่า 300 ตารางเมตรขึ้นไป</t>
  </si>
  <si>
    <t>โกดัง</t>
  </si>
  <si>
    <t>ไม้</t>
  </si>
  <si>
    <t>850</t>
  </si>
  <si>
    <t>502 คลังสินค้าพื้นที่เกินกว่า 300 ตารางเมตรขึ้นไป</t>
  </si>
  <si>
    <t xml:space="preserve">504 โรงจอดรถ </t>
  </si>
  <si>
    <t>ตึก/ไม้</t>
  </si>
  <si>
    <t>ตึก</t>
  </si>
  <si>
    <t>ครึ่งตึก/ไม้</t>
  </si>
  <si>
    <t>450</t>
  </si>
  <si>
    <t>ตึก/ไม้ 2 ชั้น</t>
  </si>
  <si>
    <t>ตึก 2 ห้อง</t>
  </si>
  <si>
    <t>อยู่อาศัย</t>
  </si>
  <si>
    <t>คลังสินค้า พื้นที่ไม่เกิน 300 ตารางเมตร</t>
  </si>
  <si>
    <t>ห้องเช่า</t>
  </si>
  <si>
    <t>ชั้นบน</t>
  </si>
  <si>
    <t>ชั้นล่าง</t>
  </si>
  <si>
    <t>ร้านค้า</t>
  </si>
  <si>
    <t>500</t>
  </si>
  <si>
    <t>512 สถานีบริการน้ำมันเชื้อเพลิง</t>
  </si>
  <si>
    <t>523 ห้องน้ำ</t>
  </si>
  <si>
    <t>725</t>
  </si>
  <si>
    <t>950</t>
  </si>
  <si>
    <t>1,050</t>
  </si>
  <si>
    <t>บ้านเดี่ยว</t>
  </si>
  <si>
    <t>บ้านพักอาศัย</t>
  </si>
  <si>
    <t>501 คลังสินค้า</t>
  </si>
  <si>
    <t>504 จอดรถ</t>
  </si>
  <si>
    <t>ห้อง 1</t>
  </si>
  <si>
    <t>ห้อง2</t>
  </si>
  <si>
    <t>ห้อง 3</t>
  </si>
  <si>
    <t>625</t>
  </si>
  <si>
    <t>509/1 สำนักงานไม่เกิน 5 ชั้น</t>
  </si>
  <si>
    <t>750</t>
  </si>
  <si>
    <t>875</t>
  </si>
  <si>
    <t>650</t>
  </si>
  <si>
    <t>575</t>
  </si>
  <si>
    <t>501 คลังสินค้าพื้นที่ไม่เกิน 300 ตาราง</t>
  </si>
  <si>
    <t xml:space="preserve">ตึก 1 ชั้น </t>
  </si>
  <si>
    <t>สนุกเกอร์</t>
  </si>
  <si>
    <t>ซักผ้าหยอดเหรียญ</t>
  </si>
  <si>
    <t>ตึก 4 ห้อง</t>
  </si>
  <si>
    <t>501 คลังสินค้าพื้นที่ไม่กิน 300 ตร.ม.</t>
  </si>
  <si>
    <t>825</t>
  </si>
  <si>
    <t>ร้านขายอาหาร</t>
  </si>
  <si>
    <t>ร้านเสริมสวย</t>
  </si>
  <si>
    <t>ร้านตัดผม</t>
  </si>
  <si>
    <t>ป้อมยาม</t>
  </si>
  <si>
    <t>523  ห้องน้ำรวม</t>
  </si>
  <si>
    <t>509/1 สำนักงาน ความสูงไม่เกิน 5 ชั้น</t>
  </si>
  <si>
    <t>ตึก 1 ชัน</t>
  </si>
  <si>
    <t>502 คลังสินค้าพื้นที่เกินกว่า 300 ตร.ม.ขึ้นไป</t>
  </si>
  <si>
    <t>ชั้นที่ 1</t>
  </si>
  <si>
    <t>ชั้นที่ 2</t>
  </si>
  <si>
    <t>518 โรงงานซ่อมรถ</t>
  </si>
  <si>
    <t>2 ชั้น</t>
  </si>
  <si>
    <t>ตึด 2 ชั้น</t>
  </si>
  <si>
    <t>ครึ้งตึก/ไม้</t>
  </si>
  <si>
    <t>ตึก1 ชั้น</t>
  </si>
  <si>
    <t>ชั้น 1</t>
  </si>
  <si>
    <t>ชั้น 2</t>
  </si>
  <si>
    <t>100 บ้านเดียว</t>
  </si>
  <si>
    <t>ตึก 1 ชั่น</t>
  </si>
  <si>
    <t>ไม้1 ชั้น</t>
  </si>
  <si>
    <t>คลังสินค้าพื้นที่ไม่เกิน 300 ตารางเมตร</t>
  </si>
  <si>
    <t>บ้านอยู่อาศัย</t>
  </si>
  <si>
    <t>520/1 อาคารอยู่อาศัยรวมความสูงไม่เกิน 5 ชั้น</t>
  </si>
  <si>
    <t xml:space="preserve"> 400 ตึกแถว</t>
  </si>
  <si>
    <t>501 คลังสินค้าพื้นที่ไม่เกิน 300 ตารางวา</t>
  </si>
  <si>
    <t>ตึกแถว</t>
  </si>
  <si>
    <t>100 บ้านดี่ยว</t>
  </si>
  <si>
    <t>1,500</t>
  </si>
  <si>
    <t>975</t>
  </si>
  <si>
    <t>925</t>
  </si>
  <si>
    <t>1,200</t>
  </si>
  <si>
    <t>1,300</t>
  </si>
  <si>
    <t>1,100</t>
  </si>
  <si>
    <t>ตึก 5 ชั้น</t>
  </si>
  <si>
    <t>520/1 อาคารพักอาศัยรวมพื้นที่ไม่เกิน 5 ชั้น</t>
  </si>
  <si>
    <t>4,500</t>
  </si>
  <si>
    <t>493.24</t>
  </si>
  <si>
    <t>ตึคก 1 ชั้น</t>
  </si>
  <si>
    <t>200 บ้านแถว</t>
  </si>
  <si>
    <t>502 คลังสินค้า พื้นที่เกินกว่า 300 คร.ม.</t>
  </si>
  <si>
    <t>อาคารโรงสูบน้ำ</t>
  </si>
  <si>
    <t>ตึก 3 ชั้น</t>
  </si>
  <si>
    <t xml:space="preserve">อาคารห้องน้ำพนักงาน </t>
  </si>
  <si>
    <t>อาคารเก็บขยะ</t>
  </si>
  <si>
    <t>อาคาร SVG STATION</t>
  </si>
  <si>
    <t>Water Tank No.01</t>
  </si>
  <si>
    <t>Water Tank No.02</t>
  </si>
  <si>
    <t>พื้นลานฐานเครื่องจักร 1</t>
  </si>
  <si>
    <t>พื้นลานฐานเครื่องจักร 2</t>
  </si>
  <si>
    <t>คสล.</t>
  </si>
  <si>
    <t>อเนกประสงค์</t>
  </si>
  <si>
    <t>502 คลังสินค้าพื้นที่เกินกว่า  300 ตารางเมตรขึ้นไป</t>
  </si>
  <si>
    <t xml:space="preserve"> 1 ชั้น</t>
  </si>
  <si>
    <t>อู่ซ่อมรถ</t>
  </si>
  <si>
    <t>10I040-B001</t>
  </si>
  <si>
    <t>10I040-B002</t>
  </si>
  <si>
    <t>10I040-B003</t>
  </si>
  <si>
    <t>โครงหลังคาเหล็ก</t>
  </si>
  <si>
    <t>สำนักงาน 1</t>
  </si>
  <si>
    <t>สำนักงาน 2</t>
  </si>
  <si>
    <t>502 คลังสินค้า พื้นที่เกินกว่า 300 ตร.ม.ขึ้นไป</t>
  </si>
  <si>
    <t>510 ภัตาตาคาร</t>
  </si>
  <si>
    <t>502 คลังสินค้าเกินกว่า 300 คร.ม.</t>
  </si>
  <si>
    <t>504 โรงจอรด</t>
  </si>
  <si>
    <t>3 ชั้น</t>
  </si>
  <si>
    <t>509/1 สำนักงาน สูงไม่เกิน 5 ชั้น</t>
  </si>
  <si>
    <t>501 คลังสินค้า พื้นที่ไม่เกิน 300 ตร.ม.</t>
  </si>
  <si>
    <t>3,100</t>
  </si>
  <si>
    <t>คสล.1 ชั้น</t>
  </si>
  <si>
    <t>2,950</t>
  </si>
  <si>
    <t>บ้านแถว</t>
  </si>
  <si>
    <t>6.25</t>
  </si>
  <si>
    <t>1,165</t>
  </si>
  <si>
    <t>764.00</t>
  </si>
  <si>
    <t>90.00</t>
  </si>
  <si>
    <t>397.80</t>
  </si>
  <si>
    <t>244.80</t>
  </si>
  <si>
    <t>158.00</t>
  </si>
  <si>
    <t>128.00</t>
  </si>
  <si>
    <t>48.00</t>
  </si>
  <si>
    <t>สำนักงาน ธ.กรุงเทพ</t>
  </si>
  <si>
    <t>สำนักงานบริษัท สวนอุตสาหกรรมโรจนะ</t>
  </si>
  <si>
    <t xml:space="preserve">ห้องน้ำ </t>
  </si>
  <si>
    <t>2,300</t>
  </si>
  <si>
    <t>5,000</t>
  </si>
  <si>
    <t>2,800</t>
  </si>
  <si>
    <t xml:space="preserve">510 ภัตตาคาร </t>
  </si>
  <si>
    <t>520/1 อาคารอยิอาศัยรวม ความสูงไม่เกิน 5 ชั้น</t>
  </si>
  <si>
    <t>501 คลังสินคา พื้นที่ไม่เกิน 300 ตร.ม.</t>
  </si>
  <si>
    <t>220</t>
  </si>
  <si>
    <t>4,350</t>
  </si>
  <si>
    <t>518 โรงงานซ่อรถ</t>
  </si>
  <si>
    <t>3,750</t>
  </si>
  <si>
    <t>504โรงจอดรถ</t>
  </si>
  <si>
    <t>เช่า</t>
  </si>
  <si>
    <t>ซักผ้าหยอดเรียญ</t>
  </si>
  <si>
    <t>520/1 อาคารอยู่อาศัยรวม  ความสูงไม่เกิน 5 ชั้น</t>
  </si>
  <si>
    <t>513 โรงซ่อมรถ</t>
  </si>
  <si>
    <t>ตึก1ชั้น</t>
  </si>
  <si>
    <t>สังกะสี</t>
  </si>
  <si>
    <t>502 คลังสินค้าพื้นที่ไม่เกิน 300 ตารางเมตร ขึ้นไป</t>
  </si>
  <si>
    <t>501 คลังสินค้าพื้นที่ไม่เกิน 300 ตรารงเมตร</t>
  </si>
  <si>
    <t>501 คลังสินค้าพื้นที่ไม่เกินกว่า 300 ตร.ม.ขึ้นไป</t>
  </si>
  <si>
    <t>501 คลังสินค้า พื้นที่ไม่กิน 300 ตารางเมตร</t>
  </si>
  <si>
    <t xml:space="preserve">502 คลังสินค้า พื้นที่เกินกว่า 300 ตารางเมตรขึ้นไป </t>
  </si>
  <si>
    <t>ตึก ชั้น</t>
  </si>
  <si>
    <t>ตึก 1 ชี้น</t>
  </si>
  <si>
    <t>ไม้  1 ชั้น</t>
  </si>
  <si>
    <t>501 คลังสินค้าพื้นที่ไม่เกิน 300 ตารางเมตรขึ้นไป</t>
  </si>
  <si>
    <t>501  คลังสินค้าพื้นที่ไม่เกิน 300 ตารางเมตร</t>
  </si>
  <si>
    <t>เกษตรกรรม</t>
  </si>
  <si>
    <t>515 ตลาดพื้นที่เกินกว่า 1,000 ตารางเมตรขึ้นไป</t>
  </si>
  <si>
    <t>ร้านอาหาร</t>
  </si>
  <si>
    <t>501 คลังสินค้าพื้นที่ไม่เกิน 300 ตร.ว.</t>
  </si>
  <si>
    <t>ค.ส.ล.2 ชั้นลอย</t>
  </si>
  <si>
    <t>ที่</t>
  </si>
  <si>
    <t>ประเภทที่ดิน</t>
  </si>
  <si>
    <t>เลขที่เอกสารสิทธิ์</t>
  </si>
  <si>
    <t>จำนวนเนื้อที่ดิน</t>
  </si>
  <si>
    <t>ไร่</t>
  </si>
  <si>
    <t>งาน</t>
  </si>
  <si>
    <t>อื่นๆ</t>
  </si>
  <si>
    <t>ว่างเปล่า/ไม่ทำประโยชน์</t>
  </si>
  <si>
    <t>ใช้ประโยชน์หลายประเภท</t>
  </si>
  <si>
    <t>ร้านขายอาหารตามสั่ง</t>
  </si>
  <si>
    <t>น.ส.3.ก</t>
  </si>
  <si>
    <t>น.ส.3</t>
  </si>
  <si>
    <t>100 บ้านเดี่ยว</t>
  </si>
  <si>
    <t>501 คลังสินค้าพื้นที่ 300 ตารางเมตร</t>
  </si>
  <si>
    <t>ตึก  1 ชั้น</t>
  </si>
  <si>
    <t>องค์การบริหารส่วนตำบลหัวหว้า</t>
  </si>
  <si>
    <t>แนวเขตสายไฟฟ้าแรงสูงพาดผ่าน  คำนวณมูลค่าเป็นจำนวนร้อยละ 30 ของราคาประเมินทุนทรัพย์ของที่ดินที่กรมธนารักษ์หรือสำนักงานธนารักษ์พื้นที่จัดส่งให้</t>
  </si>
  <si>
    <t>ตึก 4 ชั้น</t>
  </si>
  <si>
    <t>400 ประเภทตึกแถว</t>
  </si>
  <si>
    <t>ร้านส้มตำ</t>
  </si>
  <si>
    <t>502 คลังสินค้า พื้นที่เกินกว่า 300 ตารางเมตร ขึ้นไป</t>
  </si>
  <si>
    <t>504 โรงจอดรถ (ซักผ้าหยอดเหรียญ)</t>
  </si>
  <si>
    <t xml:space="preserve"> -</t>
  </si>
  <si>
    <t>ภ.ด.ส. 1</t>
  </si>
  <si>
    <t>บัญชีราคาประเมินทุนทรัพย์ของที่ดินและสิ่งปลูกสร้าง</t>
  </si>
  <si>
    <t>ราคาประเมินทุนทรัพย์ของที่ดิน</t>
  </si>
  <si>
    <t>ราคาประเมินทุนทรัพย์ของสิ่งปลูกสร้าง</t>
  </si>
  <si>
    <t>ราคาประเมิน
ของที่ดินและ
สิ่งปลูกสร้างตามสัดส่วนการใช้ประโยชน์</t>
  </si>
  <si>
    <t>หักมูลค่าฐานภาษีที่ได้รับยกเว้น
(ล้านบาท)</t>
  </si>
  <si>
    <t>คงเหลือราคาประเมิน
ทุนทรัพย์
ที่ต้องชำระภาษี
(บาท)</t>
  </si>
  <si>
    <t>อัตราภาษี
(ร้อยละ)</t>
  </si>
  <si>
    <t>ลักษณะการทำประโยชน์</t>
  </si>
  <si>
    <t>คำนวณ
เป็น ตร.ว.</t>
  </si>
  <si>
    <t>ราคาประเมิน
ต่อ ตร.ว. (บาท)</t>
  </si>
  <si>
    <t>รวมราคาประเมินที่ดิน
(บาท)</t>
  </si>
  <si>
    <t>ประเภทของ
สิ่งปลูกสร้างตามบัญชีกรมธนารักษ์</t>
  </si>
  <si>
    <t>ลักษณะ
สิ่งปลูกสร้าง (ตึก/ไม้/ครึ่งตึกครึ่งไม้)</t>
  </si>
  <si>
    <t>ขนาดพื้นที่
สิ่งปลูกสร้าง
(ตร.ม.)</t>
  </si>
  <si>
    <t>คิดเป็นสัดส่วนตามการใช้ประโยชน์
(ร้อยละ)</t>
  </si>
  <si>
    <t>ราคาประเมิน
สิ่งปลูกสร้าง
ต่อ ตร.ม.</t>
  </si>
  <si>
    <t>รวมราคา
สิ่งปลูกสร้าง
(บาท)</t>
  </si>
  <si>
    <t>ค่าเสื่อม</t>
  </si>
  <si>
    <t>ราคาประเมิน
สิ่งปลูกสร้าง
หลังหัก
ค่าเสื่อม (บาท)</t>
  </si>
  <si>
    <t>วา</t>
  </si>
  <si>
    <t>อายุ
สิ่งปลูกสร้าง
(ปี)</t>
  </si>
  <si>
    <t>501 คลังสินค้าพื้นที่ไม่เกกิน 300 ตารางเมตร</t>
  </si>
  <si>
    <t>สถานีบริการน้ำมันเชื้อเพลิง</t>
  </si>
  <si>
    <t>0.3%,0.40%</t>
  </si>
  <si>
    <t>ตึก  2 ชั้น</t>
  </si>
  <si>
    <t>0..30%</t>
  </si>
  <si>
    <t>ตึก 1</t>
  </si>
  <si>
    <t>1ชั้น</t>
  </si>
  <si>
    <t>520/1 อาคารบ้านพักอาศัยรวมไม่เกิน 5 ชั้น</t>
  </si>
  <si>
    <t>100</t>
  </si>
  <si>
    <t>0..02%</t>
  </si>
  <si>
    <t>501 คัลงสินค้าพื้นที่ไม่เกิน 300 ตารางเมทตร</t>
  </si>
  <si>
    <t>501 คลังสินค้าพื้นที่ไม่เกิน 300 ตารางเมตร (ร้านค้า)</t>
  </si>
  <si>
    <t xml:space="preserve">501 คลังสินค้าพื้นที่ไม่เกิน 300 </t>
  </si>
  <si>
    <t>ชั้น 1 -ชั้น 5</t>
  </si>
  <si>
    <t>92.97</t>
  </si>
  <si>
    <t>7.03</t>
  </si>
  <si>
    <t>0.30%,0.40%</t>
  </si>
  <si>
    <t xml:space="preserve">100 บ้านเดี่ยว </t>
  </si>
  <si>
    <t>502 คลังสินค้าเกินกว่า 300 ตารางเมตรขึ้นไป</t>
  </si>
  <si>
    <t>13.33</t>
  </si>
  <si>
    <t>0.30/%</t>
  </si>
  <si>
    <t>ตึก 1 ชั้น 3 ห้อง</t>
  </si>
  <si>
    <t>ร้านเสื้อผ้า</t>
  </si>
  <si>
    <t>ร้านซ่อมมอไซด์</t>
  </si>
  <si>
    <t>ลูกอยุ่</t>
  </si>
  <si>
    <t>ห้องพัก</t>
  </si>
  <si>
    <t>ร้าน หมูกะทะ</t>
  </si>
  <si>
    <t>100  บ้านเดี่ยว</t>
  </si>
  <si>
    <t>0.30%,0.40%,0.50%</t>
  </si>
  <si>
    <t>0.01%,0.03%,0.05%</t>
  </si>
  <si>
    <t>0.01%,0.03%,0.05%,0.07%</t>
  </si>
  <si>
    <t>0.3%,0.4%,0.5%</t>
  </si>
  <si>
    <t>0.3%,0.4%,0.5%,0.6%</t>
  </si>
  <si>
    <t>อยุ่อาศัย</t>
  </si>
  <si>
    <t xml:space="preserve">รวมราคาประเมินของที่ดินและ
สิ่งปลูกสร้าง </t>
  </si>
  <si>
    <t>0.30%,0.40</t>
  </si>
  <si>
    <t>0.3%,0.40%,0.50%</t>
  </si>
  <si>
    <t>[u</t>
  </si>
  <si>
    <t>0.30%.0.40%</t>
  </si>
  <si>
    <t>0.30%0.40%</t>
  </si>
  <si>
    <t>บุคคลธรรมดายกเว้น 3 ปี</t>
  </si>
  <si>
    <t>ส่งพัสดุ</t>
  </si>
  <si>
    <t>510 ภัตตาคาร(ร้านกาแฟ)</t>
  </si>
  <si>
    <t xml:space="preserve"> (ร้านก๋วยเตี๋ยว)</t>
  </si>
  <si>
    <t>เกษตรกรม</t>
  </si>
  <si>
    <t xml:space="preserve">บุคลลธรรมดายกเว้น 3 ปี </t>
  </si>
  <si>
    <t>ยกเว้น 3 ปี</t>
  </si>
  <si>
    <t>ซ่อมลำโพง,ซ่อมเครื่องปั้มนนม</t>
  </si>
  <si>
    <t>ยกเว้ย 3 ปี</t>
  </si>
  <si>
    <t>เกษครกรรม</t>
  </si>
  <si>
    <t>2</t>
  </si>
  <si>
    <t>ค่าเสื่อม
(ร้อยละ)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</si>
</sst>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.00_-;\-* #,##0.00_-;_-* &quot;-&quot;??_-;_-@_-"/>
    <numFmt numFmtId="165" formatCode="0_);\(0\)"/>
    <numFmt numFmtId="166" formatCode="0.0"/>
    <numFmt numFmtId="167" formatCode="0.000%"/>
    <numFmt numFmtId="168" formatCode="_-* #,##0_-;\-* #,##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TH SarabunPSK"/>
      <family val="2"/>
    </font>
    <font>
      <sz val="10"/>
      <color rgb="FF000000"/>
      <name val="Arial"/>
      <family val="2"/>
    </font>
    <font>
      <b/>
      <sz val="16"/>
      <name val="TH SarabunPSK"/>
      <family val="2"/>
    </font>
    <font>
      <sz val="11"/>
      <name val="Calibri"/>
      <family val="2"/>
      <scheme val="minor"/>
    </font>
    <font>
      <b/>
      <sz val="18"/>
      <name val="TH SarabunPSK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4"/>
      <name val="TH SarabunPSK"/>
      <family val="2"/>
    </font>
    <font>
      <sz val="16"/>
      <color theme="1"/>
      <name val="TH SarabunPSK"/>
      <family val="2"/>
    </font>
    <font>
      <sz val="16"/>
      <color rgb="FFFF0000"/>
      <name val="TH SarabunPSK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rgb="FF00FF00"/>
      </patternFill>
    </fill>
    <fill>
      <patternFill patternType="solid">
        <fgColor theme="0" tint="-0.14999847407452621"/>
        <bgColor rgb="FFCCFFCC"/>
      </patternFill>
    </fill>
    <fill>
      <patternFill patternType="solid">
        <fgColor theme="9" tint="0.79998168889431442"/>
        <bgColor rgb="FFFFCC00"/>
      </patternFill>
    </fill>
    <fill>
      <patternFill patternType="solid">
        <fgColor theme="9" tint="0.79998168889431442"/>
        <bgColor rgb="FFFFCC99"/>
      </patternFill>
    </fill>
    <fill>
      <patternFill patternType="solid">
        <fgColor theme="9" tint="0.79998168889431442"/>
        <bgColor rgb="FFCCFFCC"/>
      </patternFill>
    </fill>
    <fill>
      <patternFill patternType="solid">
        <fgColor theme="4" tint="0.79998168889431442"/>
        <bgColor rgb="FF99CCFF"/>
      </patternFill>
    </fill>
    <fill>
      <patternFill patternType="solid">
        <fgColor theme="6" tint="0.59999389629810485"/>
        <bgColor rgb="FFCCFFCC"/>
      </patternFill>
    </fill>
    <fill>
      <patternFill patternType="solid">
        <fgColor theme="8" tint="0.79998168889431442"/>
        <bgColor rgb="FF99CCFF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ont="0" applyBorder="0" applyProtection="0"/>
    <xf numFmtId="0" fontId="1" fillId="0" borderId="0"/>
  </cellStyleXfs>
  <cellXfs count="176">
    <xf numFmtId="0" fontId="0" fillId="0" borderId="0" xfId="0"/>
    <xf numFmtId="2" fontId="4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" fontId="2" fillId="2" borderId="0" xfId="0" applyNumberFormat="1" applyFont="1" applyFill="1" applyAlignment="1">
      <alignment horizontal="center" vertical="center"/>
    </xf>
    <xf numFmtId="43" fontId="2" fillId="2" borderId="0" xfId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2" fontId="2" fillId="2" borderId="0" xfId="1" applyNumberFormat="1" applyFont="1" applyFill="1" applyAlignment="1">
      <alignment horizontal="center" vertical="center"/>
    </xf>
    <xf numFmtId="43" fontId="2" fillId="2" borderId="0" xfId="1" applyFont="1" applyFill="1" applyAlignment="1">
      <alignment horizontal="center" vertical="center"/>
    </xf>
    <xf numFmtId="1" fontId="2" fillId="2" borderId="0" xfId="1" applyNumberFormat="1" applyFont="1" applyFill="1" applyAlignment="1">
      <alignment horizontal="center" vertical="center"/>
    </xf>
    <xf numFmtId="4" fontId="2" fillId="2" borderId="0" xfId="1" applyNumberFormat="1" applyFont="1" applyFill="1" applyAlignment="1">
      <alignment horizontal="center" vertical="center"/>
    </xf>
    <xf numFmtId="3" fontId="2" fillId="2" borderId="0" xfId="1" applyNumberFormat="1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top"/>
    </xf>
    <xf numFmtId="3" fontId="4" fillId="2" borderId="0" xfId="1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3" fontId="4" fillId="2" borderId="0" xfId="1" applyFont="1" applyFill="1" applyAlignment="1">
      <alignment horizontal="center" vertical="center"/>
    </xf>
    <xf numFmtId="4" fontId="4" fillId="2" borderId="0" xfId="0" applyNumberFormat="1" applyFont="1" applyFill="1" applyAlignment="1">
      <alignment horizontal="center" vertical="center"/>
    </xf>
    <xf numFmtId="4" fontId="4" fillId="2" borderId="0" xfId="1" applyNumberFormat="1" applyFont="1" applyFill="1" applyAlignment="1">
      <alignment horizontal="center" vertical="center"/>
    </xf>
    <xf numFmtId="2" fontId="2" fillId="2" borderId="0" xfId="0" applyNumberFormat="1" applyFont="1" applyFill="1" applyAlignment="1">
      <alignment horizontal="center" vertical="center"/>
    </xf>
    <xf numFmtId="3" fontId="2" fillId="2" borderId="0" xfId="1" applyNumberFormat="1" applyFont="1" applyFill="1" applyAlignment="1">
      <alignment horizontal="center" vertical="center"/>
    </xf>
    <xf numFmtId="4" fontId="2" fillId="2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2" fontId="2" fillId="0" borderId="1" xfId="1" applyNumberFormat="1" applyFont="1" applyFill="1" applyBorder="1" applyAlignment="1">
      <alignment horizontal="center" vertical="center" wrapText="1"/>
    </xf>
    <xf numFmtId="49" fontId="2" fillId="0" borderId="1" xfId="1" applyNumberFormat="1" applyFont="1" applyFill="1" applyBorder="1" applyAlignment="1">
      <alignment horizontal="center" vertical="center" wrapText="1"/>
    </xf>
    <xf numFmtId="4" fontId="2" fillId="0" borderId="1" xfId="1" applyNumberFormat="1" applyFont="1" applyFill="1" applyBorder="1" applyAlignment="1">
      <alignment horizontal="center" vertical="center" wrapText="1"/>
    </xf>
    <xf numFmtId="3" fontId="2" fillId="0" borderId="1" xfId="1" applyNumberFormat="1" applyFont="1" applyFill="1" applyBorder="1" applyAlignment="1">
      <alignment horizontal="center" vertical="center" wrapText="1"/>
    </xf>
    <xf numFmtId="43" fontId="2" fillId="0" borderId="1" xfId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4" fontId="2" fillId="0" borderId="1" xfId="1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1" fontId="2" fillId="0" borderId="1" xfId="0" applyNumberFormat="1" applyFont="1" applyFill="1" applyBorder="1" applyAlignment="1" applyProtection="1">
      <alignment horizontal="center" vertical="center"/>
      <protection locked="0"/>
    </xf>
    <xf numFmtId="164" fontId="2" fillId="0" borderId="1" xfId="1" applyNumberFormat="1" applyFont="1" applyFill="1" applyBorder="1" applyAlignment="1" applyProtection="1">
      <alignment horizontal="center" vertical="center"/>
      <protection locked="0"/>
    </xf>
    <xf numFmtId="2" fontId="2" fillId="0" borderId="1" xfId="0" applyNumberFormat="1" applyFont="1" applyFill="1" applyBorder="1" applyAlignment="1">
      <alignment horizontal="center" vertical="center"/>
    </xf>
    <xf numFmtId="43" fontId="2" fillId="0" borderId="1" xfId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 wrapText="1"/>
    </xf>
    <xf numFmtId="49" fontId="2" fillId="2" borderId="0" xfId="0" applyNumberFormat="1" applyFont="1" applyFill="1" applyAlignment="1">
      <alignment horizontal="center" vertical="center" wrapText="1"/>
    </xf>
    <xf numFmtId="3" fontId="2" fillId="0" borderId="1" xfId="1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0" borderId="1" xfId="1" applyNumberFormat="1" applyFont="1" applyFill="1" applyBorder="1" applyAlignment="1" applyProtection="1">
      <alignment horizontal="center" vertical="center" wrapText="1"/>
      <protection locked="0"/>
    </xf>
    <xf numFmtId="2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2" fillId="0" borderId="1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1" xfId="1" applyNumberFormat="1" applyFont="1" applyFill="1" applyBorder="1" applyAlignment="1" applyProtection="1">
      <alignment horizontal="center" vertical="center" wrapText="1"/>
      <protection locked="0"/>
    </xf>
    <xf numFmtId="2" fontId="2" fillId="0" borderId="1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43" fontId="2" fillId="0" borderId="1" xfId="1" applyFont="1" applyFill="1" applyBorder="1" applyAlignment="1" applyProtection="1">
      <alignment horizontal="center" vertical="center" wrapText="1"/>
      <protection locked="0"/>
    </xf>
    <xf numFmtId="10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" fontId="2" fillId="0" borderId="1" xfId="1" applyNumberFormat="1" applyFont="1" applyFill="1" applyBorder="1" applyAlignment="1" applyProtection="1">
      <alignment horizontal="center" vertical="center" wrapText="1"/>
      <protection locked="0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2" fillId="0" borderId="7" xfId="0" applyFont="1" applyFill="1" applyBorder="1" applyAlignment="1" applyProtection="1">
      <alignment horizontal="center" vertical="center" wrapText="1"/>
      <protection locked="0"/>
    </xf>
    <xf numFmtId="1" fontId="2" fillId="0" borderId="7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7" xfId="1" applyNumberFormat="1" applyFont="1" applyFill="1" applyBorder="1" applyAlignment="1" applyProtection="1">
      <alignment horizontal="center" vertical="center" wrapText="1"/>
      <protection locked="0"/>
    </xf>
    <xf numFmtId="2" fontId="2" fillId="0" borderId="7" xfId="0" applyNumberFormat="1" applyFont="1" applyFill="1" applyBorder="1" applyAlignment="1">
      <alignment horizontal="center" vertical="center" wrapText="1"/>
    </xf>
    <xf numFmtId="3" fontId="2" fillId="0" borderId="7" xfId="1" applyNumberFormat="1" applyFont="1" applyFill="1" applyBorder="1" applyAlignment="1">
      <alignment horizontal="center" vertical="center" wrapText="1"/>
    </xf>
    <xf numFmtId="43" fontId="2" fillId="0" borderId="7" xfId="1" applyFont="1" applyFill="1" applyBorder="1" applyAlignment="1">
      <alignment horizontal="center" vertical="center" wrapText="1"/>
    </xf>
    <xf numFmtId="4" fontId="2" fillId="0" borderId="7" xfId="1" applyNumberFormat="1" applyFont="1" applyFill="1" applyBorder="1" applyAlignment="1">
      <alignment horizontal="center" vertical="center" wrapText="1"/>
    </xf>
    <xf numFmtId="1" fontId="2" fillId="0" borderId="1" xfId="1" applyNumberFormat="1" applyFont="1" applyFill="1" applyBorder="1" applyAlignment="1">
      <alignment horizontal="center" vertical="center" wrapText="1"/>
    </xf>
    <xf numFmtId="164" fontId="2" fillId="0" borderId="1" xfId="1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4" fontId="11" fillId="0" borderId="1" xfId="1" applyNumberFormat="1" applyFont="1" applyFill="1" applyBorder="1" applyAlignment="1">
      <alignment horizontal="center" vertical="center" wrapText="1"/>
    </xf>
    <xf numFmtId="3" fontId="11" fillId="0" borderId="1" xfId="1" applyNumberFormat="1" applyFont="1" applyFill="1" applyBorder="1" applyAlignment="1">
      <alignment horizontal="center" vertical="center" wrapText="1"/>
    </xf>
    <xf numFmtId="164" fontId="11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43" fontId="11" fillId="0" borderId="1" xfId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 vertical="center" wrapText="1"/>
    </xf>
    <xf numFmtId="3" fontId="2" fillId="0" borderId="8" xfId="1" applyNumberFormat="1" applyFont="1" applyFill="1" applyBorder="1" applyAlignment="1" applyProtection="1">
      <alignment horizontal="center" vertical="center"/>
    </xf>
    <xf numFmtId="165" fontId="2" fillId="0" borderId="1" xfId="1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164" fontId="2" fillId="0" borderId="1" xfId="1" applyNumberFormat="1" applyFont="1" applyFill="1" applyBorder="1" applyAlignment="1">
      <alignment horizontal="center" vertical="center"/>
    </xf>
    <xf numFmtId="43" fontId="2" fillId="0" borderId="1" xfId="0" applyNumberFormat="1" applyFont="1" applyFill="1" applyBorder="1" applyAlignment="1">
      <alignment horizontal="center" vertical="center" wrapText="1"/>
    </xf>
    <xf numFmtId="3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0" fontId="9" fillId="0" borderId="1" xfId="0" applyNumberFormat="1" applyFont="1" applyFill="1" applyBorder="1" applyAlignment="1">
      <alignment horizontal="center" vertical="center" wrapText="1"/>
    </xf>
    <xf numFmtId="2" fontId="2" fillId="0" borderId="1" xfId="1" applyNumberFormat="1" applyFont="1" applyFill="1" applyBorder="1" applyAlignment="1" applyProtection="1">
      <alignment horizontal="center" vertical="center"/>
      <protection locked="0"/>
    </xf>
    <xf numFmtId="3" fontId="2" fillId="0" borderId="1" xfId="1" applyNumberFormat="1" applyFont="1" applyFill="1" applyBorder="1" applyAlignment="1" applyProtection="1">
      <alignment horizontal="center" vertical="center"/>
      <protection locked="0"/>
    </xf>
    <xf numFmtId="1" fontId="2" fillId="0" borderId="1" xfId="1" applyNumberFormat="1" applyFont="1" applyFill="1" applyBorder="1" applyAlignment="1">
      <alignment horizontal="center" vertical="center"/>
    </xf>
    <xf numFmtId="43" fontId="2" fillId="0" borderId="1" xfId="1" applyNumberFormat="1" applyFont="1" applyFill="1" applyBorder="1" applyAlignment="1" applyProtection="1">
      <alignment horizontal="center" vertical="center" wrapText="1"/>
      <protection locked="0"/>
    </xf>
    <xf numFmtId="2" fontId="2" fillId="0" borderId="1" xfId="1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4" fontId="2" fillId="0" borderId="1" xfId="1" applyNumberFormat="1" applyFont="1" applyFill="1" applyBorder="1" applyAlignment="1" applyProtection="1">
      <alignment horizontal="center" vertical="center"/>
      <protection locked="0"/>
    </xf>
    <xf numFmtId="4" fontId="2" fillId="0" borderId="1" xfId="0" applyNumberFormat="1" applyFont="1" applyFill="1" applyBorder="1" applyAlignment="1" applyProtection="1">
      <alignment horizontal="center" vertical="center"/>
      <protection locked="0"/>
    </xf>
    <xf numFmtId="43" fontId="2" fillId="0" borderId="1" xfId="1" applyFont="1" applyFill="1" applyBorder="1" applyAlignment="1" applyProtection="1">
      <alignment horizontal="center" vertical="center"/>
      <protection locked="0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 shrinkToFit="1"/>
      <protection locked="0"/>
    </xf>
    <xf numFmtId="1" fontId="2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2" fontId="2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1" fontId="2" fillId="0" borderId="1" xfId="1" applyNumberFormat="1" applyFont="1" applyFill="1" applyBorder="1" applyAlignment="1" applyProtection="1">
      <alignment horizontal="center" vertical="center" wrapText="1" shrinkToFit="1"/>
      <protection locked="0"/>
    </xf>
    <xf numFmtId="4" fontId="2" fillId="0" borderId="1" xfId="1" applyNumberFormat="1" applyFont="1" applyFill="1" applyBorder="1" applyAlignment="1" applyProtection="1">
      <alignment horizontal="center" vertical="center" wrapText="1" shrinkToFit="1"/>
      <protection locked="0"/>
    </xf>
    <xf numFmtId="43" fontId="2" fillId="0" borderId="6" xfId="1" applyFont="1" applyFill="1" applyBorder="1" applyAlignment="1">
      <alignment horizontal="center" vertical="center"/>
    </xf>
    <xf numFmtId="3" fontId="2" fillId="0" borderId="6" xfId="1" applyNumberFormat="1" applyFont="1" applyFill="1" applyBorder="1" applyAlignment="1">
      <alignment horizontal="center" vertical="center"/>
    </xf>
    <xf numFmtId="4" fontId="2" fillId="0" borderId="6" xfId="0" applyNumberFormat="1" applyFont="1" applyFill="1" applyBorder="1" applyAlignment="1">
      <alignment horizontal="center" vertical="center"/>
    </xf>
    <xf numFmtId="1" fontId="2" fillId="0" borderId="6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166" fontId="2" fillId="0" borderId="1" xfId="0" applyNumberFormat="1" applyFont="1" applyFill="1" applyBorder="1" applyAlignment="1">
      <alignment horizontal="center" vertical="center"/>
    </xf>
    <xf numFmtId="43" fontId="2" fillId="0" borderId="2" xfId="1" applyFont="1" applyFill="1" applyBorder="1" applyAlignment="1">
      <alignment horizontal="center" vertical="center"/>
    </xf>
    <xf numFmtId="3" fontId="2" fillId="0" borderId="2" xfId="1" applyNumberFormat="1" applyFont="1" applyFill="1" applyBorder="1" applyAlignment="1">
      <alignment horizontal="center" vertical="center"/>
    </xf>
    <xf numFmtId="4" fontId="2" fillId="0" borderId="2" xfId="1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 applyProtection="1">
      <alignment horizontal="center" vertical="center" wrapText="1"/>
      <protection locked="0"/>
    </xf>
    <xf numFmtId="1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2" xfId="1" applyNumberFormat="1" applyFont="1" applyFill="1" applyBorder="1" applyAlignment="1" applyProtection="1">
      <alignment horizontal="center" vertical="center" wrapText="1"/>
      <protection locked="0"/>
    </xf>
    <xf numFmtId="2" fontId="2" fillId="0" borderId="2" xfId="1" applyNumberFormat="1" applyFont="1" applyFill="1" applyBorder="1" applyAlignment="1">
      <alignment horizontal="center" vertical="center"/>
    </xf>
    <xf numFmtId="1" fontId="2" fillId="0" borderId="2" xfId="1" applyNumberFormat="1" applyFont="1" applyFill="1" applyBorder="1" applyAlignment="1">
      <alignment horizontal="center" vertical="center"/>
    </xf>
    <xf numFmtId="2" fontId="2" fillId="0" borderId="1" xfId="0" applyNumberFormat="1" applyFont="1" applyFill="1" applyBorder="1" applyAlignment="1" applyProtection="1">
      <alignment horizontal="center" vertical="center"/>
      <protection locked="0"/>
    </xf>
    <xf numFmtId="3" fontId="2" fillId="0" borderId="1" xfId="0" applyNumberFormat="1" applyFont="1" applyFill="1" applyBorder="1" applyAlignment="1" applyProtection="1">
      <alignment horizontal="center" vertical="center"/>
      <protection locked="0"/>
    </xf>
    <xf numFmtId="3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39" fontId="2" fillId="0" borderId="1" xfId="1" applyNumberFormat="1" applyFont="1" applyFill="1" applyBorder="1" applyAlignment="1">
      <alignment horizontal="center" vertical="center"/>
    </xf>
    <xf numFmtId="1" fontId="2" fillId="0" borderId="1" xfId="1" applyNumberFormat="1" applyFont="1" applyFill="1" applyBorder="1" applyAlignment="1" applyProtection="1">
      <alignment horizontal="center" vertical="center"/>
      <protection locked="0"/>
    </xf>
    <xf numFmtId="168" fontId="2" fillId="0" borderId="1" xfId="1" applyNumberFormat="1" applyFont="1" applyFill="1" applyBorder="1" applyAlignment="1" applyProtection="1">
      <alignment horizontal="center" vertical="center"/>
      <protection locked="0"/>
    </xf>
    <xf numFmtId="49" fontId="2" fillId="0" borderId="1" xfId="1" applyNumberFormat="1" applyFont="1" applyFill="1" applyBorder="1" applyAlignment="1">
      <alignment horizontal="center" vertical="center"/>
    </xf>
    <xf numFmtId="164" fontId="2" fillId="0" borderId="2" xfId="1" applyNumberFormat="1" applyFont="1" applyFill="1" applyBorder="1" applyAlignment="1">
      <alignment horizontal="center" vertical="center"/>
    </xf>
    <xf numFmtId="0" fontId="2" fillId="0" borderId="0" xfId="0" applyFont="1" applyFill="1" applyAlignment="1" applyProtection="1">
      <alignment horizontal="center" vertical="center" wrapText="1"/>
      <protection locked="0"/>
    </xf>
    <xf numFmtId="39" fontId="2" fillId="0" borderId="1" xfId="1" applyNumberFormat="1" applyFont="1" applyFill="1" applyBorder="1" applyAlignment="1" applyProtection="1">
      <alignment horizontal="center" vertical="center" wrapText="1"/>
      <protection locked="0"/>
    </xf>
    <xf numFmtId="164" fontId="2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2" fontId="2" fillId="0" borderId="1" xfId="0" applyNumberFormat="1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43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1" fontId="10" fillId="0" borderId="1" xfId="0" applyNumberFormat="1" applyFont="1" applyFill="1" applyBorder="1" applyAlignment="1">
      <alignment horizontal="center" vertical="center" wrapText="1"/>
    </xf>
    <xf numFmtId="2" fontId="10" fillId="0" borderId="1" xfId="1" applyNumberFormat="1" applyFont="1" applyFill="1" applyBorder="1" applyAlignment="1">
      <alignment horizontal="center" vertical="center" wrapText="1"/>
    </xf>
    <xf numFmtId="3" fontId="10" fillId="0" borderId="1" xfId="1" applyNumberFormat="1" applyFont="1" applyFill="1" applyBorder="1" applyAlignment="1">
      <alignment horizontal="center" vertical="center" wrapText="1"/>
    </xf>
    <xf numFmtId="4" fontId="10" fillId="0" borderId="1" xfId="1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1" xfId="0" applyFont="1" applyFill="1" applyBorder="1" applyAlignment="1">
      <alignment vertical="center" wrapText="1"/>
    </xf>
    <xf numFmtId="4" fontId="2" fillId="0" borderId="0" xfId="0" applyNumberFormat="1" applyFont="1" applyFill="1" applyAlignment="1">
      <alignment horizontal="center" vertical="center"/>
    </xf>
    <xf numFmtId="43" fontId="4" fillId="2" borderId="0" xfId="1" applyFont="1" applyFill="1" applyAlignment="1">
      <alignment horizontal="center" vertical="center" wrapText="1"/>
    </xf>
    <xf numFmtId="0" fontId="4" fillId="2" borderId="0" xfId="0" applyNumberFormat="1" applyFont="1" applyFill="1" applyAlignment="1">
      <alignment horizontal="center" vertical="center" wrapText="1"/>
    </xf>
    <xf numFmtId="10" fontId="2" fillId="0" borderId="2" xfId="0" applyNumberFormat="1" applyFont="1" applyFill="1" applyBorder="1" applyAlignment="1">
      <alignment horizontal="center" vertical="center" wrapText="1"/>
    </xf>
    <xf numFmtId="167" fontId="2" fillId="0" borderId="1" xfId="0" applyNumberFormat="1" applyFont="1" applyFill="1" applyBorder="1" applyAlignment="1">
      <alignment horizontal="center" vertical="center" wrapText="1"/>
    </xf>
    <xf numFmtId="0" fontId="2" fillId="2" borderId="0" xfId="0" applyNumberFormat="1" applyFont="1" applyFill="1" applyAlignment="1">
      <alignment horizontal="center" vertical="center" wrapText="1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2" fillId="0" borderId="7" xfId="0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3" fontId="2" fillId="6" borderId="1" xfId="1" applyFont="1" applyFill="1" applyBorder="1" applyAlignment="1">
      <alignment horizontal="center" vertical="top" wrapText="1"/>
    </xf>
    <xf numFmtId="0" fontId="2" fillId="6" borderId="1" xfId="0" applyFont="1" applyFill="1" applyBorder="1" applyAlignment="1">
      <alignment horizontal="center" vertical="top"/>
    </xf>
    <xf numFmtId="4" fontId="2" fillId="6" borderId="1" xfId="0" applyNumberFormat="1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top"/>
    </xf>
    <xf numFmtId="0" fontId="2" fillId="6" borderId="1" xfId="0" applyFont="1" applyFill="1" applyBorder="1" applyAlignment="1">
      <alignment horizontal="center" vertical="top" wrapText="1"/>
    </xf>
    <xf numFmtId="4" fontId="2" fillId="6" borderId="2" xfId="0" applyNumberFormat="1" applyFont="1" applyFill="1" applyBorder="1" applyAlignment="1">
      <alignment horizontal="center" vertical="top" wrapText="1"/>
    </xf>
    <xf numFmtId="4" fontId="2" fillId="6" borderId="5" xfId="0" applyNumberFormat="1" applyFont="1" applyFill="1" applyBorder="1" applyAlignment="1">
      <alignment horizontal="center" vertical="top" wrapText="1"/>
    </xf>
    <xf numFmtId="4" fontId="2" fillId="6" borderId="6" xfId="0" applyNumberFormat="1" applyFont="1" applyFill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4" fontId="2" fillId="6" borderId="1" xfId="1" applyNumberFormat="1" applyFont="1" applyFill="1" applyBorder="1" applyAlignment="1">
      <alignment horizontal="center" vertical="top" wrapText="1"/>
    </xf>
    <xf numFmtId="2" fontId="2" fillId="6" borderId="1" xfId="0" applyNumberFormat="1" applyFont="1" applyFill="1" applyBorder="1" applyAlignment="1">
      <alignment horizontal="center" vertical="top" wrapText="1"/>
    </xf>
    <xf numFmtId="3" fontId="2" fillId="6" borderId="1" xfId="1" applyNumberFormat="1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top" wrapText="1"/>
    </xf>
    <xf numFmtId="49" fontId="2" fillId="4" borderId="1" xfId="0" applyNumberFormat="1" applyFont="1" applyFill="1" applyBorder="1" applyAlignment="1">
      <alignment horizontal="center" vertical="top" wrapText="1"/>
    </xf>
    <xf numFmtId="43" fontId="2" fillId="4" borderId="1" xfId="1" applyFont="1" applyFill="1" applyBorder="1" applyAlignment="1">
      <alignment horizontal="center" vertical="top" wrapText="1"/>
    </xf>
    <xf numFmtId="3" fontId="2" fillId="4" borderId="1" xfId="1" applyNumberFormat="1" applyFont="1" applyFill="1" applyBorder="1" applyAlignment="1">
      <alignment horizontal="center" vertical="top" wrapText="1"/>
    </xf>
    <xf numFmtId="4" fontId="2" fillId="9" borderId="1" xfId="0" applyNumberFormat="1" applyFont="1" applyFill="1" applyBorder="1" applyAlignment="1">
      <alignment horizontal="center" vertical="top" wrapText="1"/>
    </xf>
    <xf numFmtId="0" fontId="6" fillId="2" borderId="0" xfId="0" applyFont="1" applyFill="1" applyAlignment="1">
      <alignment horizontal="center" vertical="center"/>
    </xf>
    <xf numFmtId="49" fontId="6" fillId="2" borderId="0" xfId="0" applyNumberFormat="1" applyFont="1" applyFill="1" applyAlignment="1">
      <alignment horizontal="center" vertical="center"/>
    </xf>
    <xf numFmtId="43" fontId="6" fillId="2" borderId="0" xfId="1" applyFont="1" applyFill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3" fontId="2" fillId="3" borderId="1" xfId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43" fontId="2" fillId="5" borderId="1" xfId="1" applyFont="1" applyFill="1" applyBorder="1" applyAlignment="1">
      <alignment horizontal="center" vertical="center"/>
    </xf>
    <xf numFmtId="43" fontId="2" fillId="10" borderId="1" xfId="1" applyFont="1" applyFill="1" applyBorder="1" applyAlignment="1">
      <alignment horizontal="center" vertical="top" wrapText="1"/>
    </xf>
    <xf numFmtId="43" fontId="2" fillId="8" borderId="1" xfId="1" applyFont="1" applyFill="1" applyBorder="1" applyAlignment="1">
      <alignment horizontal="center" vertical="top" wrapText="1"/>
    </xf>
    <xf numFmtId="4" fontId="2" fillId="8" borderId="1" xfId="0" applyNumberFormat="1" applyFont="1" applyFill="1" applyBorder="1" applyAlignment="1">
      <alignment horizontal="center" vertical="top" wrapText="1"/>
    </xf>
    <xf numFmtId="0" fontId="2" fillId="8" borderId="1" xfId="0" applyNumberFormat="1" applyFont="1" applyFill="1" applyBorder="1" applyAlignment="1">
      <alignment horizontal="center" vertical="top" wrapText="1"/>
    </xf>
  </cellXfs>
  <cellStyles count="4">
    <cellStyle name="Text" xfId="2" xr:uid="{246B79F7-0F64-42FA-94DF-E341832F34BC}"/>
    <cellStyle name="จุลภาค" xfId="1" builtinId="3"/>
    <cellStyle name="ปกติ" xfId="0" builtinId="0"/>
    <cellStyle name="ปกติ 2" xfId="3" xr:uid="{2FF40A2B-7D1F-45CF-A0E7-0206421245B1}"/>
  </cellStyles>
  <dxfs count="1">
    <dxf>
      <font>
        <color theme="0"/>
      </font>
    </dxf>
  </dxfs>
  <tableStyles count="0" defaultTableStyle="TableStyleMedium2" defaultPivotStyle="PivotStyleLight16"/>
  <colors>
    <mruColors>
      <color rgb="FF66FF33"/>
      <color rgb="FFCC00CC"/>
      <color rgb="FFFF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C6696-7365-4057-99BD-5C831243600D}">
  <sheetPr>
    <tabColor rgb="FF00B0F0"/>
  </sheetPr>
  <dimension ref="A1:WUO5196"/>
  <sheetViews>
    <sheetView tabSelected="1" topLeftCell="A3570" zoomScale="50" zoomScaleNormal="50" workbookViewId="0">
      <selection activeCell="X3578" sqref="X3578"/>
    </sheetView>
  </sheetViews>
  <sheetFormatPr defaultColWidth="14.42578125" defaultRowHeight="75.75" customHeight="1" x14ac:dyDescent="0.25"/>
  <cols>
    <col min="1" max="1" width="5.85546875" style="2" bestFit="1" customWidth="1"/>
    <col min="2" max="2" width="8.28515625" style="2" customWidth="1"/>
    <col min="3" max="3" width="8.7109375" style="2" customWidth="1"/>
    <col min="4" max="4" width="6.85546875" style="2" customWidth="1"/>
    <col min="5" max="5" width="7.28515625" style="2" customWidth="1"/>
    <col min="6" max="6" width="8.85546875" style="2" customWidth="1"/>
    <col min="7" max="7" width="14" style="39" customWidth="1"/>
    <col min="8" max="8" width="12.28515625" style="7" customWidth="1"/>
    <col min="9" max="9" width="10.85546875" style="10" customWidth="1"/>
    <col min="10" max="10" width="15.42578125" style="2" customWidth="1"/>
    <col min="11" max="11" width="9" style="3" bestFit="1" customWidth="1"/>
    <col min="12" max="12" width="16.7109375" style="5" customWidth="1"/>
    <col min="13" max="13" width="14.5703125" style="17" customWidth="1"/>
    <col min="14" max="14" width="9.7109375" style="3" customWidth="1"/>
    <col min="15" max="15" width="14.140625" style="9" customWidth="1"/>
    <col min="16" max="16" width="14" style="6" customWidth="1"/>
    <col min="17" max="17" width="14.140625" style="18" customWidth="1"/>
    <col min="18" max="18" width="16.42578125" style="7" customWidth="1"/>
    <col min="19" max="19" width="7.140625" style="8" customWidth="1"/>
    <col min="20" max="20" width="16.42578125" style="9" customWidth="1"/>
    <col min="21" max="21" width="16.140625" style="8" customWidth="1"/>
    <col min="22" max="22" width="16.85546875" style="7" customWidth="1"/>
    <col min="23" max="23" width="16.5703125" style="7" customWidth="1"/>
    <col min="24" max="24" width="14.140625" style="9" customWidth="1"/>
    <col min="25" max="25" width="16.28515625" style="4" customWidth="1"/>
    <col min="26" max="26" width="13.28515625" style="142" customWidth="1"/>
    <col min="27" max="84" width="14.42578125" style="2"/>
    <col min="85" max="85" width="7.28515625" style="2" customWidth="1"/>
    <col min="86" max="86" width="16" style="2" customWidth="1"/>
    <col min="87" max="89" width="14.42578125" style="2"/>
    <col min="90" max="90" width="12.7109375" style="2" customWidth="1"/>
    <col min="91" max="91" width="5.7109375" style="2" customWidth="1"/>
    <col min="92" max="92" width="7.28515625" style="2" customWidth="1"/>
    <col min="93" max="93" width="8.85546875" style="2" customWidth="1"/>
    <col min="94" max="94" width="14.28515625" style="2" customWidth="1"/>
    <col min="95" max="95" width="14.42578125" style="2"/>
    <col min="96" max="96" width="13.28515625" style="2" customWidth="1"/>
    <col min="97" max="97" width="14.42578125" style="2"/>
    <col min="98" max="98" width="11.7109375" style="2" customWidth="1"/>
    <col min="99" max="99" width="17.28515625" style="2" customWidth="1"/>
    <col min="100" max="100" width="26.85546875" style="2" customWidth="1"/>
    <col min="101" max="101" width="31.28515625" style="2" customWidth="1"/>
    <col min="102" max="102" width="12.85546875" style="2" customWidth="1"/>
    <col min="103" max="103" width="12.7109375" style="2" customWidth="1"/>
    <col min="104" max="104" width="11.7109375" style="2" customWidth="1"/>
    <col min="105" max="105" width="10" style="2" customWidth="1"/>
    <col min="106" max="106" width="11.85546875" style="2" customWidth="1"/>
    <col min="107" max="107" width="10.85546875" style="2" customWidth="1"/>
    <col min="108" max="108" width="10.28515625" style="2" customWidth="1"/>
    <col min="109" max="109" width="10.42578125" style="2" customWidth="1"/>
    <col min="110" max="110" width="16.42578125" style="2" customWidth="1"/>
    <col min="111" max="111" width="27.28515625" style="2" customWidth="1"/>
    <col min="112" max="112" width="15.140625" style="2" customWidth="1"/>
    <col min="113" max="148" width="11.42578125" style="2" customWidth="1"/>
    <col min="149" max="149" width="11.140625" style="2" customWidth="1"/>
    <col min="150" max="340" width="14.42578125" style="2"/>
    <col min="341" max="341" width="7.28515625" style="2" customWidth="1"/>
    <col min="342" max="342" width="16" style="2" customWidth="1"/>
    <col min="343" max="345" width="14.42578125" style="2"/>
    <col min="346" max="346" width="12.7109375" style="2" customWidth="1"/>
    <col min="347" max="347" width="5.7109375" style="2" customWidth="1"/>
    <col min="348" max="348" width="7.28515625" style="2" customWidth="1"/>
    <col min="349" max="349" width="8.85546875" style="2" customWidth="1"/>
    <col min="350" max="350" width="14.28515625" style="2" customWidth="1"/>
    <col min="351" max="351" width="14.42578125" style="2"/>
    <col min="352" max="352" width="13.28515625" style="2" customWidth="1"/>
    <col min="353" max="353" width="14.42578125" style="2"/>
    <col min="354" max="354" width="11.7109375" style="2" customWidth="1"/>
    <col min="355" max="355" width="17.28515625" style="2" customWidth="1"/>
    <col min="356" max="356" width="26.85546875" style="2" customWidth="1"/>
    <col min="357" max="357" width="31.28515625" style="2" customWidth="1"/>
    <col min="358" max="358" width="12.85546875" style="2" customWidth="1"/>
    <col min="359" max="359" width="12.7109375" style="2" customWidth="1"/>
    <col min="360" max="360" width="11.7109375" style="2" customWidth="1"/>
    <col min="361" max="361" width="10" style="2" customWidth="1"/>
    <col min="362" max="362" width="11.85546875" style="2" customWidth="1"/>
    <col min="363" max="363" width="10.85546875" style="2" customWidth="1"/>
    <col min="364" max="364" width="10.28515625" style="2" customWidth="1"/>
    <col min="365" max="365" width="10.42578125" style="2" customWidth="1"/>
    <col min="366" max="366" width="16.42578125" style="2" customWidth="1"/>
    <col min="367" max="367" width="27.28515625" style="2" customWidth="1"/>
    <col min="368" max="368" width="15.140625" style="2" customWidth="1"/>
    <col min="369" max="404" width="11.42578125" style="2" customWidth="1"/>
    <col min="405" max="405" width="11.140625" style="2" customWidth="1"/>
    <col min="406" max="596" width="14.42578125" style="2"/>
    <col min="597" max="597" width="7.28515625" style="2" customWidth="1"/>
    <col min="598" max="598" width="16" style="2" customWidth="1"/>
    <col min="599" max="601" width="14.42578125" style="2"/>
    <col min="602" max="602" width="12.7109375" style="2" customWidth="1"/>
    <col min="603" max="603" width="5.7109375" style="2" customWidth="1"/>
    <col min="604" max="604" width="7.28515625" style="2" customWidth="1"/>
    <col min="605" max="605" width="8.85546875" style="2" customWidth="1"/>
    <col min="606" max="606" width="14.28515625" style="2" customWidth="1"/>
    <col min="607" max="607" width="14.42578125" style="2"/>
    <col min="608" max="608" width="13.28515625" style="2" customWidth="1"/>
    <col min="609" max="609" width="14.42578125" style="2"/>
    <col min="610" max="610" width="11.7109375" style="2" customWidth="1"/>
    <col min="611" max="611" width="17.28515625" style="2" customWidth="1"/>
    <col min="612" max="612" width="26.85546875" style="2" customWidth="1"/>
    <col min="613" max="613" width="31.28515625" style="2" customWidth="1"/>
    <col min="614" max="614" width="12.85546875" style="2" customWidth="1"/>
    <col min="615" max="615" width="12.7109375" style="2" customWidth="1"/>
    <col min="616" max="616" width="11.7109375" style="2" customWidth="1"/>
    <col min="617" max="617" width="10" style="2" customWidth="1"/>
    <col min="618" max="618" width="11.85546875" style="2" customWidth="1"/>
    <col min="619" max="619" width="10.85546875" style="2" customWidth="1"/>
    <col min="620" max="620" width="10.28515625" style="2" customWidth="1"/>
    <col min="621" max="621" width="10.42578125" style="2" customWidth="1"/>
    <col min="622" max="622" width="16.42578125" style="2" customWidth="1"/>
    <col min="623" max="623" width="27.28515625" style="2" customWidth="1"/>
    <col min="624" max="624" width="15.140625" style="2" customWidth="1"/>
    <col min="625" max="660" width="11.42578125" style="2" customWidth="1"/>
    <col min="661" max="661" width="11.140625" style="2" customWidth="1"/>
    <col min="662" max="852" width="14.42578125" style="2"/>
    <col min="853" max="853" width="7.28515625" style="2" customWidth="1"/>
    <col min="854" max="854" width="16" style="2" customWidth="1"/>
    <col min="855" max="857" width="14.42578125" style="2"/>
    <col min="858" max="858" width="12.7109375" style="2" customWidth="1"/>
    <col min="859" max="859" width="5.7109375" style="2" customWidth="1"/>
    <col min="860" max="860" width="7.28515625" style="2" customWidth="1"/>
    <col min="861" max="861" width="8.85546875" style="2" customWidth="1"/>
    <col min="862" max="862" width="14.28515625" style="2" customWidth="1"/>
    <col min="863" max="863" width="14.42578125" style="2"/>
    <col min="864" max="864" width="13.28515625" style="2" customWidth="1"/>
    <col min="865" max="865" width="14.42578125" style="2"/>
    <col min="866" max="866" width="11.7109375" style="2" customWidth="1"/>
    <col min="867" max="867" width="17.28515625" style="2" customWidth="1"/>
    <col min="868" max="868" width="26.85546875" style="2" customWidth="1"/>
    <col min="869" max="869" width="31.28515625" style="2" customWidth="1"/>
    <col min="870" max="870" width="12.85546875" style="2" customWidth="1"/>
    <col min="871" max="871" width="12.7109375" style="2" customWidth="1"/>
    <col min="872" max="872" width="11.7109375" style="2" customWidth="1"/>
    <col min="873" max="873" width="10" style="2" customWidth="1"/>
    <col min="874" max="874" width="11.85546875" style="2" customWidth="1"/>
    <col min="875" max="875" width="10.85546875" style="2" customWidth="1"/>
    <col min="876" max="876" width="10.28515625" style="2" customWidth="1"/>
    <col min="877" max="877" width="10.42578125" style="2" customWidth="1"/>
    <col min="878" max="878" width="16.42578125" style="2" customWidth="1"/>
    <col min="879" max="879" width="27.28515625" style="2" customWidth="1"/>
    <col min="880" max="880" width="15.140625" style="2" customWidth="1"/>
    <col min="881" max="916" width="11.42578125" style="2" customWidth="1"/>
    <col min="917" max="917" width="11.140625" style="2" customWidth="1"/>
    <col min="918" max="1108" width="14.42578125" style="2"/>
    <col min="1109" max="1109" width="7.28515625" style="2" customWidth="1"/>
    <col min="1110" max="1110" width="16" style="2" customWidth="1"/>
    <col min="1111" max="1113" width="14.42578125" style="2"/>
    <col min="1114" max="1114" width="12.7109375" style="2" customWidth="1"/>
    <col min="1115" max="1115" width="5.7109375" style="2" customWidth="1"/>
    <col min="1116" max="1116" width="7.28515625" style="2" customWidth="1"/>
    <col min="1117" max="1117" width="8.85546875" style="2" customWidth="1"/>
    <col min="1118" max="1118" width="14.28515625" style="2" customWidth="1"/>
    <col min="1119" max="1119" width="14.42578125" style="2"/>
    <col min="1120" max="1120" width="13.28515625" style="2" customWidth="1"/>
    <col min="1121" max="1121" width="14.42578125" style="2"/>
    <col min="1122" max="1122" width="11.7109375" style="2" customWidth="1"/>
    <col min="1123" max="1123" width="17.28515625" style="2" customWidth="1"/>
    <col min="1124" max="1124" width="26.85546875" style="2" customWidth="1"/>
    <col min="1125" max="1125" width="31.28515625" style="2" customWidth="1"/>
    <col min="1126" max="1126" width="12.85546875" style="2" customWidth="1"/>
    <col min="1127" max="1127" width="12.7109375" style="2" customWidth="1"/>
    <col min="1128" max="1128" width="11.7109375" style="2" customWidth="1"/>
    <col min="1129" max="1129" width="10" style="2" customWidth="1"/>
    <col min="1130" max="1130" width="11.85546875" style="2" customWidth="1"/>
    <col min="1131" max="1131" width="10.85546875" style="2" customWidth="1"/>
    <col min="1132" max="1132" width="10.28515625" style="2" customWidth="1"/>
    <col min="1133" max="1133" width="10.42578125" style="2" customWidth="1"/>
    <col min="1134" max="1134" width="16.42578125" style="2" customWidth="1"/>
    <col min="1135" max="1135" width="27.28515625" style="2" customWidth="1"/>
    <col min="1136" max="1136" width="15.140625" style="2" customWidth="1"/>
    <col min="1137" max="1172" width="11.42578125" style="2" customWidth="1"/>
    <col min="1173" max="1173" width="11.140625" style="2" customWidth="1"/>
    <col min="1174" max="1364" width="14.42578125" style="2"/>
    <col min="1365" max="1365" width="7.28515625" style="2" customWidth="1"/>
    <col min="1366" max="1366" width="16" style="2" customWidth="1"/>
    <col min="1367" max="1369" width="14.42578125" style="2"/>
    <col min="1370" max="1370" width="12.7109375" style="2" customWidth="1"/>
    <col min="1371" max="1371" width="5.7109375" style="2" customWidth="1"/>
    <col min="1372" max="1372" width="7.28515625" style="2" customWidth="1"/>
    <col min="1373" max="1373" width="8.85546875" style="2" customWidth="1"/>
    <col min="1374" max="1374" width="14.28515625" style="2" customWidth="1"/>
    <col min="1375" max="1375" width="14.42578125" style="2"/>
    <col min="1376" max="1376" width="13.28515625" style="2" customWidth="1"/>
    <col min="1377" max="1377" width="14.42578125" style="2"/>
    <col min="1378" max="1378" width="11.7109375" style="2" customWidth="1"/>
    <col min="1379" max="1379" width="17.28515625" style="2" customWidth="1"/>
    <col min="1380" max="1380" width="26.85546875" style="2" customWidth="1"/>
    <col min="1381" max="1381" width="31.28515625" style="2" customWidth="1"/>
    <col min="1382" max="1382" width="12.85546875" style="2" customWidth="1"/>
    <col min="1383" max="1383" width="12.7109375" style="2" customWidth="1"/>
    <col min="1384" max="1384" width="11.7109375" style="2" customWidth="1"/>
    <col min="1385" max="1385" width="10" style="2" customWidth="1"/>
    <col min="1386" max="1386" width="11.85546875" style="2" customWidth="1"/>
    <col min="1387" max="1387" width="10.85546875" style="2" customWidth="1"/>
    <col min="1388" max="1388" width="10.28515625" style="2" customWidth="1"/>
    <col min="1389" max="1389" width="10.42578125" style="2" customWidth="1"/>
    <col min="1390" max="1390" width="16.42578125" style="2" customWidth="1"/>
    <col min="1391" max="1391" width="27.28515625" style="2" customWidth="1"/>
    <col min="1392" max="1392" width="15.140625" style="2" customWidth="1"/>
    <col min="1393" max="1428" width="11.42578125" style="2" customWidth="1"/>
    <col min="1429" max="1429" width="11.140625" style="2" customWidth="1"/>
    <col min="1430" max="1620" width="14.42578125" style="2"/>
    <col min="1621" max="1621" width="7.28515625" style="2" customWidth="1"/>
    <col min="1622" max="1622" width="16" style="2" customWidth="1"/>
    <col min="1623" max="1625" width="14.42578125" style="2"/>
    <col min="1626" max="1626" width="12.7109375" style="2" customWidth="1"/>
    <col min="1627" max="1627" width="5.7109375" style="2" customWidth="1"/>
    <col min="1628" max="1628" width="7.28515625" style="2" customWidth="1"/>
    <col min="1629" max="1629" width="8.85546875" style="2" customWidth="1"/>
    <col min="1630" max="1630" width="14.28515625" style="2" customWidth="1"/>
    <col min="1631" max="1631" width="14.42578125" style="2"/>
    <col min="1632" max="1632" width="13.28515625" style="2" customWidth="1"/>
    <col min="1633" max="1633" width="14.42578125" style="2"/>
    <col min="1634" max="1634" width="11.7109375" style="2" customWidth="1"/>
    <col min="1635" max="1635" width="17.28515625" style="2" customWidth="1"/>
    <col min="1636" max="1636" width="26.85546875" style="2" customWidth="1"/>
    <col min="1637" max="1637" width="31.28515625" style="2" customWidth="1"/>
    <col min="1638" max="1638" width="12.85546875" style="2" customWidth="1"/>
    <col min="1639" max="1639" width="12.7109375" style="2" customWidth="1"/>
    <col min="1640" max="1640" width="11.7109375" style="2" customWidth="1"/>
    <col min="1641" max="1641" width="10" style="2" customWidth="1"/>
    <col min="1642" max="1642" width="11.85546875" style="2" customWidth="1"/>
    <col min="1643" max="1643" width="10.85546875" style="2" customWidth="1"/>
    <col min="1644" max="1644" width="10.28515625" style="2" customWidth="1"/>
    <col min="1645" max="1645" width="10.42578125" style="2" customWidth="1"/>
    <col min="1646" max="1646" width="16.42578125" style="2" customWidth="1"/>
    <col min="1647" max="1647" width="27.28515625" style="2" customWidth="1"/>
    <col min="1648" max="1648" width="15.140625" style="2" customWidth="1"/>
    <col min="1649" max="1684" width="11.42578125" style="2" customWidth="1"/>
    <col min="1685" max="1685" width="11.140625" style="2" customWidth="1"/>
    <col min="1686" max="1876" width="14.42578125" style="2"/>
    <col min="1877" max="1877" width="7.28515625" style="2" customWidth="1"/>
    <col min="1878" max="1878" width="16" style="2" customWidth="1"/>
    <col min="1879" max="1881" width="14.42578125" style="2"/>
    <col min="1882" max="1882" width="12.7109375" style="2" customWidth="1"/>
    <col min="1883" max="1883" width="5.7109375" style="2" customWidth="1"/>
    <col min="1884" max="1884" width="7.28515625" style="2" customWidth="1"/>
    <col min="1885" max="1885" width="8.85546875" style="2" customWidth="1"/>
    <col min="1886" max="1886" width="14.28515625" style="2" customWidth="1"/>
    <col min="1887" max="1887" width="14.42578125" style="2"/>
    <col min="1888" max="1888" width="13.28515625" style="2" customWidth="1"/>
    <col min="1889" max="1889" width="14.42578125" style="2"/>
    <col min="1890" max="1890" width="11.7109375" style="2" customWidth="1"/>
    <col min="1891" max="1891" width="17.28515625" style="2" customWidth="1"/>
    <col min="1892" max="1892" width="26.85546875" style="2" customWidth="1"/>
    <col min="1893" max="1893" width="31.28515625" style="2" customWidth="1"/>
    <col min="1894" max="1894" width="12.85546875" style="2" customWidth="1"/>
    <col min="1895" max="1895" width="12.7109375" style="2" customWidth="1"/>
    <col min="1896" max="1896" width="11.7109375" style="2" customWidth="1"/>
    <col min="1897" max="1897" width="10" style="2" customWidth="1"/>
    <col min="1898" max="1898" width="11.85546875" style="2" customWidth="1"/>
    <col min="1899" max="1899" width="10.85546875" style="2" customWidth="1"/>
    <col min="1900" max="1900" width="10.28515625" style="2" customWidth="1"/>
    <col min="1901" max="1901" width="10.42578125" style="2" customWidth="1"/>
    <col min="1902" max="1902" width="16.42578125" style="2" customWidth="1"/>
    <col min="1903" max="1903" width="27.28515625" style="2" customWidth="1"/>
    <col min="1904" max="1904" width="15.140625" style="2" customWidth="1"/>
    <col min="1905" max="1940" width="11.42578125" style="2" customWidth="1"/>
    <col min="1941" max="1941" width="11.140625" style="2" customWidth="1"/>
    <col min="1942" max="2132" width="14.42578125" style="2"/>
    <col min="2133" max="2133" width="7.28515625" style="2" customWidth="1"/>
    <col min="2134" max="2134" width="16" style="2" customWidth="1"/>
    <col min="2135" max="2137" width="14.42578125" style="2"/>
    <col min="2138" max="2138" width="12.7109375" style="2" customWidth="1"/>
    <col min="2139" max="2139" width="5.7109375" style="2" customWidth="1"/>
    <col min="2140" max="2140" width="7.28515625" style="2" customWidth="1"/>
    <col min="2141" max="2141" width="8.85546875" style="2" customWidth="1"/>
    <col min="2142" max="2142" width="14.28515625" style="2" customWidth="1"/>
    <col min="2143" max="2143" width="14.42578125" style="2"/>
    <col min="2144" max="2144" width="13.28515625" style="2" customWidth="1"/>
    <col min="2145" max="2145" width="14.42578125" style="2"/>
    <col min="2146" max="2146" width="11.7109375" style="2" customWidth="1"/>
    <col min="2147" max="2147" width="17.28515625" style="2" customWidth="1"/>
    <col min="2148" max="2148" width="26.85546875" style="2" customWidth="1"/>
    <col min="2149" max="2149" width="31.28515625" style="2" customWidth="1"/>
    <col min="2150" max="2150" width="12.85546875" style="2" customWidth="1"/>
    <col min="2151" max="2151" width="12.7109375" style="2" customWidth="1"/>
    <col min="2152" max="2152" width="11.7109375" style="2" customWidth="1"/>
    <col min="2153" max="2153" width="10" style="2" customWidth="1"/>
    <col min="2154" max="2154" width="11.85546875" style="2" customWidth="1"/>
    <col min="2155" max="2155" width="10.85546875" style="2" customWidth="1"/>
    <col min="2156" max="2156" width="10.28515625" style="2" customWidth="1"/>
    <col min="2157" max="2157" width="10.42578125" style="2" customWidth="1"/>
    <col min="2158" max="2158" width="16.42578125" style="2" customWidth="1"/>
    <col min="2159" max="2159" width="27.28515625" style="2" customWidth="1"/>
    <col min="2160" max="2160" width="15.140625" style="2" customWidth="1"/>
    <col min="2161" max="2196" width="11.42578125" style="2" customWidth="1"/>
    <col min="2197" max="2197" width="11.140625" style="2" customWidth="1"/>
    <col min="2198" max="2388" width="14.42578125" style="2"/>
    <col min="2389" max="2389" width="7.28515625" style="2" customWidth="1"/>
    <col min="2390" max="2390" width="16" style="2" customWidth="1"/>
    <col min="2391" max="2393" width="14.42578125" style="2"/>
    <col min="2394" max="2394" width="12.7109375" style="2" customWidth="1"/>
    <col min="2395" max="2395" width="5.7109375" style="2" customWidth="1"/>
    <col min="2396" max="2396" width="7.28515625" style="2" customWidth="1"/>
    <col min="2397" max="2397" width="8.85546875" style="2" customWidth="1"/>
    <col min="2398" max="2398" width="14.28515625" style="2" customWidth="1"/>
    <col min="2399" max="2399" width="14.42578125" style="2"/>
    <col min="2400" max="2400" width="13.28515625" style="2" customWidth="1"/>
    <col min="2401" max="2401" width="14.42578125" style="2"/>
    <col min="2402" max="2402" width="11.7109375" style="2" customWidth="1"/>
    <col min="2403" max="2403" width="17.28515625" style="2" customWidth="1"/>
    <col min="2404" max="2404" width="26.85546875" style="2" customWidth="1"/>
    <col min="2405" max="2405" width="31.28515625" style="2" customWidth="1"/>
    <col min="2406" max="2406" width="12.85546875" style="2" customWidth="1"/>
    <col min="2407" max="2407" width="12.7109375" style="2" customWidth="1"/>
    <col min="2408" max="2408" width="11.7109375" style="2" customWidth="1"/>
    <col min="2409" max="2409" width="10" style="2" customWidth="1"/>
    <col min="2410" max="2410" width="11.85546875" style="2" customWidth="1"/>
    <col min="2411" max="2411" width="10.85546875" style="2" customWidth="1"/>
    <col min="2412" max="2412" width="10.28515625" style="2" customWidth="1"/>
    <col min="2413" max="2413" width="10.42578125" style="2" customWidth="1"/>
    <col min="2414" max="2414" width="16.42578125" style="2" customWidth="1"/>
    <col min="2415" max="2415" width="27.28515625" style="2" customWidth="1"/>
    <col min="2416" max="2416" width="15.140625" style="2" customWidth="1"/>
    <col min="2417" max="2452" width="11.42578125" style="2" customWidth="1"/>
    <col min="2453" max="2453" width="11.140625" style="2" customWidth="1"/>
    <col min="2454" max="2644" width="14.42578125" style="2"/>
    <col min="2645" max="2645" width="7.28515625" style="2" customWidth="1"/>
    <col min="2646" max="2646" width="16" style="2" customWidth="1"/>
    <col min="2647" max="2649" width="14.42578125" style="2"/>
    <col min="2650" max="2650" width="12.7109375" style="2" customWidth="1"/>
    <col min="2651" max="2651" width="5.7109375" style="2" customWidth="1"/>
    <col min="2652" max="2652" width="7.28515625" style="2" customWidth="1"/>
    <col min="2653" max="2653" width="8.85546875" style="2" customWidth="1"/>
    <col min="2654" max="2654" width="14.28515625" style="2" customWidth="1"/>
    <col min="2655" max="2655" width="14.42578125" style="2"/>
    <col min="2656" max="2656" width="13.28515625" style="2" customWidth="1"/>
    <col min="2657" max="2657" width="14.42578125" style="2"/>
    <col min="2658" max="2658" width="11.7109375" style="2" customWidth="1"/>
    <col min="2659" max="2659" width="17.28515625" style="2" customWidth="1"/>
    <col min="2660" max="2660" width="26.85546875" style="2" customWidth="1"/>
    <col min="2661" max="2661" width="31.28515625" style="2" customWidth="1"/>
    <col min="2662" max="2662" width="12.85546875" style="2" customWidth="1"/>
    <col min="2663" max="2663" width="12.7109375" style="2" customWidth="1"/>
    <col min="2664" max="2664" width="11.7109375" style="2" customWidth="1"/>
    <col min="2665" max="2665" width="10" style="2" customWidth="1"/>
    <col min="2666" max="2666" width="11.85546875" style="2" customWidth="1"/>
    <col min="2667" max="2667" width="10.85546875" style="2" customWidth="1"/>
    <col min="2668" max="2668" width="10.28515625" style="2" customWidth="1"/>
    <col min="2669" max="2669" width="10.42578125" style="2" customWidth="1"/>
    <col min="2670" max="2670" width="16.42578125" style="2" customWidth="1"/>
    <col min="2671" max="2671" width="27.28515625" style="2" customWidth="1"/>
    <col min="2672" max="2672" width="15.140625" style="2" customWidth="1"/>
    <col min="2673" max="2708" width="11.42578125" style="2" customWidth="1"/>
    <col min="2709" max="2709" width="11.140625" style="2" customWidth="1"/>
    <col min="2710" max="2900" width="14.42578125" style="2"/>
    <col min="2901" max="2901" width="7.28515625" style="2" customWidth="1"/>
    <col min="2902" max="2902" width="16" style="2" customWidth="1"/>
    <col min="2903" max="2905" width="14.42578125" style="2"/>
    <col min="2906" max="2906" width="12.7109375" style="2" customWidth="1"/>
    <col min="2907" max="2907" width="5.7109375" style="2" customWidth="1"/>
    <col min="2908" max="2908" width="7.28515625" style="2" customWidth="1"/>
    <col min="2909" max="2909" width="8.85546875" style="2" customWidth="1"/>
    <col min="2910" max="2910" width="14.28515625" style="2" customWidth="1"/>
    <col min="2911" max="2911" width="14.42578125" style="2"/>
    <col min="2912" max="2912" width="13.28515625" style="2" customWidth="1"/>
    <col min="2913" max="2913" width="14.42578125" style="2"/>
    <col min="2914" max="2914" width="11.7109375" style="2" customWidth="1"/>
    <col min="2915" max="2915" width="17.28515625" style="2" customWidth="1"/>
    <col min="2916" max="2916" width="26.85546875" style="2" customWidth="1"/>
    <col min="2917" max="2917" width="31.28515625" style="2" customWidth="1"/>
    <col min="2918" max="2918" width="12.85546875" style="2" customWidth="1"/>
    <col min="2919" max="2919" width="12.7109375" style="2" customWidth="1"/>
    <col min="2920" max="2920" width="11.7109375" style="2" customWidth="1"/>
    <col min="2921" max="2921" width="10" style="2" customWidth="1"/>
    <col min="2922" max="2922" width="11.85546875" style="2" customWidth="1"/>
    <col min="2923" max="2923" width="10.85546875" style="2" customWidth="1"/>
    <col min="2924" max="2924" width="10.28515625" style="2" customWidth="1"/>
    <col min="2925" max="2925" width="10.42578125" style="2" customWidth="1"/>
    <col min="2926" max="2926" width="16.42578125" style="2" customWidth="1"/>
    <col min="2927" max="2927" width="27.28515625" style="2" customWidth="1"/>
    <col min="2928" max="2928" width="15.140625" style="2" customWidth="1"/>
    <col min="2929" max="2964" width="11.42578125" style="2" customWidth="1"/>
    <col min="2965" max="2965" width="11.140625" style="2" customWidth="1"/>
    <col min="2966" max="3156" width="14.42578125" style="2"/>
    <col min="3157" max="3157" width="7.28515625" style="2" customWidth="1"/>
    <col min="3158" max="3158" width="16" style="2" customWidth="1"/>
    <col min="3159" max="3161" width="14.42578125" style="2"/>
    <col min="3162" max="3162" width="12.7109375" style="2" customWidth="1"/>
    <col min="3163" max="3163" width="5.7109375" style="2" customWidth="1"/>
    <col min="3164" max="3164" width="7.28515625" style="2" customWidth="1"/>
    <col min="3165" max="3165" width="8.85546875" style="2" customWidth="1"/>
    <col min="3166" max="3166" width="14.28515625" style="2" customWidth="1"/>
    <col min="3167" max="3167" width="14.42578125" style="2"/>
    <col min="3168" max="3168" width="13.28515625" style="2" customWidth="1"/>
    <col min="3169" max="3169" width="14.42578125" style="2"/>
    <col min="3170" max="3170" width="11.7109375" style="2" customWidth="1"/>
    <col min="3171" max="3171" width="17.28515625" style="2" customWidth="1"/>
    <col min="3172" max="3172" width="26.85546875" style="2" customWidth="1"/>
    <col min="3173" max="3173" width="31.28515625" style="2" customWidth="1"/>
    <col min="3174" max="3174" width="12.85546875" style="2" customWidth="1"/>
    <col min="3175" max="3175" width="12.7109375" style="2" customWidth="1"/>
    <col min="3176" max="3176" width="11.7109375" style="2" customWidth="1"/>
    <col min="3177" max="3177" width="10" style="2" customWidth="1"/>
    <col min="3178" max="3178" width="11.85546875" style="2" customWidth="1"/>
    <col min="3179" max="3179" width="10.85546875" style="2" customWidth="1"/>
    <col min="3180" max="3180" width="10.28515625" style="2" customWidth="1"/>
    <col min="3181" max="3181" width="10.42578125" style="2" customWidth="1"/>
    <col min="3182" max="3182" width="16.42578125" style="2" customWidth="1"/>
    <col min="3183" max="3183" width="27.28515625" style="2" customWidth="1"/>
    <col min="3184" max="3184" width="15.140625" style="2" customWidth="1"/>
    <col min="3185" max="3220" width="11.42578125" style="2" customWidth="1"/>
    <col min="3221" max="3221" width="11.140625" style="2" customWidth="1"/>
    <col min="3222" max="3412" width="14.42578125" style="2"/>
    <col min="3413" max="3413" width="7.28515625" style="2" customWidth="1"/>
    <col min="3414" max="3414" width="16" style="2" customWidth="1"/>
    <col min="3415" max="3417" width="14.42578125" style="2"/>
    <col min="3418" max="3418" width="12.7109375" style="2" customWidth="1"/>
    <col min="3419" max="3419" width="5.7109375" style="2" customWidth="1"/>
    <col min="3420" max="3420" width="7.28515625" style="2" customWidth="1"/>
    <col min="3421" max="3421" width="8.85546875" style="2" customWidth="1"/>
    <col min="3422" max="3422" width="14.28515625" style="2" customWidth="1"/>
    <col min="3423" max="3423" width="14.42578125" style="2"/>
    <col min="3424" max="3424" width="13.28515625" style="2" customWidth="1"/>
    <col min="3425" max="3425" width="14.42578125" style="2"/>
    <col min="3426" max="3426" width="11.7109375" style="2" customWidth="1"/>
    <col min="3427" max="3427" width="17.28515625" style="2" customWidth="1"/>
    <col min="3428" max="3428" width="26.85546875" style="2" customWidth="1"/>
    <col min="3429" max="3429" width="31.28515625" style="2" customWidth="1"/>
    <col min="3430" max="3430" width="12.85546875" style="2" customWidth="1"/>
    <col min="3431" max="3431" width="12.7109375" style="2" customWidth="1"/>
    <col min="3432" max="3432" width="11.7109375" style="2" customWidth="1"/>
    <col min="3433" max="3433" width="10" style="2" customWidth="1"/>
    <col min="3434" max="3434" width="11.85546875" style="2" customWidth="1"/>
    <col min="3435" max="3435" width="10.85546875" style="2" customWidth="1"/>
    <col min="3436" max="3436" width="10.28515625" style="2" customWidth="1"/>
    <col min="3437" max="3437" width="10.42578125" style="2" customWidth="1"/>
    <col min="3438" max="3438" width="16.42578125" style="2" customWidth="1"/>
    <col min="3439" max="3439" width="27.28515625" style="2" customWidth="1"/>
    <col min="3440" max="3440" width="15.140625" style="2" customWidth="1"/>
    <col min="3441" max="3476" width="11.42578125" style="2" customWidth="1"/>
    <col min="3477" max="3477" width="11.140625" style="2" customWidth="1"/>
    <col min="3478" max="3668" width="14.42578125" style="2"/>
    <col min="3669" max="3669" width="7.28515625" style="2" customWidth="1"/>
    <col min="3670" max="3670" width="16" style="2" customWidth="1"/>
    <col min="3671" max="3673" width="14.42578125" style="2"/>
    <col min="3674" max="3674" width="12.7109375" style="2" customWidth="1"/>
    <col min="3675" max="3675" width="5.7109375" style="2" customWidth="1"/>
    <col min="3676" max="3676" width="7.28515625" style="2" customWidth="1"/>
    <col min="3677" max="3677" width="8.85546875" style="2" customWidth="1"/>
    <col min="3678" max="3678" width="14.28515625" style="2" customWidth="1"/>
    <col min="3679" max="3679" width="14.42578125" style="2"/>
    <col min="3680" max="3680" width="13.28515625" style="2" customWidth="1"/>
    <col min="3681" max="3681" width="14.42578125" style="2"/>
    <col min="3682" max="3682" width="11.7109375" style="2" customWidth="1"/>
    <col min="3683" max="3683" width="17.28515625" style="2" customWidth="1"/>
    <col min="3684" max="3684" width="26.85546875" style="2" customWidth="1"/>
    <col min="3685" max="3685" width="31.28515625" style="2" customWidth="1"/>
    <col min="3686" max="3686" width="12.85546875" style="2" customWidth="1"/>
    <col min="3687" max="3687" width="12.7109375" style="2" customWidth="1"/>
    <col min="3688" max="3688" width="11.7109375" style="2" customWidth="1"/>
    <col min="3689" max="3689" width="10" style="2" customWidth="1"/>
    <col min="3690" max="3690" width="11.85546875" style="2" customWidth="1"/>
    <col min="3691" max="3691" width="10.85546875" style="2" customWidth="1"/>
    <col min="3692" max="3692" width="10.28515625" style="2" customWidth="1"/>
    <col min="3693" max="3693" width="10.42578125" style="2" customWidth="1"/>
    <col min="3694" max="3694" width="16.42578125" style="2" customWidth="1"/>
    <col min="3695" max="3695" width="27.28515625" style="2" customWidth="1"/>
    <col min="3696" max="3696" width="15.140625" style="2" customWidth="1"/>
    <col min="3697" max="3732" width="11.42578125" style="2" customWidth="1"/>
    <col min="3733" max="3733" width="11.140625" style="2" customWidth="1"/>
    <col min="3734" max="3924" width="14.42578125" style="2"/>
    <col min="3925" max="3925" width="7.28515625" style="2" customWidth="1"/>
    <col min="3926" max="3926" width="16" style="2" customWidth="1"/>
    <col min="3927" max="3929" width="14.42578125" style="2"/>
    <col min="3930" max="3930" width="12.7109375" style="2" customWidth="1"/>
    <col min="3931" max="3931" width="5.7109375" style="2" customWidth="1"/>
    <col min="3932" max="3932" width="7.28515625" style="2" customWidth="1"/>
    <col min="3933" max="3933" width="8.85546875" style="2" customWidth="1"/>
    <col min="3934" max="3934" width="14.28515625" style="2" customWidth="1"/>
    <col min="3935" max="3935" width="14.42578125" style="2"/>
    <col min="3936" max="3936" width="13.28515625" style="2" customWidth="1"/>
    <col min="3937" max="3937" width="14.42578125" style="2"/>
    <col min="3938" max="3938" width="11.7109375" style="2" customWidth="1"/>
    <col min="3939" max="3939" width="17.28515625" style="2" customWidth="1"/>
    <col min="3940" max="3940" width="26.85546875" style="2" customWidth="1"/>
    <col min="3941" max="3941" width="31.28515625" style="2" customWidth="1"/>
    <col min="3942" max="3942" width="12.85546875" style="2" customWidth="1"/>
    <col min="3943" max="3943" width="12.7109375" style="2" customWidth="1"/>
    <col min="3944" max="3944" width="11.7109375" style="2" customWidth="1"/>
    <col min="3945" max="3945" width="10" style="2" customWidth="1"/>
    <col min="3946" max="3946" width="11.85546875" style="2" customWidth="1"/>
    <col min="3947" max="3947" width="10.85546875" style="2" customWidth="1"/>
    <col min="3948" max="3948" width="10.28515625" style="2" customWidth="1"/>
    <col min="3949" max="3949" width="10.42578125" style="2" customWidth="1"/>
    <col min="3950" max="3950" width="16.42578125" style="2" customWidth="1"/>
    <col min="3951" max="3951" width="27.28515625" style="2" customWidth="1"/>
    <col min="3952" max="3952" width="15.140625" style="2" customWidth="1"/>
    <col min="3953" max="3988" width="11.42578125" style="2" customWidth="1"/>
    <col min="3989" max="3989" width="11.140625" style="2" customWidth="1"/>
    <col min="3990" max="4180" width="14.42578125" style="2"/>
    <col min="4181" max="4181" width="7.28515625" style="2" customWidth="1"/>
    <col min="4182" max="4182" width="16" style="2" customWidth="1"/>
    <col min="4183" max="4185" width="14.42578125" style="2"/>
    <col min="4186" max="4186" width="12.7109375" style="2" customWidth="1"/>
    <col min="4187" max="4187" width="5.7109375" style="2" customWidth="1"/>
    <col min="4188" max="4188" width="7.28515625" style="2" customWidth="1"/>
    <col min="4189" max="4189" width="8.85546875" style="2" customWidth="1"/>
    <col min="4190" max="4190" width="14.28515625" style="2" customWidth="1"/>
    <col min="4191" max="4191" width="14.42578125" style="2"/>
    <col min="4192" max="4192" width="13.28515625" style="2" customWidth="1"/>
    <col min="4193" max="4193" width="14.42578125" style="2"/>
    <col min="4194" max="4194" width="11.7109375" style="2" customWidth="1"/>
    <col min="4195" max="4195" width="17.28515625" style="2" customWidth="1"/>
    <col min="4196" max="4196" width="26.85546875" style="2" customWidth="1"/>
    <col min="4197" max="4197" width="31.28515625" style="2" customWidth="1"/>
    <col min="4198" max="4198" width="12.85546875" style="2" customWidth="1"/>
    <col min="4199" max="4199" width="12.7109375" style="2" customWidth="1"/>
    <col min="4200" max="4200" width="11.7109375" style="2" customWidth="1"/>
    <col min="4201" max="4201" width="10" style="2" customWidth="1"/>
    <col min="4202" max="4202" width="11.85546875" style="2" customWidth="1"/>
    <col min="4203" max="4203" width="10.85546875" style="2" customWidth="1"/>
    <col min="4204" max="4204" width="10.28515625" style="2" customWidth="1"/>
    <col min="4205" max="4205" width="10.42578125" style="2" customWidth="1"/>
    <col min="4206" max="4206" width="16.42578125" style="2" customWidth="1"/>
    <col min="4207" max="4207" width="27.28515625" style="2" customWidth="1"/>
    <col min="4208" max="4208" width="15.140625" style="2" customWidth="1"/>
    <col min="4209" max="4244" width="11.42578125" style="2" customWidth="1"/>
    <col min="4245" max="4245" width="11.140625" style="2" customWidth="1"/>
    <col min="4246" max="4436" width="14.42578125" style="2"/>
    <col min="4437" max="4437" width="7.28515625" style="2" customWidth="1"/>
    <col min="4438" max="4438" width="16" style="2" customWidth="1"/>
    <col min="4439" max="4441" width="14.42578125" style="2"/>
    <col min="4442" max="4442" width="12.7109375" style="2" customWidth="1"/>
    <col min="4443" max="4443" width="5.7109375" style="2" customWidth="1"/>
    <col min="4444" max="4444" width="7.28515625" style="2" customWidth="1"/>
    <col min="4445" max="4445" width="8.85546875" style="2" customWidth="1"/>
    <col min="4446" max="4446" width="14.28515625" style="2" customWidth="1"/>
    <col min="4447" max="4447" width="14.42578125" style="2"/>
    <col min="4448" max="4448" width="13.28515625" style="2" customWidth="1"/>
    <col min="4449" max="4449" width="14.42578125" style="2"/>
    <col min="4450" max="4450" width="11.7109375" style="2" customWidth="1"/>
    <col min="4451" max="4451" width="17.28515625" style="2" customWidth="1"/>
    <col min="4452" max="4452" width="26.85546875" style="2" customWidth="1"/>
    <col min="4453" max="4453" width="31.28515625" style="2" customWidth="1"/>
    <col min="4454" max="4454" width="12.85546875" style="2" customWidth="1"/>
    <col min="4455" max="4455" width="12.7109375" style="2" customWidth="1"/>
    <col min="4456" max="4456" width="11.7109375" style="2" customWidth="1"/>
    <col min="4457" max="4457" width="10" style="2" customWidth="1"/>
    <col min="4458" max="4458" width="11.85546875" style="2" customWidth="1"/>
    <col min="4459" max="4459" width="10.85546875" style="2" customWidth="1"/>
    <col min="4460" max="4460" width="10.28515625" style="2" customWidth="1"/>
    <col min="4461" max="4461" width="10.42578125" style="2" customWidth="1"/>
    <col min="4462" max="4462" width="16.42578125" style="2" customWidth="1"/>
    <col min="4463" max="4463" width="27.28515625" style="2" customWidth="1"/>
    <col min="4464" max="4464" width="15.140625" style="2" customWidth="1"/>
    <col min="4465" max="4500" width="11.42578125" style="2" customWidth="1"/>
    <col min="4501" max="4501" width="11.140625" style="2" customWidth="1"/>
    <col min="4502" max="4692" width="14.42578125" style="2"/>
    <col min="4693" max="4693" width="7.28515625" style="2" customWidth="1"/>
    <col min="4694" max="4694" width="16" style="2" customWidth="1"/>
    <col min="4695" max="4697" width="14.42578125" style="2"/>
    <col min="4698" max="4698" width="12.7109375" style="2" customWidth="1"/>
    <col min="4699" max="4699" width="5.7109375" style="2" customWidth="1"/>
    <col min="4700" max="4700" width="7.28515625" style="2" customWidth="1"/>
    <col min="4701" max="4701" width="8.85546875" style="2" customWidth="1"/>
    <col min="4702" max="4702" width="14.28515625" style="2" customWidth="1"/>
    <col min="4703" max="4703" width="14.42578125" style="2"/>
    <col min="4704" max="4704" width="13.28515625" style="2" customWidth="1"/>
    <col min="4705" max="4705" width="14.42578125" style="2"/>
    <col min="4706" max="4706" width="11.7109375" style="2" customWidth="1"/>
    <col min="4707" max="4707" width="17.28515625" style="2" customWidth="1"/>
    <col min="4708" max="4708" width="26.85546875" style="2" customWidth="1"/>
    <col min="4709" max="4709" width="31.28515625" style="2" customWidth="1"/>
    <col min="4710" max="4710" width="12.85546875" style="2" customWidth="1"/>
    <col min="4711" max="4711" width="12.7109375" style="2" customWidth="1"/>
    <col min="4712" max="4712" width="11.7109375" style="2" customWidth="1"/>
    <col min="4713" max="4713" width="10" style="2" customWidth="1"/>
    <col min="4714" max="4714" width="11.85546875" style="2" customWidth="1"/>
    <col min="4715" max="4715" width="10.85546875" style="2" customWidth="1"/>
    <col min="4716" max="4716" width="10.28515625" style="2" customWidth="1"/>
    <col min="4717" max="4717" width="10.42578125" style="2" customWidth="1"/>
    <col min="4718" max="4718" width="16.42578125" style="2" customWidth="1"/>
    <col min="4719" max="4719" width="27.28515625" style="2" customWidth="1"/>
    <col min="4720" max="4720" width="15.140625" style="2" customWidth="1"/>
    <col min="4721" max="4756" width="11.42578125" style="2" customWidth="1"/>
    <col min="4757" max="4757" width="11.140625" style="2" customWidth="1"/>
    <col min="4758" max="4948" width="14.42578125" style="2"/>
    <col min="4949" max="4949" width="7.28515625" style="2" customWidth="1"/>
    <col min="4950" max="4950" width="16" style="2" customWidth="1"/>
    <col min="4951" max="4953" width="14.42578125" style="2"/>
    <col min="4954" max="4954" width="12.7109375" style="2" customWidth="1"/>
    <col min="4955" max="4955" width="5.7109375" style="2" customWidth="1"/>
    <col min="4956" max="4956" width="7.28515625" style="2" customWidth="1"/>
    <col min="4957" max="4957" width="8.85546875" style="2" customWidth="1"/>
    <col min="4958" max="4958" width="14.28515625" style="2" customWidth="1"/>
    <col min="4959" max="4959" width="14.42578125" style="2"/>
    <col min="4960" max="4960" width="13.28515625" style="2" customWidth="1"/>
    <col min="4961" max="4961" width="14.42578125" style="2"/>
    <col min="4962" max="4962" width="11.7109375" style="2" customWidth="1"/>
    <col min="4963" max="4963" width="17.28515625" style="2" customWidth="1"/>
    <col min="4964" max="4964" width="26.85546875" style="2" customWidth="1"/>
    <col min="4965" max="4965" width="31.28515625" style="2" customWidth="1"/>
    <col min="4966" max="4966" width="12.85546875" style="2" customWidth="1"/>
    <col min="4967" max="4967" width="12.7109375" style="2" customWidth="1"/>
    <col min="4968" max="4968" width="11.7109375" style="2" customWidth="1"/>
    <col min="4969" max="4969" width="10" style="2" customWidth="1"/>
    <col min="4970" max="4970" width="11.85546875" style="2" customWidth="1"/>
    <col min="4971" max="4971" width="10.85546875" style="2" customWidth="1"/>
    <col min="4972" max="4972" width="10.28515625" style="2" customWidth="1"/>
    <col min="4973" max="4973" width="10.42578125" style="2" customWidth="1"/>
    <col min="4974" max="4974" width="16.42578125" style="2" customWidth="1"/>
    <col min="4975" max="4975" width="27.28515625" style="2" customWidth="1"/>
    <col min="4976" max="4976" width="15.140625" style="2" customWidth="1"/>
    <col min="4977" max="5012" width="11.42578125" style="2" customWidth="1"/>
    <col min="5013" max="5013" width="11.140625" style="2" customWidth="1"/>
    <col min="5014" max="5204" width="14.42578125" style="2"/>
    <col min="5205" max="5205" width="7.28515625" style="2" customWidth="1"/>
    <col min="5206" max="5206" width="16" style="2" customWidth="1"/>
    <col min="5207" max="5209" width="14.42578125" style="2"/>
    <col min="5210" max="5210" width="12.7109375" style="2" customWidth="1"/>
    <col min="5211" max="5211" width="5.7109375" style="2" customWidth="1"/>
    <col min="5212" max="5212" width="7.28515625" style="2" customWidth="1"/>
    <col min="5213" max="5213" width="8.85546875" style="2" customWidth="1"/>
    <col min="5214" max="5214" width="14.28515625" style="2" customWidth="1"/>
    <col min="5215" max="5215" width="14.42578125" style="2"/>
    <col min="5216" max="5216" width="13.28515625" style="2" customWidth="1"/>
    <col min="5217" max="5217" width="14.42578125" style="2"/>
    <col min="5218" max="5218" width="11.7109375" style="2" customWidth="1"/>
    <col min="5219" max="5219" width="17.28515625" style="2" customWidth="1"/>
    <col min="5220" max="5220" width="26.85546875" style="2" customWidth="1"/>
    <col min="5221" max="5221" width="31.28515625" style="2" customWidth="1"/>
    <col min="5222" max="5222" width="12.85546875" style="2" customWidth="1"/>
    <col min="5223" max="5223" width="12.7109375" style="2" customWidth="1"/>
    <col min="5224" max="5224" width="11.7109375" style="2" customWidth="1"/>
    <col min="5225" max="5225" width="10" style="2" customWidth="1"/>
    <col min="5226" max="5226" width="11.85546875" style="2" customWidth="1"/>
    <col min="5227" max="5227" width="10.85546875" style="2" customWidth="1"/>
    <col min="5228" max="5228" width="10.28515625" style="2" customWidth="1"/>
    <col min="5229" max="5229" width="10.42578125" style="2" customWidth="1"/>
    <col min="5230" max="5230" width="16.42578125" style="2" customWidth="1"/>
    <col min="5231" max="5231" width="27.28515625" style="2" customWidth="1"/>
    <col min="5232" max="5232" width="15.140625" style="2" customWidth="1"/>
    <col min="5233" max="5268" width="11.42578125" style="2" customWidth="1"/>
    <col min="5269" max="5269" width="11.140625" style="2" customWidth="1"/>
    <col min="5270" max="5460" width="14.42578125" style="2"/>
    <col min="5461" max="5461" width="7.28515625" style="2" customWidth="1"/>
    <col min="5462" max="5462" width="16" style="2" customWidth="1"/>
    <col min="5463" max="5465" width="14.42578125" style="2"/>
    <col min="5466" max="5466" width="12.7109375" style="2" customWidth="1"/>
    <col min="5467" max="5467" width="5.7109375" style="2" customWidth="1"/>
    <col min="5468" max="5468" width="7.28515625" style="2" customWidth="1"/>
    <col min="5469" max="5469" width="8.85546875" style="2" customWidth="1"/>
    <col min="5470" max="5470" width="14.28515625" style="2" customWidth="1"/>
    <col min="5471" max="5471" width="14.42578125" style="2"/>
    <col min="5472" max="5472" width="13.28515625" style="2" customWidth="1"/>
    <col min="5473" max="5473" width="14.42578125" style="2"/>
    <col min="5474" max="5474" width="11.7109375" style="2" customWidth="1"/>
    <col min="5475" max="5475" width="17.28515625" style="2" customWidth="1"/>
    <col min="5476" max="5476" width="26.85546875" style="2" customWidth="1"/>
    <col min="5477" max="5477" width="31.28515625" style="2" customWidth="1"/>
    <col min="5478" max="5478" width="12.85546875" style="2" customWidth="1"/>
    <col min="5479" max="5479" width="12.7109375" style="2" customWidth="1"/>
    <col min="5480" max="5480" width="11.7109375" style="2" customWidth="1"/>
    <col min="5481" max="5481" width="10" style="2" customWidth="1"/>
    <col min="5482" max="5482" width="11.85546875" style="2" customWidth="1"/>
    <col min="5483" max="5483" width="10.85546875" style="2" customWidth="1"/>
    <col min="5484" max="5484" width="10.28515625" style="2" customWidth="1"/>
    <col min="5485" max="5485" width="10.42578125" style="2" customWidth="1"/>
    <col min="5486" max="5486" width="16.42578125" style="2" customWidth="1"/>
    <col min="5487" max="5487" width="27.28515625" style="2" customWidth="1"/>
    <col min="5488" max="5488" width="15.140625" style="2" customWidth="1"/>
    <col min="5489" max="5524" width="11.42578125" style="2" customWidth="1"/>
    <col min="5525" max="5525" width="11.140625" style="2" customWidth="1"/>
    <col min="5526" max="5716" width="14.42578125" style="2"/>
    <col min="5717" max="5717" width="7.28515625" style="2" customWidth="1"/>
    <col min="5718" max="5718" width="16" style="2" customWidth="1"/>
    <col min="5719" max="5721" width="14.42578125" style="2"/>
    <col min="5722" max="5722" width="12.7109375" style="2" customWidth="1"/>
    <col min="5723" max="5723" width="5.7109375" style="2" customWidth="1"/>
    <col min="5724" max="5724" width="7.28515625" style="2" customWidth="1"/>
    <col min="5725" max="5725" width="8.85546875" style="2" customWidth="1"/>
    <col min="5726" max="5726" width="14.28515625" style="2" customWidth="1"/>
    <col min="5727" max="5727" width="14.42578125" style="2"/>
    <col min="5728" max="5728" width="13.28515625" style="2" customWidth="1"/>
    <col min="5729" max="5729" width="14.42578125" style="2"/>
    <col min="5730" max="5730" width="11.7109375" style="2" customWidth="1"/>
    <col min="5731" max="5731" width="17.28515625" style="2" customWidth="1"/>
    <col min="5732" max="5732" width="26.85546875" style="2" customWidth="1"/>
    <col min="5733" max="5733" width="31.28515625" style="2" customWidth="1"/>
    <col min="5734" max="5734" width="12.85546875" style="2" customWidth="1"/>
    <col min="5735" max="5735" width="12.7109375" style="2" customWidth="1"/>
    <col min="5736" max="5736" width="11.7109375" style="2" customWidth="1"/>
    <col min="5737" max="5737" width="10" style="2" customWidth="1"/>
    <col min="5738" max="5738" width="11.85546875" style="2" customWidth="1"/>
    <col min="5739" max="5739" width="10.85546875" style="2" customWidth="1"/>
    <col min="5740" max="5740" width="10.28515625" style="2" customWidth="1"/>
    <col min="5741" max="5741" width="10.42578125" style="2" customWidth="1"/>
    <col min="5742" max="5742" width="16.42578125" style="2" customWidth="1"/>
    <col min="5743" max="5743" width="27.28515625" style="2" customWidth="1"/>
    <col min="5744" max="5744" width="15.140625" style="2" customWidth="1"/>
    <col min="5745" max="5780" width="11.42578125" style="2" customWidth="1"/>
    <col min="5781" max="5781" width="11.140625" style="2" customWidth="1"/>
    <col min="5782" max="5972" width="14.42578125" style="2"/>
    <col min="5973" max="5973" width="7.28515625" style="2" customWidth="1"/>
    <col min="5974" max="5974" width="16" style="2" customWidth="1"/>
    <col min="5975" max="5977" width="14.42578125" style="2"/>
    <col min="5978" max="5978" width="12.7109375" style="2" customWidth="1"/>
    <col min="5979" max="5979" width="5.7109375" style="2" customWidth="1"/>
    <col min="5980" max="5980" width="7.28515625" style="2" customWidth="1"/>
    <col min="5981" max="5981" width="8.85546875" style="2" customWidth="1"/>
    <col min="5982" max="5982" width="14.28515625" style="2" customWidth="1"/>
    <col min="5983" max="5983" width="14.42578125" style="2"/>
    <col min="5984" max="5984" width="13.28515625" style="2" customWidth="1"/>
    <col min="5985" max="5985" width="14.42578125" style="2"/>
    <col min="5986" max="5986" width="11.7109375" style="2" customWidth="1"/>
    <col min="5987" max="5987" width="17.28515625" style="2" customWidth="1"/>
    <col min="5988" max="5988" width="26.85546875" style="2" customWidth="1"/>
    <col min="5989" max="5989" width="31.28515625" style="2" customWidth="1"/>
    <col min="5990" max="5990" width="12.85546875" style="2" customWidth="1"/>
    <col min="5991" max="5991" width="12.7109375" style="2" customWidth="1"/>
    <col min="5992" max="5992" width="11.7109375" style="2" customWidth="1"/>
    <col min="5993" max="5993" width="10" style="2" customWidth="1"/>
    <col min="5994" max="5994" width="11.85546875" style="2" customWidth="1"/>
    <col min="5995" max="5995" width="10.85546875" style="2" customWidth="1"/>
    <col min="5996" max="5996" width="10.28515625" style="2" customWidth="1"/>
    <col min="5997" max="5997" width="10.42578125" style="2" customWidth="1"/>
    <col min="5998" max="5998" width="16.42578125" style="2" customWidth="1"/>
    <col min="5999" max="5999" width="27.28515625" style="2" customWidth="1"/>
    <col min="6000" max="6000" width="15.140625" style="2" customWidth="1"/>
    <col min="6001" max="6036" width="11.42578125" style="2" customWidth="1"/>
    <col min="6037" max="6037" width="11.140625" style="2" customWidth="1"/>
    <col min="6038" max="6228" width="14.42578125" style="2"/>
    <col min="6229" max="6229" width="7.28515625" style="2" customWidth="1"/>
    <col min="6230" max="6230" width="16" style="2" customWidth="1"/>
    <col min="6231" max="6233" width="14.42578125" style="2"/>
    <col min="6234" max="6234" width="12.7109375" style="2" customWidth="1"/>
    <col min="6235" max="6235" width="5.7109375" style="2" customWidth="1"/>
    <col min="6236" max="6236" width="7.28515625" style="2" customWidth="1"/>
    <col min="6237" max="6237" width="8.85546875" style="2" customWidth="1"/>
    <col min="6238" max="6238" width="14.28515625" style="2" customWidth="1"/>
    <col min="6239" max="6239" width="14.42578125" style="2"/>
    <col min="6240" max="6240" width="13.28515625" style="2" customWidth="1"/>
    <col min="6241" max="6241" width="14.42578125" style="2"/>
    <col min="6242" max="6242" width="11.7109375" style="2" customWidth="1"/>
    <col min="6243" max="6243" width="17.28515625" style="2" customWidth="1"/>
    <col min="6244" max="6244" width="26.85546875" style="2" customWidth="1"/>
    <col min="6245" max="6245" width="31.28515625" style="2" customWidth="1"/>
    <col min="6246" max="6246" width="12.85546875" style="2" customWidth="1"/>
    <col min="6247" max="6247" width="12.7109375" style="2" customWidth="1"/>
    <col min="6248" max="6248" width="11.7109375" style="2" customWidth="1"/>
    <col min="6249" max="6249" width="10" style="2" customWidth="1"/>
    <col min="6250" max="6250" width="11.85546875" style="2" customWidth="1"/>
    <col min="6251" max="6251" width="10.85546875" style="2" customWidth="1"/>
    <col min="6252" max="6252" width="10.28515625" style="2" customWidth="1"/>
    <col min="6253" max="6253" width="10.42578125" style="2" customWidth="1"/>
    <col min="6254" max="6254" width="16.42578125" style="2" customWidth="1"/>
    <col min="6255" max="6255" width="27.28515625" style="2" customWidth="1"/>
    <col min="6256" max="6256" width="15.140625" style="2" customWidth="1"/>
    <col min="6257" max="6292" width="11.42578125" style="2" customWidth="1"/>
    <col min="6293" max="6293" width="11.140625" style="2" customWidth="1"/>
    <col min="6294" max="6484" width="14.42578125" style="2"/>
    <col min="6485" max="6485" width="7.28515625" style="2" customWidth="1"/>
    <col min="6486" max="6486" width="16" style="2" customWidth="1"/>
    <col min="6487" max="6489" width="14.42578125" style="2"/>
    <col min="6490" max="6490" width="12.7109375" style="2" customWidth="1"/>
    <col min="6491" max="6491" width="5.7109375" style="2" customWidth="1"/>
    <col min="6492" max="6492" width="7.28515625" style="2" customWidth="1"/>
    <col min="6493" max="6493" width="8.85546875" style="2" customWidth="1"/>
    <col min="6494" max="6494" width="14.28515625" style="2" customWidth="1"/>
    <col min="6495" max="6495" width="14.42578125" style="2"/>
    <col min="6496" max="6496" width="13.28515625" style="2" customWidth="1"/>
    <col min="6497" max="6497" width="14.42578125" style="2"/>
    <col min="6498" max="6498" width="11.7109375" style="2" customWidth="1"/>
    <col min="6499" max="6499" width="17.28515625" style="2" customWidth="1"/>
    <col min="6500" max="6500" width="26.85546875" style="2" customWidth="1"/>
    <col min="6501" max="6501" width="31.28515625" style="2" customWidth="1"/>
    <col min="6502" max="6502" width="12.85546875" style="2" customWidth="1"/>
    <col min="6503" max="6503" width="12.7109375" style="2" customWidth="1"/>
    <col min="6504" max="6504" width="11.7109375" style="2" customWidth="1"/>
    <col min="6505" max="6505" width="10" style="2" customWidth="1"/>
    <col min="6506" max="6506" width="11.85546875" style="2" customWidth="1"/>
    <col min="6507" max="6507" width="10.85546875" style="2" customWidth="1"/>
    <col min="6508" max="6508" width="10.28515625" style="2" customWidth="1"/>
    <col min="6509" max="6509" width="10.42578125" style="2" customWidth="1"/>
    <col min="6510" max="6510" width="16.42578125" style="2" customWidth="1"/>
    <col min="6511" max="6511" width="27.28515625" style="2" customWidth="1"/>
    <col min="6512" max="6512" width="15.140625" style="2" customWidth="1"/>
    <col min="6513" max="6548" width="11.42578125" style="2" customWidth="1"/>
    <col min="6549" max="6549" width="11.140625" style="2" customWidth="1"/>
    <col min="6550" max="6740" width="14.42578125" style="2"/>
    <col min="6741" max="6741" width="7.28515625" style="2" customWidth="1"/>
    <col min="6742" max="6742" width="16" style="2" customWidth="1"/>
    <col min="6743" max="6745" width="14.42578125" style="2"/>
    <col min="6746" max="6746" width="12.7109375" style="2" customWidth="1"/>
    <col min="6747" max="6747" width="5.7109375" style="2" customWidth="1"/>
    <col min="6748" max="6748" width="7.28515625" style="2" customWidth="1"/>
    <col min="6749" max="6749" width="8.85546875" style="2" customWidth="1"/>
    <col min="6750" max="6750" width="14.28515625" style="2" customWidth="1"/>
    <col min="6751" max="6751" width="14.42578125" style="2"/>
    <col min="6752" max="6752" width="13.28515625" style="2" customWidth="1"/>
    <col min="6753" max="6753" width="14.42578125" style="2"/>
    <col min="6754" max="6754" width="11.7109375" style="2" customWidth="1"/>
    <col min="6755" max="6755" width="17.28515625" style="2" customWidth="1"/>
    <col min="6756" max="6756" width="26.85546875" style="2" customWidth="1"/>
    <col min="6757" max="6757" width="31.28515625" style="2" customWidth="1"/>
    <col min="6758" max="6758" width="12.85546875" style="2" customWidth="1"/>
    <col min="6759" max="6759" width="12.7109375" style="2" customWidth="1"/>
    <col min="6760" max="6760" width="11.7109375" style="2" customWidth="1"/>
    <col min="6761" max="6761" width="10" style="2" customWidth="1"/>
    <col min="6762" max="6762" width="11.85546875" style="2" customWidth="1"/>
    <col min="6763" max="6763" width="10.85546875" style="2" customWidth="1"/>
    <col min="6764" max="6764" width="10.28515625" style="2" customWidth="1"/>
    <col min="6765" max="6765" width="10.42578125" style="2" customWidth="1"/>
    <col min="6766" max="6766" width="16.42578125" style="2" customWidth="1"/>
    <col min="6767" max="6767" width="27.28515625" style="2" customWidth="1"/>
    <col min="6768" max="6768" width="15.140625" style="2" customWidth="1"/>
    <col min="6769" max="6804" width="11.42578125" style="2" customWidth="1"/>
    <col min="6805" max="6805" width="11.140625" style="2" customWidth="1"/>
    <col min="6806" max="6996" width="14.42578125" style="2"/>
    <col min="6997" max="6997" width="7.28515625" style="2" customWidth="1"/>
    <col min="6998" max="6998" width="16" style="2" customWidth="1"/>
    <col min="6999" max="7001" width="14.42578125" style="2"/>
    <col min="7002" max="7002" width="12.7109375" style="2" customWidth="1"/>
    <col min="7003" max="7003" width="5.7109375" style="2" customWidth="1"/>
    <col min="7004" max="7004" width="7.28515625" style="2" customWidth="1"/>
    <col min="7005" max="7005" width="8.85546875" style="2" customWidth="1"/>
    <col min="7006" max="7006" width="14.28515625" style="2" customWidth="1"/>
    <col min="7007" max="7007" width="14.42578125" style="2"/>
    <col min="7008" max="7008" width="13.28515625" style="2" customWidth="1"/>
    <col min="7009" max="7009" width="14.42578125" style="2"/>
    <col min="7010" max="7010" width="11.7109375" style="2" customWidth="1"/>
    <col min="7011" max="7011" width="17.28515625" style="2" customWidth="1"/>
    <col min="7012" max="7012" width="26.85546875" style="2" customWidth="1"/>
    <col min="7013" max="7013" width="31.28515625" style="2" customWidth="1"/>
    <col min="7014" max="7014" width="12.85546875" style="2" customWidth="1"/>
    <col min="7015" max="7015" width="12.7109375" style="2" customWidth="1"/>
    <col min="7016" max="7016" width="11.7109375" style="2" customWidth="1"/>
    <col min="7017" max="7017" width="10" style="2" customWidth="1"/>
    <col min="7018" max="7018" width="11.85546875" style="2" customWidth="1"/>
    <col min="7019" max="7019" width="10.85546875" style="2" customWidth="1"/>
    <col min="7020" max="7020" width="10.28515625" style="2" customWidth="1"/>
    <col min="7021" max="7021" width="10.42578125" style="2" customWidth="1"/>
    <col min="7022" max="7022" width="16.42578125" style="2" customWidth="1"/>
    <col min="7023" max="7023" width="27.28515625" style="2" customWidth="1"/>
    <col min="7024" max="7024" width="15.140625" style="2" customWidth="1"/>
    <col min="7025" max="7060" width="11.42578125" style="2" customWidth="1"/>
    <col min="7061" max="7061" width="11.140625" style="2" customWidth="1"/>
    <col min="7062" max="7252" width="14.42578125" style="2"/>
    <col min="7253" max="7253" width="7.28515625" style="2" customWidth="1"/>
    <col min="7254" max="7254" width="16" style="2" customWidth="1"/>
    <col min="7255" max="7257" width="14.42578125" style="2"/>
    <col min="7258" max="7258" width="12.7109375" style="2" customWidth="1"/>
    <col min="7259" max="7259" width="5.7109375" style="2" customWidth="1"/>
    <col min="7260" max="7260" width="7.28515625" style="2" customWidth="1"/>
    <col min="7261" max="7261" width="8.85546875" style="2" customWidth="1"/>
    <col min="7262" max="7262" width="14.28515625" style="2" customWidth="1"/>
    <col min="7263" max="7263" width="14.42578125" style="2"/>
    <col min="7264" max="7264" width="13.28515625" style="2" customWidth="1"/>
    <col min="7265" max="7265" width="14.42578125" style="2"/>
    <col min="7266" max="7266" width="11.7109375" style="2" customWidth="1"/>
    <col min="7267" max="7267" width="17.28515625" style="2" customWidth="1"/>
    <col min="7268" max="7268" width="26.85546875" style="2" customWidth="1"/>
    <col min="7269" max="7269" width="31.28515625" style="2" customWidth="1"/>
    <col min="7270" max="7270" width="12.85546875" style="2" customWidth="1"/>
    <col min="7271" max="7271" width="12.7109375" style="2" customWidth="1"/>
    <col min="7272" max="7272" width="11.7109375" style="2" customWidth="1"/>
    <col min="7273" max="7273" width="10" style="2" customWidth="1"/>
    <col min="7274" max="7274" width="11.85546875" style="2" customWidth="1"/>
    <col min="7275" max="7275" width="10.85546875" style="2" customWidth="1"/>
    <col min="7276" max="7276" width="10.28515625" style="2" customWidth="1"/>
    <col min="7277" max="7277" width="10.42578125" style="2" customWidth="1"/>
    <col min="7278" max="7278" width="16.42578125" style="2" customWidth="1"/>
    <col min="7279" max="7279" width="27.28515625" style="2" customWidth="1"/>
    <col min="7280" max="7280" width="15.140625" style="2" customWidth="1"/>
    <col min="7281" max="7316" width="11.42578125" style="2" customWidth="1"/>
    <col min="7317" max="7317" width="11.140625" style="2" customWidth="1"/>
    <col min="7318" max="7508" width="14.42578125" style="2"/>
    <col min="7509" max="7509" width="7.28515625" style="2" customWidth="1"/>
    <col min="7510" max="7510" width="16" style="2" customWidth="1"/>
    <col min="7511" max="7513" width="14.42578125" style="2"/>
    <col min="7514" max="7514" width="12.7109375" style="2" customWidth="1"/>
    <col min="7515" max="7515" width="5.7109375" style="2" customWidth="1"/>
    <col min="7516" max="7516" width="7.28515625" style="2" customWidth="1"/>
    <col min="7517" max="7517" width="8.85546875" style="2" customWidth="1"/>
    <col min="7518" max="7518" width="14.28515625" style="2" customWidth="1"/>
    <col min="7519" max="7519" width="14.42578125" style="2"/>
    <col min="7520" max="7520" width="13.28515625" style="2" customWidth="1"/>
    <col min="7521" max="7521" width="14.42578125" style="2"/>
    <col min="7522" max="7522" width="11.7109375" style="2" customWidth="1"/>
    <col min="7523" max="7523" width="17.28515625" style="2" customWidth="1"/>
    <col min="7524" max="7524" width="26.85546875" style="2" customWidth="1"/>
    <col min="7525" max="7525" width="31.28515625" style="2" customWidth="1"/>
    <col min="7526" max="7526" width="12.85546875" style="2" customWidth="1"/>
    <col min="7527" max="7527" width="12.7109375" style="2" customWidth="1"/>
    <col min="7528" max="7528" width="11.7109375" style="2" customWidth="1"/>
    <col min="7529" max="7529" width="10" style="2" customWidth="1"/>
    <col min="7530" max="7530" width="11.85546875" style="2" customWidth="1"/>
    <col min="7531" max="7531" width="10.85546875" style="2" customWidth="1"/>
    <col min="7532" max="7532" width="10.28515625" style="2" customWidth="1"/>
    <col min="7533" max="7533" width="10.42578125" style="2" customWidth="1"/>
    <col min="7534" max="7534" width="16.42578125" style="2" customWidth="1"/>
    <col min="7535" max="7535" width="27.28515625" style="2" customWidth="1"/>
    <col min="7536" max="7536" width="15.140625" style="2" customWidth="1"/>
    <col min="7537" max="7572" width="11.42578125" style="2" customWidth="1"/>
    <col min="7573" max="7573" width="11.140625" style="2" customWidth="1"/>
    <col min="7574" max="7764" width="14.42578125" style="2"/>
    <col min="7765" max="7765" width="7.28515625" style="2" customWidth="1"/>
    <col min="7766" max="7766" width="16" style="2" customWidth="1"/>
    <col min="7767" max="7769" width="14.42578125" style="2"/>
    <col min="7770" max="7770" width="12.7109375" style="2" customWidth="1"/>
    <col min="7771" max="7771" width="5.7109375" style="2" customWidth="1"/>
    <col min="7772" max="7772" width="7.28515625" style="2" customWidth="1"/>
    <col min="7773" max="7773" width="8.85546875" style="2" customWidth="1"/>
    <col min="7774" max="7774" width="14.28515625" style="2" customWidth="1"/>
    <col min="7775" max="7775" width="14.42578125" style="2"/>
    <col min="7776" max="7776" width="13.28515625" style="2" customWidth="1"/>
    <col min="7777" max="7777" width="14.42578125" style="2"/>
    <col min="7778" max="7778" width="11.7109375" style="2" customWidth="1"/>
    <col min="7779" max="7779" width="17.28515625" style="2" customWidth="1"/>
    <col min="7780" max="7780" width="26.85546875" style="2" customWidth="1"/>
    <col min="7781" max="7781" width="31.28515625" style="2" customWidth="1"/>
    <col min="7782" max="7782" width="12.85546875" style="2" customWidth="1"/>
    <col min="7783" max="7783" width="12.7109375" style="2" customWidth="1"/>
    <col min="7784" max="7784" width="11.7109375" style="2" customWidth="1"/>
    <col min="7785" max="7785" width="10" style="2" customWidth="1"/>
    <col min="7786" max="7786" width="11.85546875" style="2" customWidth="1"/>
    <col min="7787" max="7787" width="10.85546875" style="2" customWidth="1"/>
    <col min="7788" max="7788" width="10.28515625" style="2" customWidth="1"/>
    <col min="7789" max="7789" width="10.42578125" style="2" customWidth="1"/>
    <col min="7790" max="7790" width="16.42578125" style="2" customWidth="1"/>
    <col min="7791" max="7791" width="27.28515625" style="2" customWidth="1"/>
    <col min="7792" max="7792" width="15.140625" style="2" customWidth="1"/>
    <col min="7793" max="7828" width="11.42578125" style="2" customWidth="1"/>
    <col min="7829" max="7829" width="11.140625" style="2" customWidth="1"/>
    <col min="7830" max="8020" width="14.42578125" style="2"/>
    <col min="8021" max="8021" width="7.28515625" style="2" customWidth="1"/>
    <col min="8022" max="8022" width="16" style="2" customWidth="1"/>
    <col min="8023" max="8025" width="14.42578125" style="2"/>
    <col min="8026" max="8026" width="12.7109375" style="2" customWidth="1"/>
    <col min="8027" max="8027" width="5.7109375" style="2" customWidth="1"/>
    <col min="8028" max="8028" width="7.28515625" style="2" customWidth="1"/>
    <col min="8029" max="8029" width="8.85546875" style="2" customWidth="1"/>
    <col min="8030" max="8030" width="14.28515625" style="2" customWidth="1"/>
    <col min="8031" max="8031" width="14.42578125" style="2"/>
    <col min="8032" max="8032" width="13.28515625" style="2" customWidth="1"/>
    <col min="8033" max="8033" width="14.42578125" style="2"/>
    <col min="8034" max="8034" width="11.7109375" style="2" customWidth="1"/>
    <col min="8035" max="8035" width="17.28515625" style="2" customWidth="1"/>
    <col min="8036" max="8036" width="26.85546875" style="2" customWidth="1"/>
    <col min="8037" max="8037" width="31.28515625" style="2" customWidth="1"/>
    <col min="8038" max="8038" width="12.85546875" style="2" customWidth="1"/>
    <col min="8039" max="8039" width="12.7109375" style="2" customWidth="1"/>
    <col min="8040" max="8040" width="11.7109375" style="2" customWidth="1"/>
    <col min="8041" max="8041" width="10" style="2" customWidth="1"/>
    <col min="8042" max="8042" width="11.85546875" style="2" customWidth="1"/>
    <col min="8043" max="8043" width="10.85546875" style="2" customWidth="1"/>
    <col min="8044" max="8044" width="10.28515625" style="2" customWidth="1"/>
    <col min="8045" max="8045" width="10.42578125" style="2" customWidth="1"/>
    <col min="8046" max="8046" width="16.42578125" style="2" customWidth="1"/>
    <col min="8047" max="8047" width="27.28515625" style="2" customWidth="1"/>
    <col min="8048" max="8048" width="15.140625" style="2" customWidth="1"/>
    <col min="8049" max="8084" width="11.42578125" style="2" customWidth="1"/>
    <col min="8085" max="8085" width="11.140625" style="2" customWidth="1"/>
    <col min="8086" max="8276" width="14.42578125" style="2"/>
    <col min="8277" max="8277" width="7.28515625" style="2" customWidth="1"/>
    <col min="8278" max="8278" width="16" style="2" customWidth="1"/>
    <col min="8279" max="8281" width="14.42578125" style="2"/>
    <col min="8282" max="8282" width="12.7109375" style="2" customWidth="1"/>
    <col min="8283" max="8283" width="5.7109375" style="2" customWidth="1"/>
    <col min="8284" max="8284" width="7.28515625" style="2" customWidth="1"/>
    <col min="8285" max="8285" width="8.85546875" style="2" customWidth="1"/>
    <col min="8286" max="8286" width="14.28515625" style="2" customWidth="1"/>
    <col min="8287" max="8287" width="14.42578125" style="2"/>
    <col min="8288" max="8288" width="13.28515625" style="2" customWidth="1"/>
    <col min="8289" max="8289" width="14.42578125" style="2"/>
    <col min="8290" max="8290" width="11.7109375" style="2" customWidth="1"/>
    <col min="8291" max="8291" width="17.28515625" style="2" customWidth="1"/>
    <col min="8292" max="8292" width="26.85546875" style="2" customWidth="1"/>
    <col min="8293" max="8293" width="31.28515625" style="2" customWidth="1"/>
    <col min="8294" max="8294" width="12.85546875" style="2" customWidth="1"/>
    <col min="8295" max="8295" width="12.7109375" style="2" customWidth="1"/>
    <col min="8296" max="8296" width="11.7109375" style="2" customWidth="1"/>
    <col min="8297" max="8297" width="10" style="2" customWidth="1"/>
    <col min="8298" max="8298" width="11.85546875" style="2" customWidth="1"/>
    <col min="8299" max="8299" width="10.85546875" style="2" customWidth="1"/>
    <col min="8300" max="8300" width="10.28515625" style="2" customWidth="1"/>
    <col min="8301" max="8301" width="10.42578125" style="2" customWidth="1"/>
    <col min="8302" max="8302" width="16.42578125" style="2" customWidth="1"/>
    <col min="8303" max="8303" width="27.28515625" style="2" customWidth="1"/>
    <col min="8304" max="8304" width="15.140625" style="2" customWidth="1"/>
    <col min="8305" max="8340" width="11.42578125" style="2" customWidth="1"/>
    <col min="8341" max="8341" width="11.140625" style="2" customWidth="1"/>
    <col min="8342" max="8532" width="14.42578125" style="2"/>
    <col min="8533" max="8533" width="7.28515625" style="2" customWidth="1"/>
    <col min="8534" max="8534" width="16" style="2" customWidth="1"/>
    <col min="8535" max="8537" width="14.42578125" style="2"/>
    <col min="8538" max="8538" width="12.7109375" style="2" customWidth="1"/>
    <col min="8539" max="8539" width="5.7109375" style="2" customWidth="1"/>
    <col min="8540" max="8540" width="7.28515625" style="2" customWidth="1"/>
    <col min="8541" max="8541" width="8.85546875" style="2" customWidth="1"/>
    <col min="8542" max="8542" width="14.28515625" style="2" customWidth="1"/>
    <col min="8543" max="8543" width="14.42578125" style="2"/>
    <col min="8544" max="8544" width="13.28515625" style="2" customWidth="1"/>
    <col min="8545" max="8545" width="14.42578125" style="2"/>
    <col min="8546" max="8546" width="11.7109375" style="2" customWidth="1"/>
    <col min="8547" max="8547" width="17.28515625" style="2" customWidth="1"/>
    <col min="8548" max="8548" width="26.85546875" style="2" customWidth="1"/>
    <col min="8549" max="8549" width="31.28515625" style="2" customWidth="1"/>
    <col min="8550" max="8550" width="12.85546875" style="2" customWidth="1"/>
    <col min="8551" max="8551" width="12.7109375" style="2" customWidth="1"/>
    <col min="8552" max="8552" width="11.7109375" style="2" customWidth="1"/>
    <col min="8553" max="8553" width="10" style="2" customWidth="1"/>
    <col min="8554" max="8554" width="11.85546875" style="2" customWidth="1"/>
    <col min="8555" max="8555" width="10.85546875" style="2" customWidth="1"/>
    <col min="8556" max="8556" width="10.28515625" style="2" customWidth="1"/>
    <col min="8557" max="8557" width="10.42578125" style="2" customWidth="1"/>
    <col min="8558" max="8558" width="16.42578125" style="2" customWidth="1"/>
    <col min="8559" max="8559" width="27.28515625" style="2" customWidth="1"/>
    <col min="8560" max="8560" width="15.140625" style="2" customWidth="1"/>
    <col min="8561" max="8596" width="11.42578125" style="2" customWidth="1"/>
    <col min="8597" max="8597" width="11.140625" style="2" customWidth="1"/>
    <col min="8598" max="8788" width="14.42578125" style="2"/>
    <col min="8789" max="8789" width="7.28515625" style="2" customWidth="1"/>
    <col min="8790" max="8790" width="16" style="2" customWidth="1"/>
    <col min="8791" max="8793" width="14.42578125" style="2"/>
    <col min="8794" max="8794" width="12.7109375" style="2" customWidth="1"/>
    <col min="8795" max="8795" width="5.7109375" style="2" customWidth="1"/>
    <col min="8796" max="8796" width="7.28515625" style="2" customWidth="1"/>
    <col min="8797" max="8797" width="8.85546875" style="2" customWidth="1"/>
    <col min="8798" max="8798" width="14.28515625" style="2" customWidth="1"/>
    <col min="8799" max="8799" width="14.42578125" style="2"/>
    <col min="8800" max="8800" width="13.28515625" style="2" customWidth="1"/>
    <col min="8801" max="8801" width="14.42578125" style="2"/>
    <col min="8802" max="8802" width="11.7109375" style="2" customWidth="1"/>
    <col min="8803" max="8803" width="17.28515625" style="2" customWidth="1"/>
    <col min="8804" max="8804" width="26.85546875" style="2" customWidth="1"/>
    <col min="8805" max="8805" width="31.28515625" style="2" customWidth="1"/>
    <col min="8806" max="8806" width="12.85546875" style="2" customWidth="1"/>
    <col min="8807" max="8807" width="12.7109375" style="2" customWidth="1"/>
    <col min="8808" max="8808" width="11.7109375" style="2" customWidth="1"/>
    <col min="8809" max="8809" width="10" style="2" customWidth="1"/>
    <col min="8810" max="8810" width="11.85546875" style="2" customWidth="1"/>
    <col min="8811" max="8811" width="10.85546875" style="2" customWidth="1"/>
    <col min="8812" max="8812" width="10.28515625" style="2" customWidth="1"/>
    <col min="8813" max="8813" width="10.42578125" style="2" customWidth="1"/>
    <col min="8814" max="8814" width="16.42578125" style="2" customWidth="1"/>
    <col min="8815" max="8815" width="27.28515625" style="2" customWidth="1"/>
    <col min="8816" max="8816" width="15.140625" style="2" customWidth="1"/>
    <col min="8817" max="8852" width="11.42578125" style="2" customWidth="1"/>
    <col min="8853" max="8853" width="11.140625" style="2" customWidth="1"/>
    <col min="8854" max="9044" width="14.42578125" style="2"/>
    <col min="9045" max="9045" width="7.28515625" style="2" customWidth="1"/>
    <col min="9046" max="9046" width="16" style="2" customWidth="1"/>
    <col min="9047" max="9049" width="14.42578125" style="2"/>
    <col min="9050" max="9050" width="12.7109375" style="2" customWidth="1"/>
    <col min="9051" max="9051" width="5.7109375" style="2" customWidth="1"/>
    <col min="9052" max="9052" width="7.28515625" style="2" customWidth="1"/>
    <col min="9053" max="9053" width="8.85546875" style="2" customWidth="1"/>
    <col min="9054" max="9054" width="14.28515625" style="2" customWidth="1"/>
    <col min="9055" max="9055" width="14.42578125" style="2"/>
    <col min="9056" max="9056" width="13.28515625" style="2" customWidth="1"/>
    <col min="9057" max="9057" width="14.42578125" style="2"/>
    <col min="9058" max="9058" width="11.7109375" style="2" customWidth="1"/>
    <col min="9059" max="9059" width="17.28515625" style="2" customWidth="1"/>
    <col min="9060" max="9060" width="26.85546875" style="2" customWidth="1"/>
    <col min="9061" max="9061" width="31.28515625" style="2" customWidth="1"/>
    <col min="9062" max="9062" width="12.85546875" style="2" customWidth="1"/>
    <col min="9063" max="9063" width="12.7109375" style="2" customWidth="1"/>
    <col min="9064" max="9064" width="11.7109375" style="2" customWidth="1"/>
    <col min="9065" max="9065" width="10" style="2" customWidth="1"/>
    <col min="9066" max="9066" width="11.85546875" style="2" customWidth="1"/>
    <col min="9067" max="9067" width="10.85546875" style="2" customWidth="1"/>
    <col min="9068" max="9068" width="10.28515625" style="2" customWidth="1"/>
    <col min="9069" max="9069" width="10.42578125" style="2" customWidth="1"/>
    <col min="9070" max="9070" width="16.42578125" style="2" customWidth="1"/>
    <col min="9071" max="9071" width="27.28515625" style="2" customWidth="1"/>
    <col min="9072" max="9072" width="15.140625" style="2" customWidth="1"/>
    <col min="9073" max="9108" width="11.42578125" style="2" customWidth="1"/>
    <col min="9109" max="9109" width="11.140625" style="2" customWidth="1"/>
    <col min="9110" max="9300" width="14.42578125" style="2"/>
    <col min="9301" max="9301" width="7.28515625" style="2" customWidth="1"/>
    <col min="9302" max="9302" width="16" style="2" customWidth="1"/>
    <col min="9303" max="9305" width="14.42578125" style="2"/>
    <col min="9306" max="9306" width="12.7109375" style="2" customWidth="1"/>
    <col min="9307" max="9307" width="5.7109375" style="2" customWidth="1"/>
    <col min="9308" max="9308" width="7.28515625" style="2" customWidth="1"/>
    <col min="9309" max="9309" width="8.85546875" style="2" customWidth="1"/>
    <col min="9310" max="9310" width="14.28515625" style="2" customWidth="1"/>
    <col min="9311" max="9311" width="14.42578125" style="2"/>
    <col min="9312" max="9312" width="13.28515625" style="2" customWidth="1"/>
    <col min="9313" max="9313" width="14.42578125" style="2"/>
    <col min="9314" max="9314" width="11.7109375" style="2" customWidth="1"/>
    <col min="9315" max="9315" width="17.28515625" style="2" customWidth="1"/>
    <col min="9316" max="9316" width="26.85546875" style="2" customWidth="1"/>
    <col min="9317" max="9317" width="31.28515625" style="2" customWidth="1"/>
    <col min="9318" max="9318" width="12.85546875" style="2" customWidth="1"/>
    <col min="9319" max="9319" width="12.7109375" style="2" customWidth="1"/>
    <col min="9320" max="9320" width="11.7109375" style="2" customWidth="1"/>
    <col min="9321" max="9321" width="10" style="2" customWidth="1"/>
    <col min="9322" max="9322" width="11.85546875" style="2" customWidth="1"/>
    <col min="9323" max="9323" width="10.85546875" style="2" customWidth="1"/>
    <col min="9324" max="9324" width="10.28515625" style="2" customWidth="1"/>
    <col min="9325" max="9325" width="10.42578125" style="2" customWidth="1"/>
    <col min="9326" max="9326" width="16.42578125" style="2" customWidth="1"/>
    <col min="9327" max="9327" width="27.28515625" style="2" customWidth="1"/>
    <col min="9328" max="9328" width="15.140625" style="2" customWidth="1"/>
    <col min="9329" max="9364" width="11.42578125" style="2" customWidth="1"/>
    <col min="9365" max="9365" width="11.140625" style="2" customWidth="1"/>
    <col min="9366" max="9556" width="14.42578125" style="2"/>
    <col min="9557" max="9557" width="7.28515625" style="2" customWidth="1"/>
    <col min="9558" max="9558" width="16" style="2" customWidth="1"/>
    <col min="9559" max="9561" width="14.42578125" style="2"/>
    <col min="9562" max="9562" width="12.7109375" style="2" customWidth="1"/>
    <col min="9563" max="9563" width="5.7109375" style="2" customWidth="1"/>
    <col min="9564" max="9564" width="7.28515625" style="2" customWidth="1"/>
    <col min="9565" max="9565" width="8.85546875" style="2" customWidth="1"/>
    <col min="9566" max="9566" width="14.28515625" style="2" customWidth="1"/>
    <col min="9567" max="9567" width="14.42578125" style="2"/>
    <col min="9568" max="9568" width="13.28515625" style="2" customWidth="1"/>
    <col min="9569" max="9569" width="14.42578125" style="2"/>
    <col min="9570" max="9570" width="11.7109375" style="2" customWidth="1"/>
    <col min="9571" max="9571" width="17.28515625" style="2" customWidth="1"/>
    <col min="9572" max="9572" width="26.85546875" style="2" customWidth="1"/>
    <col min="9573" max="9573" width="31.28515625" style="2" customWidth="1"/>
    <col min="9574" max="9574" width="12.85546875" style="2" customWidth="1"/>
    <col min="9575" max="9575" width="12.7109375" style="2" customWidth="1"/>
    <col min="9576" max="9576" width="11.7109375" style="2" customWidth="1"/>
    <col min="9577" max="9577" width="10" style="2" customWidth="1"/>
    <col min="9578" max="9578" width="11.85546875" style="2" customWidth="1"/>
    <col min="9579" max="9579" width="10.85546875" style="2" customWidth="1"/>
    <col min="9580" max="9580" width="10.28515625" style="2" customWidth="1"/>
    <col min="9581" max="9581" width="10.42578125" style="2" customWidth="1"/>
    <col min="9582" max="9582" width="16.42578125" style="2" customWidth="1"/>
    <col min="9583" max="9583" width="27.28515625" style="2" customWidth="1"/>
    <col min="9584" max="9584" width="15.140625" style="2" customWidth="1"/>
    <col min="9585" max="9620" width="11.42578125" style="2" customWidth="1"/>
    <col min="9621" max="9621" width="11.140625" style="2" customWidth="1"/>
    <col min="9622" max="9812" width="14.42578125" style="2"/>
    <col min="9813" max="9813" width="7.28515625" style="2" customWidth="1"/>
    <col min="9814" max="9814" width="16" style="2" customWidth="1"/>
    <col min="9815" max="9817" width="14.42578125" style="2"/>
    <col min="9818" max="9818" width="12.7109375" style="2" customWidth="1"/>
    <col min="9819" max="9819" width="5.7109375" style="2" customWidth="1"/>
    <col min="9820" max="9820" width="7.28515625" style="2" customWidth="1"/>
    <col min="9821" max="9821" width="8.85546875" style="2" customWidth="1"/>
    <col min="9822" max="9822" width="14.28515625" style="2" customWidth="1"/>
    <col min="9823" max="9823" width="14.42578125" style="2"/>
    <col min="9824" max="9824" width="13.28515625" style="2" customWidth="1"/>
    <col min="9825" max="9825" width="14.42578125" style="2"/>
    <col min="9826" max="9826" width="11.7109375" style="2" customWidth="1"/>
    <col min="9827" max="9827" width="17.28515625" style="2" customWidth="1"/>
    <col min="9828" max="9828" width="26.85546875" style="2" customWidth="1"/>
    <col min="9829" max="9829" width="31.28515625" style="2" customWidth="1"/>
    <col min="9830" max="9830" width="12.85546875" style="2" customWidth="1"/>
    <col min="9831" max="9831" width="12.7109375" style="2" customWidth="1"/>
    <col min="9832" max="9832" width="11.7109375" style="2" customWidth="1"/>
    <col min="9833" max="9833" width="10" style="2" customWidth="1"/>
    <col min="9834" max="9834" width="11.85546875" style="2" customWidth="1"/>
    <col min="9835" max="9835" width="10.85546875" style="2" customWidth="1"/>
    <col min="9836" max="9836" width="10.28515625" style="2" customWidth="1"/>
    <col min="9837" max="9837" width="10.42578125" style="2" customWidth="1"/>
    <col min="9838" max="9838" width="16.42578125" style="2" customWidth="1"/>
    <col min="9839" max="9839" width="27.28515625" style="2" customWidth="1"/>
    <col min="9840" max="9840" width="15.140625" style="2" customWidth="1"/>
    <col min="9841" max="9876" width="11.42578125" style="2" customWidth="1"/>
    <col min="9877" max="9877" width="11.140625" style="2" customWidth="1"/>
    <col min="9878" max="10068" width="14.42578125" style="2"/>
    <col min="10069" max="10069" width="7.28515625" style="2" customWidth="1"/>
    <col min="10070" max="10070" width="16" style="2" customWidth="1"/>
    <col min="10071" max="10073" width="14.42578125" style="2"/>
    <col min="10074" max="10074" width="12.7109375" style="2" customWidth="1"/>
    <col min="10075" max="10075" width="5.7109375" style="2" customWidth="1"/>
    <col min="10076" max="10076" width="7.28515625" style="2" customWidth="1"/>
    <col min="10077" max="10077" width="8.85546875" style="2" customWidth="1"/>
    <col min="10078" max="10078" width="14.28515625" style="2" customWidth="1"/>
    <col min="10079" max="10079" width="14.42578125" style="2"/>
    <col min="10080" max="10080" width="13.28515625" style="2" customWidth="1"/>
    <col min="10081" max="10081" width="14.42578125" style="2"/>
    <col min="10082" max="10082" width="11.7109375" style="2" customWidth="1"/>
    <col min="10083" max="10083" width="17.28515625" style="2" customWidth="1"/>
    <col min="10084" max="10084" width="26.85546875" style="2" customWidth="1"/>
    <col min="10085" max="10085" width="31.28515625" style="2" customWidth="1"/>
    <col min="10086" max="10086" width="12.85546875" style="2" customWidth="1"/>
    <col min="10087" max="10087" width="12.7109375" style="2" customWidth="1"/>
    <col min="10088" max="10088" width="11.7109375" style="2" customWidth="1"/>
    <col min="10089" max="10089" width="10" style="2" customWidth="1"/>
    <col min="10090" max="10090" width="11.85546875" style="2" customWidth="1"/>
    <col min="10091" max="10091" width="10.85546875" style="2" customWidth="1"/>
    <col min="10092" max="10092" width="10.28515625" style="2" customWidth="1"/>
    <col min="10093" max="10093" width="10.42578125" style="2" customWidth="1"/>
    <col min="10094" max="10094" width="16.42578125" style="2" customWidth="1"/>
    <col min="10095" max="10095" width="27.28515625" style="2" customWidth="1"/>
    <col min="10096" max="10096" width="15.140625" style="2" customWidth="1"/>
    <col min="10097" max="10132" width="11.42578125" style="2" customWidth="1"/>
    <col min="10133" max="10133" width="11.140625" style="2" customWidth="1"/>
    <col min="10134" max="10324" width="14.42578125" style="2"/>
    <col min="10325" max="10325" width="7.28515625" style="2" customWidth="1"/>
    <col min="10326" max="10326" width="16" style="2" customWidth="1"/>
    <col min="10327" max="10329" width="14.42578125" style="2"/>
    <col min="10330" max="10330" width="12.7109375" style="2" customWidth="1"/>
    <col min="10331" max="10331" width="5.7109375" style="2" customWidth="1"/>
    <col min="10332" max="10332" width="7.28515625" style="2" customWidth="1"/>
    <col min="10333" max="10333" width="8.85546875" style="2" customWidth="1"/>
    <col min="10334" max="10334" width="14.28515625" style="2" customWidth="1"/>
    <col min="10335" max="10335" width="14.42578125" style="2"/>
    <col min="10336" max="10336" width="13.28515625" style="2" customWidth="1"/>
    <col min="10337" max="10337" width="14.42578125" style="2"/>
    <col min="10338" max="10338" width="11.7109375" style="2" customWidth="1"/>
    <col min="10339" max="10339" width="17.28515625" style="2" customWidth="1"/>
    <col min="10340" max="10340" width="26.85546875" style="2" customWidth="1"/>
    <col min="10341" max="10341" width="31.28515625" style="2" customWidth="1"/>
    <col min="10342" max="10342" width="12.85546875" style="2" customWidth="1"/>
    <col min="10343" max="10343" width="12.7109375" style="2" customWidth="1"/>
    <col min="10344" max="10344" width="11.7109375" style="2" customWidth="1"/>
    <col min="10345" max="10345" width="10" style="2" customWidth="1"/>
    <col min="10346" max="10346" width="11.85546875" style="2" customWidth="1"/>
    <col min="10347" max="10347" width="10.85546875" style="2" customWidth="1"/>
    <col min="10348" max="10348" width="10.28515625" style="2" customWidth="1"/>
    <col min="10349" max="10349" width="10.42578125" style="2" customWidth="1"/>
    <col min="10350" max="10350" width="16.42578125" style="2" customWidth="1"/>
    <col min="10351" max="10351" width="27.28515625" style="2" customWidth="1"/>
    <col min="10352" max="10352" width="15.140625" style="2" customWidth="1"/>
    <col min="10353" max="10388" width="11.42578125" style="2" customWidth="1"/>
    <col min="10389" max="10389" width="11.140625" style="2" customWidth="1"/>
    <col min="10390" max="10580" width="14.42578125" style="2"/>
    <col min="10581" max="10581" width="7.28515625" style="2" customWidth="1"/>
    <col min="10582" max="10582" width="16" style="2" customWidth="1"/>
    <col min="10583" max="10585" width="14.42578125" style="2"/>
    <col min="10586" max="10586" width="12.7109375" style="2" customWidth="1"/>
    <col min="10587" max="10587" width="5.7109375" style="2" customWidth="1"/>
    <col min="10588" max="10588" width="7.28515625" style="2" customWidth="1"/>
    <col min="10589" max="10589" width="8.85546875" style="2" customWidth="1"/>
    <col min="10590" max="10590" width="14.28515625" style="2" customWidth="1"/>
    <col min="10591" max="10591" width="14.42578125" style="2"/>
    <col min="10592" max="10592" width="13.28515625" style="2" customWidth="1"/>
    <col min="10593" max="10593" width="14.42578125" style="2"/>
    <col min="10594" max="10594" width="11.7109375" style="2" customWidth="1"/>
    <col min="10595" max="10595" width="17.28515625" style="2" customWidth="1"/>
    <col min="10596" max="10596" width="26.85546875" style="2" customWidth="1"/>
    <col min="10597" max="10597" width="31.28515625" style="2" customWidth="1"/>
    <col min="10598" max="10598" width="12.85546875" style="2" customWidth="1"/>
    <col min="10599" max="10599" width="12.7109375" style="2" customWidth="1"/>
    <col min="10600" max="10600" width="11.7109375" style="2" customWidth="1"/>
    <col min="10601" max="10601" width="10" style="2" customWidth="1"/>
    <col min="10602" max="10602" width="11.85546875" style="2" customWidth="1"/>
    <col min="10603" max="10603" width="10.85546875" style="2" customWidth="1"/>
    <col min="10604" max="10604" width="10.28515625" style="2" customWidth="1"/>
    <col min="10605" max="10605" width="10.42578125" style="2" customWidth="1"/>
    <col min="10606" max="10606" width="16.42578125" style="2" customWidth="1"/>
    <col min="10607" max="10607" width="27.28515625" style="2" customWidth="1"/>
    <col min="10608" max="10608" width="15.140625" style="2" customWidth="1"/>
    <col min="10609" max="10644" width="11.42578125" style="2" customWidth="1"/>
    <col min="10645" max="10645" width="11.140625" style="2" customWidth="1"/>
    <col min="10646" max="10836" width="14.42578125" style="2"/>
    <col min="10837" max="10837" width="7.28515625" style="2" customWidth="1"/>
    <col min="10838" max="10838" width="16" style="2" customWidth="1"/>
    <col min="10839" max="10841" width="14.42578125" style="2"/>
    <col min="10842" max="10842" width="12.7109375" style="2" customWidth="1"/>
    <col min="10843" max="10843" width="5.7109375" style="2" customWidth="1"/>
    <col min="10844" max="10844" width="7.28515625" style="2" customWidth="1"/>
    <col min="10845" max="10845" width="8.85546875" style="2" customWidth="1"/>
    <col min="10846" max="10846" width="14.28515625" style="2" customWidth="1"/>
    <col min="10847" max="10847" width="14.42578125" style="2"/>
    <col min="10848" max="10848" width="13.28515625" style="2" customWidth="1"/>
    <col min="10849" max="10849" width="14.42578125" style="2"/>
    <col min="10850" max="10850" width="11.7109375" style="2" customWidth="1"/>
    <col min="10851" max="10851" width="17.28515625" style="2" customWidth="1"/>
    <col min="10852" max="10852" width="26.85546875" style="2" customWidth="1"/>
    <col min="10853" max="10853" width="31.28515625" style="2" customWidth="1"/>
    <col min="10854" max="10854" width="12.85546875" style="2" customWidth="1"/>
    <col min="10855" max="10855" width="12.7109375" style="2" customWidth="1"/>
    <col min="10856" max="10856" width="11.7109375" style="2" customWidth="1"/>
    <col min="10857" max="10857" width="10" style="2" customWidth="1"/>
    <col min="10858" max="10858" width="11.85546875" style="2" customWidth="1"/>
    <col min="10859" max="10859" width="10.85546875" style="2" customWidth="1"/>
    <col min="10860" max="10860" width="10.28515625" style="2" customWidth="1"/>
    <col min="10861" max="10861" width="10.42578125" style="2" customWidth="1"/>
    <col min="10862" max="10862" width="16.42578125" style="2" customWidth="1"/>
    <col min="10863" max="10863" width="27.28515625" style="2" customWidth="1"/>
    <col min="10864" max="10864" width="15.140625" style="2" customWidth="1"/>
    <col min="10865" max="10900" width="11.42578125" style="2" customWidth="1"/>
    <col min="10901" max="10901" width="11.140625" style="2" customWidth="1"/>
    <col min="10902" max="11092" width="14.42578125" style="2"/>
    <col min="11093" max="11093" width="7.28515625" style="2" customWidth="1"/>
    <col min="11094" max="11094" width="16" style="2" customWidth="1"/>
    <col min="11095" max="11097" width="14.42578125" style="2"/>
    <col min="11098" max="11098" width="12.7109375" style="2" customWidth="1"/>
    <col min="11099" max="11099" width="5.7109375" style="2" customWidth="1"/>
    <col min="11100" max="11100" width="7.28515625" style="2" customWidth="1"/>
    <col min="11101" max="11101" width="8.85546875" style="2" customWidth="1"/>
    <col min="11102" max="11102" width="14.28515625" style="2" customWidth="1"/>
    <col min="11103" max="11103" width="14.42578125" style="2"/>
    <col min="11104" max="11104" width="13.28515625" style="2" customWidth="1"/>
    <col min="11105" max="11105" width="14.42578125" style="2"/>
    <col min="11106" max="11106" width="11.7109375" style="2" customWidth="1"/>
    <col min="11107" max="11107" width="17.28515625" style="2" customWidth="1"/>
    <col min="11108" max="11108" width="26.85546875" style="2" customWidth="1"/>
    <col min="11109" max="11109" width="31.28515625" style="2" customWidth="1"/>
    <col min="11110" max="11110" width="12.85546875" style="2" customWidth="1"/>
    <col min="11111" max="11111" width="12.7109375" style="2" customWidth="1"/>
    <col min="11112" max="11112" width="11.7109375" style="2" customWidth="1"/>
    <col min="11113" max="11113" width="10" style="2" customWidth="1"/>
    <col min="11114" max="11114" width="11.85546875" style="2" customWidth="1"/>
    <col min="11115" max="11115" width="10.85546875" style="2" customWidth="1"/>
    <col min="11116" max="11116" width="10.28515625" style="2" customWidth="1"/>
    <col min="11117" max="11117" width="10.42578125" style="2" customWidth="1"/>
    <col min="11118" max="11118" width="16.42578125" style="2" customWidth="1"/>
    <col min="11119" max="11119" width="27.28515625" style="2" customWidth="1"/>
    <col min="11120" max="11120" width="15.140625" style="2" customWidth="1"/>
    <col min="11121" max="11156" width="11.42578125" style="2" customWidth="1"/>
    <col min="11157" max="11157" width="11.140625" style="2" customWidth="1"/>
    <col min="11158" max="11348" width="14.42578125" style="2"/>
    <col min="11349" max="11349" width="7.28515625" style="2" customWidth="1"/>
    <col min="11350" max="11350" width="16" style="2" customWidth="1"/>
    <col min="11351" max="11353" width="14.42578125" style="2"/>
    <col min="11354" max="11354" width="12.7109375" style="2" customWidth="1"/>
    <col min="11355" max="11355" width="5.7109375" style="2" customWidth="1"/>
    <col min="11356" max="11356" width="7.28515625" style="2" customWidth="1"/>
    <col min="11357" max="11357" width="8.85546875" style="2" customWidth="1"/>
    <col min="11358" max="11358" width="14.28515625" style="2" customWidth="1"/>
    <col min="11359" max="11359" width="14.42578125" style="2"/>
    <col min="11360" max="11360" width="13.28515625" style="2" customWidth="1"/>
    <col min="11361" max="11361" width="14.42578125" style="2"/>
    <col min="11362" max="11362" width="11.7109375" style="2" customWidth="1"/>
    <col min="11363" max="11363" width="17.28515625" style="2" customWidth="1"/>
    <col min="11364" max="11364" width="26.85546875" style="2" customWidth="1"/>
    <col min="11365" max="11365" width="31.28515625" style="2" customWidth="1"/>
    <col min="11366" max="11366" width="12.85546875" style="2" customWidth="1"/>
    <col min="11367" max="11367" width="12.7109375" style="2" customWidth="1"/>
    <col min="11368" max="11368" width="11.7109375" style="2" customWidth="1"/>
    <col min="11369" max="11369" width="10" style="2" customWidth="1"/>
    <col min="11370" max="11370" width="11.85546875" style="2" customWidth="1"/>
    <col min="11371" max="11371" width="10.85546875" style="2" customWidth="1"/>
    <col min="11372" max="11372" width="10.28515625" style="2" customWidth="1"/>
    <col min="11373" max="11373" width="10.42578125" style="2" customWidth="1"/>
    <col min="11374" max="11374" width="16.42578125" style="2" customWidth="1"/>
    <col min="11375" max="11375" width="27.28515625" style="2" customWidth="1"/>
    <col min="11376" max="11376" width="15.140625" style="2" customWidth="1"/>
    <col min="11377" max="11412" width="11.42578125" style="2" customWidth="1"/>
    <col min="11413" max="11413" width="11.140625" style="2" customWidth="1"/>
    <col min="11414" max="11604" width="14.42578125" style="2"/>
    <col min="11605" max="11605" width="7.28515625" style="2" customWidth="1"/>
    <col min="11606" max="11606" width="16" style="2" customWidth="1"/>
    <col min="11607" max="11609" width="14.42578125" style="2"/>
    <col min="11610" max="11610" width="12.7109375" style="2" customWidth="1"/>
    <col min="11611" max="11611" width="5.7109375" style="2" customWidth="1"/>
    <col min="11612" max="11612" width="7.28515625" style="2" customWidth="1"/>
    <col min="11613" max="11613" width="8.85546875" style="2" customWidth="1"/>
    <col min="11614" max="11614" width="14.28515625" style="2" customWidth="1"/>
    <col min="11615" max="11615" width="14.42578125" style="2"/>
    <col min="11616" max="11616" width="13.28515625" style="2" customWidth="1"/>
    <col min="11617" max="11617" width="14.42578125" style="2"/>
    <col min="11618" max="11618" width="11.7109375" style="2" customWidth="1"/>
    <col min="11619" max="11619" width="17.28515625" style="2" customWidth="1"/>
    <col min="11620" max="11620" width="26.85546875" style="2" customWidth="1"/>
    <col min="11621" max="11621" width="31.28515625" style="2" customWidth="1"/>
    <col min="11622" max="11622" width="12.85546875" style="2" customWidth="1"/>
    <col min="11623" max="11623" width="12.7109375" style="2" customWidth="1"/>
    <col min="11624" max="11624" width="11.7109375" style="2" customWidth="1"/>
    <col min="11625" max="11625" width="10" style="2" customWidth="1"/>
    <col min="11626" max="11626" width="11.85546875" style="2" customWidth="1"/>
    <col min="11627" max="11627" width="10.85546875" style="2" customWidth="1"/>
    <col min="11628" max="11628" width="10.28515625" style="2" customWidth="1"/>
    <col min="11629" max="11629" width="10.42578125" style="2" customWidth="1"/>
    <col min="11630" max="11630" width="16.42578125" style="2" customWidth="1"/>
    <col min="11631" max="11631" width="27.28515625" style="2" customWidth="1"/>
    <col min="11632" max="11632" width="15.140625" style="2" customWidth="1"/>
    <col min="11633" max="11668" width="11.42578125" style="2" customWidth="1"/>
    <col min="11669" max="11669" width="11.140625" style="2" customWidth="1"/>
    <col min="11670" max="11860" width="14.42578125" style="2"/>
    <col min="11861" max="11861" width="7.28515625" style="2" customWidth="1"/>
    <col min="11862" max="11862" width="16" style="2" customWidth="1"/>
    <col min="11863" max="11865" width="14.42578125" style="2"/>
    <col min="11866" max="11866" width="12.7109375" style="2" customWidth="1"/>
    <col min="11867" max="11867" width="5.7109375" style="2" customWidth="1"/>
    <col min="11868" max="11868" width="7.28515625" style="2" customWidth="1"/>
    <col min="11869" max="11869" width="8.85546875" style="2" customWidth="1"/>
    <col min="11870" max="11870" width="14.28515625" style="2" customWidth="1"/>
    <col min="11871" max="11871" width="14.42578125" style="2"/>
    <col min="11872" max="11872" width="13.28515625" style="2" customWidth="1"/>
    <col min="11873" max="11873" width="14.42578125" style="2"/>
    <col min="11874" max="11874" width="11.7109375" style="2" customWidth="1"/>
    <col min="11875" max="11875" width="17.28515625" style="2" customWidth="1"/>
    <col min="11876" max="11876" width="26.85546875" style="2" customWidth="1"/>
    <col min="11877" max="11877" width="31.28515625" style="2" customWidth="1"/>
    <col min="11878" max="11878" width="12.85546875" style="2" customWidth="1"/>
    <col min="11879" max="11879" width="12.7109375" style="2" customWidth="1"/>
    <col min="11880" max="11880" width="11.7109375" style="2" customWidth="1"/>
    <col min="11881" max="11881" width="10" style="2" customWidth="1"/>
    <col min="11882" max="11882" width="11.85546875" style="2" customWidth="1"/>
    <col min="11883" max="11883" width="10.85546875" style="2" customWidth="1"/>
    <col min="11884" max="11884" width="10.28515625" style="2" customWidth="1"/>
    <col min="11885" max="11885" width="10.42578125" style="2" customWidth="1"/>
    <col min="11886" max="11886" width="16.42578125" style="2" customWidth="1"/>
    <col min="11887" max="11887" width="27.28515625" style="2" customWidth="1"/>
    <col min="11888" max="11888" width="15.140625" style="2" customWidth="1"/>
    <col min="11889" max="11924" width="11.42578125" style="2" customWidth="1"/>
    <col min="11925" max="11925" width="11.140625" style="2" customWidth="1"/>
    <col min="11926" max="12116" width="14.42578125" style="2"/>
    <col min="12117" max="12117" width="7.28515625" style="2" customWidth="1"/>
    <col min="12118" max="12118" width="16" style="2" customWidth="1"/>
    <col min="12119" max="12121" width="14.42578125" style="2"/>
    <col min="12122" max="12122" width="12.7109375" style="2" customWidth="1"/>
    <col min="12123" max="12123" width="5.7109375" style="2" customWidth="1"/>
    <col min="12124" max="12124" width="7.28515625" style="2" customWidth="1"/>
    <col min="12125" max="12125" width="8.85546875" style="2" customWidth="1"/>
    <col min="12126" max="12126" width="14.28515625" style="2" customWidth="1"/>
    <col min="12127" max="12127" width="14.42578125" style="2"/>
    <col min="12128" max="12128" width="13.28515625" style="2" customWidth="1"/>
    <col min="12129" max="12129" width="14.42578125" style="2"/>
    <col min="12130" max="12130" width="11.7109375" style="2" customWidth="1"/>
    <col min="12131" max="12131" width="17.28515625" style="2" customWidth="1"/>
    <col min="12132" max="12132" width="26.85546875" style="2" customWidth="1"/>
    <col min="12133" max="12133" width="31.28515625" style="2" customWidth="1"/>
    <col min="12134" max="12134" width="12.85546875" style="2" customWidth="1"/>
    <col min="12135" max="12135" width="12.7109375" style="2" customWidth="1"/>
    <col min="12136" max="12136" width="11.7109375" style="2" customWidth="1"/>
    <col min="12137" max="12137" width="10" style="2" customWidth="1"/>
    <col min="12138" max="12138" width="11.85546875" style="2" customWidth="1"/>
    <col min="12139" max="12139" width="10.85546875" style="2" customWidth="1"/>
    <col min="12140" max="12140" width="10.28515625" style="2" customWidth="1"/>
    <col min="12141" max="12141" width="10.42578125" style="2" customWidth="1"/>
    <col min="12142" max="12142" width="16.42578125" style="2" customWidth="1"/>
    <col min="12143" max="12143" width="27.28515625" style="2" customWidth="1"/>
    <col min="12144" max="12144" width="15.140625" style="2" customWidth="1"/>
    <col min="12145" max="12180" width="11.42578125" style="2" customWidth="1"/>
    <col min="12181" max="12181" width="11.140625" style="2" customWidth="1"/>
    <col min="12182" max="12372" width="14.42578125" style="2"/>
    <col min="12373" max="12373" width="7.28515625" style="2" customWidth="1"/>
    <col min="12374" max="12374" width="16" style="2" customWidth="1"/>
    <col min="12375" max="12377" width="14.42578125" style="2"/>
    <col min="12378" max="12378" width="12.7109375" style="2" customWidth="1"/>
    <col min="12379" max="12379" width="5.7109375" style="2" customWidth="1"/>
    <col min="12380" max="12380" width="7.28515625" style="2" customWidth="1"/>
    <col min="12381" max="12381" width="8.85546875" style="2" customWidth="1"/>
    <col min="12382" max="12382" width="14.28515625" style="2" customWidth="1"/>
    <col min="12383" max="12383" width="14.42578125" style="2"/>
    <col min="12384" max="12384" width="13.28515625" style="2" customWidth="1"/>
    <col min="12385" max="12385" width="14.42578125" style="2"/>
    <col min="12386" max="12386" width="11.7109375" style="2" customWidth="1"/>
    <col min="12387" max="12387" width="17.28515625" style="2" customWidth="1"/>
    <col min="12388" max="12388" width="26.85546875" style="2" customWidth="1"/>
    <col min="12389" max="12389" width="31.28515625" style="2" customWidth="1"/>
    <col min="12390" max="12390" width="12.85546875" style="2" customWidth="1"/>
    <col min="12391" max="12391" width="12.7109375" style="2" customWidth="1"/>
    <col min="12392" max="12392" width="11.7109375" style="2" customWidth="1"/>
    <col min="12393" max="12393" width="10" style="2" customWidth="1"/>
    <col min="12394" max="12394" width="11.85546875" style="2" customWidth="1"/>
    <col min="12395" max="12395" width="10.85546875" style="2" customWidth="1"/>
    <col min="12396" max="12396" width="10.28515625" style="2" customWidth="1"/>
    <col min="12397" max="12397" width="10.42578125" style="2" customWidth="1"/>
    <col min="12398" max="12398" width="16.42578125" style="2" customWidth="1"/>
    <col min="12399" max="12399" width="27.28515625" style="2" customWidth="1"/>
    <col min="12400" max="12400" width="15.140625" style="2" customWidth="1"/>
    <col min="12401" max="12436" width="11.42578125" style="2" customWidth="1"/>
    <col min="12437" max="12437" width="11.140625" style="2" customWidth="1"/>
    <col min="12438" max="12628" width="14.42578125" style="2"/>
    <col min="12629" max="12629" width="7.28515625" style="2" customWidth="1"/>
    <col min="12630" max="12630" width="16" style="2" customWidth="1"/>
    <col min="12631" max="12633" width="14.42578125" style="2"/>
    <col min="12634" max="12634" width="12.7109375" style="2" customWidth="1"/>
    <col min="12635" max="12635" width="5.7109375" style="2" customWidth="1"/>
    <col min="12636" max="12636" width="7.28515625" style="2" customWidth="1"/>
    <col min="12637" max="12637" width="8.85546875" style="2" customWidth="1"/>
    <col min="12638" max="12638" width="14.28515625" style="2" customWidth="1"/>
    <col min="12639" max="12639" width="14.42578125" style="2"/>
    <col min="12640" max="12640" width="13.28515625" style="2" customWidth="1"/>
    <col min="12641" max="12641" width="14.42578125" style="2"/>
    <col min="12642" max="12642" width="11.7109375" style="2" customWidth="1"/>
    <col min="12643" max="12643" width="17.28515625" style="2" customWidth="1"/>
    <col min="12644" max="12644" width="26.85546875" style="2" customWidth="1"/>
    <col min="12645" max="12645" width="31.28515625" style="2" customWidth="1"/>
    <col min="12646" max="12646" width="12.85546875" style="2" customWidth="1"/>
    <col min="12647" max="12647" width="12.7109375" style="2" customWidth="1"/>
    <col min="12648" max="12648" width="11.7109375" style="2" customWidth="1"/>
    <col min="12649" max="12649" width="10" style="2" customWidth="1"/>
    <col min="12650" max="12650" width="11.85546875" style="2" customWidth="1"/>
    <col min="12651" max="12651" width="10.85546875" style="2" customWidth="1"/>
    <col min="12652" max="12652" width="10.28515625" style="2" customWidth="1"/>
    <col min="12653" max="12653" width="10.42578125" style="2" customWidth="1"/>
    <col min="12654" max="12654" width="16.42578125" style="2" customWidth="1"/>
    <col min="12655" max="12655" width="27.28515625" style="2" customWidth="1"/>
    <col min="12656" max="12656" width="15.140625" style="2" customWidth="1"/>
    <col min="12657" max="12692" width="11.42578125" style="2" customWidth="1"/>
    <col min="12693" max="12693" width="11.140625" style="2" customWidth="1"/>
    <col min="12694" max="12884" width="14.42578125" style="2"/>
    <col min="12885" max="12885" width="7.28515625" style="2" customWidth="1"/>
    <col min="12886" max="12886" width="16" style="2" customWidth="1"/>
    <col min="12887" max="12889" width="14.42578125" style="2"/>
    <col min="12890" max="12890" width="12.7109375" style="2" customWidth="1"/>
    <col min="12891" max="12891" width="5.7109375" style="2" customWidth="1"/>
    <col min="12892" max="12892" width="7.28515625" style="2" customWidth="1"/>
    <col min="12893" max="12893" width="8.85546875" style="2" customWidth="1"/>
    <col min="12894" max="12894" width="14.28515625" style="2" customWidth="1"/>
    <col min="12895" max="12895" width="14.42578125" style="2"/>
    <col min="12896" max="12896" width="13.28515625" style="2" customWidth="1"/>
    <col min="12897" max="12897" width="14.42578125" style="2"/>
    <col min="12898" max="12898" width="11.7109375" style="2" customWidth="1"/>
    <col min="12899" max="12899" width="17.28515625" style="2" customWidth="1"/>
    <col min="12900" max="12900" width="26.85546875" style="2" customWidth="1"/>
    <col min="12901" max="12901" width="31.28515625" style="2" customWidth="1"/>
    <col min="12902" max="12902" width="12.85546875" style="2" customWidth="1"/>
    <col min="12903" max="12903" width="12.7109375" style="2" customWidth="1"/>
    <col min="12904" max="12904" width="11.7109375" style="2" customWidth="1"/>
    <col min="12905" max="12905" width="10" style="2" customWidth="1"/>
    <col min="12906" max="12906" width="11.85546875" style="2" customWidth="1"/>
    <col min="12907" max="12907" width="10.85546875" style="2" customWidth="1"/>
    <col min="12908" max="12908" width="10.28515625" style="2" customWidth="1"/>
    <col min="12909" max="12909" width="10.42578125" style="2" customWidth="1"/>
    <col min="12910" max="12910" width="16.42578125" style="2" customWidth="1"/>
    <col min="12911" max="12911" width="27.28515625" style="2" customWidth="1"/>
    <col min="12912" max="12912" width="15.140625" style="2" customWidth="1"/>
    <col min="12913" max="12948" width="11.42578125" style="2" customWidth="1"/>
    <col min="12949" max="12949" width="11.140625" style="2" customWidth="1"/>
    <col min="12950" max="13140" width="14.42578125" style="2"/>
    <col min="13141" max="13141" width="7.28515625" style="2" customWidth="1"/>
    <col min="13142" max="13142" width="16" style="2" customWidth="1"/>
    <col min="13143" max="13145" width="14.42578125" style="2"/>
    <col min="13146" max="13146" width="12.7109375" style="2" customWidth="1"/>
    <col min="13147" max="13147" width="5.7109375" style="2" customWidth="1"/>
    <col min="13148" max="13148" width="7.28515625" style="2" customWidth="1"/>
    <col min="13149" max="13149" width="8.85546875" style="2" customWidth="1"/>
    <col min="13150" max="13150" width="14.28515625" style="2" customWidth="1"/>
    <col min="13151" max="13151" width="14.42578125" style="2"/>
    <col min="13152" max="13152" width="13.28515625" style="2" customWidth="1"/>
    <col min="13153" max="13153" width="14.42578125" style="2"/>
    <col min="13154" max="13154" width="11.7109375" style="2" customWidth="1"/>
    <col min="13155" max="13155" width="17.28515625" style="2" customWidth="1"/>
    <col min="13156" max="13156" width="26.85546875" style="2" customWidth="1"/>
    <col min="13157" max="13157" width="31.28515625" style="2" customWidth="1"/>
    <col min="13158" max="13158" width="12.85546875" style="2" customWidth="1"/>
    <col min="13159" max="13159" width="12.7109375" style="2" customWidth="1"/>
    <col min="13160" max="13160" width="11.7109375" style="2" customWidth="1"/>
    <col min="13161" max="13161" width="10" style="2" customWidth="1"/>
    <col min="13162" max="13162" width="11.85546875" style="2" customWidth="1"/>
    <col min="13163" max="13163" width="10.85546875" style="2" customWidth="1"/>
    <col min="13164" max="13164" width="10.28515625" style="2" customWidth="1"/>
    <col min="13165" max="13165" width="10.42578125" style="2" customWidth="1"/>
    <col min="13166" max="13166" width="16.42578125" style="2" customWidth="1"/>
    <col min="13167" max="13167" width="27.28515625" style="2" customWidth="1"/>
    <col min="13168" max="13168" width="15.140625" style="2" customWidth="1"/>
    <col min="13169" max="13204" width="11.42578125" style="2" customWidth="1"/>
    <col min="13205" max="13205" width="11.140625" style="2" customWidth="1"/>
    <col min="13206" max="13396" width="14.42578125" style="2"/>
    <col min="13397" max="13397" width="7.28515625" style="2" customWidth="1"/>
    <col min="13398" max="13398" width="16" style="2" customWidth="1"/>
    <col min="13399" max="13401" width="14.42578125" style="2"/>
    <col min="13402" max="13402" width="12.7109375" style="2" customWidth="1"/>
    <col min="13403" max="13403" width="5.7109375" style="2" customWidth="1"/>
    <col min="13404" max="13404" width="7.28515625" style="2" customWidth="1"/>
    <col min="13405" max="13405" width="8.85546875" style="2" customWidth="1"/>
    <col min="13406" max="13406" width="14.28515625" style="2" customWidth="1"/>
    <col min="13407" max="13407" width="14.42578125" style="2"/>
    <col min="13408" max="13408" width="13.28515625" style="2" customWidth="1"/>
    <col min="13409" max="13409" width="14.42578125" style="2"/>
    <col min="13410" max="13410" width="11.7109375" style="2" customWidth="1"/>
    <col min="13411" max="13411" width="17.28515625" style="2" customWidth="1"/>
    <col min="13412" max="13412" width="26.85546875" style="2" customWidth="1"/>
    <col min="13413" max="13413" width="31.28515625" style="2" customWidth="1"/>
    <col min="13414" max="13414" width="12.85546875" style="2" customWidth="1"/>
    <col min="13415" max="13415" width="12.7109375" style="2" customWidth="1"/>
    <col min="13416" max="13416" width="11.7109375" style="2" customWidth="1"/>
    <col min="13417" max="13417" width="10" style="2" customWidth="1"/>
    <col min="13418" max="13418" width="11.85546875" style="2" customWidth="1"/>
    <col min="13419" max="13419" width="10.85546875" style="2" customWidth="1"/>
    <col min="13420" max="13420" width="10.28515625" style="2" customWidth="1"/>
    <col min="13421" max="13421" width="10.42578125" style="2" customWidth="1"/>
    <col min="13422" max="13422" width="16.42578125" style="2" customWidth="1"/>
    <col min="13423" max="13423" width="27.28515625" style="2" customWidth="1"/>
    <col min="13424" max="13424" width="15.140625" style="2" customWidth="1"/>
    <col min="13425" max="13460" width="11.42578125" style="2" customWidth="1"/>
    <col min="13461" max="13461" width="11.140625" style="2" customWidth="1"/>
    <col min="13462" max="13652" width="14.42578125" style="2"/>
    <col min="13653" max="13653" width="7.28515625" style="2" customWidth="1"/>
    <col min="13654" max="13654" width="16" style="2" customWidth="1"/>
    <col min="13655" max="13657" width="14.42578125" style="2"/>
    <col min="13658" max="13658" width="12.7109375" style="2" customWidth="1"/>
    <col min="13659" max="13659" width="5.7109375" style="2" customWidth="1"/>
    <col min="13660" max="13660" width="7.28515625" style="2" customWidth="1"/>
    <col min="13661" max="13661" width="8.85546875" style="2" customWidth="1"/>
    <col min="13662" max="13662" width="14.28515625" style="2" customWidth="1"/>
    <col min="13663" max="13663" width="14.42578125" style="2"/>
    <col min="13664" max="13664" width="13.28515625" style="2" customWidth="1"/>
    <col min="13665" max="13665" width="14.42578125" style="2"/>
    <col min="13666" max="13666" width="11.7109375" style="2" customWidth="1"/>
    <col min="13667" max="13667" width="17.28515625" style="2" customWidth="1"/>
    <col min="13668" max="13668" width="26.85546875" style="2" customWidth="1"/>
    <col min="13669" max="13669" width="31.28515625" style="2" customWidth="1"/>
    <col min="13670" max="13670" width="12.85546875" style="2" customWidth="1"/>
    <col min="13671" max="13671" width="12.7109375" style="2" customWidth="1"/>
    <col min="13672" max="13672" width="11.7109375" style="2" customWidth="1"/>
    <col min="13673" max="13673" width="10" style="2" customWidth="1"/>
    <col min="13674" max="13674" width="11.85546875" style="2" customWidth="1"/>
    <col min="13675" max="13675" width="10.85546875" style="2" customWidth="1"/>
    <col min="13676" max="13676" width="10.28515625" style="2" customWidth="1"/>
    <col min="13677" max="13677" width="10.42578125" style="2" customWidth="1"/>
    <col min="13678" max="13678" width="16.42578125" style="2" customWidth="1"/>
    <col min="13679" max="13679" width="27.28515625" style="2" customWidth="1"/>
    <col min="13680" max="13680" width="15.140625" style="2" customWidth="1"/>
    <col min="13681" max="13716" width="11.42578125" style="2" customWidth="1"/>
    <col min="13717" max="13717" width="11.140625" style="2" customWidth="1"/>
    <col min="13718" max="13908" width="14.42578125" style="2"/>
    <col min="13909" max="13909" width="7.28515625" style="2" customWidth="1"/>
    <col min="13910" max="13910" width="16" style="2" customWidth="1"/>
    <col min="13911" max="13913" width="14.42578125" style="2"/>
    <col min="13914" max="13914" width="12.7109375" style="2" customWidth="1"/>
    <col min="13915" max="13915" width="5.7109375" style="2" customWidth="1"/>
    <col min="13916" max="13916" width="7.28515625" style="2" customWidth="1"/>
    <col min="13917" max="13917" width="8.85546875" style="2" customWidth="1"/>
    <col min="13918" max="13918" width="14.28515625" style="2" customWidth="1"/>
    <col min="13919" max="13919" width="14.42578125" style="2"/>
    <col min="13920" max="13920" width="13.28515625" style="2" customWidth="1"/>
    <col min="13921" max="13921" width="14.42578125" style="2"/>
    <col min="13922" max="13922" width="11.7109375" style="2" customWidth="1"/>
    <col min="13923" max="13923" width="17.28515625" style="2" customWidth="1"/>
    <col min="13924" max="13924" width="26.85546875" style="2" customWidth="1"/>
    <col min="13925" max="13925" width="31.28515625" style="2" customWidth="1"/>
    <col min="13926" max="13926" width="12.85546875" style="2" customWidth="1"/>
    <col min="13927" max="13927" width="12.7109375" style="2" customWidth="1"/>
    <col min="13928" max="13928" width="11.7109375" style="2" customWidth="1"/>
    <col min="13929" max="13929" width="10" style="2" customWidth="1"/>
    <col min="13930" max="13930" width="11.85546875" style="2" customWidth="1"/>
    <col min="13931" max="13931" width="10.85546875" style="2" customWidth="1"/>
    <col min="13932" max="13932" width="10.28515625" style="2" customWidth="1"/>
    <col min="13933" max="13933" width="10.42578125" style="2" customWidth="1"/>
    <col min="13934" max="13934" width="16.42578125" style="2" customWidth="1"/>
    <col min="13935" max="13935" width="27.28515625" style="2" customWidth="1"/>
    <col min="13936" max="13936" width="15.140625" style="2" customWidth="1"/>
    <col min="13937" max="13972" width="11.42578125" style="2" customWidth="1"/>
    <col min="13973" max="13973" width="11.140625" style="2" customWidth="1"/>
    <col min="13974" max="14164" width="14.42578125" style="2"/>
    <col min="14165" max="14165" width="7.28515625" style="2" customWidth="1"/>
    <col min="14166" max="14166" width="16" style="2" customWidth="1"/>
    <col min="14167" max="14169" width="14.42578125" style="2"/>
    <col min="14170" max="14170" width="12.7109375" style="2" customWidth="1"/>
    <col min="14171" max="14171" width="5.7109375" style="2" customWidth="1"/>
    <col min="14172" max="14172" width="7.28515625" style="2" customWidth="1"/>
    <col min="14173" max="14173" width="8.85546875" style="2" customWidth="1"/>
    <col min="14174" max="14174" width="14.28515625" style="2" customWidth="1"/>
    <col min="14175" max="14175" width="14.42578125" style="2"/>
    <col min="14176" max="14176" width="13.28515625" style="2" customWidth="1"/>
    <col min="14177" max="14177" width="14.42578125" style="2"/>
    <col min="14178" max="14178" width="11.7109375" style="2" customWidth="1"/>
    <col min="14179" max="14179" width="17.28515625" style="2" customWidth="1"/>
    <col min="14180" max="14180" width="26.85546875" style="2" customWidth="1"/>
    <col min="14181" max="14181" width="31.28515625" style="2" customWidth="1"/>
    <col min="14182" max="14182" width="12.85546875" style="2" customWidth="1"/>
    <col min="14183" max="14183" width="12.7109375" style="2" customWidth="1"/>
    <col min="14184" max="14184" width="11.7109375" style="2" customWidth="1"/>
    <col min="14185" max="14185" width="10" style="2" customWidth="1"/>
    <col min="14186" max="14186" width="11.85546875" style="2" customWidth="1"/>
    <col min="14187" max="14187" width="10.85546875" style="2" customWidth="1"/>
    <col min="14188" max="14188" width="10.28515625" style="2" customWidth="1"/>
    <col min="14189" max="14189" width="10.42578125" style="2" customWidth="1"/>
    <col min="14190" max="14190" width="16.42578125" style="2" customWidth="1"/>
    <col min="14191" max="14191" width="27.28515625" style="2" customWidth="1"/>
    <col min="14192" max="14192" width="15.140625" style="2" customWidth="1"/>
    <col min="14193" max="14228" width="11.42578125" style="2" customWidth="1"/>
    <col min="14229" max="14229" width="11.140625" style="2" customWidth="1"/>
    <col min="14230" max="14420" width="14.42578125" style="2"/>
    <col min="14421" max="14421" width="7.28515625" style="2" customWidth="1"/>
    <col min="14422" max="14422" width="16" style="2" customWidth="1"/>
    <col min="14423" max="14425" width="14.42578125" style="2"/>
    <col min="14426" max="14426" width="12.7109375" style="2" customWidth="1"/>
    <col min="14427" max="14427" width="5.7109375" style="2" customWidth="1"/>
    <col min="14428" max="14428" width="7.28515625" style="2" customWidth="1"/>
    <col min="14429" max="14429" width="8.85546875" style="2" customWidth="1"/>
    <col min="14430" max="14430" width="14.28515625" style="2" customWidth="1"/>
    <col min="14431" max="14431" width="14.42578125" style="2"/>
    <col min="14432" max="14432" width="13.28515625" style="2" customWidth="1"/>
    <col min="14433" max="14433" width="14.42578125" style="2"/>
    <col min="14434" max="14434" width="11.7109375" style="2" customWidth="1"/>
    <col min="14435" max="14435" width="17.28515625" style="2" customWidth="1"/>
    <col min="14436" max="14436" width="26.85546875" style="2" customWidth="1"/>
    <col min="14437" max="14437" width="31.28515625" style="2" customWidth="1"/>
    <col min="14438" max="14438" width="12.85546875" style="2" customWidth="1"/>
    <col min="14439" max="14439" width="12.7109375" style="2" customWidth="1"/>
    <col min="14440" max="14440" width="11.7109375" style="2" customWidth="1"/>
    <col min="14441" max="14441" width="10" style="2" customWidth="1"/>
    <col min="14442" max="14442" width="11.85546875" style="2" customWidth="1"/>
    <col min="14443" max="14443" width="10.85546875" style="2" customWidth="1"/>
    <col min="14444" max="14444" width="10.28515625" style="2" customWidth="1"/>
    <col min="14445" max="14445" width="10.42578125" style="2" customWidth="1"/>
    <col min="14446" max="14446" width="16.42578125" style="2" customWidth="1"/>
    <col min="14447" max="14447" width="27.28515625" style="2" customWidth="1"/>
    <col min="14448" max="14448" width="15.140625" style="2" customWidth="1"/>
    <col min="14449" max="14484" width="11.42578125" style="2" customWidth="1"/>
    <col min="14485" max="14485" width="11.140625" style="2" customWidth="1"/>
    <col min="14486" max="14676" width="14.42578125" style="2"/>
    <col min="14677" max="14677" width="7.28515625" style="2" customWidth="1"/>
    <col min="14678" max="14678" width="16" style="2" customWidth="1"/>
    <col min="14679" max="14681" width="14.42578125" style="2"/>
    <col min="14682" max="14682" width="12.7109375" style="2" customWidth="1"/>
    <col min="14683" max="14683" width="5.7109375" style="2" customWidth="1"/>
    <col min="14684" max="14684" width="7.28515625" style="2" customWidth="1"/>
    <col min="14685" max="14685" width="8.85546875" style="2" customWidth="1"/>
    <col min="14686" max="14686" width="14.28515625" style="2" customWidth="1"/>
    <col min="14687" max="14687" width="14.42578125" style="2"/>
    <col min="14688" max="14688" width="13.28515625" style="2" customWidth="1"/>
    <col min="14689" max="14689" width="14.42578125" style="2"/>
    <col min="14690" max="14690" width="11.7109375" style="2" customWidth="1"/>
    <col min="14691" max="14691" width="17.28515625" style="2" customWidth="1"/>
    <col min="14692" max="14692" width="26.85546875" style="2" customWidth="1"/>
    <col min="14693" max="14693" width="31.28515625" style="2" customWidth="1"/>
    <col min="14694" max="14694" width="12.85546875" style="2" customWidth="1"/>
    <col min="14695" max="14695" width="12.7109375" style="2" customWidth="1"/>
    <col min="14696" max="14696" width="11.7109375" style="2" customWidth="1"/>
    <col min="14697" max="14697" width="10" style="2" customWidth="1"/>
    <col min="14698" max="14698" width="11.85546875" style="2" customWidth="1"/>
    <col min="14699" max="14699" width="10.85546875" style="2" customWidth="1"/>
    <col min="14700" max="14700" width="10.28515625" style="2" customWidth="1"/>
    <col min="14701" max="14701" width="10.42578125" style="2" customWidth="1"/>
    <col min="14702" max="14702" width="16.42578125" style="2" customWidth="1"/>
    <col min="14703" max="14703" width="27.28515625" style="2" customWidth="1"/>
    <col min="14704" max="14704" width="15.140625" style="2" customWidth="1"/>
    <col min="14705" max="14740" width="11.42578125" style="2" customWidth="1"/>
    <col min="14741" max="14741" width="11.140625" style="2" customWidth="1"/>
    <col min="14742" max="14932" width="14.42578125" style="2"/>
    <col min="14933" max="14933" width="7.28515625" style="2" customWidth="1"/>
    <col min="14934" max="14934" width="16" style="2" customWidth="1"/>
    <col min="14935" max="14937" width="14.42578125" style="2"/>
    <col min="14938" max="14938" width="12.7109375" style="2" customWidth="1"/>
    <col min="14939" max="14939" width="5.7109375" style="2" customWidth="1"/>
    <col min="14940" max="14940" width="7.28515625" style="2" customWidth="1"/>
    <col min="14941" max="14941" width="8.85546875" style="2" customWidth="1"/>
    <col min="14942" max="14942" width="14.28515625" style="2" customWidth="1"/>
    <col min="14943" max="14943" width="14.42578125" style="2"/>
    <col min="14944" max="14944" width="13.28515625" style="2" customWidth="1"/>
    <col min="14945" max="14945" width="14.42578125" style="2"/>
    <col min="14946" max="14946" width="11.7109375" style="2" customWidth="1"/>
    <col min="14947" max="14947" width="17.28515625" style="2" customWidth="1"/>
    <col min="14948" max="14948" width="26.85546875" style="2" customWidth="1"/>
    <col min="14949" max="14949" width="31.28515625" style="2" customWidth="1"/>
    <col min="14950" max="14950" width="12.85546875" style="2" customWidth="1"/>
    <col min="14951" max="14951" width="12.7109375" style="2" customWidth="1"/>
    <col min="14952" max="14952" width="11.7109375" style="2" customWidth="1"/>
    <col min="14953" max="14953" width="10" style="2" customWidth="1"/>
    <col min="14954" max="14954" width="11.85546875" style="2" customWidth="1"/>
    <col min="14955" max="14955" width="10.85546875" style="2" customWidth="1"/>
    <col min="14956" max="14956" width="10.28515625" style="2" customWidth="1"/>
    <col min="14957" max="14957" width="10.42578125" style="2" customWidth="1"/>
    <col min="14958" max="14958" width="16.42578125" style="2" customWidth="1"/>
    <col min="14959" max="14959" width="27.28515625" style="2" customWidth="1"/>
    <col min="14960" max="14960" width="15.140625" style="2" customWidth="1"/>
    <col min="14961" max="14996" width="11.42578125" style="2" customWidth="1"/>
    <col min="14997" max="14997" width="11.140625" style="2" customWidth="1"/>
    <col min="14998" max="15188" width="14.42578125" style="2"/>
    <col min="15189" max="15189" width="7.28515625" style="2" customWidth="1"/>
    <col min="15190" max="15190" width="16" style="2" customWidth="1"/>
    <col min="15191" max="15193" width="14.42578125" style="2"/>
    <col min="15194" max="15194" width="12.7109375" style="2" customWidth="1"/>
    <col min="15195" max="15195" width="5.7109375" style="2" customWidth="1"/>
    <col min="15196" max="15196" width="7.28515625" style="2" customWidth="1"/>
    <col min="15197" max="15197" width="8.85546875" style="2" customWidth="1"/>
    <col min="15198" max="15198" width="14.28515625" style="2" customWidth="1"/>
    <col min="15199" max="15199" width="14.42578125" style="2"/>
    <col min="15200" max="15200" width="13.28515625" style="2" customWidth="1"/>
    <col min="15201" max="15201" width="14.42578125" style="2"/>
    <col min="15202" max="15202" width="11.7109375" style="2" customWidth="1"/>
    <col min="15203" max="15203" width="17.28515625" style="2" customWidth="1"/>
    <col min="15204" max="15204" width="26.85546875" style="2" customWidth="1"/>
    <col min="15205" max="15205" width="31.28515625" style="2" customWidth="1"/>
    <col min="15206" max="15206" width="12.85546875" style="2" customWidth="1"/>
    <col min="15207" max="15207" width="12.7109375" style="2" customWidth="1"/>
    <col min="15208" max="15208" width="11.7109375" style="2" customWidth="1"/>
    <col min="15209" max="15209" width="10" style="2" customWidth="1"/>
    <col min="15210" max="15210" width="11.85546875" style="2" customWidth="1"/>
    <col min="15211" max="15211" width="10.85546875" style="2" customWidth="1"/>
    <col min="15212" max="15212" width="10.28515625" style="2" customWidth="1"/>
    <col min="15213" max="15213" width="10.42578125" style="2" customWidth="1"/>
    <col min="15214" max="15214" width="16.42578125" style="2" customWidth="1"/>
    <col min="15215" max="15215" width="27.28515625" style="2" customWidth="1"/>
    <col min="15216" max="15216" width="15.140625" style="2" customWidth="1"/>
    <col min="15217" max="15252" width="11.42578125" style="2" customWidth="1"/>
    <col min="15253" max="15253" width="11.140625" style="2" customWidth="1"/>
    <col min="15254" max="15444" width="14.42578125" style="2"/>
    <col min="15445" max="15445" width="7.28515625" style="2" customWidth="1"/>
    <col min="15446" max="15446" width="16" style="2" customWidth="1"/>
    <col min="15447" max="15449" width="14.42578125" style="2"/>
    <col min="15450" max="15450" width="12.7109375" style="2" customWidth="1"/>
    <col min="15451" max="15451" width="5.7109375" style="2" customWidth="1"/>
    <col min="15452" max="15452" width="7.28515625" style="2" customWidth="1"/>
    <col min="15453" max="15453" width="8.85546875" style="2" customWidth="1"/>
    <col min="15454" max="15454" width="14.28515625" style="2" customWidth="1"/>
    <col min="15455" max="15455" width="14.42578125" style="2"/>
    <col min="15456" max="15456" width="13.28515625" style="2" customWidth="1"/>
    <col min="15457" max="15457" width="14.42578125" style="2"/>
    <col min="15458" max="15458" width="11.7109375" style="2" customWidth="1"/>
    <col min="15459" max="15459" width="17.28515625" style="2" customWidth="1"/>
    <col min="15460" max="15460" width="26.85546875" style="2" customWidth="1"/>
    <col min="15461" max="15461" width="31.28515625" style="2" customWidth="1"/>
    <col min="15462" max="15462" width="12.85546875" style="2" customWidth="1"/>
    <col min="15463" max="15463" width="12.7109375" style="2" customWidth="1"/>
    <col min="15464" max="15464" width="11.7109375" style="2" customWidth="1"/>
    <col min="15465" max="15465" width="10" style="2" customWidth="1"/>
    <col min="15466" max="15466" width="11.85546875" style="2" customWidth="1"/>
    <col min="15467" max="15467" width="10.85546875" style="2" customWidth="1"/>
    <col min="15468" max="15468" width="10.28515625" style="2" customWidth="1"/>
    <col min="15469" max="15469" width="10.42578125" style="2" customWidth="1"/>
    <col min="15470" max="15470" width="16.42578125" style="2" customWidth="1"/>
    <col min="15471" max="15471" width="27.28515625" style="2" customWidth="1"/>
    <col min="15472" max="15472" width="15.140625" style="2" customWidth="1"/>
    <col min="15473" max="15508" width="11.42578125" style="2" customWidth="1"/>
    <col min="15509" max="15509" width="11.140625" style="2" customWidth="1"/>
    <col min="15510" max="15700" width="14.42578125" style="2"/>
    <col min="15701" max="15701" width="7.28515625" style="2" customWidth="1"/>
    <col min="15702" max="15702" width="16" style="2" customWidth="1"/>
    <col min="15703" max="15705" width="14.42578125" style="2"/>
    <col min="15706" max="15706" width="12.7109375" style="2" customWidth="1"/>
    <col min="15707" max="15707" width="5.7109375" style="2" customWidth="1"/>
    <col min="15708" max="15708" width="7.28515625" style="2" customWidth="1"/>
    <col min="15709" max="15709" width="8.85546875" style="2" customWidth="1"/>
    <col min="15710" max="15710" width="14.28515625" style="2" customWidth="1"/>
    <col min="15711" max="15711" width="14.42578125" style="2"/>
    <col min="15712" max="15712" width="13.28515625" style="2" customWidth="1"/>
    <col min="15713" max="15713" width="14.42578125" style="2"/>
    <col min="15714" max="15714" width="11.7109375" style="2" customWidth="1"/>
    <col min="15715" max="15715" width="17.28515625" style="2" customWidth="1"/>
    <col min="15716" max="15716" width="26.85546875" style="2" customWidth="1"/>
    <col min="15717" max="15717" width="31.28515625" style="2" customWidth="1"/>
    <col min="15718" max="15718" width="12.85546875" style="2" customWidth="1"/>
    <col min="15719" max="15719" width="12.7109375" style="2" customWidth="1"/>
    <col min="15720" max="15720" width="11.7109375" style="2" customWidth="1"/>
    <col min="15721" max="15721" width="10" style="2" customWidth="1"/>
    <col min="15722" max="15722" width="11.85546875" style="2" customWidth="1"/>
    <col min="15723" max="15723" width="10.85546875" style="2" customWidth="1"/>
    <col min="15724" max="15724" width="10.28515625" style="2" customWidth="1"/>
    <col min="15725" max="15725" width="10.42578125" style="2" customWidth="1"/>
    <col min="15726" max="15726" width="16.42578125" style="2" customWidth="1"/>
    <col min="15727" max="15727" width="27.28515625" style="2" customWidth="1"/>
    <col min="15728" max="15728" width="15.140625" style="2" customWidth="1"/>
    <col min="15729" max="15764" width="11.42578125" style="2" customWidth="1"/>
    <col min="15765" max="15765" width="11.140625" style="2" customWidth="1"/>
    <col min="15766" max="15956" width="14.42578125" style="2"/>
    <col min="15957" max="15957" width="7.28515625" style="2" customWidth="1"/>
    <col min="15958" max="15958" width="16" style="2" customWidth="1"/>
    <col min="15959" max="15961" width="14.42578125" style="2"/>
    <col min="15962" max="15962" width="12.7109375" style="2" customWidth="1"/>
    <col min="15963" max="15963" width="5.7109375" style="2" customWidth="1"/>
    <col min="15964" max="15964" width="7.28515625" style="2" customWidth="1"/>
    <col min="15965" max="15965" width="8.85546875" style="2" customWidth="1"/>
    <col min="15966" max="15966" width="14.28515625" style="2" customWidth="1"/>
    <col min="15967" max="15967" width="14.42578125" style="2"/>
    <col min="15968" max="15968" width="13.28515625" style="2" customWidth="1"/>
    <col min="15969" max="15969" width="14.42578125" style="2"/>
    <col min="15970" max="15970" width="11.7109375" style="2" customWidth="1"/>
    <col min="15971" max="15971" width="17.28515625" style="2" customWidth="1"/>
    <col min="15972" max="15972" width="26.85546875" style="2" customWidth="1"/>
    <col min="15973" max="15973" width="31.28515625" style="2" customWidth="1"/>
    <col min="15974" max="15974" width="12.85546875" style="2" customWidth="1"/>
    <col min="15975" max="15975" width="12.7109375" style="2" customWidth="1"/>
    <col min="15976" max="15976" width="11.7109375" style="2" customWidth="1"/>
    <col min="15977" max="15977" width="10" style="2" customWidth="1"/>
    <col min="15978" max="15978" width="11.85546875" style="2" customWidth="1"/>
    <col min="15979" max="15979" width="10.85546875" style="2" customWidth="1"/>
    <col min="15980" max="15980" width="10.28515625" style="2" customWidth="1"/>
    <col min="15981" max="15981" width="10.42578125" style="2" customWidth="1"/>
    <col min="15982" max="15982" width="16.42578125" style="2" customWidth="1"/>
    <col min="15983" max="15983" width="27.28515625" style="2" customWidth="1"/>
    <col min="15984" max="15984" width="15.140625" style="2" customWidth="1"/>
    <col min="15985" max="16020" width="11.42578125" style="2" customWidth="1"/>
    <col min="16021" max="16021" width="11.140625" style="2" customWidth="1"/>
    <col min="16022" max="16384" width="14.42578125" style="2"/>
  </cols>
  <sheetData>
    <row r="1" spans="1:26" ht="41.25" customHeight="1" x14ac:dyDescent="0.25">
      <c r="A1" s="13"/>
      <c r="B1" s="13"/>
      <c r="C1" s="13"/>
      <c r="D1" s="13"/>
      <c r="E1" s="13"/>
      <c r="F1" s="13"/>
      <c r="G1" s="38"/>
      <c r="H1" s="14"/>
      <c r="I1" s="12"/>
      <c r="J1" s="15"/>
      <c r="K1" s="13"/>
      <c r="L1" s="13"/>
      <c r="M1" s="13"/>
      <c r="N1" s="13"/>
      <c r="O1" s="16"/>
      <c r="P1" s="1"/>
      <c r="Q1" s="12"/>
      <c r="R1" s="14"/>
      <c r="S1" s="13"/>
      <c r="T1" s="15"/>
      <c r="U1" s="15"/>
      <c r="V1" s="14"/>
      <c r="W1" s="14"/>
      <c r="X1" s="15"/>
      <c r="Y1" s="14"/>
      <c r="Z1" s="138" t="s">
        <v>226</v>
      </c>
    </row>
    <row r="2" spans="1:26" ht="30.75" customHeight="1" x14ac:dyDescent="0.25">
      <c r="A2" s="164" t="s">
        <v>227</v>
      </c>
      <c r="B2" s="164"/>
      <c r="C2" s="164"/>
      <c r="D2" s="164"/>
      <c r="E2" s="164"/>
      <c r="F2" s="164"/>
      <c r="G2" s="165"/>
      <c r="H2" s="164"/>
      <c r="I2" s="166"/>
      <c r="J2" s="164"/>
      <c r="K2" s="164"/>
      <c r="L2" s="164"/>
      <c r="M2" s="164"/>
      <c r="N2" s="164"/>
      <c r="O2" s="164"/>
      <c r="P2" s="164"/>
      <c r="Q2" s="164"/>
      <c r="R2" s="166"/>
      <c r="S2" s="164"/>
      <c r="T2" s="164"/>
      <c r="U2" s="164"/>
      <c r="V2" s="164"/>
      <c r="W2" s="164"/>
      <c r="X2" s="164"/>
      <c r="Y2" s="164"/>
      <c r="Z2" s="164"/>
    </row>
    <row r="3" spans="1:26" ht="47.25" customHeight="1" x14ac:dyDescent="0.25">
      <c r="A3" s="164" t="s">
        <v>218</v>
      </c>
      <c r="B3" s="164"/>
      <c r="C3" s="164"/>
      <c r="D3" s="164"/>
      <c r="E3" s="164"/>
      <c r="F3" s="164"/>
      <c r="G3" s="165"/>
      <c r="H3" s="164"/>
      <c r="I3" s="166"/>
      <c r="J3" s="164"/>
      <c r="K3" s="164"/>
      <c r="L3" s="164"/>
      <c r="M3" s="164"/>
      <c r="N3" s="164"/>
      <c r="O3" s="164"/>
      <c r="P3" s="164"/>
      <c r="Q3" s="164"/>
      <c r="R3" s="166"/>
      <c r="S3" s="164"/>
      <c r="T3" s="164"/>
      <c r="U3" s="164"/>
      <c r="V3" s="164"/>
      <c r="W3" s="164"/>
      <c r="X3" s="164"/>
      <c r="Y3" s="164"/>
      <c r="Z3" s="164"/>
    </row>
    <row r="4" spans="1:26" ht="68.25" hidden="1" customHeight="1" x14ac:dyDescent="0.25">
      <c r="A4" s="13"/>
      <c r="B4" s="13"/>
      <c r="C4" s="13"/>
      <c r="D4" s="13"/>
      <c r="E4" s="13"/>
      <c r="F4" s="13"/>
      <c r="G4" s="38"/>
      <c r="H4" s="14"/>
      <c r="I4" s="12"/>
      <c r="J4" s="15"/>
      <c r="K4" s="13"/>
      <c r="L4" s="13"/>
      <c r="M4" s="13"/>
      <c r="N4" s="13"/>
      <c r="O4" s="16"/>
      <c r="P4" s="1"/>
      <c r="Q4" s="12"/>
      <c r="R4" s="14"/>
      <c r="S4" s="13"/>
      <c r="T4" s="15"/>
      <c r="U4" s="15"/>
      <c r="V4" s="14"/>
      <c r="W4" s="14"/>
      <c r="X4" s="15"/>
      <c r="Y4" s="14"/>
      <c r="Z4" s="139"/>
    </row>
    <row r="5" spans="1:26" ht="75.75" hidden="1" customHeight="1" x14ac:dyDescent="0.25">
      <c r="A5" s="13"/>
      <c r="B5" s="13"/>
      <c r="C5" s="13"/>
      <c r="D5" s="13"/>
      <c r="E5" s="13"/>
      <c r="F5" s="13"/>
      <c r="G5" s="38"/>
      <c r="H5" s="14"/>
      <c r="I5" s="12"/>
      <c r="J5" s="15"/>
      <c r="K5" s="13"/>
      <c r="L5" s="13"/>
      <c r="M5" s="13"/>
      <c r="N5" s="13"/>
      <c r="O5" s="16"/>
      <c r="P5" s="1"/>
      <c r="Q5" s="12"/>
      <c r="R5" s="14"/>
      <c r="S5" s="13"/>
      <c r="T5" s="15"/>
      <c r="U5" s="15"/>
      <c r="V5" s="14"/>
      <c r="W5" s="14"/>
      <c r="X5" s="15"/>
      <c r="Y5" s="14"/>
      <c r="Z5" s="139"/>
    </row>
    <row r="6" spans="1:26" ht="57.75" customHeight="1" x14ac:dyDescent="0.25">
      <c r="A6" s="167" t="s">
        <v>228</v>
      </c>
      <c r="B6" s="167"/>
      <c r="C6" s="167"/>
      <c r="D6" s="167"/>
      <c r="E6" s="167"/>
      <c r="F6" s="167"/>
      <c r="G6" s="168"/>
      <c r="H6" s="167"/>
      <c r="I6" s="169"/>
      <c r="J6" s="167"/>
      <c r="K6" s="170" t="s">
        <v>229</v>
      </c>
      <c r="L6" s="170"/>
      <c r="M6" s="170"/>
      <c r="N6" s="170"/>
      <c r="O6" s="170"/>
      <c r="P6" s="170"/>
      <c r="Q6" s="170"/>
      <c r="R6" s="171"/>
      <c r="S6" s="170"/>
      <c r="T6" s="170"/>
      <c r="U6" s="170"/>
      <c r="V6" s="172" t="s">
        <v>282</v>
      </c>
      <c r="W6" s="173" t="s">
        <v>230</v>
      </c>
      <c r="X6" s="174" t="s">
        <v>231</v>
      </c>
      <c r="Y6" s="173" t="s">
        <v>232</v>
      </c>
      <c r="Z6" s="175" t="s">
        <v>233</v>
      </c>
    </row>
    <row r="7" spans="1:26" s="11" customFormat="1" ht="39.75" customHeight="1" x14ac:dyDescent="0.25">
      <c r="A7" s="150" t="s">
        <v>203</v>
      </c>
      <c r="B7" s="159" t="s">
        <v>204</v>
      </c>
      <c r="C7" s="159" t="s">
        <v>205</v>
      </c>
      <c r="D7" s="150" t="s">
        <v>206</v>
      </c>
      <c r="E7" s="150"/>
      <c r="F7" s="150"/>
      <c r="G7" s="160" t="s">
        <v>234</v>
      </c>
      <c r="H7" s="161" t="s">
        <v>235</v>
      </c>
      <c r="I7" s="162" t="s">
        <v>236</v>
      </c>
      <c r="J7" s="163" t="s">
        <v>237</v>
      </c>
      <c r="K7" s="148" t="s">
        <v>203</v>
      </c>
      <c r="L7" s="151" t="s">
        <v>238</v>
      </c>
      <c r="M7" s="151" t="s">
        <v>239</v>
      </c>
      <c r="N7" s="155" t="s">
        <v>234</v>
      </c>
      <c r="O7" s="156" t="s">
        <v>240</v>
      </c>
      <c r="P7" s="157" t="s">
        <v>241</v>
      </c>
      <c r="Q7" s="158" t="s">
        <v>242</v>
      </c>
      <c r="R7" s="147" t="s">
        <v>243</v>
      </c>
      <c r="S7" s="148" t="s">
        <v>244</v>
      </c>
      <c r="T7" s="148"/>
      <c r="U7" s="149" t="s">
        <v>245</v>
      </c>
      <c r="V7" s="172"/>
      <c r="W7" s="173"/>
      <c r="X7" s="174"/>
      <c r="Y7" s="173"/>
      <c r="Z7" s="175"/>
    </row>
    <row r="8" spans="1:26" s="11" customFormat="1" ht="39.75" customHeight="1" x14ac:dyDescent="0.25">
      <c r="A8" s="150"/>
      <c r="B8" s="159"/>
      <c r="C8" s="159"/>
      <c r="D8" s="150" t="s">
        <v>207</v>
      </c>
      <c r="E8" s="150" t="s">
        <v>208</v>
      </c>
      <c r="F8" s="150" t="s">
        <v>246</v>
      </c>
      <c r="G8" s="160"/>
      <c r="H8" s="161"/>
      <c r="I8" s="162"/>
      <c r="J8" s="163"/>
      <c r="K8" s="148"/>
      <c r="L8" s="151"/>
      <c r="M8" s="151"/>
      <c r="N8" s="155"/>
      <c r="O8" s="156"/>
      <c r="P8" s="157"/>
      <c r="Q8" s="158"/>
      <c r="R8" s="147"/>
      <c r="S8" s="151" t="s">
        <v>247</v>
      </c>
      <c r="T8" s="152" t="s">
        <v>299</v>
      </c>
      <c r="U8" s="149"/>
      <c r="V8" s="172"/>
      <c r="W8" s="173"/>
      <c r="X8" s="174"/>
      <c r="Y8" s="173"/>
      <c r="Z8" s="175"/>
    </row>
    <row r="9" spans="1:26" s="11" customFormat="1" ht="39.75" customHeight="1" x14ac:dyDescent="0.25">
      <c r="A9" s="150"/>
      <c r="B9" s="159"/>
      <c r="C9" s="159"/>
      <c r="D9" s="150"/>
      <c r="E9" s="150"/>
      <c r="F9" s="150"/>
      <c r="G9" s="160"/>
      <c r="H9" s="161"/>
      <c r="I9" s="162"/>
      <c r="J9" s="163"/>
      <c r="K9" s="148"/>
      <c r="L9" s="151"/>
      <c r="M9" s="151"/>
      <c r="N9" s="155"/>
      <c r="O9" s="156"/>
      <c r="P9" s="157"/>
      <c r="Q9" s="158"/>
      <c r="R9" s="147"/>
      <c r="S9" s="151"/>
      <c r="T9" s="153"/>
      <c r="U9" s="149"/>
      <c r="V9" s="172"/>
      <c r="W9" s="173"/>
      <c r="X9" s="174"/>
      <c r="Y9" s="173"/>
      <c r="Z9" s="175"/>
    </row>
    <row r="10" spans="1:26" s="11" customFormat="1" ht="39.75" customHeight="1" x14ac:dyDescent="0.25">
      <c r="A10" s="150"/>
      <c r="B10" s="159"/>
      <c r="C10" s="159"/>
      <c r="D10" s="150"/>
      <c r="E10" s="150"/>
      <c r="F10" s="150"/>
      <c r="G10" s="160"/>
      <c r="H10" s="161"/>
      <c r="I10" s="162"/>
      <c r="J10" s="163"/>
      <c r="K10" s="148"/>
      <c r="L10" s="151"/>
      <c r="M10" s="151"/>
      <c r="N10" s="155"/>
      <c r="O10" s="156"/>
      <c r="P10" s="157"/>
      <c r="Q10" s="158"/>
      <c r="R10" s="147"/>
      <c r="S10" s="151"/>
      <c r="T10" s="153"/>
      <c r="U10" s="149"/>
      <c r="V10" s="172"/>
      <c r="W10" s="173"/>
      <c r="X10" s="174"/>
      <c r="Y10" s="173"/>
      <c r="Z10" s="175"/>
    </row>
    <row r="11" spans="1:26" s="11" customFormat="1" ht="39.75" customHeight="1" x14ac:dyDescent="0.25">
      <c r="A11" s="150"/>
      <c r="B11" s="159"/>
      <c r="C11" s="159"/>
      <c r="D11" s="150"/>
      <c r="E11" s="150"/>
      <c r="F11" s="150"/>
      <c r="G11" s="160"/>
      <c r="H11" s="161"/>
      <c r="I11" s="162"/>
      <c r="J11" s="163"/>
      <c r="K11" s="148"/>
      <c r="L11" s="151"/>
      <c r="M11" s="151"/>
      <c r="N11" s="155"/>
      <c r="O11" s="156"/>
      <c r="P11" s="157"/>
      <c r="Q11" s="158"/>
      <c r="R11" s="147"/>
      <c r="S11" s="151"/>
      <c r="T11" s="154"/>
      <c r="U11" s="149"/>
      <c r="V11" s="172"/>
      <c r="W11" s="173"/>
      <c r="X11" s="174"/>
      <c r="Y11" s="173"/>
      <c r="Z11" s="175"/>
    </row>
    <row r="12" spans="1:26" s="50" customFormat="1" ht="90.75" customHeight="1" x14ac:dyDescent="0.25">
      <c r="A12" s="20">
        <v>1</v>
      </c>
      <c r="B12" s="31" t="s">
        <v>0</v>
      </c>
      <c r="C12" s="31">
        <v>8229</v>
      </c>
      <c r="D12" s="31">
        <v>69</v>
      </c>
      <c r="E12" s="31">
        <v>0</v>
      </c>
      <c r="F12" s="43">
        <v>11</v>
      </c>
      <c r="G12" s="21" t="s">
        <v>209</v>
      </c>
      <c r="H12" s="26">
        <v>27611</v>
      </c>
      <c r="I12" s="44">
        <v>575</v>
      </c>
      <c r="J12" s="27">
        <f>(H12*I12)</f>
        <v>15876325</v>
      </c>
      <c r="K12" s="41"/>
      <c r="L12" s="31"/>
      <c r="M12" s="43"/>
      <c r="N12" s="21"/>
      <c r="O12" s="45"/>
      <c r="P12" s="46"/>
      <c r="Q12" s="44"/>
      <c r="R12" s="41"/>
      <c r="S12" s="41"/>
      <c r="T12" s="47"/>
      <c r="U12" s="41"/>
      <c r="V12" s="48"/>
      <c r="W12" s="48"/>
      <c r="X12" s="47"/>
      <c r="Y12" s="48"/>
      <c r="Z12" s="49"/>
    </row>
    <row r="13" spans="1:26" s="50" customFormat="1" ht="90.75" customHeight="1" x14ac:dyDescent="0.25">
      <c r="A13" s="20"/>
      <c r="B13" s="31"/>
      <c r="C13" s="31"/>
      <c r="D13" s="41">
        <v>57</v>
      </c>
      <c r="E13" s="41">
        <v>3</v>
      </c>
      <c r="F13" s="43">
        <v>91</v>
      </c>
      <c r="G13" s="21" t="s">
        <v>209</v>
      </c>
      <c r="H13" s="26">
        <v>23191</v>
      </c>
      <c r="I13" s="25"/>
      <c r="J13" s="24"/>
      <c r="K13" s="21"/>
      <c r="L13" s="31"/>
      <c r="M13" s="31"/>
      <c r="N13" s="51"/>
      <c r="O13" s="45"/>
      <c r="P13" s="52"/>
      <c r="Q13" s="25"/>
      <c r="R13" s="26"/>
      <c r="S13" s="31"/>
      <c r="T13" s="24"/>
      <c r="U13" s="26"/>
      <c r="V13" s="26"/>
      <c r="W13" s="26"/>
      <c r="X13" s="24"/>
      <c r="Y13" s="24"/>
      <c r="Z13" s="53"/>
    </row>
    <row r="14" spans="1:26" s="50" customFormat="1" ht="90.75" customHeight="1" x14ac:dyDescent="0.25">
      <c r="A14" s="20"/>
      <c r="B14" s="31"/>
      <c r="C14" s="31"/>
      <c r="D14" s="41"/>
      <c r="E14" s="41"/>
      <c r="F14" s="43"/>
      <c r="G14" s="51"/>
      <c r="H14" s="26">
        <v>84</v>
      </c>
      <c r="I14" s="44">
        <v>575</v>
      </c>
      <c r="J14" s="27">
        <f t="shared" ref="J14:J24" si="0">(H14*I14)</f>
        <v>48300</v>
      </c>
      <c r="K14" s="21">
        <v>1</v>
      </c>
      <c r="L14" s="31" t="s">
        <v>27</v>
      </c>
      <c r="M14" s="31" t="s">
        <v>13</v>
      </c>
      <c r="N14" s="51">
        <v>3</v>
      </c>
      <c r="O14" s="45">
        <v>336</v>
      </c>
      <c r="P14" s="52">
        <v>100</v>
      </c>
      <c r="Q14" s="25">
        <v>7100</v>
      </c>
      <c r="R14" s="26">
        <f>(O14*Q14)</f>
        <v>2385600</v>
      </c>
      <c r="S14" s="31">
        <v>26</v>
      </c>
      <c r="T14" s="24">
        <f>(R14*42/100)</f>
        <v>1001952</v>
      </c>
      <c r="U14" s="26">
        <f>(R14-T14)</f>
        <v>1383648</v>
      </c>
      <c r="V14" s="26">
        <f t="shared" ref="V14:V19" si="1">(J14+U14)</f>
        <v>1431948</v>
      </c>
      <c r="W14" s="26">
        <f t="shared" ref="W14:W19" si="2">(V14*100/100)</f>
        <v>1431948</v>
      </c>
      <c r="X14" s="24">
        <v>0</v>
      </c>
      <c r="Y14" s="24">
        <f t="shared" ref="Y14:Y19" si="3">(V14-X14)</f>
        <v>1431948</v>
      </c>
      <c r="Z14" s="49">
        <v>3.0000000000000001E-3</v>
      </c>
    </row>
    <row r="15" spans="1:26" s="50" customFormat="1" ht="90.75" customHeight="1" x14ac:dyDescent="0.25">
      <c r="A15" s="20"/>
      <c r="B15" s="31"/>
      <c r="C15" s="31"/>
      <c r="D15" s="41"/>
      <c r="E15" s="41"/>
      <c r="F15" s="43"/>
      <c r="G15" s="51"/>
      <c r="H15" s="26">
        <v>2.79</v>
      </c>
      <c r="I15" s="44">
        <v>575</v>
      </c>
      <c r="J15" s="27">
        <f t="shared" si="0"/>
        <v>1604.25</v>
      </c>
      <c r="K15" s="21">
        <v>2</v>
      </c>
      <c r="L15" s="31" t="s">
        <v>215</v>
      </c>
      <c r="M15" s="31" t="s">
        <v>13</v>
      </c>
      <c r="N15" s="51">
        <v>3</v>
      </c>
      <c r="O15" s="45">
        <v>11.18</v>
      </c>
      <c r="P15" s="52">
        <v>100</v>
      </c>
      <c r="Q15" s="25">
        <v>6450</v>
      </c>
      <c r="R15" s="26">
        <f>(O15*Q15)</f>
        <v>72111</v>
      </c>
      <c r="S15" s="31">
        <v>24</v>
      </c>
      <c r="T15" s="24">
        <f>(R15*38/100)</f>
        <v>27402.18</v>
      </c>
      <c r="U15" s="26">
        <f>(R15-T15)</f>
        <v>44708.82</v>
      </c>
      <c r="V15" s="26">
        <f t="shared" si="1"/>
        <v>46313.07</v>
      </c>
      <c r="W15" s="26">
        <f t="shared" si="2"/>
        <v>46313.07</v>
      </c>
      <c r="X15" s="24">
        <v>0</v>
      </c>
      <c r="Y15" s="24">
        <f t="shared" si="3"/>
        <v>46313.07</v>
      </c>
      <c r="Z15" s="49">
        <v>3.0000000000000001E-3</v>
      </c>
    </row>
    <row r="16" spans="1:26" s="50" customFormat="1" ht="90.75" customHeight="1" x14ac:dyDescent="0.25">
      <c r="A16" s="20"/>
      <c r="B16" s="31"/>
      <c r="C16" s="31"/>
      <c r="D16" s="41"/>
      <c r="E16" s="41"/>
      <c r="F16" s="43"/>
      <c r="G16" s="51"/>
      <c r="H16" s="26">
        <v>32</v>
      </c>
      <c r="I16" s="44">
        <v>575</v>
      </c>
      <c r="J16" s="27">
        <f t="shared" si="0"/>
        <v>18400</v>
      </c>
      <c r="K16" s="21">
        <v>3</v>
      </c>
      <c r="L16" s="31" t="s">
        <v>41</v>
      </c>
      <c r="M16" s="31" t="s">
        <v>13</v>
      </c>
      <c r="N16" s="51">
        <v>3</v>
      </c>
      <c r="O16" s="45">
        <v>128</v>
      </c>
      <c r="P16" s="52">
        <v>100</v>
      </c>
      <c r="Q16" s="25">
        <v>6400</v>
      </c>
      <c r="R16" s="26">
        <f>(O16*Q16)</f>
        <v>819200</v>
      </c>
      <c r="S16" s="31">
        <v>24</v>
      </c>
      <c r="T16" s="24">
        <f>(R16*38/100)</f>
        <v>311296</v>
      </c>
      <c r="U16" s="26">
        <f>(R16-T16)</f>
        <v>507904</v>
      </c>
      <c r="V16" s="26">
        <f t="shared" si="1"/>
        <v>526304</v>
      </c>
      <c r="W16" s="26">
        <f t="shared" si="2"/>
        <v>526304</v>
      </c>
      <c r="X16" s="24">
        <v>0</v>
      </c>
      <c r="Y16" s="24">
        <f t="shared" si="3"/>
        <v>526304</v>
      </c>
      <c r="Z16" s="49">
        <v>3.0000000000000001E-3</v>
      </c>
    </row>
    <row r="17" spans="1:26" s="50" customFormat="1" ht="90.75" customHeight="1" x14ac:dyDescent="0.25">
      <c r="A17" s="20"/>
      <c r="B17" s="31"/>
      <c r="C17" s="31"/>
      <c r="D17" s="41"/>
      <c r="E17" s="41"/>
      <c r="F17" s="43"/>
      <c r="G17" s="51"/>
      <c r="H17" s="26">
        <v>59.04</v>
      </c>
      <c r="I17" s="44">
        <v>575</v>
      </c>
      <c r="J17" s="27">
        <f t="shared" si="0"/>
        <v>33948</v>
      </c>
      <c r="K17" s="21">
        <v>4</v>
      </c>
      <c r="L17" s="31" t="s">
        <v>18</v>
      </c>
      <c r="M17" s="31" t="s">
        <v>220</v>
      </c>
      <c r="N17" s="51">
        <v>3</v>
      </c>
      <c r="O17" s="45">
        <v>944.64</v>
      </c>
      <c r="P17" s="52">
        <v>100</v>
      </c>
      <c r="Q17" s="25">
        <v>7750</v>
      </c>
      <c r="R17" s="26">
        <f>(O17*Q17)</f>
        <v>7320960</v>
      </c>
      <c r="S17" s="31">
        <v>24</v>
      </c>
      <c r="T17" s="24">
        <f>(R17*38/100)</f>
        <v>2781964.8</v>
      </c>
      <c r="U17" s="26">
        <f>(R17-T17)</f>
        <v>4538995.2</v>
      </c>
      <c r="V17" s="26">
        <f t="shared" si="1"/>
        <v>4572943.2</v>
      </c>
      <c r="W17" s="26">
        <f t="shared" si="2"/>
        <v>4572943.2</v>
      </c>
      <c r="X17" s="24">
        <v>0</v>
      </c>
      <c r="Y17" s="24">
        <f t="shared" si="3"/>
        <v>4572943.2</v>
      </c>
      <c r="Z17" s="49">
        <v>3.0000000000000001E-3</v>
      </c>
    </row>
    <row r="18" spans="1:26" s="50" customFormat="1" ht="90.75" customHeight="1" x14ac:dyDescent="0.25">
      <c r="A18" s="20"/>
      <c r="B18" s="31"/>
      <c r="C18" s="31"/>
      <c r="D18" s="41"/>
      <c r="E18" s="41"/>
      <c r="F18" s="43"/>
      <c r="G18" s="21" t="s">
        <v>209</v>
      </c>
      <c r="H18" s="26">
        <v>23013.17</v>
      </c>
      <c r="I18" s="44">
        <v>575</v>
      </c>
      <c r="J18" s="27">
        <f t="shared" si="0"/>
        <v>13232572.749999998</v>
      </c>
      <c r="K18" s="21"/>
      <c r="L18" s="54"/>
      <c r="M18" s="55"/>
      <c r="N18" s="56"/>
      <c r="O18" s="57"/>
      <c r="P18" s="58"/>
      <c r="Q18" s="59"/>
      <c r="R18" s="60"/>
      <c r="S18" s="55"/>
      <c r="T18" s="61"/>
      <c r="U18" s="60"/>
      <c r="V18" s="26">
        <f t="shared" si="1"/>
        <v>13232572.749999998</v>
      </c>
      <c r="W18" s="26">
        <f t="shared" si="2"/>
        <v>13232572.749999998</v>
      </c>
      <c r="X18" s="24">
        <v>0</v>
      </c>
      <c r="Y18" s="24">
        <f t="shared" si="3"/>
        <v>13232572.749999998</v>
      </c>
      <c r="Z18" s="49">
        <v>3.0000000000000001E-3</v>
      </c>
    </row>
    <row r="19" spans="1:26" s="50" customFormat="1" ht="90.75" customHeight="1" x14ac:dyDescent="0.25">
      <c r="A19" s="20"/>
      <c r="B19" s="31"/>
      <c r="C19" s="31"/>
      <c r="D19" s="41">
        <v>11</v>
      </c>
      <c r="E19" s="41">
        <v>0</v>
      </c>
      <c r="F19" s="43">
        <v>20</v>
      </c>
      <c r="G19" s="21" t="s">
        <v>209</v>
      </c>
      <c r="H19" s="26">
        <v>4420</v>
      </c>
      <c r="I19" s="25">
        <v>172.5</v>
      </c>
      <c r="J19" s="27">
        <f t="shared" si="0"/>
        <v>762450</v>
      </c>
      <c r="K19" s="21"/>
      <c r="L19" s="143" t="s">
        <v>219</v>
      </c>
      <c r="M19" s="144"/>
      <c r="N19" s="144"/>
      <c r="O19" s="144"/>
      <c r="P19" s="144"/>
      <c r="Q19" s="144"/>
      <c r="R19" s="144"/>
      <c r="S19" s="144"/>
      <c r="T19" s="144"/>
      <c r="U19" s="144"/>
      <c r="V19" s="26">
        <f t="shared" si="1"/>
        <v>762450</v>
      </c>
      <c r="W19" s="26">
        <f t="shared" si="2"/>
        <v>762450</v>
      </c>
      <c r="X19" s="24">
        <v>0</v>
      </c>
      <c r="Y19" s="24">
        <f t="shared" si="3"/>
        <v>762450</v>
      </c>
      <c r="Z19" s="49">
        <v>3.0000000000000001E-3</v>
      </c>
    </row>
    <row r="20" spans="1:26" s="50" customFormat="1" ht="90.75" customHeight="1" x14ac:dyDescent="0.25">
      <c r="A20" s="20">
        <v>2</v>
      </c>
      <c r="B20" s="31" t="s">
        <v>0</v>
      </c>
      <c r="C20" s="31">
        <v>15265</v>
      </c>
      <c r="D20" s="31">
        <v>13</v>
      </c>
      <c r="E20" s="31">
        <v>2</v>
      </c>
      <c r="F20" s="43">
        <v>10</v>
      </c>
      <c r="G20" s="21" t="s">
        <v>209</v>
      </c>
      <c r="H20" s="26">
        <v>5410</v>
      </c>
      <c r="I20" s="44">
        <v>625</v>
      </c>
      <c r="J20" s="27">
        <f t="shared" si="0"/>
        <v>3381250</v>
      </c>
      <c r="K20" s="41"/>
      <c r="L20" s="31"/>
      <c r="M20" s="43"/>
      <c r="N20" s="21"/>
      <c r="O20" s="45"/>
      <c r="P20" s="46"/>
      <c r="Q20" s="44"/>
      <c r="R20" s="41"/>
      <c r="S20" s="41"/>
      <c r="T20" s="47"/>
      <c r="U20" s="41"/>
      <c r="V20" s="26"/>
      <c r="W20" s="26"/>
      <c r="X20" s="47"/>
      <c r="Y20" s="48"/>
      <c r="Z20" s="49"/>
    </row>
    <row r="21" spans="1:26" s="50" customFormat="1" ht="90.75" customHeight="1" x14ac:dyDescent="0.25">
      <c r="A21" s="20"/>
      <c r="B21" s="31"/>
      <c r="C21" s="31"/>
      <c r="D21" s="31"/>
      <c r="E21" s="31"/>
      <c r="F21" s="43"/>
      <c r="G21" s="41"/>
      <c r="H21" s="24">
        <v>100</v>
      </c>
      <c r="I21" s="25">
        <v>625</v>
      </c>
      <c r="J21" s="27">
        <f t="shared" si="0"/>
        <v>62500</v>
      </c>
      <c r="K21" s="21">
        <v>1</v>
      </c>
      <c r="L21" s="31" t="s">
        <v>27</v>
      </c>
      <c r="M21" s="31" t="s">
        <v>129</v>
      </c>
      <c r="N21" s="51">
        <v>3</v>
      </c>
      <c r="O21" s="45">
        <v>400</v>
      </c>
      <c r="P21" s="52">
        <v>100</v>
      </c>
      <c r="Q21" s="25">
        <v>7100</v>
      </c>
      <c r="R21" s="26">
        <f>(O21*Q21)</f>
        <v>2840000</v>
      </c>
      <c r="S21" s="20">
        <v>24</v>
      </c>
      <c r="T21" s="24">
        <f>(R21*38/100)</f>
        <v>1079200</v>
      </c>
      <c r="U21" s="26">
        <f>(R21-T21)</f>
        <v>1760800</v>
      </c>
      <c r="V21" s="26">
        <f>(J21+U21)</f>
        <v>1823300</v>
      </c>
      <c r="W21" s="26">
        <f>(V21*100/100)</f>
        <v>1823300</v>
      </c>
      <c r="X21" s="24">
        <v>0</v>
      </c>
      <c r="Y21" s="24">
        <f>(V21-X21)</f>
        <v>1823300</v>
      </c>
      <c r="Z21" s="49">
        <v>3.0000000000000001E-3</v>
      </c>
    </row>
    <row r="22" spans="1:26" s="50" customFormat="1" ht="90.75" customHeight="1" x14ac:dyDescent="0.25">
      <c r="A22" s="20"/>
      <c r="B22" s="31"/>
      <c r="C22" s="31"/>
      <c r="D22" s="31"/>
      <c r="E22" s="31"/>
      <c r="F22" s="43"/>
      <c r="G22" s="41"/>
      <c r="H22" s="24">
        <v>60</v>
      </c>
      <c r="I22" s="25">
        <v>625</v>
      </c>
      <c r="J22" s="27">
        <f t="shared" si="0"/>
        <v>37500</v>
      </c>
      <c r="K22" s="21">
        <v>2</v>
      </c>
      <c r="L22" s="31" t="s">
        <v>215</v>
      </c>
      <c r="M22" s="31" t="s">
        <v>24</v>
      </c>
      <c r="N22" s="51">
        <v>3</v>
      </c>
      <c r="O22" s="45">
        <v>240</v>
      </c>
      <c r="P22" s="52">
        <v>100</v>
      </c>
      <c r="Q22" s="25">
        <v>6450</v>
      </c>
      <c r="R22" s="26">
        <f>(O22*Q22)</f>
        <v>1548000</v>
      </c>
      <c r="S22" s="20">
        <v>24</v>
      </c>
      <c r="T22" s="24">
        <f>(R22*38/100)</f>
        <v>588240</v>
      </c>
      <c r="U22" s="26">
        <f>(R22-T22)</f>
        <v>959760</v>
      </c>
      <c r="V22" s="26">
        <f>(J22+U22)</f>
        <v>997260</v>
      </c>
      <c r="W22" s="26">
        <f>(V22*100/100)</f>
        <v>997260</v>
      </c>
      <c r="X22" s="24">
        <v>0</v>
      </c>
      <c r="Y22" s="24">
        <f>(V22-X22)</f>
        <v>997260</v>
      </c>
      <c r="Z22" s="49">
        <v>3.0000000000000001E-3</v>
      </c>
    </row>
    <row r="23" spans="1:26" s="50" customFormat="1" ht="90.75" customHeight="1" x14ac:dyDescent="0.25">
      <c r="A23" s="20"/>
      <c r="B23" s="31"/>
      <c r="C23" s="31"/>
      <c r="D23" s="31"/>
      <c r="E23" s="31"/>
      <c r="F23" s="43"/>
      <c r="G23" s="41"/>
      <c r="H23" s="24">
        <v>5250</v>
      </c>
      <c r="I23" s="25">
        <v>625</v>
      </c>
      <c r="J23" s="27">
        <f t="shared" si="0"/>
        <v>3281250</v>
      </c>
      <c r="K23" s="21"/>
      <c r="L23" s="31"/>
      <c r="M23" s="31"/>
      <c r="N23" s="51"/>
      <c r="O23" s="45"/>
      <c r="P23" s="52"/>
      <c r="Q23" s="25"/>
      <c r="R23" s="26"/>
      <c r="S23" s="20"/>
      <c r="T23" s="24"/>
      <c r="U23" s="26"/>
      <c r="V23" s="26">
        <f>(J23+U23)</f>
        <v>3281250</v>
      </c>
      <c r="W23" s="26">
        <f>(V23*100/100)</f>
        <v>3281250</v>
      </c>
      <c r="X23" s="24">
        <v>0</v>
      </c>
      <c r="Y23" s="24">
        <f>(V23-X23)</f>
        <v>3281250</v>
      </c>
      <c r="Z23" s="49">
        <v>3.0000000000000001E-3</v>
      </c>
    </row>
    <row r="24" spans="1:26" s="50" customFormat="1" ht="90.75" customHeight="1" x14ac:dyDescent="0.25">
      <c r="A24" s="20">
        <v>3</v>
      </c>
      <c r="B24" s="20" t="s">
        <v>0</v>
      </c>
      <c r="C24" s="20">
        <v>18739</v>
      </c>
      <c r="D24" s="20">
        <v>7</v>
      </c>
      <c r="E24" s="20">
        <v>0</v>
      </c>
      <c r="F24" s="20">
        <v>7</v>
      </c>
      <c r="G24" s="21" t="s">
        <v>209</v>
      </c>
      <c r="H24" s="26">
        <v>2807</v>
      </c>
      <c r="I24" s="25" t="s">
        <v>20</v>
      </c>
      <c r="J24" s="27">
        <f t="shared" si="0"/>
        <v>1894725</v>
      </c>
      <c r="K24" s="20"/>
      <c r="L24" s="20"/>
      <c r="M24" s="20"/>
      <c r="N24" s="62"/>
      <c r="O24" s="24"/>
      <c r="P24" s="52"/>
      <c r="Q24" s="25"/>
      <c r="R24" s="63"/>
      <c r="S24" s="20"/>
      <c r="T24" s="24"/>
      <c r="U24" s="63"/>
      <c r="V24" s="63"/>
      <c r="W24" s="26"/>
      <c r="X24" s="24"/>
      <c r="Y24" s="24"/>
      <c r="Z24" s="52"/>
    </row>
    <row r="25" spans="1:26" s="50" customFormat="1" ht="90.75" customHeight="1" x14ac:dyDescent="0.25">
      <c r="A25" s="20"/>
      <c r="B25" s="20"/>
      <c r="C25" s="20"/>
      <c r="D25" s="20"/>
      <c r="E25" s="20"/>
      <c r="F25" s="20"/>
      <c r="G25" s="21"/>
      <c r="H25" s="26"/>
      <c r="I25" s="25"/>
      <c r="J25" s="27"/>
      <c r="K25" s="20">
        <v>1</v>
      </c>
      <c r="L25" s="20" t="s">
        <v>215</v>
      </c>
      <c r="M25" s="20" t="s">
        <v>13</v>
      </c>
      <c r="N25" s="62">
        <v>2</v>
      </c>
      <c r="O25" s="24">
        <v>412</v>
      </c>
      <c r="P25" s="52">
        <v>100</v>
      </c>
      <c r="Q25" s="25">
        <v>6450</v>
      </c>
      <c r="R25" s="26">
        <f>(O25*Q25)</f>
        <v>2657400</v>
      </c>
      <c r="S25" s="20">
        <v>15</v>
      </c>
      <c r="T25" s="24">
        <f>(R25*20/100)</f>
        <v>531480</v>
      </c>
      <c r="U25" s="26">
        <f>(R25-T25)</f>
        <v>2125920</v>
      </c>
      <c r="V25" s="63"/>
      <c r="W25" s="26"/>
      <c r="X25" s="24"/>
      <c r="Y25" s="24"/>
      <c r="Z25" s="52"/>
    </row>
    <row r="26" spans="1:26" s="50" customFormat="1" ht="90.75" customHeight="1" x14ac:dyDescent="0.25">
      <c r="A26" s="20"/>
      <c r="B26" s="20"/>
      <c r="C26" s="20"/>
      <c r="D26" s="20"/>
      <c r="E26" s="20"/>
      <c r="F26" s="20"/>
      <c r="G26" s="21"/>
      <c r="H26" s="26"/>
      <c r="I26" s="25"/>
      <c r="J26" s="27"/>
      <c r="K26" s="20">
        <v>2</v>
      </c>
      <c r="L26" s="20" t="s">
        <v>215</v>
      </c>
      <c r="M26" s="20" t="s">
        <v>13</v>
      </c>
      <c r="N26" s="62">
        <v>2</v>
      </c>
      <c r="O26" s="24">
        <v>78</v>
      </c>
      <c r="P26" s="52">
        <v>100</v>
      </c>
      <c r="Q26" s="25">
        <v>6450</v>
      </c>
      <c r="R26" s="26">
        <f>(O26*Q26)</f>
        <v>503100</v>
      </c>
      <c r="S26" s="20">
        <v>15</v>
      </c>
      <c r="T26" s="24">
        <f>(R26*20/100)</f>
        <v>100620</v>
      </c>
      <c r="U26" s="26">
        <f>(R26-T26)</f>
        <v>402480</v>
      </c>
      <c r="V26" s="63"/>
      <c r="W26" s="26"/>
      <c r="X26" s="24"/>
      <c r="Y26" s="24"/>
      <c r="Z26" s="52"/>
    </row>
    <row r="27" spans="1:26" s="50" customFormat="1" ht="90.75" customHeight="1" x14ac:dyDescent="0.25">
      <c r="A27" s="20"/>
      <c r="B27" s="20"/>
      <c r="C27" s="20"/>
      <c r="D27" s="20"/>
      <c r="E27" s="20"/>
      <c r="F27" s="20"/>
      <c r="G27" s="21"/>
      <c r="H27" s="26"/>
      <c r="I27" s="25"/>
      <c r="J27" s="27"/>
      <c r="K27" s="20">
        <v>3</v>
      </c>
      <c r="L27" s="20" t="s">
        <v>215</v>
      </c>
      <c r="M27" s="20" t="s">
        <v>13</v>
      </c>
      <c r="N27" s="62">
        <v>3</v>
      </c>
      <c r="O27" s="24">
        <v>52</v>
      </c>
      <c r="P27" s="52">
        <v>100</v>
      </c>
      <c r="Q27" s="25">
        <v>7100</v>
      </c>
      <c r="R27" s="26">
        <f>(O27*Q27)</f>
        <v>369200</v>
      </c>
      <c r="S27" s="20">
        <v>10</v>
      </c>
      <c r="T27" s="24">
        <f>(R27*10/100)</f>
        <v>36920</v>
      </c>
      <c r="U27" s="26">
        <f>(R27-T27)</f>
        <v>332280</v>
      </c>
      <c r="V27" s="63"/>
      <c r="W27" s="26"/>
      <c r="X27" s="24"/>
      <c r="Y27" s="24"/>
      <c r="Z27" s="52"/>
    </row>
    <row r="28" spans="1:26" s="50" customFormat="1" ht="90.75" customHeight="1" x14ac:dyDescent="0.25">
      <c r="A28" s="20"/>
      <c r="B28" s="20"/>
      <c r="C28" s="20"/>
      <c r="D28" s="20"/>
      <c r="E28" s="20"/>
      <c r="F28" s="20"/>
      <c r="G28" s="21"/>
      <c r="H28" s="26"/>
      <c r="I28" s="25"/>
      <c r="J28" s="27"/>
      <c r="K28" s="20">
        <v>4</v>
      </c>
      <c r="L28" s="20" t="s">
        <v>28</v>
      </c>
      <c r="M28" s="20"/>
      <c r="N28" s="62">
        <v>3</v>
      </c>
      <c r="O28" s="24">
        <v>2380</v>
      </c>
      <c r="P28" s="52">
        <v>100</v>
      </c>
      <c r="Q28" s="25">
        <v>5500</v>
      </c>
      <c r="R28" s="26">
        <f>(O28*Q28)</f>
        <v>13090000</v>
      </c>
      <c r="S28" s="20">
        <v>10</v>
      </c>
      <c r="T28" s="24">
        <f>(R28*10/100)</f>
        <v>1309000</v>
      </c>
      <c r="U28" s="26">
        <f>(R28-T28)</f>
        <v>11781000</v>
      </c>
      <c r="V28" s="63"/>
      <c r="W28" s="26"/>
      <c r="X28" s="24"/>
      <c r="Y28" s="24"/>
      <c r="Z28" s="52"/>
    </row>
    <row r="29" spans="1:26" s="50" customFormat="1" ht="90.75" customHeight="1" x14ac:dyDescent="0.25">
      <c r="A29" s="20"/>
      <c r="B29" s="20"/>
      <c r="C29" s="20"/>
      <c r="D29" s="20"/>
      <c r="E29" s="20"/>
      <c r="F29" s="20"/>
      <c r="G29" s="21"/>
      <c r="H29" s="26"/>
      <c r="I29" s="25"/>
      <c r="J29" s="27"/>
      <c r="K29" s="20">
        <v>5</v>
      </c>
      <c r="L29" s="20" t="s">
        <v>27</v>
      </c>
      <c r="M29" s="20" t="s">
        <v>13</v>
      </c>
      <c r="N29" s="62">
        <v>3</v>
      </c>
      <c r="O29" s="24">
        <v>168</v>
      </c>
      <c r="P29" s="52">
        <v>100</v>
      </c>
      <c r="Q29" s="25">
        <v>7100</v>
      </c>
      <c r="R29" s="26">
        <f>(O29*Q29)</f>
        <v>1192800</v>
      </c>
      <c r="S29" s="20">
        <v>10</v>
      </c>
      <c r="T29" s="24">
        <f>(R29*10/100)</f>
        <v>119280</v>
      </c>
      <c r="U29" s="26">
        <f>(R29-T29)</f>
        <v>1073520</v>
      </c>
      <c r="V29" s="63"/>
      <c r="W29" s="26"/>
      <c r="X29" s="24"/>
      <c r="Y29" s="24"/>
      <c r="Z29" s="52"/>
    </row>
    <row r="30" spans="1:26" s="50" customFormat="1" ht="90.75" customHeight="1" x14ac:dyDescent="0.25">
      <c r="A30" s="20"/>
      <c r="B30" s="20"/>
      <c r="C30" s="20"/>
      <c r="D30" s="20"/>
      <c r="E30" s="20"/>
      <c r="F30" s="20"/>
      <c r="G30" s="21"/>
      <c r="H30" s="26"/>
      <c r="I30" s="25"/>
      <c r="J30" s="27"/>
      <c r="K30" s="20"/>
      <c r="L30" s="20"/>
      <c r="M30" s="20"/>
      <c r="N30" s="62"/>
      <c r="O30" s="24"/>
      <c r="P30" s="52"/>
      <c r="Q30" s="25"/>
      <c r="R30" s="63"/>
      <c r="S30" s="20"/>
      <c r="T30" s="24"/>
      <c r="U30" s="63">
        <f>(U25+U26+U27+U28+U29)</f>
        <v>15715200</v>
      </c>
      <c r="V30" s="63">
        <f>(J24+U30)</f>
        <v>17609925</v>
      </c>
      <c r="W30" s="26">
        <f>(V30*100/100)</f>
        <v>17609925</v>
      </c>
      <c r="X30" s="24">
        <v>0</v>
      </c>
      <c r="Y30" s="24">
        <f>(W30-X30)</f>
        <v>17609925</v>
      </c>
      <c r="Z30" s="52">
        <v>3.0000000000000001E-3</v>
      </c>
    </row>
    <row r="31" spans="1:26" s="50" customFormat="1" ht="90.75" customHeight="1" x14ac:dyDescent="0.25">
      <c r="A31" s="20">
        <v>4</v>
      </c>
      <c r="B31" s="20" t="s">
        <v>0</v>
      </c>
      <c r="C31" s="20">
        <v>2137</v>
      </c>
      <c r="D31" s="20">
        <v>5</v>
      </c>
      <c r="E31" s="20">
        <v>3</v>
      </c>
      <c r="F31" s="20">
        <v>66</v>
      </c>
      <c r="G31" s="21" t="s">
        <v>209</v>
      </c>
      <c r="H31" s="26">
        <v>2366</v>
      </c>
      <c r="I31" s="25">
        <v>525</v>
      </c>
      <c r="J31" s="27">
        <f>(H31*I31)</f>
        <v>1242150</v>
      </c>
      <c r="K31" s="20"/>
      <c r="L31" s="20"/>
      <c r="M31" s="20"/>
      <c r="N31" s="62"/>
      <c r="O31" s="24"/>
      <c r="P31" s="52"/>
      <c r="Q31" s="25"/>
      <c r="R31" s="63"/>
      <c r="S31" s="20"/>
      <c r="T31" s="24"/>
      <c r="U31" s="63"/>
      <c r="V31" s="63"/>
      <c r="W31" s="26"/>
      <c r="X31" s="24"/>
      <c r="Y31" s="24"/>
      <c r="Z31" s="52"/>
    </row>
    <row r="32" spans="1:26" s="50" customFormat="1" ht="90.75" customHeight="1" x14ac:dyDescent="0.25">
      <c r="A32" s="20"/>
      <c r="B32" s="20"/>
      <c r="C32" s="20"/>
      <c r="D32" s="20"/>
      <c r="E32" s="20"/>
      <c r="F32" s="20"/>
      <c r="G32" s="21"/>
      <c r="H32" s="26"/>
      <c r="I32" s="25"/>
      <c r="J32" s="27"/>
      <c r="K32" s="20">
        <v>1</v>
      </c>
      <c r="L32" s="20" t="s">
        <v>28</v>
      </c>
      <c r="M32" s="20" t="s">
        <v>13</v>
      </c>
      <c r="N32" s="62">
        <v>3</v>
      </c>
      <c r="O32" s="24">
        <v>520</v>
      </c>
      <c r="P32" s="52">
        <v>100</v>
      </c>
      <c r="Q32" s="25">
        <v>5500</v>
      </c>
      <c r="R32" s="26">
        <f>(O32*Q32)</f>
        <v>2860000</v>
      </c>
      <c r="S32" s="20">
        <v>10</v>
      </c>
      <c r="T32" s="24">
        <f>(R32*10/100)</f>
        <v>286000</v>
      </c>
      <c r="U32" s="26">
        <f>(R32-T32)</f>
        <v>2574000</v>
      </c>
      <c r="V32" s="63"/>
      <c r="W32" s="26"/>
      <c r="X32" s="24"/>
      <c r="Y32" s="24"/>
      <c r="Z32" s="49"/>
    </row>
    <row r="33" spans="1:26" s="50" customFormat="1" ht="90.75" customHeight="1" x14ac:dyDescent="0.25">
      <c r="A33" s="20"/>
      <c r="B33" s="20"/>
      <c r="C33" s="20"/>
      <c r="D33" s="20"/>
      <c r="E33" s="20"/>
      <c r="F33" s="20"/>
      <c r="G33" s="21"/>
      <c r="H33" s="26"/>
      <c r="I33" s="25"/>
      <c r="J33" s="27"/>
      <c r="K33" s="21">
        <v>2</v>
      </c>
      <c r="L33" s="20" t="s">
        <v>28</v>
      </c>
      <c r="M33" s="52" t="s">
        <v>13</v>
      </c>
      <c r="N33" s="21">
        <v>3</v>
      </c>
      <c r="O33" s="24">
        <v>180</v>
      </c>
      <c r="P33" s="22">
        <v>100</v>
      </c>
      <c r="Q33" s="25">
        <v>5500</v>
      </c>
      <c r="R33" s="26">
        <f>(O33*Q33)</f>
        <v>990000</v>
      </c>
      <c r="S33" s="62">
        <v>10</v>
      </c>
      <c r="T33" s="24">
        <f>(R33*10/100)</f>
        <v>99000</v>
      </c>
      <c r="U33" s="26">
        <f>(R33-T33)</f>
        <v>891000</v>
      </c>
      <c r="V33" s="26"/>
      <c r="W33" s="26"/>
      <c r="X33" s="24"/>
      <c r="Y33" s="26"/>
      <c r="Z33" s="49"/>
    </row>
    <row r="34" spans="1:26" s="50" customFormat="1" ht="90.75" customHeight="1" x14ac:dyDescent="0.25">
      <c r="A34" s="20"/>
      <c r="B34" s="20"/>
      <c r="C34" s="20"/>
      <c r="D34" s="20"/>
      <c r="E34" s="20"/>
      <c r="F34" s="20"/>
      <c r="G34" s="21"/>
      <c r="H34" s="26"/>
      <c r="I34" s="25"/>
      <c r="J34" s="27"/>
      <c r="K34" s="41">
        <v>3</v>
      </c>
      <c r="L34" s="31" t="s">
        <v>28</v>
      </c>
      <c r="M34" s="43" t="s">
        <v>13</v>
      </c>
      <c r="N34" s="21">
        <v>3</v>
      </c>
      <c r="O34" s="45">
        <v>1610</v>
      </c>
      <c r="P34" s="46">
        <v>100</v>
      </c>
      <c r="Q34" s="44">
        <v>5500</v>
      </c>
      <c r="R34" s="26">
        <f>(O34*Q34)</f>
        <v>8855000</v>
      </c>
      <c r="S34" s="41">
        <v>10</v>
      </c>
      <c r="T34" s="24">
        <f>(R34*10/100)</f>
        <v>885500</v>
      </c>
      <c r="U34" s="26">
        <f>(R34-T34)</f>
        <v>7969500</v>
      </c>
      <c r="V34" s="48"/>
      <c r="W34" s="48"/>
      <c r="X34" s="47"/>
      <c r="Y34" s="48"/>
      <c r="Z34" s="49"/>
    </row>
    <row r="35" spans="1:26" s="50" customFormat="1" ht="90.75" customHeight="1" x14ac:dyDescent="0.25">
      <c r="A35" s="20"/>
      <c r="B35" s="20"/>
      <c r="C35" s="20"/>
      <c r="D35" s="20"/>
      <c r="E35" s="20"/>
      <c r="F35" s="20"/>
      <c r="G35" s="21"/>
      <c r="H35" s="26"/>
      <c r="I35" s="25"/>
      <c r="J35" s="24"/>
      <c r="K35" s="21">
        <v>4</v>
      </c>
      <c r="L35" s="31" t="s">
        <v>215</v>
      </c>
      <c r="M35" s="31" t="s">
        <v>13</v>
      </c>
      <c r="N35" s="51">
        <v>2</v>
      </c>
      <c r="O35" s="45">
        <v>252</v>
      </c>
      <c r="P35" s="52">
        <v>100</v>
      </c>
      <c r="Q35" s="25">
        <v>6450</v>
      </c>
      <c r="R35" s="26">
        <f>(O35*Q35)</f>
        <v>1625400</v>
      </c>
      <c r="S35" s="20">
        <v>10</v>
      </c>
      <c r="T35" s="24">
        <f>(R35*10/100)</f>
        <v>162540</v>
      </c>
      <c r="U35" s="26">
        <f>(R35-T35)</f>
        <v>1462860</v>
      </c>
      <c r="V35" s="26"/>
      <c r="W35" s="26"/>
      <c r="X35" s="24"/>
      <c r="Y35" s="24"/>
      <c r="Z35" s="49"/>
    </row>
    <row r="36" spans="1:26" s="50" customFormat="1" ht="90.75" customHeight="1" x14ac:dyDescent="0.25">
      <c r="A36" s="20"/>
      <c r="B36" s="20"/>
      <c r="C36" s="20"/>
      <c r="D36" s="20"/>
      <c r="E36" s="20"/>
      <c r="F36" s="20"/>
      <c r="G36" s="21"/>
      <c r="H36" s="26"/>
      <c r="I36" s="25"/>
      <c r="J36" s="24"/>
      <c r="K36" s="21"/>
      <c r="L36" s="31"/>
      <c r="M36" s="31"/>
      <c r="N36" s="51"/>
      <c r="O36" s="45"/>
      <c r="P36" s="52"/>
      <c r="Q36" s="25"/>
      <c r="R36" s="26"/>
      <c r="S36" s="20"/>
      <c r="T36" s="24"/>
      <c r="U36" s="26">
        <f>(U32+U33+U34+U35)</f>
        <v>12897360</v>
      </c>
      <c r="V36" s="26">
        <f>(J31+U36)</f>
        <v>14139510</v>
      </c>
      <c r="W36" s="26">
        <f>(V36*100/100)</f>
        <v>14139510</v>
      </c>
      <c r="X36" s="24">
        <v>0</v>
      </c>
      <c r="Y36" s="24">
        <f t="shared" ref="Y36:Y67" si="4">(W36-X36)</f>
        <v>14139510</v>
      </c>
      <c r="Z36" s="49">
        <v>3.0000000000000001E-3</v>
      </c>
    </row>
    <row r="37" spans="1:26" s="50" customFormat="1" ht="90.75" customHeight="1" x14ac:dyDescent="0.25">
      <c r="A37" s="20">
        <v>5</v>
      </c>
      <c r="B37" s="20" t="s">
        <v>0</v>
      </c>
      <c r="C37" s="20">
        <v>13970</v>
      </c>
      <c r="D37" s="20">
        <v>0</v>
      </c>
      <c r="E37" s="20">
        <v>2</v>
      </c>
      <c r="F37" s="20">
        <v>29</v>
      </c>
      <c r="G37" s="21" t="s">
        <v>209</v>
      </c>
      <c r="H37" s="26">
        <v>229</v>
      </c>
      <c r="I37" s="25" t="s">
        <v>23</v>
      </c>
      <c r="J37" s="27">
        <f t="shared" ref="J37:J68" si="5">(H37*I37)</f>
        <v>229000</v>
      </c>
      <c r="K37" s="21"/>
      <c r="L37" s="31"/>
      <c r="M37" s="31"/>
      <c r="N37" s="51"/>
      <c r="O37" s="45"/>
      <c r="P37" s="52"/>
      <c r="Q37" s="25"/>
      <c r="R37" s="26"/>
      <c r="S37" s="20"/>
      <c r="T37" s="24"/>
      <c r="U37" s="26"/>
      <c r="V37" s="26">
        <f t="shared" ref="V37:V68" si="6">(J37+U37)</f>
        <v>229000</v>
      </c>
      <c r="W37" s="26">
        <f>(V37*100/100)</f>
        <v>229000</v>
      </c>
      <c r="X37" s="24">
        <v>0</v>
      </c>
      <c r="Y37" s="24">
        <f t="shared" si="4"/>
        <v>229000</v>
      </c>
      <c r="Z37" s="49">
        <v>3.0000000000000001E-3</v>
      </c>
    </row>
    <row r="38" spans="1:26" s="50" customFormat="1" ht="90.75" customHeight="1" x14ac:dyDescent="0.25">
      <c r="A38" s="20">
        <v>6</v>
      </c>
      <c r="B38" s="20" t="s">
        <v>0</v>
      </c>
      <c r="C38" s="20">
        <v>6853</v>
      </c>
      <c r="D38" s="20">
        <v>59</v>
      </c>
      <c r="E38" s="20">
        <v>1</v>
      </c>
      <c r="F38" s="20">
        <v>71</v>
      </c>
      <c r="G38" s="21" t="s">
        <v>209</v>
      </c>
      <c r="H38" s="26">
        <v>23771</v>
      </c>
      <c r="I38" s="25" t="s">
        <v>32</v>
      </c>
      <c r="J38" s="24">
        <f t="shared" si="5"/>
        <v>4754200</v>
      </c>
      <c r="K38" s="21"/>
      <c r="L38" s="31"/>
      <c r="M38" s="31"/>
      <c r="N38" s="51"/>
      <c r="O38" s="45"/>
      <c r="P38" s="52"/>
      <c r="Q38" s="25"/>
      <c r="R38" s="26"/>
      <c r="S38" s="20"/>
      <c r="T38" s="24"/>
      <c r="U38" s="26"/>
      <c r="V38" s="26">
        <f t="shared" si="6"/>
        <v>4754200</v>
      </c>
      <c r="W38" s="26">
        <f>(V38*100/100)</f>
        <v>4754200</v>
      </c>
      <c r="X38" s="24">
        <v>0</v>
      </c>
      <c r="Y38" s="24">
        <f t="shared" si="4"/>
        <v>4754200</v>
      </c>
      <c r="Z38" s="49">
        <v>3.0000000000000001E-3</v>
      </c>
    </row>
    <row r="39" spans="1:26" s="50" customFormat="1" ht="90.75" customHeight="1" x14ac:dyDescent="0.25">
      <c r="A39" s="20"/>
      <c r="B39" s="20"/>
      <c r="C39" s="20"/>
      <c r="D39" s="20"/>
      <c r="E39" s="20"/>
      <c r="F39" s="20"/>
      <c r="G39" s="21"/>
      <c r="H39" s="26">
        <v>14.3325</v>
      </c>
      <c r="I39" s="25">
        <v>200</v>
      </c>
      <c r="J39" s="24">
        <f t="shared" si="5"/>
        <v>2866.5</v>
      </c>
      <c r="K39" s="21">
        <v>1</v>
      </c>
      <c r="L39" s="31" t="s">
        <v>248</v>
      </c>
      <c r="M39" s="31"/>
      <c r="N39" s="51">
        <v>3</v>
      </c>
      <c r="O39" s="45">
        <v>57.33</v>
      </c>
      <c r="P39" s="52">
        <v>100</v>
      </c>
      <c r="Q39" s="25">
        <v>5550</v>
      </c>
      <c r="R39" s="26">
        <f>(O39*Q39)</f>
        <v>318181.5</v>
      </c>
      <c r="S39" s="20">
        <v>7</v>
      </c>
      <c r="T39" s="24">
        <f>(R39*7/100)</f>
        <v>22272.705000000002</v>
      </c>
      <c r="U39" s="26">
        <f>(R39-T39)</f>
        <v>295908.79499999998</v>
      </c>
      <c r="V39" s="26">
        <f t="shared" si="6"/>
        <v>298775.29499999998</v>
      </c>
      <c r="W39" s="26">
        <v>299090.61</v>
      </c>
      <c r="X39" s="24">
        <v>0</v>
      </c>
      <c r="Y39" s="24">
        <f t="shared" si="4"/>
        <v>299090.61</v>
      </c>
      <c r="Z39" s="49">
        <v>3.0000000000000001E-3</v>
      </c>
    </row>
    <row r="40" spans="1:26" s="50" customFormat="1" ht="90.75" customHeight="1" x14ac:dyDescent="0.25">
      <c r="A40" s="20"/>
      <c r="B40" s="20"/>
      <c r="C40" s="20"/>
      <c r="D40" s="20"/>
      <c r="E40" s="20"/>
      <c r="F40" s="20"/>
      <c r="G40" s="21"/>
      <c r="H40" s="26">
        <v>14.3325</v>
      </c>
      <c r="I40" s="25">
        <v>200</v>
      </c>
      <c r="J40" s="24">
        <f t="shared" si="5"/>
        <v>2866.5</v>
      </c>
      <c r="K40" s="21">
        <v>2</v>
      </c>
      <c r="L40" s="31" t="s">
        <v>248</v>
      </c>
      <c r="M40" s="31"/>
      <c r="N40" s="51">
        <v>3</v>
      </c>
      <c r="O40" s="45">
        <v>57.33</v>
      </c>
      <c r="P40" s="52">
        <v>100</v>
      </c>
      <c r="Q40" s="25">
        <v>5550</v>
      </c>
      <c r="R40" s="26">
        <f>(O40*Q40)</f>
        <v>318181.5</v>
      </c>
      <c r="S40" s="20">
        <v>7</v>
      </c>
      <c r="T40" s="24">
        <f>(R40*7/100)</f>
        <v>22272.705000000002</v>
      </c>
      <c r="U40" s="26">
        <f>(R40-T40)</f>
        <v>295908.79499999998</v>
      </c>
      <c r="V40" s="26">
        <f t="shared" si="6"/>
        <v>298775.29499999998</v>
      </c>
      <c r="W40" s="26">
        <v>299090.61</v>
      </c>
      <c r="X40" s="24">
        <v>0</v>
      </c>
      <c r="Y40" s="24">
        <f t="shared" si="4"/>
        <v>299090.61</v>
      </c>
      <c r="Z40" s="49">
        <v>3.0000000000000001E-3</v>
      </c>
    </row>
    <row r="41" spans="1:26" s="50" customFormat="1" ht="90.75" customHeight="1" x14ac:dyDescent="0.25">
      <c r="A41" s="20">
        <v>7</v>
      </c>
      <c r="B41" s="20" t="s">
        <v>0</v>
      </c>
      <c r="C41" s="20">
        <v>6854</v>
      </c>
      <c r="D41" s="20">
        <v>27</v>
      </c>
      <c r="E41" s="20">
        <v>1</v>
      </c>
      <c r="F41" s="20">
        <v>97</v>
      </c>
      <c r="G41" s="21" t="s">
        <v>209</v>
      </c>
      <c r="H41" s="26">
        <v>10997</v>
      </c>
      <c r="I41" s="44">
        <v>200</v>
      </c>
      <c r="J41" s="24">
        <f t="shared" si="5"/>
        <v>2199400</v>
      </c>
      <c r="K41" s="41"/>
      <c r="L41" s="31"/>
      <c r="M41" s="43"/>
      <c r="N41" s="21"/>
      <c r="O41" s="45"/>
      <c r="P41" s="46"/>
      <c r="Q41" s="44"/>
      <c r="R41" s="41"/>
      <c r="S41" s="41"/>
      <c r="T41" s="47"/>
      <c r="U41" s="41"/>
      <c r="V41" s="26">
        <f t="shared" si="6"/>
        <v>2199400</v>
      </c>
      <c r="W41" s="26">
        <f t="shared" ref="W41:W72" si="7">(V41*100/100)</f>
        <v>2199400</v>
      </c>
      <c r="X41" s="24">
        <v>0</v>
      </c>
      <c r="Y41" s="24">
        <f t="shared" si="4"/>
        <v>2199400</v>
      </c>
      <c r="Z41" s="49">
        <v>3.0000000000000001E-3</v>
      </c>
    </row>
    <row r="42" spans="1:26" s="50" customFormat="1" ht="90.75" customHeight="1" x14ac:dyDescent="0.25">
      <c r="A42" s="20"/>
      <c r="B42" s="20"/>
      <c r="C42" s="20"/>
      <c r="D42" s="20"/>
      <c r="E42" s="20"/>
      <c r="F42" s="20"/>
      <c r="G42" s="21"/>
      <c r="H42" s="26">
        <v>14.3325</v>
      </c>
      <c r="I42" s="25">
        <v>200</v>
      </c>
      <c r="J42" s="24">
        <f t="shared" si="5"/>
        <v>2866.5</v>
      </c>
      <c r="K42" s="21">
        <v>1</v>
      </c>
      <c r="L42" s="31" t="s">
        <v>248</v>
      </c>
      <c r="M42" s="31"/>
      <c r="N42" s="51">
        <v>3</v>
      </c>
      <c r="O42" s="45">
        <v>57.33</v>
      </c>
      <c r="P42" s="52">
        <v>100</v>
      </c>
      <c r="Q42" s="25">
        <v>5550</v>
      </c>
      <c r="R42" s="26">
        <f>(O42*Q42)</f>
        <v>318181.5</v>
      </c>
      <c r="S42" s="20">
        <v>6</v>
      </c>
      <c r="T42" s="24">
        <f>(R42*6/100)</f>
        <v>19090.89</v>
      </c>
      <c r="U42" s="26">
        <f>(R42-T42)</f>
        <v>299090.61</v>
      </c>
      <c r="V42" s="26">
        <f t="shared" si="6"/>
        <v>301957.11</v>
      </c>
      <c r="W42" s="26">
        <f t="shared" si="7"/>
        <v>301957.11</v>
      </c>
      <c r="X42" s="24">
        <v>0</v>
      </c>
      <c r="Y42" s="24">
        <f t="shared" si="4"/>
        <v>301957.11</v>
      </c>
      <c r="Z42" s="49">
        <v>3.0000000000000001E-3</v>
      </c>
    </row>
    <row r="43" spans="1:26" s="50" customFormat="1" ht="90.75" customHeight="1" x14ac:dyDescent="0.25">
      <c r="A43" s="20"/>
      <c r="B43" s="20"/>
      <c r="C43" s="20"/>
      <c r="D43" s="20"/>
      <c r="E43" s="20"/>
      <c r="F43" s="20"/>
      <c r="G43" s="21"/>
      <c r="H43" s="26">
        <v>14.3325</v>
      </c>
      <c r="I43" s="25">
        <v>200</v>
      </c>
      <c r="J43" s="24">
        <f t="shared" si="5"/>
        <v>2866.5</v>
      </c>
      <c r="K43" s="21">
        <v>2</v>
      </c>
      <c r="L43" s="31" t="s">
        <v>248</v>
      </c>
      <c r="M43" s="31"/>
      <c r="N43" s="51">
        <v>3</v>
      </c>
      <c r="O43" s="45">
        <v>57.33</v>
      </c>
      <c r="P43" s="52">
        <v>100</v>
      </c>
      <c r="Q43" s="25">
        <v>5550</v>
      </c>
      <c r="R43" s="26">
        <f>(O43*Q43)</f>
        <v>318181.5</v>
      </c>
      <c r="S43" s="20">
        <v>6</v>
      </c>
      <c r="T43" s="24">
        <f>(R43*6/100)</f>
        <v>19090.89</v>
      </c>
      <c r="U43" s="26">
        <f>(R43-T43)</f>
        <v>299090.61</v>
      </c>
      <c r="V43" s="26">
        <f t="shared" si="6"/>
        <v>301957.11</v>
      </c>
      <c r="W43" s="26">
        <f t="shared" si="7"/>
        <v>301957.11</v>
      </c>
      <c r="X43" s="24">
        <v>0</v>
      </c>
      <c r="Y43" s="24">
        <f t="shared" si="4"/>
        <v>301957.11</v>
      </c>
      <c r="Z43" s="49">
        <v>3.0000000000000001E-3</v>
      </c>
    </row>
    <row r="44" spans="1:26" s="50" customFormat="1" ht="90.75" customHeight="1" x14ac:dyDescent="0.25">
      <c r="A44" s="20">
        <v>8</v>
      </c>
      <c r="B44" s="20" t="s">
        <v>0</v>
      </c>
      <c r="C44" s="20">
        <v>7146</v>
      </c>
      <c r="D44" s="20">
        <v>40</v>
      </c>
      <c r="E44" s="20">
        <v>0</v>
      </c>
      <c r="F44" s="20">
        <v>15</v>
      </c>
      <c r="G44" s="21" t="s">
        <v>209</v>
      </c>
      <c r="H44" s="26">
        <v>16015</v>
      </c>
      <c r="I44" s="25" t="s">
        <v>62</v>
      </c>
      <c r="J44" s="24">
        <f t="shared" si="5"/>
        <v>8007500</v>
      </c>
      <c r="K44" s="21"/>
      <c r="L44" s="31"/>
      <c r="M44" s="31"/>
      <c r="N44" s="51"/>
      <c r="O44" s="45"/>
      <c r="P44" s="52"/>
      <c r="Q44" s="25"/>
      <c r="R44" s="26"/>
      <c r="S44" s="20"/>
      <c r="T44" s="24"/>
      <c r="U44" s="26"/>
      <c r="V44" s="26">
        <f t="shared" si="6"/>
        <v>8007500</v>
      </c>
      <c r="W44" s="26">
        <f t="shared" si="7"/>
        <v>8007500</v>
      </c>
      <c r="X44" s="24">
        <v>0</v>
      </c>
      <c r="Y44" s="24">
        <f t="shared" si="4"/>
        <v>8007500</v>
      </c>
      <c r="Z44" s="49">
        <v>3.0000000000000001E-3</v>
      </c>
    </row>
    <row r="45" spans="1:26" s="50" customFormat="1" ht="90.75" customHeight="1" x14ac:dyDescent="0.25">
      <c r="A45" s="20"/>
      <c r="B45" s="20"/>
      <c r="C45" s="20"/>
      <c r="D45" s="20"/>
      <c r="E45" s="20"/>
      <c r="F45" s="20"/>
      <c r="G45" s="21"/>
      <c r="H45" s="26">
        <v>4</v>
      </c>
      <c r="I45" s="25">
        <v>500</v>
      </c>
      <c r="J45" s="24">
        <f t="shared" si="5"/>
        <v>2000</v>
      </c>
      <c r="K45" s="21">
        <v>1</v>
      </c>
      <c r="L45" s="31" t="s">
        <v>215</v>
      </c>
      <c r="M45" s="31" t="s">
        <v>13</v>
      </c>
      <c r="N45" s="51">
        <v>3</v>
      </c>
      <c r="O45" s="45">
        <v>16</v>
      </c>
      <c r="P45" s="52">
        <v>100</v>
      </c>
      <c r="Q45" s="25">
        <v>6450</v>
      </c>
      <c r="R45" s="26">
        <f t="shared" ref="R45:R51" si="8">(O45*Q45)</f>
        <v>103200</v>
      </c>
      <c r="S45" s="20">
        <v>7</v>
      </c>
      <c r="T45" s="24">
        <f t="shared" ref="T45:T50" si="9">(R45*7/100)</f>
        <v>7224</v>
      </c>
      <c r="U45" s="26">
        <f t="shared" ref="U45:U51" si="10">(R45-T45)</f>
        <v>95976</v>
      </c>
      <c r="V45" s="26">
        <f t="shared" si="6"/>
        <v>97976</v>
      </c>
      <c r="W45" s="26">
        <f t="shared" si="7"/>
        <v>97976</v>
      </c>
      <c r="X45" s="24">
        <v>0</v>
      </c>
      <c r="Y45" s="24">
        <f t="shared" si="4"/>
        <v>97976</v>
      </c>
      <c r="Z45" s="49">
        <v>3.0000000000000001E-3</v>
      </c>
    </row>
    <row r="46" spans="1:26" s="50" customFormat="1" ht="90.75" customHeight="1" x14ac:dyDescent="0.25">
      <c r="A46" s="20"/>
      <c r="B46" s="20"/>
      <c r="C46" s="20"/>
      <c r="D46" s="20"/>
      <c r="E46" s="20"/>
      <c r="F46" s="20"/>
      <c r="G46" s="21"/>
      <c r="H46" s="26">
        <v>4.5</v>
      </c>
      <c r="I46" s="25">
        <v>500</v>
      </c>
      <c r="J46" s="24">
        <f t="shared" si="5"/>
        <v>2250</v>
      </c>
      <c r="K46" s="21">
        <v>2</v>
      </c>
      <c r="L46" s="31" t="s">
        <v>92</v>
      </c>
      <c r="M46" s="31" t="s">
        <v>13</v>
      </c>
      <c r="N46" s="51">
        <v>3</v>
      </c>
      <c r="O46" s="45">
        <v>18</v>
      </c>
      <c r="P46" s="52">
        <v>100</v>
      </c>
      <c r="Q46" s="25">
        <v>5900</v>
      </c>
      <c r="R46" s="26">
        <f t="shared" si="8"/>
        <v>106200</v>
      </c>
      <c r="S46" s="20">
        <v>7</v>
      </c>
      <c r="T46" s="24">
        <f t="shared" si="9"/>
        <v>7434</v>
      </c>
      <c r="U46" s="26">
        <f t="shared" si="10"/>
        <v>98766</v>
      </c>
      <c r="V46" s="26">
        <f t="shared" si="6"/>
        <v>101016</v>
      </c>
      <c r="W46" s="26">
        <f t="shared" si="7"/>
        <v>101016</v>
      </c>
      <c r="X46" s="24">
        <v>0</v>
      </c>
      <c r="Y46" s="24">
        <f t="shared" si="4"/>
        <v>101016</v>
      </c>
      <c r="Z46" s="49">
        <v>3.0000000000000001E-3</v>
      </c>
    </row>
    <row r="47" spans="1:26" s="50" customFormat="1" ht="90.75" customHeight="1" x14ac:dyDescent="0.25">
      <c r="A47" s="20"/>
      <c r="B47" s="20"/>
      <c r="C47" s="20"/>
      <c r="D47" s="20"/>
      <c r="E47" s="20"/>
      <c r="F47" s="20"/>
      <c r="G47" s="21"/>
      <c r="H47" s="26">
        <v>13</v>
      </c>
      <c r="I47" s="25">
        <v>500</v>
      </c>
      <c r="J47" s="24">
        <f t="shared" si="5"/>
        <v>6500</v>
      </c>
      <c r="K47" s="21">
        <v>3</v>
      </c>
      <c r="L47" s="20" t="s">
        <v>93</v>
      </c>
      <c r="M47" s="52" t="s">
        <v>13</v>
      </c>
      <c r="N47" s="21">
        <v>3</v>
      </c>
      <c r="O47" s="24">
        <v>52</v>
      </c>
      <c r="P47" s="22">
        <v>100</v>
      </c>
      <c r="Q47" s="25">
        <v>7100</v>
      </c>
      <c r="R47" s="26">
        <f t="shared" si="8"/>
        <v>369200</v>
      </c>
      <c r="S47" s="62">
        <v>7</v>
      </c>
      <c r="T47" s="24">
        <f t="shared" si="9"/>
        <v>25844</v>
      </c>
      <c r="U47" s="26">
        <f t="shared" si="10"/>
        <v>343356</v>
      </c>
      <c r="V47" s="26">
        <f t="shared" si="6"/>
        <v>349856</v>
      </c>
      <c r="W47" s="26">
        <f t="shared" si="7"/>
        <v>349856</v>
      </c>
      <c r="X47" s="24">
        <v>0</v>
      </c>
      <c r="Y47" s="24">
        <f t="shared" si="4"/>
        <v>349856</v>
      </c>
      <c r="Z47" s="49">
        <v>3.0000000000000001E-3</v>
      </c>
    </row>
    <row r="48" spans="1:26" s="50" customFormat="1" ht="90.75" customHeight="1" x14ac:dyDescent="0.25">
      <c r="A48" s="20"/>
      <c r="B48" s="20"/>
      <c r="C48" s="20"/>
      <c r="D48" s="20"/>
      <c r="E48" s="20"/>
      <c r="F48" s="20"/>
      <c r="G48" s="21"/>
      <c r="H48" s="26">
        <v>3.5</v>
      </c>
      <c r="I48" s="25">
        <v>500</v>
      </c>
      <c r="J48" s="24">
        <f t="shared" si="5"/>
        <v>1750</v>
      </c>
      <c r="K48" s="20">
        <v>4</v>
      </c>
      <c r="L48" s="31" t="s">
        <v>31</v>
      </c>
      <c r="M48" s="31"/>
      <c r="N48" s="41">
        <v>3</v>
      </c>
      <c r="O48" s="45">
        <v>14</v>
      </c>
      <c r="P48" s="22">
        <v>100</v>
      </c>
      <c r="Q48" s="25">
        <v>2550</v>
      </c>
      <c r="R48" s="26">
        <f t="shared" si="8"/>
        <v>35700</v>
      </c>
      <c r="S48" s="20">
        <v>7</v>
      </c>
      <c r="T48" s="24">
        <f t="shared" si="9"/>
        <v>2499</v>
      </c>
      <c r="U48" s="26">
        <f t="shared" si="10"/>
        <v>33201</v>
      </c>
      <c r="V48" s="26">
        <f t="shared" si="6"/>
        <v>34951</v>
      </c>
      <c r="W48" s="26">
        <f t="shared" si="7"/>
        <v>34951</v>
      </c>
      <c r="X48" s="24">
        <v>0</v>
      </c>
      <c r="Y48" s="24">
        <f t="shared" si="4"/>
        <v>34951</v>
      </c>
      <c r="Z48" s="49">
        <v>3.0000000000000001E-3</v>
      </c>
    </row>
    <row r="49" spans="1:26" s="50" customFormat="1" ht="90.75" customHeight="1" x14ac:dyDescent="0.25">
      <c r="A49" s="20"/>
      <c r="B49" s="20"/>
      <c r="C49" s="20"/>
      <c r="D49" s="20"/>
      <c r="E49" s="20"/>
      <c r="F49" s="20"/>
      <c r="G49" s="21"/>
      <c r="H49" s="26">
        <v>14.3325</v>
      </c>
      <c r="I49" s="44">
        <v>500</v>
      </c>
      <c r="J49" s="24">
        <f t="shared" si="5"/>
        <v>7166.25</v>
      </c>
      <c r="K49" s="20">
        <v>5</v>
      </c>
      <c r="L49" s="31" t="s">
        <v>248</v>
      </c>
      <c r="M49" s="31"/>
      <c r="N49" s="41">
        <v>3</v>
      </c>
      <c r="O49" s="45">
        <v>57.33</v>
      </c>
      <c r="P49" s="22">
        <v>100</v>
      </c>
      <c r="Q49" s="25">
        <v>5550</v>
      </c>
      <c r="R49" s="26">
        <f t="shared" si="8"/>
        <v>318181.5</v>
      </c>
      <c r="S49" s="20">
        <v>7</v>
      </c>
      <c r="T49" s="24">
        <f t="shared" si="9"/>
        <v>22272.705000000002</v>
      </c>
      <c r="U49" s="26">
        <f t="shared" si="10"/>
        <v>295908.79499999998</v>
      </c>
      <c r="V49" s="26">
        <f t="shared" si="6"/>
        <v>303075.04499999998</v>
      </c>
      <c r="W49" s="26">
        <f t="shared" si="7"/>
        <v>303075.04499999998</v>
      </c>
      <c r="X49" s="24">
        <v>0</v>
      </c>
      <c r="Y49" s="24">
        <f t="shared" si="4"/>
        <v>303075.04499999998</v>
      </c>
      <c r="Z49" s="49">
        <v>3.0000000000000001E-3</v>
      </c>
    </row>
    <row r="50" spans="1:26" s="50" customFormat="1" ht="90.75" customHeight="1" x14ac:dyDescent="0.25">
      <c r="A50" s="20"/>
      <c r="B50" s="20"/>
      <c r="C50" s="20"/>
      <c r="D50" s="20"/>
      <c r="E50" s="20"/>
      <c r="F50" s="20"/>
      <c r="G50" s="21"/>
      <c r="H50" s="26">
        <v>14.3325</v>
      </c>
      <c r="I50" s="44">
        <v>500</v>
      </c>
      <c r="J50" s="24">
        <f t="shared" si="5"/>
        <v>7166.25</v>
      </c>
      <c r="K50" s="20">
        <v>6</v>
      </c>
      <c r="L50" s="31" t="s">
        <v>248</v>
      </c>
      <c r="M50" s="31"/>
      <c r="N50" s="41">
        <v>3</v>
      </c>
      <c r="O50" s="45">
        <v>57.33</v>
      </c>
      <c r="P50" s="22">
        <v>100</v>
      </c>
      <c r="Q50" s="25">
        <v>5550</v>
      </c>
      <c r="R50" s="26">
        <f t="shared" si="8"/>
        <v>318181.5</v>
      </c>
      <c r="S50" s="20">
        <v>7</v>
      </c>
      <c r="T50" s="24">
        <f t="shared" si="9"/>
        <v>22272.705000000002</v>
      </c>
      <c r="U50" s="26">
        <f t="shared" si="10"/>
        <v>295908.79499999998</v>
      </c>
      <c r="V50" s="26">
        <f t="shared" si="6"/>
        <v>303075.04499999998</v>
      </c>
      <c r="W50" s="26">
        <f t="shared" si="7"/>
        <v>303075.04499999998</v>
      </c>
      <c r="X50" s="24">
        <v>0</v>
      </c>
      <c r="Y50" s="24">
        <f t="shared" si="4"/>
        <v>303075.04499999998</v>
      </c>
      <c r="Z50" s="49">
        <v>3.0000000000000001E-3</v>
      </c>
    </row>
    <row r="51" spans="1:26" s="50" customFormat="1" ht="90.75" customHeight="1" x14ac:dyDescent="0.25">
      <c r="A51" s="20"/>
      <c r="B51" s="20"/>
      <c r="C51" s="20"/>
      <c r="D51" s="20"/>
      <c r="E51" s="20"/>
      <c r="F51" s="20"/>
      <c r="G51" s="21"/>
      <c r="H51" s="26">
        <v>20</v>
      </c>
      <c r="I51" s="44">
        <v>500</v>
      </c>
      <c r="J51" s="24">
        <f t="shared" si="5"/>
        <v>10000</v>
      </c>
      <c r="K51" s="20">
        <v>7</v>
      </c>
      <c r="L51" s="31" t="s">
        <v>248</v>
      </c>
      <c r="M51" s="31"/>
      <c r="N51" s="41">
        <v>3</v>
      </c>
      <c r="O51" s="45">
        <v>80</v>
      </c>
      <c r="P51" s="22">
        <v>100</v>
      </c>
      <c r="Q51" s="25">
        <v>5550</v>
      </c>
      <c r="R51" s="26">
        <f t="shared" si="8"/>
        <v>444000</v>
      </c>
      <c r="S51" s="20">
        <v>1</v>
      </c>
      <c r="T51" s="24">
        <f>(R51*1/100)</f>
        <v>4440</v>
      </c>
      <c r="U51" s="26">
        <f t="shared" si="10"/>
        <v>439560</v>
      </c>
      <c r="V51" s="26">
        <f t="shared" si="6"/>
        <v>449560</v>
      </c>
      <c r="W51" s="26">
        <f t="shared" si="7"/>
        <v>449560</v>
      </c>
      <c r="X51" s="24">
        <v>0</v>
      </c>
      <c r="Y51" s="24">
        <f t="shared" si="4"/>
        <v>449560</v>
      </c>
      <c r="Z51" s="49">
        <v>3.0000000000000001E-3</v>
      </c>
    </row>
    <row r="52" spans="1:26" s="50" customFormat="1" ht="90.75" customHeight="1" x14ac:dyDescent="0.25">
      <c r="A52" s="20">
        <v>9</v>
      </c>
      <c r="B52" s="20" t="s">
        <v>0</v>
      </c>
      <c r="C52" s="20">
        <v>11678</v>
      </c>
      <c r="D52" s="20">
        <v>4</v>
      </c>
      <c r="E52" s="20">
        <v>0</v>
      </c>
      <c r="F52" s="20">
        <v>38</v>
      </c>
      <c r="G52" s="21" t="s">
        <v>209</v>
      </c>
      <c r="H52" s="26">
        <v>1638</v>
      </c>
      <c r="I52" s="44" t="s">
        <v>75</v>
      </c>
      <c r="J52" s="24">
        <f t="shared" si="5"/>
        <v>1023750</v>
      </c>
      <c r="K52" s="20"/>
      <c r="L52" s="31"/>
      <c r="M52" s="31"/>
      <c r="N52" s="41"/>
      <c r="O52" s="45"/>
      <c r="P52" s="22"/>
      <c r="Q52" s="25"/>
      <c r="R52" s="26"/>
      <c r="S52" s="20"/>
      <c r="T52" s="24"/>
      <c r="U52" s="26"/>
      <c r="V52" s="26">
        <f t="shared" si="6"/>
        <v>1023750</v>
      </c>
      <c r="W52" s="26">
        <f t="shared" si="7"/>
        <v>1023750</v>
      </c>
      <c r="X52" s="24">
        <v>0</v>
      </c>
      <c r="Y52" s="24">
        <f t="shared" si="4"/>
        <v>1023750</v>
      </c>
      <c r="Z52" s="49">
        <v>3.0000000000000001E-3</v>
      </c>
    </row>
    <row r="53" spans="1:26" s="50" customFormat="1" ht="90.75" customHeight="1" x14ac:dyDescent="0.25">
      <c r="A53" s="20">
        <v>10</v>
      </c>
      <c r="B53" s="20" t="s">
        <v>0</v>
      </c>
      <c r="C53" s="20">
        <v>10575</v>
      </c>
      <c r="D53" s="20">
        <v>14</v>
      </c>
      <c r="E53" s="20">
        <v>3</v>
      </c>
      <c r="F53" s="20">
        <v>0</v>
      </c>
      <c r="G53" s="21" t="s">
        <v>209</v>
      </c>
      <c r="H53" s="26">
        <v>5900</v>
      </c>
      <c r="I53" s="44" t="s">
        <v>19</v>
      </c>
      <c r="J53" s="24">
        <f t="shared" si="5"/>
        <v>2212500</v>
      </c>
      <c r="K53" s="20"/>
      <c r="L53" s="31"/>
      <c r="M53" s="31"/>
      <c r="N53" s="41"/>
      <c r="O53" s="45"/>
      <c r="P53" s="22"/>
      <c r="Q53" s="25"/>
      <c r="R53" s="26"/>
      <c r="S53" s="20"/>
      <c r="T53" s="24"/>
      <c r="U53" s="26"/>
      <c r="V53" s="26">
        <f t="shared" si="6"/>
        <v>2212500</v>
      </c>
      <c r="W53" s="26">
        <f t="shared" si="7"/>
        <v>2212500</v>
      </c>
      <c r="X53" s="24">
        <v>0</v>
      </c>
      <c r="Y53" s="24">
        <f t="shared" si="4"/>
        <v>2212500</v>
      </c>
      <c r="Z53" s="49">
        <v>3.0000000000000001E-3</v>
      </c>
    </row>
    <row r="54" spans="1:26" s="50" customFormat="1" ht="90.75" customHeight="1" x14ac:dyDescent="0.25">
      <c r="A54" s="20">
        <v>11</v>
      </c>
      <c r="B54" s="20" t="s">
        <v>0</v>
      </c>
      <c r="C54" s="20">
        <v>11433</v>
      </c>
      <c r="D54" s="20">
        <v>12</v>
      </c>
      <c r="E54" s="20">
        <v>2</v>
      </c>
      <c r="F54" s="20">
        <v>97</v>
      </c>
      <c r="G54" s="21" t="s">
        <v>209</v>
      </c>
      <c r="H54" s="26">
        <v>5097</v>
      </c>
      <c r="I54" s="25" t="s">
        <v>32</v>
      </c>
      <c r="J54" s="24">
        <f t="shared" si="5"/>
        <v>1019400</v>
      </c>
      <c r="K54" s="21"/>
      <c r="L54" s="20"/>
      <c r="M54" s="52"/>
      <c r="N54" s="21"/>
      <c r="O54" s="24"/>
      <c r="P54" s="22"/>
      <c r="Q54" s="25"/>
      <c r="R54" s="62"/>
      <c r="S54" s="62"/>
      <c r="T54" s="24"/>
      <c r="U54" s="62"/>
      <c r="V54" s="26">
        <f t="shared" si="6"/>
        <v>1019400</v>
      </c>
      <c r="W54" s="26">
        <f t="shared" si="7"/>
        <v>1019400</v>
      </c>
      <c r="X54" s="24">
        <v>0</v>
      </c>
      <c r="Y54" s="24">
        <f t="shared" si="4"/>
        <v>1019400</v>
      </c>
      <c r="Z54" s="49">
        <v>3.0000000000000001E-3</v>
      </c>
    </row>
    <row r="55" spans="1:26" s="50" customFormat="1" ht="90.75" customHeight="1" x14ac:dyDescent="0.25">
      <c r="A55" s="20">
        <v>12</v>
      </c>
      <c r="B55" s="20" t="s">
        <v>0</v>
      </c>
      <c r="C55" s="20">
        <v>11677</v>
      </c>
      <c r="D55" s="20">
        <v>0</v>
      </c>
      <c r="E55" s="20">
        <v>2</v>
      </c>
      <c r="F55" s="20">
        <v>86</v>
      </c>
      <c r="G55" s="21" t="s">
        <v>209</v>
      </c>
      <c r="H55" s="26">
        <v>286</v>
      </c>
      <c r="I55" s="25">
        <v>625</v>
      </c>
      <c r="J55" s="24">
        <f t="shared" si="5"/>
        <v>178750</v>
      </c>
      <c r="K55" s="41"/>
      <c r="L55" s="31"/>
      <c r="M55" s="43"/>
      <c r="N55" s="21"/>
      <c r="O55" s="45"/>
      <c r="P55" s="46"/>
      <c r="Q55" s="44"/>
      <c r="R55" s="41"/>
      <c r="S55" s="41"/>
      <c r="T55" s="47"/>
      <c r="U55" s="41"/>
      <c r="V55" s="26">
        <f t="shared" si="6"/>
        <v>178750</v>
      </c>
      <c r="W55" s="26">
        <f t="shared" si="7"/>
        <v>178750</v>
      </c>
      <c r="X55" s="24">
        <v>0</v>
      </c>
      <c r="Y55" s="24">
        <f t="shared" si="4"/>
        <v>178750</v>
      </c>
      <c r="Z55" s="49">
        <v>3.0000000000000001E-3</v>
      </c>
    </row>
    <row r="56" spans="1:26" s="50" customFormat="1" ht="90.75" customHeight="1" x14ac:dyDescent="0.25">
      <c r="A56" s="20">
        <v>13</v>
      </c>
      <c r="B56" s="20" t="s">
        <v>0</v>
      </c>
      <c r="C56" s="20">
        <v>10606</v>
      </c>
      <c r="D56" s="20">
        <v>1</v>
      </c>
      <c r="E56" s="20">
        <v>3</v>
      </c>
      <c r="F56" s="20">
        <v>31</v>
      </c>
      <c r="G56" s="21" t="s">
        <v>209</v>
      </c>
      <c r="H56" s="26">
        <v>731</v>
      </c>
      <c r="I56" s="25" t="s">
        <v>75</v>
      </c>
      <c r="J56" s="24">
        <f t="shared" si="5"/>
        <v>456875</v>
      </c>
      <c r="K56" s="20"/>
      <c r="L56" s="31"/>
      <c r="M56" s="31"/>
      <c r="N56" s="41"/>
      <c r="O56" s="45"/>
      <c r="P56" s="22"/>
      <c r="Q56" s="25"/>
      <c r="R56" s="26"/>
      <c r="S56" s="20"/>
      <c r="T56" s="24"/>
      <c r="U56" s="26"/>
      <c r="V56" s="26">
        <f t="shared" si="6"/>
        <v>456875</v>
      </c>
      <c r="W56" s="26">
        <f t="shared" si="7"/>
        <v>456875</v>
      </c>
      <c r="X56" s="24">
        <v>0</v>
      </c>
      <c r="Y56" s="24">
        <f t="shared" si="4"/>
        <v>456875</v>
      </c>
      <c r="Z56" s="49">
        <v>3.0000000000000001E-3</v>
      </c>
    </row>
    <row r="57" spans="1:26" s="50" customFormat="1" ht="90.75" customHeight="1" x14ac:dyDescent="0.25">
      <c r="A57" s="20">
        <v>14</v>
      </c>
      <c r="B57" s="20" t="s">
        <v>0</v>
      </c>
      <c r="C57" s="20">
        <v>10605</v>
      </c>
      <c r="D57" s="20">
        <v>2</v>
      </c>
      <c r="E57" s="20">
        <v>3</v>
      </c>
      <c r="F57" s="20">
        <v>81</v>
      </c>
      <c r="G57" s="21" t="s">
        <v>209</v>
      </c>
      <c r="H57" s="26">
        <v>1181</v>
      </c>
      <c r="I57" s="25" t="s">
        <v>32</v>
      </c>
      <c r="J57" s="24">
        <f t="shared" si="5"/>
        <v>236200</v>
      </c>
      <c r="K57" s="20"/>
      <c r="L57" s="31"/>
      <c r="M57" s="31"/>
      <c r="N57" s="41"/>
      <c r="O57" s="45"/>
      <c r="P57" s="22"/>
      <c r="Q57" s="25"/>
      <c r="R57" s="26"/>
      <c r="S57" s="20"/>
      <c r="T57" s="24"/>
      <c r="U57" s="26"/>
      <c r="V57" s="26">
        <f t="shared" si="6"/>
        <v>236200</v>
      </c>
      <c r="W57" s="26">
        <f t="shared" si="7"/>
        <v>236200</v>
      </c>
      <c r="X57" s="24">
        <v>0</v>
      </c>
      <c r="Y57" s="24">
        <f t="shared" si="4"/>
        <v>236200</v>
      </c>
      <c r="Z57" s="49">
        <v>3.0000000000000001E-3</v>
      </c>
    </row>
    <row r="58" spans="1:26" s="50" customFormat="1" ht="90.75" customHeight="1" x14ac:dyDescent="0.25">
      <c r="A58" s="20">
        <v>15</v>
      </c>
      <c r="B58" s="20" t="s">
        <v>0</v>
      </c>
      <c r="C58" s="20">
        <v>11929</v>
      </c>
      <c r="D58" s="20">
        <v>15</v>
      </c>
      <c r="E58" s="20">
        <v>2</v>
      </c>
      <c r="F58" s="20">
        <v>81</v>
      </c>
      <c r="G58" s="21" t="s">
        <v>209</v>
      </c>
      <c r="H58" s="26">
        <v>6281</v>
      </c>
      <c r="I58" s="25" t="s">
        <v>32</v>
      </c>
      <c r="J58" s="24">
        <f t="shared" si="5"/>
        <v>1256200</v>
      </c>
      <c r="K58" s="20"/>
      <c r="L58" s="31"/>
      <c r="M58" s="31"/>
      <c r="N58" s="41"/>
      <c r="O58" s="45"/>
      <c r="P58" s="22"/>
      <c r="Q58" s="25"/>
      <c r="R58" s="26"/>
      <c r="S58" s="20"/>
      <c r="T58" s="24"/>
      <c r="U58" s="26"/>
      <c r="V58" s="26">
        <f t="shared" si="6"/>
        <v>1256200</v>
      </c>
      <c r="W58" s="26">
        <f t="shared" si="7"/>
        <v>1256200</v>
      </c>
      <c r="X58" s="24">
        <v>0</v>
      </c>
      <c r="Y58" s="24">
        <f t="shared" si="4"/>
        <v>1256200</v>
      </c>
      <c r="Z58" s="49">
        <v>3.0000000000000001E-3</v>
      </c>
    </row>
    <row r="59" spans="1:26" s="50" customFormat="1" ht="90.75" customHeight="1" x14ac:dyDescent="0.25">
      <c r="A59" s="20"/>
      <c r="B59" s="20"/>
      <c r="C59" s="20"/>
      <c r="D59" s="20"/>
      <c r="E59" s="20"/>
      <c r="F59" s="20"/>
      <c r="G59" s="21"/>
      <c r="H59" s="26">
        <v>13</v>
      </c>
      <c r="I59" s="25">
        <v>200</v>
      </c>
      <c r="J59" s="24">
        <f t="shared" si="5"/>
        <v>2600</v>
      </c>
      <c r="K59" s="20">
        <v>1</v>
      </c>
      <c r="L59" s="31" t="s">
        <v>93</v>
      </c>
      <c r="M59" s="31" t="s">
        <v>13</v>
      </c>
      <c r="N59" s="41">
        <v>3</v>
      </c>
      <c r="O59" s="45">
        <v>52</v>
      </c>
      <c r="P59" s="22">
        <v>100</v>
      </c>
      <c r="Q59" s="25">
        <v>7100</v>
      </c>
      <c r="R59" s="26">
        <v>369200</v>
      </c>
      <c r="S59" s="20">
        <v>7</v>
      </c>
      <c r="T59" s="24">
        <f t="shared" ref="T59:T65" si="11">(R59*7/100)</f>
        <v>25844</v>
      </c>
      <c r="U59" s="26">
        <f t="shared" ref="U59:U66" si="12">(R59-T59)</f>
        <v>343356</v>
      </c>
      <c r="V59" s="26">
        <f t="shared" si="6"/>
        <v>345956</v>
      </c>
      <c r="W59" s="26">
        <f t="shared" si="7"/>
        <v>345956</v>
      </c>
      <c r="X59" s="24">
        <v>0</v>
      </c>
      <c r="Y59" s="24">
        <f t="shared" si="4"/>
        <v>345956</v>
      </c>
      <c r="Z59" s="49">
        <v>3.0000000000000001E-3</v>
      </c>
    </row>
    <row r="60" spans="1:26" s="50" customFormat="1" ht="90.75" customHeight="1" x14ac:dyDescent="0.25">
      <c r="A60" s="20"/>
      <c r="B60" s="20"/>
      <c r="C60" s="20"/>
      <c r="D60" s="20"/>
      <c r="E60" s="20"/>
      <c r="F60" s="20"/>
      <c r="G60" s="21"/>
      <c r="H60" s="26">
        <v>4</v>
      </c>
      <c r="I60" s="25">
        <v>200</v>
      </c>
      <c r="J60" s="24">
        <f t="shared" si="5"/>
        <v>800</v>
      </c>
      <c r="K60" s="20">
        <v>2</v>
      </c>
      <c r="L60" s="31" t="s">
        <v>215</v>
      </c>
      <c r="M60" s="31"/>
      <c r="N60" s="41">
        <v>3</v>
      </c>
      <c r="O60" s="45">
        <v>16</v>
      </c>
      <c r="P60" s="22">
        <v>100</v>
      </c>
      <c r="Q60" s="25">
        <v>6450</v>
      </c>
      <c r="R60" s="26">
        <v>103200</v>
      </c>
      <c r="S60" s="20">
        <v>7</v>
      </c>
      <c r="T60" s="24">
        <f t="shared" si="11"/>
        <v>7224</v>
      </c>
      <c r="U60" s="26">
        <f t="shared" si="12"/>
        <v>95976</v>
      </c>
      <c r="V60" s="26">
        <f t="shared" si="6"/>
        <v>96776</v>
      </c>
      <c r="W60" s="26">
        <f t="shared" si="7"/>
        <v>96776</v>
      </c>
      <c r="X60" s="24">
        <v>0</v>
      </c>
      <c r="Y60" s="24">
        <f t="shared" si="4"/>
        <v>96776</v>
      </c>
      <c r="Z60" s="49">
        <v>3.0000000000000001E-3</v>
      </c>
    </row>
    <row r="61" spans="1:26" s="50" customFormat="1" ht="90.75" customHeight="1" x14ac:dyDescent="0.25">
      <c r="A61" s="20"/>
      <c r="B61" s="20"/>
      <c r="C61" s="20"/>
      <c r="D61" s="20"/>
      <c r="E61" s="20"/>
      <c r="F61" s="20"/>
      <c r="G61" s="21"/>
      <c r="H61" s="26">
        <v>4.5</v>
      </c>
      <c r="I61" s="25">
        <v>200</v>
      </c>
      <c r="J61" s="24">
        <f t="shared" si="5"/>
        <v>900</v>
      </c>
      <c r="K61" s="20">
        <v>3</v>
      </c>
      <c r="L61" s="31" t="s">
        <v>17</v>
      </c>
      <c r="M61" s="31" t="s">
        <v>13</v>
      </c>
      <c r="N61" s="41">
        <v>3</v>
      </c>
      <c r="O61" s="45">
        <v>18</v>
      </c>
      <c r="P61" s="22">
        <v>100</v>
      </c>
      <c r="Q61" s="25">
        <v>5900</v>
      </c>
      <c r="R61" s="26">
        <v>106200</v>
      </c>
      <c r="S61" s="20">
        <v>7</v>
      </c>
      <c r="T61" s="24">
        <f t="shared" si="11"/>
        <v>7434</v>
      </c>
      <c r="U61" s="26">
        <f t="shared" si="12"/>
        <v>98766</v>
      </c>
      <c r="V61" s="26">
        <f t="shared" si="6"/>
        <v>99666</v>
      </c>
      <c r="W61" s="26">
        <f t="shared" si="7"/>
        <v>99666</v>
      </c>
      <c r="X61" s="24">
        <v>0</v>
      </c>
      <c r="Y61" s="24">
        <f t="shared" si="4"/>
        <v>99666</v>
      </c>
      <c r="Z61" s="49">
        <v>3.0000000000000001E-3</v>
      </c>
    </row>
    <row r="62" spans="1:26" s="50" customFormat="1" ht="90.75" customHeight="1" x14ac:dyDescent="0.25">
      <c r="A62" s="20"/>
      <c r="B62" s="20"/>
      <c r="C62" s="20"/>
      <c r="D62" s="20"/>
      <c r="E62" s="20"/>
      <c r="F62" s="20"/>
      <c r="G62" s="21"/>
      <c r="H62" s="26">
        <v>3.5</v>
      </c>
      <c r="I62" s="25">
        <v>200</v>
      </c>
      <c r="J62" s="24">
        <f t="shared" si="5"/>
        <v>700</v>
      </c>
      <c r="K62" s="20">
        <v>4</v>
      </c>
      <c r="L62" s="31" t="s">
        <v>31</v>
      </c>
      <c r="M62" s="31"/>
      <c r="N62" s="41">
        <v>3</v>
      </c>
      <c r="O62" s="45">
        <v>14</v>
      </c>
      <c r="P62" s="22">
        <v>100</v>
      </c>
      <c r="Q62" s="25">
        <v>2550</v>
      </c>
      <c r="R62" s="26">
        <v>35700</v>
      </c>
      <c r="S62" s="20">
        <v>7</v>
      </c>
      <c r="T62" s="24">
        <f t="shared" si="11"/>
        <v>2499</v>
      </c>
      <c r="U62" s="26">
        <f t="shared" si="12"/>
        <v>33201</v>
      </c>
      <c r="V62" s="26">
        <f t="shared" si="6"/>
        <v>33901</v>
      </c>
      <c r="W62" s="26">
        <f t="shared" si="7"/>
        <v>33901</v>
      </c>
      <c r="X62" s="24">
        <v>0</v>
      </c>
      <c r="Y62" s="24">
        <f t="shared" si="4"/>
        <v>33901</v>
      </c>
      <c r="Z62" s="49">
        <v>3.0000000000000001E-3</v>
      </c>
    </row>
    <row r="63" spans="1:26" s="50" customFormat="1" ht="90.75" customHeight="1" x14ac:dyDescent="0.25">
      <c r="A63" s="20"/>
      <c r="B63" s="20"/>
      <c r="C63" s="20"/>
      <c r="D63" s="20"/>
      <c r="E63" s="20"/>
      <c r="F63" s="20"/>
      <c r="G63" s="21"/>
      <c r="H63" s="26">
        <v>14.3325</v>
      </c>
      <c r="I63" s="25">
        <v>200</v>
      </c>
      <c r="J63" s="24">
        <f t="shared" si="5"/>
        <v>2866.5</v>
      </c>
      <c r="K63" s="20">
        <v>5</v>
      </c>
      <c r="L63" s="31" t="s">
        <v>248</v>
      </c>
      <c r="M63" s="31"/>
      <c r="N63" s="41">
        <v>3</v>
      </c>
      <c r="O63" s="45">
        <v>57.33</v>
      </c>
      <c r="P63" s="22">
        <v>100</v>
      </c>
      <c r="Q63" s="25">
        <v>5550</v>
      </c>
      <c r="R63" s="26">
        <v>318181.5</v>
      </c>
      <c r="S63" s="20">
        <v>7</v>
      </c>
      <c r="T63" s="24">
        <f t="shared" si="11"/>
        <v>22272.705000000002</v>
      </c>
      <c r="U63" s="26">
        <f t="shared" si="12"/>
        <v>295908.79499999998</v>
      </c>
      <c r="V63" s="26">
        <f t="shared" si="6"/>
        <v>298775.29499999998</v>
      </c>
      <c r="W63" s="26">
        <f t="shared" si="7"/>
        <v>298775.29499999998</v>
      </c>
      <c r="X63" s="24">
        <v>0</v>
      </c>
      <c r="Y63" s="24">
        <f t="shared" si="4"/>
        <v>298775.29499999998</v>
      </c>
      <c r="Z63" s="49">
        <v>3.0000000000000001E-3</v>
      </c>
    </row>
    <row r="64" spans="1:26" s="50" customFormat="1" ht="90.75" customHeight="1" x14ac:dyDescent="0.25">
      <c r="A64" s="20"/>
      <c r="B64" s="20"/>
      <c r="C64" s="20"/>
      <c r="D64" s="20"/>
      <c r="E64" s="20"/>
      <c r="F64" s="20"/>
      <c r="G64" s="21"/>
      <c r="H64" s="26">
        <v>14.3325</v>
      </c>
      <c r="I64" s="25">
        <v>200</v>
      </c>
      <c r="J64" s="24">
        <f t="shared" si="5"/>
        <v>2866.5</v>
      </c>
      <c r="K64" s="20">
        <v>6</v>
      </c>
      <c r="L64" s="31" t="s">
        <v>248</v>
      </c>
      <c r="M64" s="31"/>
      <c r="N64" s="41">
        <v>3</v>
      </c>
      <c r="O64" s="45">
        <v>57.33</v>
      </c>
      <c r="P64" s="22">
        <v>100</v>
      </c>
      <c r="Q64" s="25">
        <v>5550</v>
      </c>
      <c r="R64" s="26">
        <v>318181.5</v>
      </c>
      <c r="S64" s="20">
        <v>7</v>
      </c>
      <c r="T64" s="24">
        <f t="shared" si="11"/>
        <v>22272.705000000002</v>
      </c>
      <c r="U64" s="26">
        <f t="shared" si="12"/>
        <v>295908.79499999998</v>
      </c>
      <c r="V64" s="26">
        <f t="shared" si="6"/>
        <v>298775.29499999998</v>
      </c>
      <c r="W64" s="26">
        <f t="shared" si="7"/>
        <v>298775.29499999998</v>
      </c>
      <c r="X64" s="24">
        <v>0</v>
      </c>
      <c r="Y64" s="24">
        <f t="shared" si="4"/>
        <v>298775.29499999998</v>
      </c>
      <c r="Z64" s="49">
        <v>3.0000000000000001E-3</v>
      </c>
    </row>
    <row r="65" spans="1:26" s="50" customFormat="1" ht="90.75" customHeight="1" x14ac:dyDescent="0.25">
      <c r="A65" s="20"/>
      <c r="B65" s="20"/>
      <c r="C65" s="20"/>
      <c r="D65" s="20"/>
      <c r="E65" s="20"/>
      <c r="F65" s="20"/>
      <c r="G65" s="21"/>
      <c r="H65" s="26">
        <v>14.3325</v>
      </c>
      <c r="I65" s="25">
        <v>200</v>
      </c>
      <c r="J65" s="24">
        <f t="shared" si="5"/>
        <v>2866.5</v>
      </c>
      <c r="K65" s="20">
        <v>7</v>
      </c>
      <c r="L65" s="31" t="s">
        <v>248</v>
      </c>
      <c r="M65" s="31"/>
      <c r="N65" s="41">
        <v>3</v>
      </c>
      <c r="O65" s="45">
        <v>57.33</v>
      </c>
      <c r="P65" s="22">
        <v>100</v>
      </c>
      <c r="Q65" s="25">
        <v>5550</v>
      </c>
      <c r="R65" s="26">
        <v>318181.5</v>
      </c>
      <c r="S65" s="20">
        <v>7</v>
      </c>
      <c r="T65" s="24">
        <f t="shared" si="11"/>
        <v>22272.705000000002</v>
      </c>
      <c r="U65" s="26">
        <f t="shared" si="12"/>
        <v>295908.79499999998</v>
      </c>
      <c r="V65" s="26">
        <f t="shared" si="6"/>
        <v>298775.29499999998</v>
      </c>
      <c r="W65" s="26">
        <f t="shared" si="7"/>
        <v>298775.29499999998</v>
      </c>
      <c r="X65" s="24">
        <v>0</v>
      </c>
      <c r="Y65" s="24">
        <f t="shared" si="4"/>
        <v>298775.29499999998</v>
      </c>
      <c r="Z65" s="49">
        <v>3.0000000000000001E-3</v>
      </c>
    </row>
    <row r="66" spans="1:26" s="50" customFormat="1" ht="90.75" customHeight="1" x14ac:dyDescent="0.25">
      <c r="A66" s="20"/>
      <c r="B66" s="20"/>
      <c r="C66" s="20"/>
      <c r="D66" s="20"/>
      <c r="E66" s="20"/>
      <c r="F66" s="20"/>
      <c r="G66" s="21"/>
      <c r="H66" s="26">
        <v>20</v>
      </c>
      <c r="I66" s="25">
        <v>200</v>
      </c>
      <c r="J66" s="24">
        <f t="shared" si="5"/>
        <v>4000</v>
      </c>
      <c r="K66" s="20">
        <v>8</v>
      </c>
      <c r="L66" s="20" t="s">
        <v>36</v>
      </c>
      <c r="M66" s="20" t="s">
        <v>13</v>
      </c>
      <c r="N66" s="24">
        <v>3</v>
      </c>
      <c r="O66" s="45">
        <v>80</v>
      </c>
      <c r="P66" s="22">
        <v>100</v>
      </c>
      <c r="Q66" s="25">
        <v>5550</v>
      </c>
      <c r="R66" s="26">
        <v>318181.5</v>
      </c>
      <c r="S66" s="20">
        <v>1</v>
      </c>
      <c r="T66" s="24">
        <f>(R66*1/100)</f>
        <v>3181.8150000000001</v>
      </c>
      <c r="U66" s="26">
        <f t="shared" si="12"/>
        <v>314999.685</v>
      </c>
      <c r="V66" s="26">
        <f t="shared" si="6"/>
        <v>318999.685</v>
      </c>
      <c r="W66" s="26">
        <f t="shared" si="7"/>
        <v>318999.685</v>
      </c>
      <c r="X66" s="24">
        <v>0</v>
      </c>
      <c r="Y66" s="24">
        <f t="shared" si="4"/>
        <v>318999.685</v>
      </c>
      <c r="Z66" s="49">
        <v>3.0000000000000001E-3</v>
      </c>
    </row>
    <row r="67" spans="1:26" s="50" customFormat="1" ht="90.75" customHeight="1" x14ac:dyDescent="0.25">
      <c r="A67" s="20">
        <v>16</v>
      </c>
      <c r="B67" s="20" t="s">
        <v>0</v>
      </c>
      <c r="C67" s="20">
        <v>44813</v>
      </c>
      <c r="D67" s="20">
        <v>13</v>
      </c>
      <c r="E67" s="20">
        <v>1</v>
      </c>
      <c r="F67" s="20">
        <v>66</v>
      </c>
      <c r="G67" s="21" t="s">
        <v>209</v>
      </c>
      <c r="H67" s="26">
        <v>5366</v>
      </c>
      <c r="I67" s="25">
        <v>375</v>
      </c>
      <c r="J67" s="24">
        <f t="shared" si="5"/>
        <v>2012250</v>
      </c>
      <c r="K67" s="20"/>
      <c r="L67" s="31"/>
      <c r="M67" s="31"/>
      <c r="N67" s="41"/>
      <c r="O67" s="45"/>
      <c r="P67" s="22"/>
      <c r="Q67" s="25"/>
      <c r="R67" s="26"/>
      <c r="S67" s="20"/>
      <c r="T67" s="24"/>
      <c r="U67" s="26"/>
      <c r="V67" s="26">
        <f t="shared" si="6"/>
        <v>2012250</v>
      </c>
      <c r="W67" s="26">
        <f t="shared" si="7"/>
        <v>2012250</v>
      </c>
      <c r="X67" s="24">
        <v>0</v>
      </c>
      <c r="Y67" s="24">
        <f t="shared" si="4"/>
        <v>2012250</v>
      </c>
      <c r="Z67" s="49">
        <v>3.0000000000000001E-3</v>
      </c>
    </row>
    <row r="68" spans="1:26" s="50" customFormat="1" ht="90.75" customHeight="1" x14ac:dyDescent="0.25">
      <c r="A68" s="20"/>
      <c r="B68" s="20"/>
      <c r="C68" s="20"/>
      <c r="D68" s="20"/>
      <c r="E68" s="20"/>
      <c r="F68" s="20"/>
      <c r="G68" s="21"/>
      <c r="H68" s="26">
        <v>14.3325</v>
      </c>
      <c r="I68" s="25">
        <v>375</v>
      </c>
      <c r="J68" s="24">
        <f t="shared" si="5"/>
        <v>5374.6875</v>
      </c>
      <c r="K68" s="20">
        <v>1</v>
      </c>
      <c r="L68" s="31" t="s">
        <v>248</v>
      </c>
      <c r="M68" s="31"/>
      <c r="N68" s="41">
        <v>3</v>
      </c>
      <c r="O68" s="45">
        <v>57.33</v>
      </c>
      <c r="P68" s="22">
        <v>100</v>
      </c>
      <c r="Q68" s="25">
        <v>5550</v>
      </c>
      <c r="R68" s="26">
        <v>318181.5</v>
      </c>
      <c r="S68" s="20">
        <v>7</v>
      </c>
      <c r="T68" s="24">
        <f>(R68*7/100)</f>
        <v>22272.705000000002</v>
      </c>
      <c r="U68" s="26">
        <f>(R68-T68)</f>
        <v>295908.79499999998</v>
      </c>
      <c r="V68" s="26">
        <f t="shared" si="6"/>
        <v>301283.48249999998</v>
      </c>
      <c r="W68" s="26">
        <f t="shared" si="7"/>
        <v>301283.48249999998</v>
      </c>
      <c r="X68" s="24">
        <v>0</v>
      </c>
      <c r="Y68" s="24">
        <f t="shared" ref="Y68:Y99" si="13">(W68-X68)</f>
        <v>301283.48249999998</v>
      </c>
      <c r="Z68" s="49">
        <v>3.0000000000000001E-3</v>
      </c>
    </row>
    <row r="69" spans="1:26" s="50" customFormat="1" ht="90.75" customHeight="1" x14ac:dyDescent="0.25">
      <c r="A69" s="20"/>
      <c r="B69" s="20"/>
      <c r="C69" s="20"/>
      <c r="D69" s="20"/>
      <c r="E69" s="20"/>
      <c r="F69" s="20"/>
      <c r="G69" s="21"/>
      <c r="H69" s="26">
        <v>14.3325</v>
      </c>
      <c r="I69" s="25">
        <v>375</v>
      </c>
      <c r="J69" s="24">
        <f t="shared" ref="J69:J100" si="14">(H69*I69)</f>
        <v>5374.6875</v>
      </c>
      <c r="K69" s="20">
        <v>2</v>
      </c>
      <c r="L69" s="31" t="s">
        <v>248</v>
      </c>
      <c r="M69" s="31"/>
      <c r="N69" s="41">
        <v>3</v>
      </c>
      <c r="O69" s="45">
        <v>57.33</v>
      </c>
      <c r="P69" s="22">
        <v>100</v>
      </c>
      <c r="Q69" s="25">
        <v>5550</v>
      </c>
      <c r="R69" s="26">
        <v>318181.5</v>
      </c>
      <c r="S69" s="20">
        <v>7</v>
      </c>
      <c r="T69" s="24">
        <f>(R69*7/100)</f>
        <v>22272.705000000002</v>
      </c>
      <c r="U69" s="26">
        <f>(R69-T69)</f>
        <v>295908.79499999998</v>
      </c>
      <c r="V69" s="26">
        <f t="shared" ref="V69:V100" si="15">(J69+U69)</f>
        <v>301283.48249999998</v>
      </c>
      <c r="W69" s="26">
        <f t="shared" si="7"/>
        <v>301283.48249999998</v>
      </c>
      <c r="X69" s="24">
        <v>0</v>
      </c>
      <c r="Y69" s="24">
        <f t="shared" si="13"/>
        <v>301283.48249999998</v>
      </c>
      <c r="Z69" s="49">
        <v>3.0000000000000001E-3</v>
      </c>
    </row>
    <row r="70" spans="1:26" s="50" customFormat="1" ht="90.75" customHeight="1" x14ac:dyDescent="0.25">
      <c r="A70" s="20">
        <v>17</v>
      </c>
      <c r="B70" s="20" t="s">
        <v>0</v>
      </c>
      <c r="C70" s="20">
        <v>18150</v>
      </c>
      <c r="D70" s="20">
        <v>8</v>
      </c>
      <c r="E70" s="20">
        <v>1</v>
      </c>
      <c r="F70" s="20">
        <v>92</v>
      </c>
      <c r="G70" s="21" t="s">
        <v>209</v>
      </c>
      <c r="H70" s="26">
        <v>3392</v>
      </c>
      <c r="I70" s="25" t="s">
        <v>19</v>
      </c>
      <c r="J70" s="24">
        <f t="shared" si="14"/>
        <v>1272000</v>
      </c>
      <c r="K70" s="20"/>
      <c r="L70" s="31"/>
      <c r="M70" s="31"/>
      <c r="N70" s="41"/>
      <c r="O70" s="45"/>
      <c r="P70" s="22"/>
      <c r="Q70" s="25"/>
      <c r="R70" s="26"/>
      <c r="S70" s="20"/>
      <c r="T70" s="24"/>
      <c r="U70" s="26">
        <f>(R70-T70)</f>
        <v>0</v>
      </c>
      <c r="V70" s="26">
        <f t="shared" si="15"/>
        <v>1272000</v>
      </c>
      <c r="W70" s="26">
        <f t="shared" si="7"/>
        <v>1272000</v>
      </c>
      <c r="X70" s="24">
        <v>0</v>
      </c>
      <c r="Y70" s="24">
        <f t="shared" si="13"/>
        <v>1272000</v>
      </c>
      <c r="Z70" s="49">
        <v>3.0000000000000001E-3</v>
      </c>
    </row>
    <row r="71" spans="1:26" s="50" customFormat="1" ht="90.75" customHeight="1" x14ac:dyDescent="0.25">
      <c r="A71" s="20"/>
      <c r="B71" s="20"/>
      <c r="C71" s="20"/>
      <c r="D71" s="20"/>
      <c r="E71" s="20"/>
      <c r="F71" s="20"/>
      <c r="G71" s="21"/>
      <c r="H71" s="26">
        <v>14.3325</v>
      </c>
      <c r="I71" s="25" t="s">
        <v>19</v>
      </c>
      <c r="J71" s="24">
        <f t="shared" si="14"/>
        <v>5374.6875</v>
      </c>
      <c r="K71" s="20">
        <v>1</v>
      </c>
      <c r="L71" s="31" t="s">
        <v>248</v>
      </c>
      <c r="M71" s="31"/>
      <c r="N71" s="41">
        <v>3</v>
      </c>
      <c r="O71" s="45">
        <v>57.33</v>
      </c>
      <c r="P71" s="22">
        <v>100</v>
      </c>
      <c r="Q71" s="25">
        <v>5550</v>
      </c>
      <c r="R71" s="26">
        <v>318181.5</v>
      </c>
      <c r="S71" s="20">
        <v>7</v>
      </c>
      <c r="T71" s="24">
        <f>(R71*7/100)</f>
        <v>22272.705000000002</v>
      </c>
      <c r="U71" s="26">
        <f>(R71-T71)</f>
        <v>295908.79499999998</v>
      </c>
      <c r="V71" s="26">
        <f t="shared" si="15"/>
        <v>301283.48249999998</v>
      </c>
      <c r="W71" s="26">
        <f t="shared" si="7"/>
        <v>301283.48249999998</v>
      </c>
      <c r="X71" s="24">
        <v>0</v>
      </c>
      <c r="Y71" s="24">
        <f t="shared" si="13"/>
        <v>301283.48249999998</v>
      </c>
      <c r="Z71" s="49">
        <v>3.0000000000000001E-3</v>
      </c>
    </row>
    <row r="72" spans="1:26" s="50" customFormat="1" ht="90.75" customHeight="1" x14ac:dyDescent="0.25">
      <c r="A72" s="20">
        <v>18</v>
      </c>
      <c r="B72" s="20" t="s">
        <v>0</v>
      </c>
      <c r="C72" s="20">
        <v>18638</v>
      </c>
      <c r="D72" s="20">
        <v>5</v>
      </c>
      <c r="E72" s="20">
        <v>0</v>
      </c>
      <c r="F72" s="20">
        <v>17</v>
      </c>
      <c r="G72" s="21" t="s">
        <v>209</v>
      </c>
      <c r="H72" s="26">
        <v>2017</v>
      </c>
      <c r="I72" s="25" t="s">
        <v>19</v>
      </c>
      <c r="J72" s="24">
        <f t="shared" si="14"/>
        <v>756375</v>
      </c>
      <c r="K72" s="20"/>
      <c r="L72" s="31"/>
      <c r="M72" s="31"/>
      <c r="N72" s="41"/>
      <c r="O72" s="45"/>
      <c r="P72" s="22"/>
      <c r="Q72" s="25"/>
      <c r="R72" s="26"/>
      <c r="S72" s="20"/>
      <c r="T72" s="24"/>
      <c r="U72" s="26"/>
      <c r="V72" s="26">
        <f t="shared" si="15"/>
        <v>756375</v>
      </c>
      <c r="W72" s="26">
        <f t="shared" si="7"/>
        <v>756375</v>
      </c>
      <c r="X72" s="24">
        <v>0</v>
      </c>
      <c r="Y72" s="24">
        <f t="shared" si="13"/>
        <v>756375</v>
      </c>
      <c r="Z72" s="49">
        <v>3.0000000000000001E-3</v>
      </c>
    </row>
    <row r="73" spans="1:26" s="50" customFormat="1" ht="90.75" customHeight="1" x14ac:dyDescent="0.25">
      <c r="A73" s="20">
        <v>19</v>
      </c>
      <c r="B73" s="20" t="s">
        <v>0</v>
      </c>
      <c r="C73" s="20">
        <v>12578</v>
      </c>
      <c r="D73" s="21">
        <v>8</v>
      </c>
      <c r="E73" s="21">
        <v>1</v>
      </c>
      <c r="F73" s="22">
        <v>12</v>
      </c>
      <c r="G73" s="23" t="s">
        <v>198</v>
      </c>
      <c r="H73" s="24">
        <f t="shared" ref="H73:H108" si="16">(D73*400)+(E73*100)+F73</f>
        <v>3312</v>
      </c>
      <c r="I73" s="25" t="s">
        <v>22</v>
      </c>
      <c r="J73" s="24">
        <f t="shared" si="14"/>
        <v>1738800</v>
      </c>
      <c r="K73" s="20"/>
      <c r="L73" s="20"/>
      <c r="M73" s="20"/>
      <c r="N73" s="20"/>
      <c r="O73" s="24"/>
      <c r="P73" s="24"/>
      <c r="Q73" s="25"/>
      <c r="R73" s="24"/>
      <c r="S73" s="20"/>
      <c r="T73" s="27"/>
      <c r="U73" s="20"/>
      <c r="V73" s="27">
        <f t="shared" si="15"/>
        <v>1738800</v>
      </c>
      <c r="W73" s="26">
        <f t="shared" ref="W73:W104" si="17">(V73*100/100)</f>
        <v>1738800</v>
      </c>
      <c r="X73" s="27">
        <v>0</v>
      </c>
      <c r="Y73" s="24">
        <f t="shared" si="13"/>
        <v>1738800</v>
      </c>
      <c r="Z73" s="49">
        <v>1E-4</v>
      </c>
    </row>
    <row r="74" spans="1:26" s="50" customFormat="1" ht="90.75" customHeight="1" x14ac:dyDescent="0.25">
      <c r="A74" s="20">
        <v>20</v>
      </c>
      <c r="B74" s="20" t="s">
        <v>0</v>
      </c>
      <c r="C74" s="20">
        <v>2448</v>
      </c>
      <c r="D74" s="21">
        <v>10</v>
      </c>
      <c r="E74" s="21">
        <v>3</v>
      </c>
      <c r="F74" s="22">
        <v>16</v>
      </c>
      <c r="G74" s="23" t="s">
        <v>198</v>
      </c>
      <c r="H74" s="24">
        <f t="shared" si="16"/>
        <v>4316</v>
      </c>
      <c r="I74" s="25">
        <v>450</v>
      </c>
      <c r="J74" s="24">
        <f t="shared" si="14"/>
        <v>1942200</v>
      </c>
      <c r="K74" s="20"/>
      <c r="L74" s="20"/>
      <c r="M74" s="20"/>
      <c r="N74" s="20"/>
      <c r="O74" s="24"/>
      <c r="P74" s="24"/>
      <c r="Q74" s="25"/>
      <c r="R74" s="24"/>
      <c r="S74" s="20"/>
      <c r="T74" s="27"/>
      <c r="U74" s="20"/>
      <c r="V74" s="27">
        <f t="shared" si="15"/>
        <v>1942200</v>
      </c>
      <c r="W74" s="26">
        <f t="shared" si="17"/>
        <v>1942200</v>
      </c>
      <c r="X74" s="27">
        <v>0</v>
      </c>
      <c r="Y74" s="24">
        <f t="shared" si="13"/>
        <v>1942200</v>
      </c>
      <c r="Z74" s="49">
        <v>1E-4</v>
      </c>
    </row>
    <row r="75" spans="1:26" s="50" customFormat="1" ht="90.75" customHeight="1" x14ac:dyDescent="0.25">
      <c r="A75" s="20">
        <v>21</v>
      </c>
      <c r="B75" s="20" t="s">
        <v>0</v>
      </c>
      <c r="C75" s="20">
        <v>2582</v>
      </c>
      <c r="D75" s="21">
        <v>72</v>
      </c>
      <c r="E75" s="21">
        <v>3</v>
      </c>
      <c r="F75" s="22">
        <v>92</v>
      </c>
      <c r="G75" s="23" t="s">
        <v>198</v>
      </c>
      <c r="H75" s="24">
        <f t="shared" si="16"/>
        <v>29192</v>
      </c>
      <c r="I75" s="25">
        <v>475</v>
      </c>
      <c r="J75" s="24">
        <f t="shared" si="14"/>
        <v>13866200</v>
      </c>
      <c r="K75" s="20"/>
      <c r="L75" s="20"/>
      <c r="M75" s="20"/>
      <c r="N75" s="20"/>
      <c r="O75" s="24"/>
      <c r="P75" s="24"/>
      <c r="Q75" s="25"/>
      <c r="R75" s="24"/>
      <c r="S75" s="20"/>
      <c r="T75" s="27"/>
      <c r="U75" s="20"/>
      <c r="V75" s="27">
        <f t="shared" si="15"/>
        <v>13866200</v>
      </c>
      <c r="W75" s="26">
        <f t="shared" si="17"/>
        <v>13866200</v>
      </c>
      <c r="X75" s="27">
        <v>0</v>
      </c>
      <c r="Y75" s="24">
        <f t="shared" si="13"/>
        <v>13866200</v>
      </c>
      <c r="Z75" s="49">
        <v>1E-4</v>
      </c>
    </row>
    <row r="76" spans="1:26" s="50" customFormat="1" ht="90.75" customHeight="1" x14ac:dyDescent="0.25">
      <c r="A76" s="20">
        <v>22</v>
      </c>
      <c r="B76" s="20" t="s">
        <v>0</v>
      </c>
      <c r="C76" s="20">
        <v>36753</v>
      </c>
      <c r="D76" s="21">
        <v>13</v>
      </c>
      <c r="E76" s="21">
        <v>2</v>
      </c>
      <c r="F76" s="22">
        <v>61</v>
      </c>
      <c r="G76" s="23" t="s">
        <v>198</v>
      </c>
      <c r="H76" s="24">
        <f t="shared" si="16"/>
        <v>5461</v>
      </c>
      <c r="I76" s="25">
        <v>375</v>
      </c>
      <c r="J76" s="24">
        <f t="shared" si="14"/>
        <v>2047875</v>
      </c>
      <c r="K76" s="20"/>
      <c r="L76" s="20"/>
      <c r="M76" s="20"/>
      <c r="N76" s="20"/>
      <c r="O76" s="24"/>
      <c r="P76" s="24"/>
      <c r="Q76" s="25"/>
      <c r="R76" s="24"/>
      <c r="S76" s="20"/>
      <c r="T76" s="27"/>
      <c r="U76" s="20"/>
      <c r="V76" s="27">
        <f t="shared" si="15"/>
        <v>2047875</v>
      </c>
      <c r="W76" s="26">
        <f t="shared" si="17"/>
        <v>2047875</v>
      </c>
      <c r="X76" s="27">
        <v>0</v>
      </c>
      <c r="Y76" s="24">
        <f t="shared" si="13"/>
        <v>2047875</v>
      </c>
      <c r="Z76" s="49">
        <v>1E-4</v>
      </c>
    </row>
    <row r="77" spans="1:26" s="50" customFormat="1" ht="90.75" customHeight="1" x14ac:dyDescent="0.25">
      <c r="A77" s="20">
        <v>23</v>
      </c>
      <c r="B77" s="20" t="s">
        <v>0</v>
      </c>
      <c r="C77" s="20">
        <v>36757</v>
      </c>
      <c r="D77" s="21">
        <v>14</v>
      </c>
      <c r="E77" s="21">
        <v>0</v>
      </c>
      <c r="F77" s="22">
        <v>29</v>
      </c>
      <c r="G77" s="23" t="s">
        <v>198</v>
      </c>
      <c r="H77" s="24">
        <f t="shared" si="16"/>
        <v>5629</v>
      </c>
      <c r="I77" s="25">
        <v>350</v>
      </c>
      <c r="J77" s="24">
        <f t="shared" si="14"/>
        <v>1970150</v>
      </c>
      <c r="K77" s="20"/>
      <c r="L77" s="20"/>
      <c r="M77" s="20"/>
      <c r="N77" s="20"/>
      <c r="O77" s="24"/>
      <c r="P77" s="24"/>
      <c r="Q77" s="25"/>
      <c r="R77" s="24"/>
      <c r="S77" s="20"/>
      <c r="T77" s="27"/>
      <c r="U77" s="20"/>
      <c r="V77" s="27">
        <f t="shared" si="15"/>
        <v>1970150</v>
      </c>
      <c r="W77" s="26">
        <f t="shared" si="17"/>
        <v>1970150</v>
      </c>
      <c r="X77" s="27">
        <v>0</v>
      </c>
      <c r="Y77" s="24">
        <f t="shared" si="13"/>
        <v>1970150</v>
      </c>
      <c r="Z77" s="49">
        <v>1E-4</v>
      </c>
    </row>
    <row r="78" spans="1:26" s="50" customFormat="1" ht="90.75" customHeight="1" x14ac:dyDescent="0.25">
      <c r="A78" s="20">
        <v>24</v>
      </c>
      <c r="B78" s="20" t="s">
        <v>0</v>
      </c>
      <c r="C78" s="20">
        <v>2453</v>
      </c>
      <c r="D78" s="21">
        <v>11</v>
      </c>
      <c r="E78" s="21">
        <v>0</v>
      </c>
      <c r="F78" s="22">
        <v>28</v>
      </c>
      <c r="G78" s="23" t="s">
        <v>198</v>
      </c>
      <c r="H78" s="24">
        <f t="shared" si="16"/>
        <v>4428</v>
      </c>
      <c r="I78" s="25" t="s">
        <v>32</v>
      </c>
      <c r="J78" s="24">
        <f t="shared" si="14"/>
        <v>885600</v>
      </c>
      <c r="K78" s="20"/>
      <c r="L78" s="20"/>
      <c r="M78" s="20"/>
      <c r="N78" s="20"/>
      <c r="O78" s="24"/>
      <c r="P78" s="24"/>
      <c r="Q78" s="25"/>
      <c r="R78" s="24"/>
      <c r="S78" s="20"/>
      <c r="T78" s="27"/>
      <c r="U78" s="20"/>
      <c r="V78" s="27">
        <f t="shared" si="15"/>
        <v>885600</v>
      </c>
      <c r="W78" s="26">
        <f t="shared" si="17"/>
        <v>885600</v>
      </c>
      <c r="X78" s="27">
        <v>0</v>
      </c>
      <c r="Y78" s="24">
        <f t="shared" si="13"/>
        <v>885600</v>
      </c>
      <c r="Z78" s="49">
        <v>1E-4</v>
      </c>
    </row>
    <row r="79" spans="1:26" s="50" customFormat="1" ht="90.75" customHeight="1" x14ac:dyDescent="0.25">
      <c r="A79" s="20">
        <v>25</v>
      </c>
      <c r="B79" s="20" t="s">
        <v>0</v>
      </c>
      <c r="C79" s="20">
        <v>36751</v>
      </c>
      <c r="D79" s="21">
        <v>10</v>
      </c>
      <c r="E79" s="21">
        <v>0</v>
      </c>
      <c r="F79" s="22">
        <v>50</v>
      </c>
      <c r="G79" s="23" t="s">
        <v>198</v>
      </c>
      <c r="H79" s="24">
        <f t="shared" si="16"/>
        <v>4050</v>
      </c>
      <c r="I79" s="25">
        <v>475</v>
      </c>
      <c r="J79" s="24">
        <f t="shared" si="14"/>
        <v>1923750</v>
      </c>
      <c r="K79" s="20"/>
      <c r="L79" s="20"/>
      <c r="M79" s="20"/>
      <c r="N79" s="20"/>
      <c r="O79" s="24"/>
      <c r="P79" s="24"/>
      <c r="Q79" s="25"/>
      <c r="R79" s="24"/>
      <c r="S79" s="20"/>
      <c r="T79" s="27"/>
      <c r="U79" s="20"/>
      <c r="V79" s="27">
        <f t="shared" si="15"/>
        <v>1923750</v>
      </c>
      <c r="W79" s="26">
        <f t="shared" si="17"/>
        <v>1923750</v>
      </c>
      <c r="X79" s="27">
        <v>0</v>
      </c>
      <c r="Y79" s="24">
        <f t="shared" si="13"/>
        <v>1923750</v>
      </c>
      <c r="Z79" s="49">
        <v>1E-4</v>
      </c>
    </row>
    <row r="80" spans="1:26" s="50" customFormat="1" ht="90.75" customHeight="1" x14ac:dyDescent="0.25">
      <c r="A80" s="20">
        <v>26</v>
      </c>
      <c r="B80" s="20" t="s">
        <v>0</v>
      </c>
      <c r="C80" s="20">
        <v>36752</v>
      </c>
      <c r="D80" s="21">
        <v>23</v>
      </c>
      <c r="E80" s="21">
        <v>3</v>
      </c>
      <c r="F80" s="22">
        <v>19</v>
      </c>
      <c r="G80" s="23" t="s">
        <v>198</v>
      </c>
      <c r="H80" s="24">
        <f t="shared" si="16"/>
        <v>9519</v>
      </c>
      <c r="I80" s="25" t="s">
        <v>75</v>
      </c>
      <c r="J80" s="24">
        <f t="shared" si="14"/>
        <v>5949375</v>
      </c>
      <c r="K80" s="20"/>
      <c r="L80" s="20"/>
      <c r="M80" s="20"/>
      <c r="N80" s="20"/>
      <c r="O80" s="24"/>
      <c r="P80" s="24"/>
      <c r="Q80" s="25"/>
      <c r="R80" s="24"/>
      <c r="S80" s="20"/>
      <c r="T80" s="27"/>
      <c r="U80" s="20"/>
      <c r="V80" s="27">
        <f t="shared" si="15"/>
        <v>5949375</v>
      </c>
      <c r="W80" s="26">
        <f t="shared" si="17"/>
        <v>5949375</v>
      </c>
      <c r="X80" s="27">
        <v>0</v>
      </c>
      <c r="Y80" s="24">
        <f t="shared" si="13"/>
        <v>5949375</v>
      </c>
      <c r="Z80" s="49">
        <v>1E-4</v>
      </c>
    </row>
    <row r="81" spans="1:26" s="50" customFormat="1" ht="90.75" customHeight="1" x14ac:dyDescent="0.25">
      <c r="A81" s="20">
        <v>27</v>
      </c>
      <c r="B81" s="20" t="s">
        <v>0</v>
      </c>
      <c r="C81" s="20">
        <v>7240</v>
      </c>
      <c r="D81" s="21">
        <v>381</v>
      </c>
      <c r="E81" s="21">
        <v>0</v>
      </c>
      <c r="F81" s="22">
        <v>72</v>
      </c>
      <c r="G81" s="23" t="s">
        <v>198</v>
      </c>
      <c r="H81" s="24">
        <f t="shared" si="16"/>
        <v>152472</v>
      </c>
      <c r="I81" s="25">
        <v>350</v>
      </c>
      <c r="J81" s="24">
        <f t="shared" si="14"/>
        <v>53365200</v>
      </c>
      <c r="K81" s="20"/>
      <c r="L81" s="20"/>
      <c r="M81" s="20"/>
      <c r="N81" s="20"/>
      <c r="O81" s="24"/>
      <c r="P81" s="24"/>
      <c r="Q81" s="25"/>
      <c r="R81" s="24"/>
      <c r="S81" s="20"/>
      <c r="T81" s="27"/>
      <c r="U81" s="20"/>
      <c r="V81" s="27">
        <f t="shared" si="15"/>
        <v>53365200</v>
      </c>
      <c r="W81" s="26">
        <f t="shared" si="17"/>
        <v>53365200</v>
      </c>
      <c r="X81" s="27">
        <v>0</v>
      </c>
      <c r="Y81" s="24">
        <f t="shared" si="13"/>
        <v>53365200</v>
      </c>
      <c r="Z81" s="49">
        <v>1E-4</v>
      </c>
    </row>
    <row r="82" spans="1:26" s="50" customFormat="1" ht="90.75" customHeight="1" x14ac:dyDescent="0.25">
      <c r="A82" s="20">
        <v>28</v>
      </c>
      <c r="B82" s="20" t="s">
        <v>0</v>
      </c>
      <c r="C82" s="20">
        <v>7847</v>
      </c>
      <c r="D82" s="21">
        <v>13</v>
      </c>
      <c r="E82" s="21">
        <v>0</v>
      </c>
      <c r="F82" s="22">
        <v>54</v>
      </c>
      <c r="G82" s="23" t="s">
        <v>198</v>
      </c>
      <c r="H82" s="24">
        <f t="shared" si="16"/>
        <v>5254</v>
      </c>
      <c r="I82" s="25">
        <v>650</v>
      </c>
      <c r="J82" s="24">
        <f t="shared" si="14"/>
        <v>3415100</v>
      </c>
      <c r="K82" s="20"/>
      <c r="L82" s="20"/>
      <c r="M82" s="20"/>
      <c r="N82" s="20"/>
      <c r="O82" s="24"/>
      <c r="P82" s="24"/>
      <c r="Q82" s="25"/>
      <c r="R82" s="24"/>
      <c r="S82" s="20"/>
      <c r="T82" s="27"/>
      <c r="U82" s="20"/>
      <c r="V82" s="27">
        <f t="shared" si="15"/>
        <v>3415100</v>
      </c>
      <c r="W82" s="26">
        <f t="shared" si="17"/>
        <v>3415100</v>
      </c>
      <c r="X82" s="27">
        <v>0</v>
      </c>
      <c r="Y82" s="24">
        <f t="shared" si="13"/>
        <v>3415100</v>
      </c>
      <c r="Z82" s="49">
        <v>1E-4</v>
      </c>
    </row>
    <row r="83" spans="1:26" s="50" customFormat="1" ht="90.75" customHeight="1" x14ac:dyDescent="0.25">
      <c r="A83" s="20">
        <v>29</v>
      </c>
      <c r="B83" s="20" t="s">
        <v>0</v>
      </c>
      <c r="C83" s="20">
        <v>9844</v>
      </c>
      <c r="D83" s="21">
        <v>35</v>
      </c>
      <c r="E83" s="21">
        <v>3</v>
      </c>
      <c r="F83" s="22">
        <v>61</v>
      </c>
      <c r="G83" s="23" t="s">
        <v>198</v>
      </c>
      <c r="H83" s="24">
        <f t="shared" si="16"/>
        <v>14361</v>
      </c>
      <c r="I83" s="25">
        <v>525</v>
      </c>
      <c r="J83" s="24">
        <f t="shared" si="14"/>
        <v>7539525</v>
      </c>
      <c r="K83" s="20"/>
      <c r="L83" s="20"/>
      <c r="M83" s="20"/>
      <c r="N83" s="20"/>
      <c r="O83" s="24"/>
      <c r="P83" s="24"/>
      <c r="Q83" s="25"/>
      <c r="R83" s="24"/>
      <c r="S83" s="20"/>
      <c r="T83" s="27"/>
      <c r="U83" s="20"/>
      <c r="V83" s="27">
        <f t="shared" si="15"/>
        <v>7539525</v>
      </c>
      <c r="W83" s="26">
        <f t="shared" si="17"/>
        <v>7539525</v>
      </c>
      <c r="X83" s="27">
        <v>0</v>
      </c>
      <c r="Y83" s="24">
        <f t="shared" si="13"/>
        <v>7539525</v>
      </c>
      <c r="Z83" s="49">
        <v>1E-4</v>
      </c>
    </row>
    <row r="84" spans="1:26" s="50" customFormat="1" ht="90.75" customHeight="1" x14ac:dyDescent="0.25">
      <c r="A84" s="20">
        <v>30</v>
      </c>
      <c r="B84" s="20" t="s">
        <v>0</v>
      </c>
      <c r="C84" s="20">
        <v>12572</v>
      </c>
      <c r="D84" s="21">
        <v>32</v>
      </c>
      <c r="E84" s="21">
        <v>1</v>
      </c>
      <c r="F84" s="22">
        <v>64</v>
      </c>
      <c r="G84" s="23" t="s">
        <v>198</v>
      </c>
      <c r="H84" s="24">
        <f t="shared" si="16"/>
        <v>12964</v>
      </c>
      <c r="I84" s="25">
        <v>525</v>
      </c>
      <c r="J84" s="24">
        <f t="shared" si="14"/>
        <v>6806100</v>
      </c>
      <c r="K84" s="20"/>
      <c r="L84" s="20"/>
      <c r="M84" s="20"/>
      <c r="N84" s="20"/>
      <c r="O84" s="24"/>
      <c r="P84" s="24"/>
      <c r="Q84" s="25"/>
      <c r="R84" s="24"/>
      <c r="S84" s="20"/>
      <c r="T84" s="27"/>
      <c r="U84" s="20"/>
      <c r="V84" s="27">
        <f t="shared" si="15"/>
        <v>6806100</v>
      </c>
      <c r="W84" s="26">
        <f t="shared" si="17"/>
        <v>6806100</v>
      </c>
      <c r="X84" s="27">
        <v>0</v>
      </c>
      <c r="Y84" s="24">
        <f t="shared" si="13"/>
        <v>6806100</v>
      </c>
      <c r="Z84" s="49">
        <v>1E-4</v>
      </c>
    </row>
    <row r="85" spans="1:26" s="50" customFormat="1" ht="90.75" customHeight="1" x14ac:dyDescent="0.25">
      <c r="A85" s="20">
        <v>31</v>
      </c>
      <c r="B85" s="20" t="s">
        <v>0</v>
      </c>
      <c r="C85" s="20">
        <v>12571</v>
      </c>
      <c r="D85" s="21">
        <v>26</v>
      </c>
      <c r="E85" s="21">
        <v>1</v>
      </c>
      <c r="F85" s="22">
        <v>70</v>
      </c>
      <c r="G85" s="23" t="s">
        <v>198</v>
      </c>
      <c r="H85" s="24">
        <f t="shared" si="16"/>
        <v>10570</v>
      </c>
      <c r="I85" s="25" t="s">
        <v>22</v>
      </c>
      <c r="J85" s="24">
        <f t="shared" si="14"/>
        <v>5549250</v>
      </c>
      <c r="K85" s="20"/>
      <c r="L85" s="20"/>
      <c r="M85" s="20"/>
      <c r="N85" s="20"/>
      <c r="O85" s="24"/>
      <c r="P85" s="24"/>
      <c r="Q85" s="25"/>
      <c r="R85" s="24"/>
      <c r="S85" s="20"/>
      <c r="T85" s="27"/>
      <c r="U85" s="20"/>
      <c r="V85" s="27">
        <f t="shared" si="15"/>
        <v>5549250</v>
      </c>
      <c r="W85" s="26">
        <f t="shared" si="17"/>
        <v>5549250</v>
      </c>
      <c r="X85" s="27">
        <v>0</v>
      </c>
      <c r="Y85" s="24">
        <f t="shared" si="13"/>
        <v>5549250</v>
      </c>
      <c r="Z85" s="49">
        <v>1E-4</v>
      </c>
    </row>
    <row r="86" spans="1:26" s="50" customFormat="1" ht="90.75" customHeight="1" x14ac:dyDescent="0.25">
      <c r="A86" s="20">
        <v>32</v>
      </c>
      <c r="B86" s="20" t="s">
        <v>0</v>
      </c>
      <c r="C86" s="20">
        <v>11715</v>
      </c>
      <c r="D86" s="21">
        <v>22</v>
      </c>
      <c r="E86" s="21">
        <v>3</v>
      </c>
      <c r="F86" s="22">
        <v>47</v>
      </c>
      <c r="G86" s="23" t="s">
        <v>198</v>
      </c>
      <c r="H86" s="24">
        <f t="shared" si="16"/>
        <v>9147</v>
      </c>
      <c r="I86" s="25">
        <v>350</v>
      </c>
      <c r="J86" s="24">
        <f t="shared" si="14"/>
        <v>3201450</v>
      </c>
      <c r="K86" s="20"/>
      <c r="L86" s="20"/>
      <c r="M86" s="20"/>
      <c r="N86" s="20"/>
      <c r="O86" s="24"/>
      <c r="P86" s="24"/>
      <c r="Q86" s="25"/>
      <c r="R86" s="24"/>
      <c r="S86" s="20"/>
      <c r="T86" s="27"/>
      <c r="U86" s="20"/>
      <c r="V86" s="27">
        <f t="shared" si="15"/>
        <v>3201450</v>
      </c>
      <c r="W86" s="26">
        <f t="shared" si="17"/>
        <v>3201450</v>
      </c>
      <c r="X86" s="27">
        <v>0</v>
      </c>
      <c r="Y86" s="24">
        <f t="shared" si="13"/>
        <v>3201450</v>
      </c>
      <c r="Z86" s="49">
        <v>1E-4</v>
      </c>
    </row>
    <row r="87" spans="1:26" s="50" customFormat="1" ht="90.75" customHeight="1" x14ac:dyDescent="0.25">
      <c r="A87" s="20">
        <v>33</v>
      </c>
      <c r="B87" s="20" t="s">
        <v>0</v>
      </c>
      <c r="C87" s="20">
        <v>12633</v>
      </c>
      <c r="D87" s="21">
        <v>24</v>
      </c>
      <c r="E87" s="21">
        <v>2</v>
      </c>
      <c r="F87" s="22">
        <v>77</v>
      </c>
      <c r="G87" s="23" t="s">
        <v>198</v>
      </c>
      <c r="H87" s="24">
        <f t="shared" si="16"/>
        <v>9877</v>
      </c>
      <c r="I87" s="25">
        <v>525</v>
      </c>
      <c r="J87" s="24">
        <f t="shared" si="14"/>
        <v>5185425</v>
      </c>
      <c r="K87" s="20"/>
      <c r="L87" s="20"/>
      <c r="M87" s="20"/>
      <c r="N87" s="20"/>
      <c r="O87" s="24"/>
      <c r="P87" s="24"/>
      <c r="Q87" s="25"/>
      <c r="R87" s="24"/>
      <c r="S87" s="20"/>
      <c r="T87" s="27"/>
      <c r="U87" s="20"/>
      <c r="V87" s="27">
        <f t="shared" si="15"/>
        <v>5185425</v>
      </c>
      <c r="W87" s="26">
        <f t="shared" si="17"/>
        <v>5185425</v>
      </c>
      <c r="X87" s="27">
        <v>0</v>
      </c>
      <c r="Y87" s="24">
        <f t="shared" si="13"/>
        <v>5185425</v>
      </c>
      <c r="Z87" s="49">
        <v>1E-4</v>
      </c>
    </row>
    <row r="88" spans="1:26" s="50" customFormat="1" ht="90.75" customHeight="1" x14ac:dyDescent="0.25">
      <c r="A88" s="20">
        <v>34</v>
      </c>
      <c r="B88" s="20" t="s">
        <v>0</v>
      </c>
      <c r="C88" s="20">
        <v>36755</v>
      </c>
      <c r="D88" s="21">
        <v>6</v>
      </c>
      <c r="E88" s="21">
        <v>1</v>
      </c>
      <c r="F88" s="22">
        <v>15</v>
      </c>
      <c r="G88" s="23" t="s">
        <v>198</v>
      </c>
      <c r="H88" s="24">
        <f t="shared" si="16"/>
        <v>2515</v>
      </c>
      <c r="I88" s="25">
        <v>200</v>
      </c>
      <c r="J88" s="24">
        <f t="shared" si="14"/>
        <v>503000</v>
      </c>
      <c r="K88" s="20"/>
      <c r="L88" s="20"/>
      <c r="M88" s="20"/>
      <c r="N88" s="20"/>
      <c r="O88" s="24"/>
      <c r="P88" s="24"/>
      <c r="Q88" s="25"/>
      <c r="R88" s="24"/>
      <c r="S88" s="20"/>
      <c r="T88" s="27"/>
      <c r="U88" s="20"/>
      <c r="V88" s="27">
        <f t="shared" si="15"/>
        <v>503000</v>
      </c>
      <c r="W88" s="26">
        <f t="shared" si="17"/>
        <v>503000</v>
      </c>
      <c r="X88" s="27">
        <v>0</v>
      </c>
      <c r="Y88" s="24">
        <f t="shared" si="13"/>
        <v>503000</v>
      </c>
      <c r="Z88" s="49">
        <v>1E-4</v>
      </c>
    </row>
    <row r="89" spans="1:26" s="50" customFormat="1" ht="90.75" customHeight="1" x14ac:dyDescent="0.25">
      <c r="A89" s="20">
        <v>35</v>
      </c>
      <c r="B89" s="20" t="s">
        <v>0</v>
      </c>
      <c r="C89" s="20">
        <v>36758</v>
      </c>
      <c r="D89" s="21">
        <v>23</v>
      </c>
      <c r="E89" s="21">
        <v>2</v>
      </c>
      <c r="F89" s="22">
        <v>35</v>
      </c>
      <c r="G89" s="23" t="s">
        <v>198</v>
      </c>
      <c r="H89" s="24">
        <f t="shared" si="16"/>
        <v>9435</v>
      </c>
      <c r="I89" s="25">
        <v>200</v>
      </c>
      <c r="J89" s="24">
        <f t="shared" si="14"/>
        <v>1887000</v>
      </c>
      <c r="K89" s="20"/>
      <c r="L89" s="20"/>
      <c r="M89" s="20"/>
      <c r="N89" s="20"/>
      <c r="O89" s="24"/>
      <c r="P89" s="24"/>
      <c r="Q89" s="25"/>
      <c r="R89" s="24"/>
      <c r="S89" s="20"/>
      <c r="T89" s="27"/>
      <c r="U89" s="20"/>
      <c r="V89" s="27">
        <f t="shared" si="15"/>
        <v>1887000</v>
      </c>
      <c r="W89" s="26">
        <f t="shared" si="17"/>
        <v>1887000</v>
      </c>
      <c r="X89" s="27">
        <v>0</v>
      </c>
      <c r="Y89" s="24">
        <f t="shared" si="13"/>
        <v>1887000</v>
      </c>
      <c r="Z89" s="49">
        <v>1E-4</v>
      </c>
    </row>
    <row r="90" spans="1:26" s="50" customFormat="1" ht="90.75" customHeight="1" x14ac:dyDescent="0.25">
      <c r="A90" s="20">
        <v>36</v>
      </c>
      <c r="B90" s="20" t="s">
        <v>0</v>
      </c>
      <c r="C90" s="20">
        <v>36759</v>
      </c>
      <c r="D90" s="21">
        <v>30</v>
      </c>
      <c r="E90" s="21">
        <v>3</v>
      </c>
      <c r="F90" s="22">
        <v>64</v>
      </c>
      <c r="G90" s="23" t="s">
        <v>198</v>
      </c>
      <c r="H90" s="24">
        <f t="shared" si="16"/>
        <v>12364</v>
      </c>
      <c r="I90" s="25">
        <v>200</v>
      </c>
      <c r="J90" s="24">
        <f t="shared" si="14"/>
        <v>2472800</v>
      </c>
      <c r="K90" s="20"/>
      <c r="L90" s="20"/>
      <c r="M90" s="20"/>
      <c r="N90" s="20"/>
      <c r="O90" s="24"/>
      <c r="P90" s="24"/>
      <c r="Q90" s="25"/>
      <c r="R90" s="24"/>
      <c r="S90" s="20"/>
      <c r="T90" s="27"/>
      <c r="U90" s="20"/>
      <c r="V90" s="27">
        <f t="shared" si="15"/>
        <v>2472800</v>
      </c>
      <c r="W90" s="26">
        <f t="shared" si="17"/>
        <v>2472800</v>
      </c>
      <c r="X90" s="27">
        <v>0</v>
      </c>
      <c r="Y90" s="24">
        <f t="shared" si="13"/>
        <v>2472800</v>
      </c>
      <c r="Z90" s="49">
        <v>1E-4</v>
      </c>
    </row>
    <row r="91" spans="1:26" s="50" customFormat="1" ht="90.75" customHeight="1" x14ac:dyDescent="0.25">
      <c r="A91" s="20">
        <v>37</v>
      </c>
      <c r="B91" s="20" t="s">
        <v>0</v>
      </c>
      <c r="C91" s="20">
        <v>36760</v>
      </c>
      <c r="D91" s="21">
        <v>19</v>
      </c>
      <c r="E91" s="21">
        <v>2</v>
      </c>
      <c r="F91" s="22">
        <v>66</v>
      </c>
      <c r="G91" s="23" t="s">
        <v>198</v>
      </c>
      <c r="H91" s="24">
        <f t="shared" si="16"/>
        <v>7866</v>
      </c>
      <c r="I91" s="25">
        <v>200</v>
      </c>
      <c r="J91" s="24">
        <f t="shared" si="14"/>
        <v>1573200</v>
      </c>
      <c r="K91" s="20"/>
      <c r="L91" s="20"/>
      <c r="M91" s="20"/>
      <c r="N91" s="20"/>
      <c r="O91" s="24"/>
      <c r="P91" s="24"/>
      <c r="Q91" s="25"/>
      <c r="R91" s="24"/>
      <c r="S91" s="20"/>
      <c r="T91" s="27"/>
      <c r="U91" s="20"/>
      <c r="V91" s="27">
        <f t="shared" si="15"/>
        <v>1573200</v>
      </c>
      <c r="W91" s="26">
        <f t="shared" si="17"/>
        <v>1573200</v>
      </c>
      <c r="X91" s="27">
        <v>0</v>
      </c>
      <c r="Y91" s="24">
        <f t="shared" si="13"/>
        <v>1573200</v>
      </c>
      <c r="Z91" s="49">
        <v>1E-4</v>
      </c>
    </row>
    <row r="92" spans="1:26" s="50" customFormat="1" ht="90.75" customHeight="1" x14ac:dyDescent="0.25">
      <c r="A92" s="20">
        <v>38</v>
      </c>
      <c r="B92" s="20" t="s">
        <v>0</v>
      </c>
      <c r="C92" s="20">
        <v>2447</v>
      </c>
      <c r="D92" s="21">
        <v>253</v>
      </c>
      <c r="E92" s="21">
        <v>0</v>
      </c>
      <c r="F92" s="22">
        <v>22</v>
      </c>
      <c r="G92" s="23" t="s">
        <v>198</v>
      </c>
      <c r="H92" s="24">
        <f t="shared" si="16"/>
        <v>101222</v>
      </c>
      <c r="I92" s="25">
        <v>375</v>
      </c>
      <c r="J92" s="24">
        <f t="shared" si="14"/>
        <v>37958250</v>
      </c>
      <c r="K92" s="20"/>
      <c r="L92" s="20"/>
      <c r="M92" s="20"/>
      <c r="N92" s="20"/>
      <c r="O92" s="24"/>
      <c r="P92" s="24"/>
      <c r="Q92" s="25"/>
      <c r="R92" s="24"/>
      <c r="S92" s="20"/>
      <c r="T92" s="27"/>
      <c r="U92" s="20"/>
      <c r="V92" s="27">
        <f t="shared" si="15"/>
        <v>37958250</v>
      </c>
      <c r="W92" s="26">
        <f t="shared" si="17"/>
        <v>37958250</v>
      </c>
      <c r="X92" s="27">
        <v>0</v>
      </c>
      <c r="Y92" s="24">
        <f t="shared" si="13"/>
        <v>37958250</v>
      </c>
      <c r="Z92" s="49">
        <v>1E-4</v>
      </c>
    </row>
    <row r="93" spans="1:26" s="50" customFormat="1" ht="90.75" customHeight="1" x14ac:dyDescent="0.25">
      <c r="A93" s="20">
        <v>39</v>
      </c>
      <c r="B93" s="20" t="s">
        <v>0</v>
      </c>
      <c r="C93" s="20">
        <v>2577</v>
      </c>
      <c r="D93" s="21">
        <v>21</v>
      </c>
      <c r="E93" s="21">
        <v>1</v>
      </c>
      <c r="F93" s="22">
        <v>80</v>
      </c>
      <c r="G93" s="23" t="s">
        <v>198</v>
      </c>
      <c r="H93" s="24">
        <f t="shared" si="16"/>
        <v>8580</v>
      </c>
      <c r="I93" s="25">
        <v>350</v>
      </c>
      <c r="J93" s="24">
        <f t="shared" si="14"/>
        <v>3003000</v>
      </c>
      <c r="K93" s="20"/>
      <c r="L93" s="20"/>
      <c r="M93" s="20"/>
      <c r="N93" s="20"/>
      <c r="O93" s="24"/>
      <c r="P93" s="24"/>
      <c r="Q93" s="25"/>
      <c r="R93" s="24"/>
      <c r="S93" s="20"/>
      <c r="T93" s="27"/>
      <c r="U93" s="20"/>
      <c r="V93" s="27">
        <f t="shared" si="15"/>
        <v>3003000</v>
      </c>
      <c r="W93" s="26">
        <f t="shared" si="17"/>
        <v>3003000</v>
      </c>
      <c r="X93" s="27">
        <v>0</v>
      </c>
      <c r="Y93" s="24">
        <f t="shared" si="13"/>
        <v>3003000</v>
      </c>
      <c r="Z93" s="49">
        <v>1E-4</v>
      </c>
    </row>
    <row r="94" spans="1:26" s="50" customFormat="1" ht="90.75" customHeight="1" x14ac:dyDescent="0.25">
      <c r="A94" s="20">
        <v>40</v>
      </c>
      <c r="B94" s="20" t="s">
        <v>0</v>
      </c>
      <c r="C94" s="20">
        <v>2586</v>
      </c>
      <c r="D94" s="21">
        <v>29</v>
      </c>
      <c r="E94" s="21">
        <v>2</v>
      </c>
      <c r="F94" s="22">
        <v>60</v>
      </c>
      <c r="G94" s="23" t="s">
        <v>198</v>
      </c>
      <c r="H94" s="24">
        <f t="shared" si="16"/>
        <v>11860</v>
      </c>
      <c r="I94" s="25">
        <v>200</v>
      </c>
      <c r="J94" s="24">
        <f t="shared" si="14"/>
        <v>2372000</v>
      </c>
      <c r="K94" s="20"/>
      <c r="L94" s="20"/>
      <c r="M94" s="20"/>
      <c r="N94" s="20"/>
      <c r="O94" s="24"/>
      <c r="P94" s="24"/>
      <c r="Q94" s="25"/>
      <c r="R94" s="24"/>
      <c r="S94" s="20"/>
      <c r="T94" s="27"/>
      <c r="U94" s="20"/>
      <c r="V94" s="27">
        <f t="shared" si="15"/>
        <v>2372000</v>
      </c>
      <c r="W94" s="26">
        <f t="shared" si="17"/>
        <v>2372000</v>
      </c>
      <c r="X94" s="27">
        <v>0</v>
      </c>
      <c r="Y94" s="24">
        <f t="shared" si="13"/>
        <v>2372000</v>
      </c>
      <c r="Z94" s="49">
        <v>1E-4</v>
      </c>
    </row>
    <row r="95" spans="1:26" s="50" customFormat="1" ht="90.75" customHeight="1" x14ac:dyDescent="0.25">
      <c r="A95" s="20">
        <v>41</v>
      </c>
      <c r="B95" s="20" t="s">
        <v>0</v>
      </c>
      <c r="C95" s="20">
        <v>7768</v>
      </c>
      <c r="D95" s="21">
        <v>35</v>
      </c>
      <c r="E95" s="21">
        <v>3</v>
      </c>
      <c r="F95" s="22">
        <v>76</v>
      </c>
      <c r="G95" s="23" t="s">
        <v>198</v>
      </c>
      <c r="H95" s="24">
        <f t="shared" si="16"/>
        <v>14376</v>
      </c>
      <c r="I95" s="25">
        <v>500</v>
      </c>
      <c r="J95" s="24">
        <f t="shared" si="14"/>
        <v>7188000</v>
      </c>
      <c r="K95" s="20"/>
      <c r="L95" s="20"/>
      <c r="M95" s="20"/>
      <c r="N95" s="20"/>
      <c r="O95" s="24"/>
      <c r="P95" s="24"/>
      <c r="Q95" s="25"/>
      <c r="R95" s="24"/>
      <c r="S95" s="20"/>
      <c r="T95" s="27"/>
      <c r="U95" s="20"/>
      <c r="V95" s="27">
        <f t="shared" si="15"/>
        <v>7188000</v>
      </c>
      <c r="W95" s="26">
        <f t="shared" si="17"/>
        <v>7188000</v>
      </c>
      <c r="X95" s="27">
        <v>0</v>
      </c>
      <c r="Y95" s="24">
        <f t="shared" si="13"/>
        <v>7188000</v>
      </c>
      <c r="Z95" s="49">
        <v>1E-4</v>
      </c>
    </row>
    <row r="96" spans="1:26" s="50" customFormat="1" ht="90.75" customHeight="1" x14ac:dyDescent="0.25">
      <c r="A96" s="20">
        <v>42</v>
      </c>
      <c r="B96" s="20" t="s">
        <v>0</v>
      </c>
      <c r="C96" s="20">
        <v>7976</v>
      </c>
      <c r="D96" s="21">
        <v>10</v>
      </c>
      <c r="E96" s="21">
        <v>1</v>
      </c>
      <c r="F96" s="22">
        <v>8</v>
      </c>
      <c r="G96" s="23" t="s">
        <v>198</v>
      </c>
      <c r="H96" s="24">
        <f t="shared" si="16"/>
        <v>4108</v>
      </c>
      <c r="I96" s="25">
        <v>350</v>
      </c>
      <c r="J96" s="24">
        <f t="shared" si="14"/>
        <v>1437800</v>
      </c>
      <c r="K96" s="20"/>
      <c r="L96" s="20"/>
      <c r="M96" s="20"/>
      <c r="N96" s="20"/>
      <c r="O96" s="24"/>
      <c r="P96" s="24"/>
      <c r="Q96" s="25"/>
      <c r="R96" s="24"/>
      <c r="S96" s="20"/>
      <c r="T96" s="27"/>
      <c r="U96" s="20"/>
      <c r="V96" s="27">
        <f t="shared" si="15"/>
        <v>1437800</v>
      </c>
      <c r="W96" s="26">
        <f t="shared" si="17"/>
        <v>1437800</v>
      </c>
      <c r="X96" s="27">
        <v>0</v>
      </c>
      <c r="Y96" s="24">
        <f t="shared" si="13"/>
        <v>1437800</v>
      </c>
      <c r="Z96" s="49">
        <v>1E-4</v>
      </c>
    </row>
    <row r="97" spans="1:26" s="50" customFormat="1" ht="90.75" customHeight="1" x14ac:dyDescent="0.25">
      <c r="A97" s="20">
        <v>43</v>
      </c>
      <c r="B97" s="20" t="s">
        <v>0</v>
      </c>
      <c r="C97" s="20">
        <v>7890</v>
      </c>
      <c r="D97" s="21">
        <v>1</v>
      </c>
      <c r="E97" s="21">
        <v>3</v>
      </c>
      <c r="F97" s="22">
        <v>2</v>
      </c>
      <c r="G97" s="23" t="s">
        <v>198</v>
      </c>
      <c r="H97" s="24">
        <f t="shared" si="16"/>
        <v>702</v>
      </c>
      <c r="I97" s="25">
        <v>350</v>
      </c>
      <c r="J97" s="24">
        <f t="shared" si="14"/>
        <v>245700</v>
      </c>
      <c r="K97" s="20"/>
      <c r="L97" s="20"/>
      <c r="M97" s="20"/>
      <c r="N97" s="20"/>
      <c r="O97" s="24"/>
      <c r="P97" s="24"/>
      <c r="Q97" s="25"/>
      <c r="R97" s="24"/>
      <c r="S97" s="20"/>
      <c r="T97" s="27"/>
      <c r="U97" s="20"/>
      <c r="V97" s="27">
        <f t="shared" si="15"/>
        <v>245700</v>
      </c>
      <c r="W97" s="26">
        <f t="shared" si="17"/>
        <v>245700</v>
      </c>
      <c r="X97" s="27">
        <v>0</v>
      </c>
      <c r="Y97" s="24">
        <f t="shared" si="13"/>
        <v>245700</v>
      </c>
      <c r="Z97" s="49">
        <v>1E-4</v>
      </c>
    </row>
    <row r="98" spans="1:26" s="50" customFormat="1" ht="90.75" customHeight="1" x14ac:dyDescent="0.25">
      <c r="A98" s="20">
        <v>44</v>
      </c>
      <c r="B98" s="37" t="s">
        <v>213</v>
      </c>
      <c r="C98" s="37">
        <v>2705</v>
      </c>
      <c r="D98" s="37">
        <v>57</v>
      </c>
      <c r="E98" s="37">
        <v>2</v>
      </c>
      <c r="F98" s="37">
        <v>2</v>
      </c>
      <c r="G98" s="23" t="s">
        <v>198</v>
      </c>
      <c r="H98" s="24">
        <f t="shared" si="16"/>
        <v>23002</v>
      </c>
      <c r="I98" s="40">
        <v>200</v>
      </c>
      <c r="J98" s="24">
        <f t="shared" si="14"/>
        <v>4600400</v>
      </c>
      <c r="K98" s="37"/>
      <c r="L98" s="37"/>
      <c r="M98" s="37"/>
      <c r="N98" s="37"/>
      <c r="O98" s="27"/>
      <c r="P98" s="20"/>
      <c r="Q98" s="64"/>
      <c r="R98" s="20"/>
      <c r="S98" s="37"/>
      <c r="T98" s="65"/>
      <c r="U98" s="37"/>
      <c r="V98" s="27">
        <f t="shared" si="15"/>
        <v>4600400</v>
      </c>
      <c r="W98" s="26">
        <f t="shared" si="17"/>
        <v>4600400</v>
      </c>
      <c r="X98" s="27">
        <v>0</v>
      </c>
      <c r="Y98" s="24">
        <f t="shared" si="13"/>
        <v>4600400</v>
      </c>
      <c r="Z98" s="49">
        <v>1E-4</v>
      </c>
    </row>
    <row r="99" spans="1:26" s="50" customFormat="1" ht="90.75" customHeight="1" x14ac:dyDescent="0.25">
      <c r="A99" s="20">
        <v>45</v>
      </c>
      <c r="B99" s="20" t="s">
        <v>0</v>
      </c>
      <c r="C99" s="20">
        <v>14644</v>
      </c>
      <c r="D99" s="21">
        <v>10</v>
      </c>
      <c r="E99" s="21">
        <v>2</v>
      </c>
      <c r="F99" s="22">
        <v>91</v>
      </c>
      <c r="G99" s="22" t="s">
        <v>198</v>
      </c>
      <c r="H99" s="24">
        <f t="shared" si="16"/>
        <v>4291</v>
      </c>
      <c r="I99" s="25">
        <v>300</v>
      </c>
      <c r="J99" s="24">
        <f t="shared" si="14"/>
        <v>1287300</v>
      </c>
      <c r="K99" s="20"/>
      <c r="L99" s="20"/>
      <c r="M99" s="20"/>
      <c r="N99" s="20"/>
      <c r="O99" s="24"/>
      <c r="P99" s="24"/>
      <c r="Q99" s="25"/>
      <c r="R99" s="24"/>
      <c r="S99" s="20"/>
      <c r="T99" s="27"/>
      <c r="U99" s="20"/>
      <c r="V99" s="27">
        <f t="shared" si="15"/>
        <v>1287300</v>
      </c>
      <c r="W99" s="26">
        <f t="shared" si="17"/>
        <v>1287300</v>
      </c>
      <c r="X99" s="27">
        <v>0</v>
      </c>
      <c r="Y99" s="24">
        <f t="shared" si="13"/>
        <v>1287300</v>
      </c>
      <c r="Z99" s="49">
        <v>1E-4</v>
      </c>
    </row>
    <row r="100" spans="1:26" s="50" customFormat="1" ht="90.75" customHeight="1" x14ac:dyDescent="0.25">
      <c r="A100" s="20">
        <v>46</v>
      </c>
      <c r="B100" s="20" t="s">
        <v>0</v>
      </c>
      <c r="C100" s="20">
        <v>9546</v>
      </c>
      <c r="D100" s="21">
        <v>29</v>
      </c>
      <c r="E100" s="21">
        <v>2</v>
      </c>
      <c r="F100" s="22">
        <v>37</v>
      </c>
      <c r="G100" s="22" t="s">
        <v>198</v>
      </c>
      <c r="H100" s="24">
        <f t="shared" si="16"/>
        <v>11837</v>
      </c>
      <c r="I100" s="25" t="s">
        <v>7</v>
      </c>
      <c r="J100" s="24">
        <f t="shared" si="14"/>
        <v>4142950</v>
      </c>
      <c r="K100" s="20"/>
      <c r="L100" s="20"/>
      <c r="M100" s="20"/>
      <c r="N100" s="20"/>
      <c r="O100" s="24"/>
      <c r="P100" s="24"/>
      <c r="Q100" s="25"/>
      <c r="R100" s="24"/>
      <c r="S100" s="20"/>
      <c r="T100" s="27"/>
      <c r="U100" s="20"/>
      <c r="V100" s="27">
        <f t="shared" si="15"/>
        <v>4142950</v>
      </c>
      <c r="W100" s="26">
        <f t="shared" si="17"/>
        <v>4142950</v>
      </c>
      <c r="X100" s="27">
        <v>0</v>
      </c>
      <c r="Y100" s="24">
        <f t="shared" ref="Y100:Y131" si="18">(W100-X100)</f>
        <v>4142950</v>
      </c>
      <c r="Z100" s="49">
        <v>1E-4</v>
      </c>
    </row>
    <row r="101" spans="1:26" s="50" customFormat="1" ht="90.75" customHeight="1" x14ac:dyDescent="0.25">
      <c r="A101" s="20">
        <v>47</v>
      </c>
      <c r="B101" s="37" t="s">
        <v>0</v>
      </c>
      <c r="C101" s="37">
        <v>47976</v>
      </c>
      <c r="D101" s="37">
        <v>9</v>
      </c>
      <c r="E101" s="37">
        <v>1</v>
      </c>
      <c r="F101" s="37">
        <v>56</v>
      </c>
      <c r="G101" s="21" t="s">
        <v>209</v>
      </c>
      <c r="H101" s="24">
        <f t="shared" si="16"/>
        <v>3756</v>
      </c>
      <c r="I101" s="25" t="s">
        <v>32</v>
      </c>
      <c r="J101" s="24">
        <f t="shared" ref="J101:J132" si="19">(H101*I101)</f>
        <v>751200</v>
      </c>
      <c r="K101" s="20"/>
      <c r="L101" s="20"/>
      <c r="M101" s="20"/>
      <c r="N101" s="20"/>
      <c r="O101" s="24"/>
      <c r="P101" s="24"/>
      <c r="Q101" s="25"/>
      <c r="R101" s="24"/>
      <c r="S101" s="20"/>
      <c r="T101" s="27"/>
      <c r="U101" s="20"/>
      <c r="V101" s="27">
        <f t="shared" ref="V101:V132" si="20">(J101+U101)</f>
        <v>751200</v>
      </c>
      <c r="W101" s="26">
        <f t="shared" si="17"/>
        <v>751200</v>
      </c>
      <c r="X101" s="27">
        <v>0</v>
      </c>
      <c r="Y101" s="24">
        <f t="shared" si="18"/>
        <v>751200</v>
      </c>
      <c r="Z101" s="49"/>
    </row>
    <row r="102" spans="1:26" s="50" customFormat="1" ht="90.75" customHeight="1" x14ac:dyDescent="0.25">
      <c r="A102" s="20">
        <v>48</v>
      </c>
      <c r="B102" s="37" t="s">
        <v>0</v>
      </c>
      <c r="C102" s="37">
        <v>11949</v>
      </c>
      <c r="D102" s="37">
        <v>35</v>
      </c>
      <c r="E102" s="37">
        <v>3</v>
      </c>
      <c r="F102" s="35">
        <v>4</v>
      </c>
      <c r="G102" s="21" t="s">
        <v>209</v>
      </c>
      <c r="H102" s="24">
        <f t="shared" si="16"/>
        <v>14304</v>
      </c>
      <c r="I102" s="25">
        <v>375</v>
      </c>
      <c r="J102" s="24">
        <f t="shared" si="19"/>
        <v>5364000</v>
      </c>
      <c r="K102" s="20"/>
      <c r="L102" s="20"/>
      <c r="M102" s="20"/>
      <c r="N102" s="20"/>
      <c r="O102" s="24"/>
      <c r="P102" s="24"/>
      <c r="Q102" s="25"/>
      <c r="R102" s="24"/>
      <c r="S102" s="20"/>
      <c r="T102" s="27"/>
      <c r="U102" s="20"/>
      <c r="V102" s="27">
        <f t="shared" si="20"/>
        <v>5364000</v>
      </c>
      <c r="W102" s="26">
        <f t="shared" si="17"/>
        <v>5364000</v>
      </c>
      <c r="X102" s="27">
        <v>0</v>
      </c>
      <c r="Y102" s="24">
        <f t="shared" si="18"/>
        <v>5364000</v>
      </c>
      <c r="Z102" s="49">
        <v>1E-4</v>
      </c>
    </row>
    <row r="103" spans="1:26" s="50" customFormat="1" ht="90.75" customHeight="1" x14ac:dyDescent="0.25">
      <c r="A103" s="20">
        <v>49</v>
      </c>
      <c r="B103" s="37" t="s">
        <v>0</v>
      </c>
      <c r="C103" s="37">
        <v>11944</v>
      </c>
      <c r="D103" s="37">
        <v>24</v>
      </c>
      <c r="E103" s="37">
        <v>1</v>
      </c>
      <c r="F103" s="37">
        <v>32.299999999999997</v>
      </c>
      <c r="G103" s="21" t="s">
        <v>209</v>
      </c>
      <c r="H103" s="24">
        <f t="shared" si="16"/>
        <v>9732.2999999999993</v>
      </c>
      <c r="I103" s="25" t="s">
        <v>75</v>
      </c>
      <c r="J103" s="24">
        <f t="shared" si="19"/>
        <v>6082687.5</v>
      </c>
      <c r="K103" s="20"/>
      <c r="L103" s="20"/>
      <c r="M103" s="20"/>
      <c r="N103" s="20"/>
      <c r="O103" s="24"/>
      <c r="P103" s="24"/>
      <c r="Q103" s="25"/>
      <c r="R103" s="24"/>
      <c r="S103" s="20"/>
      <c r="T103" s="27"/>
      <c r="U103" s="20"/>
      <c r="V103" s="27">
        <f t="shared" si="20"/>
        <v>6082687.5</v>
      </c>
      <c r="W103" s="26">
        <f t="shared" si="17"/>
        <v>6082687.5</v>
      </c>
      <c r="X103" s="27">
        <v>0</v>
      </c>
      <c r="Y103" s="24">
        <f t="shared" si="18"/>
        <v>6082687.5</v>
      </c>
      <c r="Z103" s="49">
        <v>1E-4</v>
      </c>
    </row>
    <row r="104" spans="1:26" s="50" customFormat="1" ht="90.75" customHeight="1" x14ac:dyDescent="0.25">
      <c r="A104" s="20">
        <v>50</v>
      </c>
      <c r="B104" s="37" t="s">
        <v>0</v>
      </c>
      <c r="C104" s="37">
        <v>7480</v>
      </c>
      <c r="D104" s="37">
        <v>8</v>
      </c>
      <c r="E104" s="37">
        <v>0</v>
      </c>
      <c r="F104" s="37">
        <v>10</v>
      </c>
      <c r="G104" s="21" t="s">
        <v>209</v>
      </c>
      <c r="H104" s="24">
        <f t="shared" si="16"/>
        <v>3210</v>
      </c>
      <c r="I104" s="25" t="s">
        <v>75</v>
      </c>
      <c r="J104" s="24">
        <f t="shared" si="19"/>
        <v>2006250</v>
      </c>
      <c r="K104" s="20"/>
      <c r="L104" s="20"/>
      <c r="M104" s="20"/>
      <c r="N104" s="20"/>
      <c r="O104" s="24"/>
      <c r="P104" s="24"/>
      <c r="Q104" s="25"/>
      <c r="R104" s="24"/>
      <c r="S104" s="20"/>
      <c r="T104" s="27"/>
      <c r="U104" s="20"/>
      <c r="V104" s="27">
        <f t="shared" si="20"/>
        <v>2006250</v>
      </c>
      <c r="W104" s="26">
        <f t="shared" si="17"/>
        <v>2006250</v>
      </c>
      <c r="X104" s="27">
        <v>0</v>
      </c>
      <c r="Y104" s="24">
        <f t="shared" si="18"/>
        <v>2006250</v>
      </c>
      <c r="Z104" s="49"/>
    </row>
    <row r="105" spans="1:26" s="50" customFormat="1" ht="90.75" customHeight="1" x14ac:dyDescent="0.25">
      <c r="A105" s="20">
        <v>51</v>
      </c>
      <c r="B105" s="37" t="s">
        <v>0</v>
      </c>
      <c r="C105" s="37">
        <v>7481</v>
      </c>
      <c r="D105" s="37">
        <v>19</v>
      </c>
      <c r="E105" s="37">
        <v>3</v>
      </c>
      <c r="F105" s="37">
        <v>83.3</v>
      </c>
      <c r="G105" s="21" t="s">
        <v>209</v>
      </c>
      <c r="H105" s="24">
        <f t="shared" si="16"/>
        <v>7983.3</v>
      </c>
      <c r="I105" s="25" t="s">
        <v>32</v>
      </c>
      <c r="J105" s="24">
        <f t="shared" si="19"/>
        <v>1596660</v>
      </c>
      <c r="K105" s="20"/>
      <c r="L105" s="20"/>
      <c r="M105" s="20"/>
      <c r="N105" s="20"/>
      <c r="O105" s="24"/>
      <c r="P105" s="24"/>
      <c r="Q105" s="25"/>
      <c r="R105" s="24"/>
      <c r="S105" s="20"/>
      <c r="T105" s="27"/>
      <c r="U105" s="20"/>
      <c r="V105" s="27">
        <f t="shared" si="20"/>
        <v>1596660</v>
      </c>
      <c r="W105" s="26">
        <f t="shared" ref="W105:W136" si="21">(V105*100/100)</f>
        <v>1596660</v>
      </c>
      <c r="X105" s="27">
        <v>0</v>
      </c>
      <c r="Y105" s="24">
        <f t="shared" si="18"/>
        <v>1596660</v>
      </c>
      <c r="Z105" s="49">
        <v>1E-4</v>
      </c>
    </row>
    <row r="106" spans="1:26" s="50" customFormat="1" ht="90.75" customHeight="1" x14ac:dyDescent="0.25">
      <c r="A106" s="20">
        <v>52</v>
      </c>
      <c r="B106" s="37" t="s">
        <v>0</v>
      </c>
      <c r="C106" s="37">
        <v>7482</v>
      </c>
      <c r="D106" s="37">
        <v>14</v>
      </c>
      <c r="E106" s="37">
        <v>1</v>
      </c>
      <c r="F106" s="37">
        <v>28.4</v>
      </c>
      <c r="G106" s="21" t="s">
        <v>209</v>
      </c>
      <c r="H106" s="24">
        <f t="shared" si="16"/>
        <v>5728.4</v>
      </c>
      <c r="I106" s="25" t="s">
        <v>32</v>
      </c>
      <c r="J106" s="24">
        <f t="shared" si="19"/>
        <v>1145680</v>
      </c>
      <c r="K106" s="20"/>
      <c r="L106" s="20"/>
      <c r="M106" s="20"/>
      <c r="N106" s="20"/>
      <c r="O106" s="24"/>
      <c r="P106" s="24"/>
      <c r="Q106" s="25"/>
      <c r="R106" s="24"/>
      <c r="S106" s="20"/>
      <c r="T106" s="27"/>
      <c r="U106" s="20"/>
      <c r="V106" s="27">
        <f t="shared" si="20"/>
        <v>1145680</v>
      </c>
      <c r="W106" s="26">
        <f t="shared" si="21"/>
        <v>1145680</v>
      </c>
      <c r="X106" s="27">
        <v>0</v>
      </c>
      <c r="Y106" s="24">
        <f t="shared" si="18"/>
        <v>1145680</v>
      </c>
      <c r="Z106" s="49">
        <v>1E-4</v>
      </c>
    </row>
    <row r="107" spans="1:26" s="50" customFormat="1" ht="90.75" customHeight="1" x14ac:dyDescent="0.25">
      <c r="A107" s="20">
        <v>53</v>
      </c>
      <c r="B107" s="37" t="s">
        <v>0</v>
      </c>
      <c r="C107" s="37">
        <v>7483</v>
      </c>
      <c r="D107" s="37">
        <v>18</v>
      </c>
      <c r="E107" s="37">
        <v>2</v>
      </c>
      <c r="F107" s="37">
        <v>18</v>
      </c>
      <c r="G107" s="21" t="s">
        <v>209</v>
      </c>
      <c r="H107" s="24">
        <f t="shared" si="16"/>
        <v>7418</v>
      </c>
      <c r="I107" s="25" t="s">
        <v>75</v>
      </c>
      <c r="J107" s="24">
        <f t="shared" si="19"/>
        <v>4636250</v>
      </c>
      <c r="K107" s="20"/>
      <c r="L107" s="20"/>
      <c r="M107" s="20"/>
      <c r="N107" s="20"/>
      <c r="O107" s="24"/>
      <c r="P107" s="24"/>
      <c r="Q107" s="25"/>
      <c r="R107" s="24"/>
      <c r="S107" s="20"/>
      <c r="T107" s="27"/>
      <c r="U107" s="20"/>
      <c r="V107" s="27">
        <f t="shared" si="20"/>
        <v>4636250</v>
      </c>
      <c r="W107" s="26">
        <f t="shared" si="21"/>
        <v>4636250</v>
      </c>
      <c r="X107" s="27">
        <v>0</v>
      </c>
      <c r="Y107" s="24">
        <f t="shared" si="18"/>
        <v>4636250</v>
      </c>
      <c r="Z107" s="49">
        <v>1E-4</v>
      </c>
    </row>
    <row r="108" spans="1:26" s="50" customFormat="1" ht="90.75" customHeight="1" x14ac:dyDescent="0.25">
      <c r="A108" s="20">
        <v>54</v>
      </c>
      <c r="B108" s="37" t="s">
        <v>0</v>
      </c>
      <c r="C108" s="37">
        <v>7518</v>
      </c>
      <c r="D108" s="37">
        <v>139</v>
      </c>
      <c r="E108" s="37">
        <v>2</v>
      </c>
      <c r="F108" s="37">
        <v>25</v>
      </c>
      <c r="G108" s="21" t="s">
        <v>209</v>
      </c>
      <c r="H108" s="24">
        <f t="shared" si="16"/>
        <v>55825</v>
      </c>
      <c r="I108" s="25" t="s">
        <v>19</v>
      </c>
      <c r="J108" s="24">
        <f t="shared" si="19"/>
        <v>20934375</v>
      </c>
      <c r="K108" s="20"/>
      <c r="L108" s="20"/>
      <c r="M108" s="20"/>
      <c r="N108" s="20"/>
      <c r="O108" s="24"/>
      <c r="P108" s="24"/>
      <c r="Q108" s="25"/>
      <c r="R108" s="24"/>
      <c r="S108" s="20"/>
      <c r="T108" s="27"/>
      <c r="U108" s="20"/>
      <c r="V108" s="27">
        <f t="shared" si="20"/>
        <v>20934375</v>
      </c>
      <c r="W108" s="26">
        <f t="shared" si="21"/>
        <v>20934375</v>
      </c>
      <c r="X108" s="27">
        <v>0</v>
      </c>
      <c r="Y108" s="24">
        <f t="shared" si="18"/>
        <v>20934375</v>
      </c>
      <c r="Z108" s="49">
        <v>3.0000000000000001E-3</v>
      </c>
    </row>
    <row r="109" spans="1:26" s="73" customFormat="1" ht="90.75" customHeight="1" x14ac:dyDescent="0.25">
      <c r="A109" s="66"/>
      <c r="B109" s="67" t="s">
        <v>0</v>
      </c>
      <c r="C109" s="67">
        <v>7518</v>
      </c>
      <c r="D109" s="67"/>
      <c r="E109" s="67"/>
      <c r="F109" s="67"/>
      <c r="G109" s="66"/>
      <c r="H109" s="68">
        <f>(O109*0.25)</f>
        <v>5355</v>
      </c>
      <c r="I109" s="69" t="s">
        <v>19</v>
      </c>
      <c r="J109" s="68">
        <f t="shared" si="19"/>
        <v>2008125</v>
      </c>
      <c r="K109" s="66">
        <v>1</v>
      </c>
      <c r="L109" s="66" t="s">
        <v>15</v>
      </c>
      <c r="M109" s="66" t="s">
        <v>13</v>
      </c>
      <c r="N109" s="66">
        <v>3</v>
      </c>
      <c r="O109" s="68">
        <v>21420</v>
      </c>
      <c r="P109" s="68">
        <v>100</v>
      </c>
      <c r="Q109" s="69">
        <v>5950</v>
      </c>
      <c r="R109" s="68">
        <f>(O109*Q109)</f>
        <v>127449000</v>
      </c>
      <c r="S109" s="66">
        <v>1</v>
      </c>
      <c r="T109" s="68">
        <f>(R109*1/100)</f>
        <v>1274490</v>
      </c>
      <c r="U109" s="70">
        <f>(R109-T109)</f>
        <v>126174510</v>
      </c>
      <c r="V109" s="71">
        <f t="shared" si="20"/>
        <v>128182635</v>
      </c>
      <c r="W109" s="72">
        <f t="shared" si="21"/>
        <v>128182635</v>
      </c>
      <c r="X109" s="71">
        <v>0</v>
      </c>
      <c r="Y109" s="72">
        <f t="shared" si="18"/>
        <v>128182635</v>
      </c>
      <c r="Z109" s="49" t="s">
        <v>250</v>
      </c>
    </row>
    <row r="110" spans="1:26" s="50" customFormat="1" ht="90.75" customHeight="1" x14ac:dyDescent="0.25">
      <c r="A110" s="20">
        <v>55</v>
      </c>
      <c r="B110" s="37" t="s">
        <v>0</v>
      </c>
      <c r="C110" s="37">
        <v>7519</v>
      </c>
      <c r="D110" s="37">
        <v>6</v>
      </c>
      <c r="E110" s="37">
        <v>0</v>
      </c>
      <c r="F110" s="37">
        <v>11</v>
      </c>
      <c r="G110" s="21" t="s">
        <v>209</v>
      </c>
      <c r="H110" s="24">
        <f t="shared" ref="H110:H141" si="22">(D110*400)+(E110*100)+F110</f>
        <v>2411</v>
      </c>
      <c r="I110" s="25">
        <v>625</v>
      </c>
      <c r="J110" s="24">
        <f t="shared" si="19"/>
        <v>1506875</v>
      </c>
      <c r="K110" s="20"/>
      <c r="L110" s="20"/>
      <c r="M110" s="20"/>
      <c r="N110" s="20"/>
      <c r="O110" s="24"/>
      <c r="P110" s="24"/>
      <c r="Q110" s="25"/>
      <c r="R110" s="24"/>
      <c r="S110" s="20"/>
      <c r="T110" s="27"/>
      <c r="U110" s="20"/>
      <c r="V110" s="27">
        <f t="shared" si="20"/>
        <v>1506875</v>
      </c>
      <c r="W110" s="26">
        <f t="shared" si="21"/>
        <v>1506875</v>
      </c>
      <c r="X110" s="27">
        <v>0</v>
      </c>
      <c r="Y110" s="26">
        <f t="shared" si="18"/>
        <v>1506875</v>
      </c>
      <c r="Z110" s="49"/>
    </row>
    <row r="111" spans="1:26" s="50" customFormat="1" ht="90.75" customHeight="1" x14ac:dyDescent="0.25">
      <c r="A111" s="20">
        <v>56</v>
      </c>
      <c r="B111" s="37" t="s">
        <v>0</v>
      </c>
      <c r="C111" s="37">
        <v>7793</v>
      </c>
      <c r="D111" s="37">
        <v>4</v>
      </c>
      <c r="E111" s="37">
        <v>2</v>
      </c>
      <c r="F111" s="37">
        <v>65</v>
      </c>
      <c r="G111" s="21" t="s">
        <v>209</v>
      </c>
      <c r="H111" s="24">
        <f t="shared" si="22"/>
        <v>1865</v>
      </c>
      <c r="I111" s="25" t="s">
        <v>75</v>
      </c>
      <c r="J111" s="24">
        <f t="shared" si="19"/>
        <v>1165625</v>
      </c>
      <c r="K111" s="20"/>
      <c r="L111" s="20"/>
      <c r="M111" s="20"/>
      <c r="N111" s="20"/>
      <c r="O111" s="24"/>
      <c r="P111" s="24"/>
      <c r="Q111" s="25"/>
      <c r="R111" s="24"/>
      <c r="S111" s="20"/>
      <c r="T111" s="27"/>
      <c r="U111" s="20"/>
      <c r="V111" s="27">
        <f t="shared" si="20"/>
        <v>1165625</v>
      </c>
      <c r="W111" s="26">
        <f t="shared" si="21"/>
        <v>1165625</v>
      </c>
      <c r="X111" s="27">
        <v>0</v>
      </c>
      <c r="Y111" s="26">
        <f t="shared" si="18"/>
        <v>1165625</v>
      </c>
      <c r="Z111" s="49"/>
    </row>
    <row r="112" spans="1:26" s="50" customFormat="1" ht="90.75" customHeight="1" x14ac:dyDescent="0.25">
      <c r="A112" s="20">
        <v>57</v>
      </c>
      <c r="B112" s="37" t="s">
        <v>0</v>
      </c>
      <c r="C112" s="37">
        <v>7794</v>
      </c>
      <c r="D112" s="37">
        <v>0</v>
      </c>
      <c r="E112" s="37">
        <v>3</v>
      </c>
      <c r="F112" s="37">
        <v>15</v>
      </c>
      <c r="G112" s="21" t="s">
        <v>209</v>
      </c>
      <c r="H112" s="36">
        <f t="shared" si="22"/>
        <v>315</v>
      </c>
      <c r="I112" s="25">
        <v>625</v>
      </c>
      <c r="J112" s="28">
        <f t="shared" si="19"/>
        <v>196875</v>
      </c>
      <c r="K112" s="20"/>
      <c r="L112" s="20"/>
      <c r="M112" s="20"/>
      <c r="N112" s="20"/>
      <c r="O112" s="24"/>
      <c r="P112" s="24"/>
      <c r="Q112" s="25"/>
      <c r="R112" s="24"/>
      <c r="S112" s="20"/>
      <c r="T112" s="27"/>
      <c r="U112" s="20"/>
      <c r="V112" s="27">
        <f t="shared" si="20"/>
        <v>196875</v>
      </c>
      <c r="W112" s="26">
        <f t="shared" si="21"/>
        <v>196875</v>
      </c>
      <c r="X112" s="27">
        <v>0</v>
      </c>
      <c r="Y112" s="26">
        <f t="shared" si="18"/>
        <v>196875</v>
      </c>
      <c r="Z112" s="49"/>
    </row>
    <row r="113" spans="1:26" s="50" customFormat="1" ht="90.75" customHeight="1" x14ac:dyDescent="0.25">
      <c r="A113" s="20">
        <v>58</v>
      </c>
      <c r="B113" s="37" t="s">
        <v>0</v>
      </c>
      <c r="C113" s="37">
        <v>48001</v>
      </c>
      <c r="D113" s="37">
        <v>4</v>
      </c>
      <c r="E113" s="37">
        <v>2</v>
      </c>
      <c r="F113" s="37">
        <v>65</v>
      </c>
      <c r="G113" s="21" t="s">
        <v>209</v>
      </c>
      <c r="H113" s="24">
        <f t="shared" si="22"/>
        <v>1865</v>
      </c>
      <c r="I113" s="25" t="s">
        <v>75</v>
      </c>
      <c r="J113" s="24">
        <f t="shared" si="19"/>
        <v>1165625</v>
      </c>
      <c r="K113" s="20"/>
      <c r="L113" s="20"/>
      <c r="M113" s="20"/>
      <c r="N113" s="20"/>
      <c r="O113" s="24"/>
      <c r="P113" s="24"/>
      <c r="Q113" s="25"/>
      <c r="R113" s="24"/>
      <c r="S113" s="20"/>
      <c r="T113" s="27"/>
      <c r="U113" s="20"/>
      <c r="V113" s="27">
        <f t="shared" si="20"/>
        <v>1165625</v>
      </c>
      <c r="W113" s="26">
        <f t="shared" si="21"/>
        <v>1165625</v>
      </c>
      <c r="X113" s="27">
        <v>0</v>
      </c>
      <c r="Y113" s="26">
        <f t="shared" si="18"/>
        <v>1165625</v>
      </c>
      <c r="Z113" s="49"/>
    </row>
    <row r="114" spans="1:26" s="50" customFormat="1" ht="90.75" customHeight="1" x14ac:dyDescent="0.25">
      <c r="A114" s="20">
        <v>59</v>
      </c>
      <c r="B114" s="37" t="s">
        <v>0</v>
      </c>
      <c r="C114" s="37">
        <v>7526</v>
      </c>
      <c r="D114" s="37">
        <v>17</v>
      </c>
      <c r="E114" s="37">
        <v>1</v>
      </c>
      <c r="F114" s="37">
        <v>12</v>
      </c>
      <c r="G114" s="21" t="s">
        <v>209</v>
      </c>
      <c r="H114" s="24">
        <f t="shared" si="22"/>
        <v>6912</v>
      </c>
      <c r="I114" s="25" t="s">
        <v>75</v>
      </c>
      <c r="J114" s="24">
        <f t="shared" si="19"/>
        <v>4320000</v>
      </c>
      <c r="K114" s="20"/>
      <c r="L114" s="20"/>
      <c r="M114" s="20"/>
      <c r="N114" s="20"/>
      <c r="O114" s="24"/>
      <c r="P114" s="24"/>
      <c r="Q114" s="25"/>
      <c r="R114" s="24"/>
      <c r="S114" s="20"/>
      <c r="T114" s="27"/>
      <c r="U114" s="20"/>
      <c r="V114" s="27">
        <f t="shared" si="20"/>
        <v>4320000</v>
      </c>
      <c r="W114" s="26">
        <f t="shared" si="21"/>
        <v>4320000</v>
      </c>
      <c r="X114" s="27">
        <v>0</v>
      </c>
      <c r="Y114" s="26">
        <f t="shared" si="18"/>
        <v>4320000</v>
      </c>
      <c r="Z114" s="49">
        <v>1E-4</v>
      </c>
    </row>
    <row r="115" spans="1:26" s="50" customFormat="1" ht="90.75" customHeight="1" x14ac:dyDescent="0.25">
      <c r="A115" s="20">
        <v>60</v>
      </c>
      <c r="B115" s="37" t="s">
        <v>0</v>
      </c>
      <c r="C115" s="37">
        <v>7525</v>
      </c>
      <c r="D115" s="37">
        <v>2</v>
      </c>
      <c r="E115" s="37">
        <v>3</v>
      </c>
      <c r="F115" s="37">
        <v>76</v>
      </c>
      <c r="G115" s="21" t="s">
        <v>209</v>
      </c>
      <c r="H115" s="24">
        <f t="shared" si="22"/>
        <v>1176</v>
      </c>
      <c r="I115" s="25">
        <v>625</v>
      </c>
      <c r="J115" s="24">
        <f t="shared" si="19"/>
        <v>735000</v>
      </c>
      <c r="K115" s="20"/>
      <c r="L115" s="20"/>
      <c r="M115" s="20"/>
      <c r="N115" s="20"/>
      <c r="O115" s="24"/>
      <c r="P115" s="24"/>
      <c r="Q115" s="25"/>
      <c r="R115" s="24"/>
      <c r="S115" s="20"/>
      <c r="T115" s="27"/>
      <c r="U115" s="20"/>
      <c r="V115" s="27">
        <f t="shared" si="20"/>
        <v>735000</v>
      </c>
      <c r="W115" s="26">
        <f t="shared" si="21"/>
        <v>735000</v>
      </c>
      <c r="X115" s="27">
        <v>0</v>
      </c>
      <c r="Y115" s="26">
        <f t="shared" si="18"/>
        <v>735000</v>
      </c>
      <c r="Z115" s="49"/>
    </row>
    <row r="116" spans="1:26" s="50" customFormat="1" ht="90.75" customHeight="1" x14ac:dyDescent="0.25">
      <c r="A116" s="20">
        <v>61</v>
      </c>
      <c r="B116" s="37" t="s">
        <v>0</v>
      </c>
      <c r="C116" s="37">
        <v>48000</v>
      </c>
      <c r="D116" s="37">
        <v>2</v>
      </c>
      <c r="E116" s="37">
        <v>2</v>
      </c>
      <c r="F116" s="37">
        <v>43</v>
      </c>
      <c r="G116" s="21" t="s">
        <v>209</v>
      </c>
      <c r="H116" s="24">
        <f t="shared" si="22"/>
        <v>1043</v>
      </c>
      <c r="I116" s="25" t="s">
        <v>75</v>
      </c>
      <c r="J116" s="24">
        <f t="shared" si="19"/>
        <v>651875</v>
      </c>
      <c r="K116" s="20"/>
      <c r="L116" s="20"/>
      <c r="M116" s="20"/>
      <c r="N116" s="20"/>
      <c r="O116" s="24"/>
      <c r="P116" s="24"/>
      <c r="Q116" s="25"/>
      <c r="R116" s="24"/>
      <c r="S116" s="20"/>
      <c r="T116" s="27"/>
      <c r="U116" s="20"/>
      <c r="V116" s="27">
        <f t="shared" si="20"/>
        <v>651875</v>
      </c>
      <c r="W116" s="26">
        <f t="shared" si="21"/>
        <v>651875</v>
      </c>
      <c r="X116" s="27">
        <v>0</v>
      </c>
      <c r="Y116" s="26">
        <f t="shared" si="18"/>
        <v>651875</v>
      </c>
      <c r="Z116" s="49"/>
    </row>
    <row r="117" spans="1:26" s="50" customFormat="1" ht="90.75" customHeight="1" x14ac:dyDescent="0.25">
      <c r="A117" s="20">
        <v>62</v>
      </c>
      <c r="B117" s="37" t="s">
        <v>0</v>
      </c>
      <c r="C117" s="37">
        <v>10578</v>
      </c>
      <c r="D117" s="37">
        <v>14</v>
      </c>
      <c r="E117" s="37">
        <v>0</v>
      </c>
      <c r="F117" s="37">
        <v>22</v>
      </c>
      <c r="G117" s="20" t="s">
        <v>198</v>
      </c>
      <c r="H117" s="24">
        <f t="shared" si="22"/>
        <v>5622</v>
      </c>
      <c r="I117" s="25" t="s">
        <v>7</v>
      </c>
      <c r="J117" s="24">
        <f t="shared" si="19"/>
        <v>1967700</v>
      </c>
      <c r="K117" s="20"/>
      <c r="L117" s="20"/>
      <c r="M117" s="20"/>
      <c r="N117" s="20"/>
      <c r="O117" s="24"/>
      <c r="P117" s="24"/>
      <c r="Q117" s="25"/>
      <c r="R117" s="24"/>
      <c r="S117" s="20"/>
      <c r="T117" s="27"/>
      <c r="U117" s="20"/>
      <c r="V117" s="27">
        <f t="shared" si="20"/>
        <v>1967700</v>
      </c>
      <c r="W117" s="26">
        <f t="shared" si="21"/>
        <v>1967700</v>
      </c>
      <c r="X117" s="27">
        <v>0</v>
      </c>
      <c r="Y117" s="26">
        <f t="shared" si="18"/>
        <v>1967700</v>
      </c>
      <c r="Z117" s="49">
        <v>1E-4</v>
      </c>
    </row>
    <row r="118" spans="1:26" s="50" customFormat="1" ht="90.75" customHeight="1" x14ac:dyDescent="0.25">
      <c r="A118" s="20">
        <v>63</v>
      </c>
      <c r="B118" s="37" t="s">
        <v>0</v>
      </c>
      <c r="C118" s="37">
        <v>7930</v>
      </c>
      <c r="D118" s="37">
        <v>16</v>
      </c>
      <c r="E118" s="37">
        <v>1</v>
      </c>
      <c r="F118" s="37">
        <v>17</v>
      </c>
      <c r="G118" s="21" t="s">
        <v>209</v>
      </c>
      <c r="H118" s="24">
        <f t="shared" si="22"/>
        <v>6517</v>
      </c>
      <c r="I118" s="25" t="s">
        <v>75</v>
      </c>
      <c r="J118" s="24">
        <f t="shared" si="19"/>
        <v>4073125</v>
      </c>
      <c r="K118" s="20"/>
      <c r="L118" s="20"/>
      <c r="M118" s="20"/>
      <c r="N118" s="20"/>
      <c r="O118" s="24"/>
      <c r="P118" s="24"/>
      <c r="Q118" s="25"/>
      <c r="R118" s="24"/>
      <c r="S118" s="20"/>
      <c r="T118" s="27"/>
      <c r="U118" s="20"/>
      <c r="V118" s="27">
        <f t="shared" si="20"/>
        <v>4073125</v>
      </c>
      <c r="W118" s="26">
        <f t="shared" si="21"/>
        <v>4073125</v>
      </c>
      <c r="X118" s="27">
        <v>0</v>
      </c>
      <c r="Y118" s="26">
        <f t="shared" si="18"/>
        <v>4073125</v>
      </c>
      <c r="Z118" s="49">
        <v>1E-4</v>
      </c>
    </row>
    <row r="119" spans="1:26" s="50" customFormat="1" ht="90.75" customHeight="1" x14ac:dyDescent="0.25">
      <c r="A119" s="20">
        <v>64</v>
      </c>
      <c r="B119" s="37" t="s">
        <v>0</v>
      </c>
      <c r="C119" s="37">
        <v>7926</v>
      </c>
      <c r="D119" s="37">
        <v>12</v>
      </c>
      <c r="E119" s="37">
        <v>1</v>
      </c>
      <c r="F119" s="37">
        <v>63</v>
      </c>
      <c r="G119" s="21" t="s">
        <v>209</v>
      </c>
      <c r="H119" s="24">
        <f t="shared" si="22"/>
        <v>4963</v>
      </c>
      <c r="I119" s="25" t="s">
        <v>32</v>
      </c>
      <c r="J119" s="24">
        <f t="shared" si="19"/>
        <v>992600</v>
      </c>
      <c r="K119" s="20"/>
      <c r="L119" s="20"/>
      <c r="M119" s="20"/>
      <c r="N119" s="20"/>
      <c r="O119" s="24"/>
      <c r="P119" s="24"/>
      <c r="Q119" s="25"/>
      <c r="R119" s="24"/>
      <c r="S119" s="20"/>
      <c r="T119" s="27"/>
      <c r="U119" s="20"/>
      <c r="V119" s="27">
        <f t="shared" si="20"/>
        <v>992600</v>
      </c>
      <c r="W119" s="26">
        <f t="shared" si="21"/>
        <v>992600</v>
      </c>
      <c r="X119" s="27">
        <v>0</v>
      </c>
      <c r="Y119" s="26">
        <f t="shared" si="18"/>
        <v>992600</v>
      </c>
      <c r="Z119" s="49"/>
    </row>
    <row r="120" spans="1:26" s="50" customFormat="1" ht="90.75" customHeight="1" x14ac:dyDescent="0.25">
      <c r="A120" s="20">
        <v>65</v>
      </c>
      <c r="B120" s="37" t="s">
        <v>0</v>
      </c>
      <c r="C120" s="37">
        <v>7928</v>
      </c>
      <c r="D120" s="37">
        <v>3</v>
      </c>
      <c r="E120" s="37">
        <v>2</v>
      </c>
      <c r="F120" s="37">
        <v>85</v>
      </c>
      <c r="G120" s="21" t="s">
        <v>209</v>
      </c>
      <c r="H120" s="24">
        <f t="shared" si="22"/>
        <v>1485</v>
      </c>
      <c r="I120" s="25" t="s">
        <v>32</v>
      </c>
      <c r="J120" s="24">
        <f t="shared" si="19"/>
        <v>297000</v>
      </c>
      <c r="K120" s="20"/>
      <c r="L120" s="20"/>
      <c r="M120" s="20"/>
      <c r="N120" s="20"/>
      <c r="O120" s="24"/>
      <c r="P120" s="24"/>
      <c r="Q120" s="25"/>
      <c r="R120" s="24"/>
      <c r="S120" s="20"/>
      <c r="T120" s="27"/>
      <c r="U120" s="20"/>
      <c r="V120" s="27">
        <f t="shared" si="20"/>
        <v>297000</v>
      </c>
      <c r="W120" s="26">
        <f t="shared" si="21"/>
        <v>297000</v>
      </c>
      <c r="X120" s="27">
        <v>0</v>
      </c>
      <c r="Y120" s="26">
        <f t="shared" si="18"/>
        <v>297000</v>
      </c>
      <c r="Z120" s="49"/>
    </row>
    <row r="121" spans="1:26" s="50" customFormat="1" ht="90.75" customHeight="1" x14ac:dyDescent="0.25">
      <c r="A121" s="20">
        <v>66</v>
      </c>
      <c r="B121" s="37" t="s">
        <v>0</v>
      </c>
      <c r="C121" s="37">
        <v>7929</v>
      </c>
      <c r="D121" s="37">
        <v>0</v>
      </c>
      <c r="E121" s="37">
        <v>1</v>
      </c>
      <c r="F121" s="37">
        <v>45</v>
      </c>
      <c r="G121" s="21" t="s">
        <v>209</v>
      </c>
      <c r="H121" s="24">
        <f t="shared" si="22"/>
        <v>145</v>
      </c>
      <c r="I121" s="25" t="s">
        <v>32</v>
      </c>
      <c r="J121" s="24">
        <f t="shared" si="19"/>
        <v>29000</v>
      </c>
      <c r="K121" s="20"/>
      <c r="L121" s="20"/>
      <c r="M121" s="20"/>
      <c r="N121" s="20"/>
      <c r="O121" s="24"/>
      <c r="P121" s="24"/>
      <c r="Q121" s="25"/>
      <c r="R121" s="24"/>
      <c r="S121" s="20"/>
      <c r="T121" s="27"/>
      <c r="U121" s="20"/>
      <c r="V121" s="27">
        <f t="shared" si="20"/>
        <v>29000</v>
      </c>
      <c r="W121" s="26">
        <f t="shared" si="21"/>
        <v>29000</v>
      </c>
      <c r="X121" s="27">
        <v>0</v>
      </c>
      <c r="Y121" s="26">
        <f t="shared" si="18"/>
        <v>29000</v>
      </c>
      <c r="Z121" s="49"/>
    </row>
    <row r="122" spans="1:26" s="50" customFormat="1" ht="90.75" customHeight="1" x14ac:dyDescent="0.25">
      <c r="A122" s="20">
        <v>67</v>
      </c>
      <c r="B122" s="37" t="s">
        <v>0</v>
      </c>
      <c r="C122" s="37">
        <v>47981</v>
      </c>
      <c r="D122" s="37">
        <v>9</v>
      </c>
      <c r="E122" s="37">
        <v>1</v>
      </c>
      <c r="F122" s="37">
        <v>51</v>
      </c>
      <c r="G122" s="21" t="s">
        <v>209</v>
      </c>
      <c r="H122" s="24">
        <f t="shared" si="22"/>
        <v>3751</v>
      </c>
      <c r="I122" s="25" t="s">
        <v>32</v>
      </c>
      <c r="J122" s="24">
        <f t="shared" si="19"/>
        <v>750200</v>
      </c>
      <c r="K122" s="20"/>
      <c r="L122" s="20"/>
      <c r="M122" s="20"/>
      <c r="N122" s="20"/>
      <c r="O122" s="24"/>
      <c r="P122" s="24"/>
      <c r="Q122" s="25"/>
      <c r="R122" s="24"/>
      <c r="S122" s="20"/>
      <c r="T122" s="27"/>
      <c r="U122" s="20"/>
      <c r="V122" s="27">
        <f t="shared" si="20"/>
        <v>750200</v>
      </c>
      <c r="W122" s="26">
        <f t="shared" si="21"/>
        <v>750200</v>
      </c>
      <c r="X122" s="27">
        <v>0</v>
      </c>
      <c r="Y122" s="26">
        <f t="shared" si="18"/>
        <v>750200</v>
      </c>
      <c r="Z122" s="49"/>
    </row>
    <row r="123" spans="1:26" s="50" customFormat="1" ht="90.75" customHeight="1" x14ac:dyDescent="0.25">
      <c r="A123" s="20">
        <v>68</v>
      </c>
      <c r="B123" s="37" t="s">
        <v>0</v>
      </c>
      <c r="C123" s="37">
        <v>47982</v>
      </c>
      <c r="D123" s="37">
        <v>26</v>
      </c>
      <c r="E123" s="37">
        <v>0</v>
      </c>
      <c r="F123" s="37">
        <v>44</v>
      </c>
      <c r="G123" s="21" t="s">
        <v>209</v>
      </c>
      <c r="H123" s="24">
        <f t="shared" si="22"/>
        <v>10444</v>
      </c>
      <c r="I123" s="25" t="s">
        <v>19</v>
      </c>
      <c r="J123" s="24">
        <f t="shared" si="19"/>
        <v>3916500</v>
      </c>
      <c r="K123" s="20"/>
      <c r="L123" s="20"/>
      <c r="M123" s="20"/>
      <c r="N123" s="20"/>
      <c r="O123" s="24"/>
      <c r="P123" s="24"/>
      <c r="Q123" s="25"/>
      <c r="R123" s="24"/>
      <c r="S123" s="20"/>
      <c r="T123" s="27"/>
      <c r="U123" s="20"/>
      <c r="V123" s="27">
        <f t="shared" si="20"/>
        <v>3916500</v>
      </c>
      <c r="W123" s="26">
        <f t="shared" si="21"/>
        <v>3916500</v>
      </c>
      <c r="X123" s="27">
        <v>0</v>
      </c>
      <c r="Y123" s="26">
        <f t="shared" si="18"/>
        <v>3916500</v>
      </c>
      <c r="Z123" s="49">
        <v>1E-4</v>
      </c>
    </row>
    <row r="124" spans="1:26" s="50" customFormat="1" ht="90.75" customHeight="1" x14ac:dyDescent="0.25">
      <c r="A124" s="20">
        <v>69</v>
      </c>
      <c r="B124" s="37" t="s">
        <v>0</v>
      </c>
      <c r="C124" s="37">
        <v>46273</v>
      </c>
      <c r="D124" s="37">
        <v>27</v>
      </c>
      <c r="E124" s="37">
        <v>0</v>
      </c>
      <c r="F124" s="37">
        <v>24</v>
      </c>
      <c r="G124" s="20" t="s">
        <v>198</v>
      </c>
      <c r="H124" s="24">
        <f t="shared" si="22"/>
        <v>10824</v>
      </c>
      <c r="I124" s="25" t="s">
        <v>32</v>
      </c>
      <c r="J124" s="24">
        <f t="shared" si="19"/>
        <v>2164800</v>
      </c>
      <c r="K124" s="20"/>
      <c r="L124" s="20"/>
      <c r="M124" s="20"/>
      <c r="N124" s="20"/>
      <c r="O124" s="24"/>
      <c r="P124" s="24"/>
      <c r="Q124" s="25"/>
      <c r="R124" s="24"/>
      <c r="S124" s="20"/>
      <c r="T124" s="27"/>
      <c r="U124" s="20"/>
      <c r="V124" s="27">
        <f t="shared" si="20"/>
        <v>2164800</v>
      </c>
      <c r="W124" s="26">
        <f t="shared" si="21"/>
        <v>2164800</v>
      </c>
      <c r="X124" s="27">
        <v>0</v>
      </c>
      <c r="Y124" s="26">
        <f t="shared" si="18"/>
        <v>2164800</v>
      </c>
      <c r="Z124" s="49">
        <v>1E-4</v>
      </c>
    </row>
    <row r="125" spans="1:26" s="50" customFormat="1" ht="90.75" customHeight="1" x14ac:dyDescent="0.25">
      <c r="A125" s="20">
        <v>70</v>
      </c>
      <c r="B125" s="37" t="s">
        <v>0</v>
      </c>
      <c r="C125" s="37">
        <v>46280</v>
      </c>
      <c r="D125" s="37">
        <v>40</v>
      </c>
      <c r="E125" s="37">
        <v>3</v>
      </c>
      <c r="F125" s="37">
        <v>53</v>
      </c>
      <c r="G125" s="20" t="s">
        <v>198</v>
      </c>
      <c r="H125" s="24">
        <f t="shared" si="22"/>
        <v>16353</v>
      </c>
      <c r="I125" s="25" t="s">
        <v>19</v>
      </c>
      <c r="J125" s="24">
        <f t="shared" si="19"/>
        <v>6132375</v>
      </c>
      <c r="K125" s="20"/>
      <c r="L125" s="20"/>
      <c r="M125" s="20"/>
      <c r="N125" s="20"/>
      <c r="O125" s="24"/>
      <c r="P125" s="24"/>
      <c r="Q125" s="25"/>
      <c r="R125" s="24"/>
      <c r="S125" s="20"/>
      <c r="T125" s="27"/>
      <c r="U125" s="20"/>
      <c r="V125" s="27">
        <f t="shared" si="20"/>
        <v>6132375</v>
      </c>
      <c r="W125" s="26">
        <f t="shared" si="21"/>
        <v>6132375</v>
      </c>
      <c r="X125" s="27">
        <v>0</v>
      </c>
      <c r="Y125" s="26">
        <f t="shared" si="18"/>
        <v>6132375</v>
      </c>
      <c r="Z125" s="49">
        <v>1E-4</v>
      </c>
    </row>
    <row r="126" spans="1:26" s="50" customFormat="1" ht="90.75" customHeight="1" x14ac:dyDescent="0.25">
      <c r="A126" s="20">
        <v>71</v>
      </c>
      <c r="B126" s="37" t="s">
        <v>0</v>
      </c>
      <c r="C126" s="37">
        <v>7812</v>
      </c>
      <c r="D126" s="37">
        <v>20</v>
      </c>
      <c r="E126" s="37">
        <v>3</v>
      </c>
      <c r="F126" s="37">
        <v>43</v>
      </c>
      <c r="G126" s="20" t="s">
        <v>198</v>
      </c>
      <c r="H126" s="24">
        <f t="shared" si="22"/>
        <v>8343</v>
      </c>
      <c r="I126" s="25" t="s">
        <v>53</v>
      </c>
      <c r="J126" s="24">
        <f t="shared" si="19"/>
        <v>3754350</v>
      </c>
      <c r="K126" s="20"/>
      <c r="L126" s="20"/>
      <c r="M126" s="20"/>
      <c r="N126" s="20"/>
      <c r="O126" s="24"/>
      <c r="P126" s="24"/>
      <c r="Q126" s="25"/>
      <c r="R126" s="24"/>
      <c r="S126" s="20"/>
      <c r="T126" s="27"/>
      <c r="U126" s="20"/>
      <c r="V126" s="27">
        <f t="shared" si="20"/>
        <v>3754350</v>
      </c>
      <c r="W126" s="26">
        <f t="shared" si="21"/>
        <v>3754350</v>
      </c>
      <c r="X126" s="27">
        <v>0</v>
      </c>
      <c r="Y126" s="26">
        <f t="shared" si="18"/>
        <v>3754350</v>
      </c>
      <c r="Z126" s="49">
        <v>1E-4</v>
      </c>
    </row>
    <row r="127" spans="1:26" s="50" customFormat="1" ht="90.75" customHeight="1" x14ac:dyDescent="0.25">
      <c r="A127" s="20">
        <v>72</v>
      </c>
      <c r="B127" s="37" t="s">
        <v>0</v>
      </c>
      <c r="C127" s="37">
        <v>46274</v>
      </c>
      <c r="D127" s="37">
        <v>59</v>
      </c>
      <c r="E127" s="37">
        <v>2</v>
      </c>
      <c r="F127" s="37">
        <v>75</v>
      </c>
      <c r="G127" s="20" t="s">
        <v>198</v>
      </c>
      <c r="H127" s="24">
        <f t="shared" si="22"/>
        <v>23875</v>
      </c>
      <c r="I127" s="25" t="s">
        <v>80</v>
      </c>
      <c r="J127" s="24">
        <f t="shared" si="19"/>
        <v>13728125</v>
      </c>
      <c r="K127" s="20"/>
      <c r="L127" s="20"/>
      <c r="M127" s="20"/>
      <c r="N127" s="20"/>
      <c r="O127" s="24"/>
      <c r="P127" s="24"/>
      <c r="Q127" s="25"/>
      <c r="R127" s="24"/>
      <c r="S127" s="20"/>
      <c r="T127" s="27"/>
      <c r="U127" s="20"/>
      <c r="V127" s="27">
        <f t="shared" si="20"/>
        <v>13728125</v>
      </c>
      <c r="W127" s="26">
        <f t="shared" si="21"/>
        <v>13728125</v>
      </c>
      <c r="X127" s="27">
        <v>0</v>
      </c>
      <c r="Y127" s="26">
        <f t="shared" si="18"/>
        <v>13728125</v>
      </c>
      <c r="Z127" s="49">
        <v>1E-4</v>
      </c>
    </row>
    <row r="128" spans="1:26" s="50" customFormat="1" ht="90.75" customHeight="1" x14ac:dyDescent="0.25">
      <c r="A128" s="20">
        <v>73</v>
      </c>
      <c r="B128" s="37" t="s">
        <v>0</v>
      </c>
      <c r="C128" s="37">
        <v>7601</v>
      </c>
      <c r="D128" s="37">
        <v>8</v>
      </c>
      <c r="E128" s="37">
        <v>1</v>
      </c>
      <c r="F128" s="37">
        <v>63</v>
      </c>
      <c r="G128" s="20" t="s">
        <v>198</v>
      </c>
      <c r="H128" s="24">
        <f t="shared" si="22"/>
        <v>3363</v>
      </c>
      <c r="I128" s="25" t="s">
        <v>32</v>
      </c>
      <c r="J128" s="24">
        <f t="shared" si="19"/>
        <v>672600</v>
      </c>
      <c r="K128" s="20"/>
      <c r="L128" s="20"/>
      <c r="M128" s="20"/>
      <c r="N128" s="20"/>
      <c r="O128" s="24"/>
      <c r="P128" s="24"/>
      <c r="Q128" s="25"/>
      <c r="R128" s="24"/>
      <c r="S128" s="20"/>
      <c r="T128" s="27"/>
      <c r="U128" s="20"/>
      <c r="V128" s="27">
        <f t="shared" si="20"/>
        <v>672600</v>
      </c>
      <c r="W128" s="26">
        <f t="shared" si="21"/>
        <v>672600</v>
      </c>
      <c r="X128" s="27">
        <v>0</v>
      </c>
      <c r="Y128" s="26">
        <f t="shared" si="18"/>
        <v>672600</v>
      </c>
      <c r="Z128" s="49">
        <v>1E-4</v>
      </c>
    </row>
    <row r="129" spans="1:26" s="50" customFormat="1" ht="90.75" customHeight="1" x14ac:dyDescent="0.25">
      <c r="A129" s="20">
        <v>74</v>
      </c>
      <c r="B129" s="37" t="s">
        <v>0</v>
      </c>
      <c r="C129" s="37">
        <v>7932</v>
      </c>
      <c r="D129" s="37">
        <v>68</v>
      </c>
      <c r="E129" s="37">
        <v>3</v>
      </c>
      <c r="F129" s="37">
        <v>20</v>
      </c>
      <c r="G129" s="20" t="s">
        <v>198</v>
      </c>
      <c r="H129" s="24">
        <f t="shared" si="22"/>
        <v>27520</v>
      </c>
      <c r="I129" s="25">
        <v>200</v>
      </c>
      <c r="J129" s="24">
        <f t="shared" si="19"/>
        <v>5504000</v>
      </c>
      <c r="K129" s="20"/>
      <c r="L129" s="20"/>
      <c r="M129" s="20"/>
      <c r="N129" s="20"/>
      <c r="O129" s="24"/>
      <c r="P129" s="24"/>
      <c r="Q129" s="25"/>
      <c r="R129" s="24"/>
      <c r="S129" s="20"/>
      <c r="T129" s="27"/>
      <c r="U129" s="20"/>
      <c r="V129" s="27">
        <f t="shared" si="20"/>
        <v>5504000</v>
      </c>
      <c r="W129" s="26">
        <f t="shared" si="21"/>
        <v>5504000</v>
      </c>
      <c r="X129" s="27">
        <v>0</v>
      </c>
      <c r="Y129" s="26">
        <f t="shared" si="18"/>
        <v>5504000</v>
      </c>
      <c r="Z129" s="49">
        <v>1E-4</v>
      </c>
    </row>
    <row r="130" spans="1:26" s="50" customFormat="1" ht="90.75" customHeight="1" x14ac:dyDescent="0.25">
      <c r="A130" s="20">
        <v>75</v>
      </c>
      <c r="B130" s="37" t="s">
        <v>0</v>
      </c>
      <c r="C130" s="37">
        <v>7810</v>
      </c>
      <c r="D130" s="37">
        <v>5</v>
      </c>
      <c r="E130" s="37">
        <v>2</v>
      </c>
      <c r="F130" s="37">
        <v>64</v>
      </c>
      <c r="G130" s="20" t="s">
        <v>198</v>
      </c>
      <c r="H130" s="24">
        <f t="shared" si="22"/>
        <v>2264</v>
      </c>
      <c r="I130" s="25" t="s">
        <v>32</v>
      </c>
      <c r="J130" s="24">
        <f t="shared" si="19"/>
        <v>452800</v>
      </c>
      <c r="K130" s="20"/>
      <c r="L130" s="20"/>
      <c r="M130" s="20"/>
      <c r="N130" s="20"/>
      <c r="O130" s="24"/>
      <c r="P130" s="24"/>
      <c r="Q130" s="25"/>
      <c r="R130" s="24"/>
      <c r="S130" s="20"/>
      <c r="T130" s="27"/>
      <c r="U130" s="20"/>
      <c r="V130" s="27">
        <f t="shared" si="20"/>
        <v>452800</v>
      </c>
      <c r="W130" s="26">
        <f t="shared" si="21"/>
        <v>452800</v>
      </c>
      <c r="X130" s="27">
        <v>0</v>
      </c>
      <c r="Y130" s="26">
        <f t="shared" si="18"/>
        <v>452800</v>
      </c>
      <c r="Z130" s="49">
        <v>1E-4</v>
      </c>
    </row>
    <row r="131" spans="1:26" s="50" customFormat="1" ht="90.75" customHeight="1" x14ac:dyDescent="0.25">
      <c r="A131" s="20">
        <v>76</v>
      </c>
      <c r="B131" s="37" t="s">
        <v>0</v>
      </c>
      <c r="C131" s="37">
        <v>7811</v>
      </c>
      <c r="D131" s="37">
        <v>18</v>
      </c>
      <c r="E131" s="37">
        <v>3</v>
      </c>
      <c r="F131" s="37">
        <v>24</v>
      </c>
      <c r="G131" s="20" t="s">
        <v>198</v>
      </c>
      <c r="H131" s="24">
        <f t="shared" si="22"/>
        <v>7524</v>
      </c>
      <c r="I131" s="25" t="s">
        <v>32</v>
      </c>
      <c r="J131" s="24">
        <f t="shared" si="19"/>
        <v>1504800</v>
      </c>
      <c r="K131" s="20"/>
      <c r="L131" s="20"/>
      <c r="M131" s="20"/>
      <c r="N131" s="20"/>
      <c r="O131" s="24"/>
      <c r="P131" s="24"/>
      <c r="Q131" s="25"/>
      <c r="R131" s="24"/>
      <c r="S131" s="20"/>
      <c r="T131" s="27"/>
      <c r="U131" s="20"/>
      <c r="V131" s="27">
        <f t="shared" si="20"/>
        <v>1504800</v>
      </c>
      <c r="W131" s="26">
        <f t="shared" si="21"/>
        <v>1504800</v>
      </c>
      <c r="X131" s="27">
        <v>0</v>
      </c>
      <c r="Y131" s="26">
        <f t="shared" si="18"/>
        <v>1504800</v>
      </c>
      <c r="Z131" s="49">
        <v>1E-4</v>
      </c>
    </row>
    <row r="132" spans="1:26" s="50" customFormat="1" ht="90.75" customHeight="1" x14ac:dyDescent="0.25">
      <c r="A132" s="20">
        <v>77</v>
      </c>
      <c r="B132" s="37" t="s">
        <v>0</v>
      </c>
      <c r="C132" s="37">
        <v>7814</v>
      </c>
      <c r="D132" s="37">
        <v>8</v>
      </c>
      <c r="E132" s="37">
        <v>3</v>
      </c>
      <c r="F132" s="37">
        <v>76</v>
      </c>
      <c r="G132" s="20" t="s">
        <v>198</v>
      </c>
      <c r="H132" s="24">
        <f t="shared" si="22"/>
        <v>3576</v>
      </c>
      <c r="I132" s="25" t="s">
        <v>32</v>
      </c>
      <c r="J132" s="24">
        <f t="shared" si="19"/>
        <v>715200</v>
      </c>
      <c r="K132" s="20"/>
      <c r="L132" s="20"/>
      <c r="M132" s="20"/>
      <c r="N132" s="20"/>
      <c r="O132" s="24"/>
      <c r="P132" s="24"/>
      <c r="Q132" s="25"/>
      <c r="R132" s="24"/>
      <c r="S132" s="20"/>
      <c r="T132" s="27"/>
      <c r="U132" s="20"/>
      <c r="V132" s="27">
        <f t="shared" si="20"/>
        <v>715200</v>
      </c>
      <c r="W132" s="26">
        <f t="shared" si="21"/>
        <v>715200</v>
      </c>
      <c r="X132" s="27">
        <v>0</v>
      </c>
      <c r="Y132" s="26">
        <f t="shared" ref="Y132:Y163" si="23">(W132-X132)</f>
        <v>715200</v>
      </c>
      <c r="Z132" s="49">
        <v>1E-4</v>
      </c>
    </row>
    <row r="133" spans="1:26" s="50" customFormat="1" ht="90.75" customHeight="1" x14ac:dyDescent="0.25">
      <c r="A133" s="20">
        <v>78</v>
      </c>
      <c r="B133" s="37" t="s">
        <v>0</v>
      </c>
      <c r="C133" s="37">
        <v>7822</v>
      </c>
      <c r="D133" s="37">
        <v>19</v>
      </c>
      <c r="E133" s="37">
        <v>3</v>
      </c>
      <c r="F133" s="37">
        <v>27</v>
      </c>
      <c r="G133" s="20" t="s">
        <v>198</v>
      </c>
      <c r="H133" s="24">
        <f t="shared" si="22"/>
        <v>7927</v>
      </c>
      <c r="I133" s="25" t="s">
        <v>7</v>
      </c>
      <c r="J133" s="24">
        <f t="shared" ref="J133:J164" si="24">(H133*I133)</f>
        <v>2774450</v>
      </c>
      <c r="K133" s="20"/>
      <c r="L133" s="20"/>
      <c r="M133" s="20"/>
      <c r="N133" s="20"/>
      <c r="O133" s="24"/>
      <c r="P133" s="24"/>
      <c r="Q133" s="25"/>
      <c r="R133" s="24"/>
      <c r="S133" s="20"/>
      <c r="T133" s="27"/>
      <c r="U133" s="20"/>
      <c r="V133" s="27">
        <f t="shared" ref="V133:V164" si="25">(J133+U133)</f>
        <v>2774450</v>
      </c>
      <c r="W133" s="26">
        <f t="shared" si="21"/>
        <v>2774450</v>
      </c>
      <c r="X133" s="27">
        <v>0</v>
      </c>
      <c r="Y133" s="26">
        <f t="shared" si="23"/>
        <v>2774450</v>
      </c>
      <c r="Z133" s="49">
        <v>1E-4</v>
      </c>
    </row>
    <row r="134" spans="1:26" s="50" customFormat="1" ht="90.75" customHeight="1" x14ac:dyDescent="0.25">
      <c r="A134" s="20">
        <v>79</v>
      </c>
      <c r="B134" s="37" t="s">
        <v>0</v>
      </c>
      <c r="C134" s="37">
        <v>7895</v>
      </c>
      <c r="D134" s="37">
        <v>14</v>
      </c>
      <c r="E134" s="37">
        <v>1</v>
      </c>
      <c r="F134" s="37">
        <v>31.3</v>
      </c>
      <c r="G134" s="20" t="s">
        <v>198</v>
      </c>
      <c r="H134" s="24">
        <f t="shared" si="22"/>
        <v>5731.3</v>
      </c>
      <c r="I134" s="25">
        <v>375</v>
      </c>
      <c r="J134" s="24">
        <f t="shared" si="24"/>
        <v>2149237.5</v>
      </c>
      <c r="K134" s="20"/>
      <c r="L134" s="20"/>
      <c r="M134" s="20"/>
      <c r="N134" s="20"/>
      <c r="O134" s="24"/>
      <c r="P134" s="24"/>
      <c r="Q134" s="25"/>
      <c r="R134" s="24"/>
      <c r="S134" s="20"/>
      <c r="T134" s="27"/>
      <c r="U134" s="20"/>
      <c r="V134" s="27">
        <f t="shared" si="25"/>
        <v>2149237.5</v>
      </c>
      <c r="W134" s="26">
        <f t="shared" si="21"/>
        <v>2149237.5</v>
      </c>
      <c r="X134" s="27">
        <v>0</v>
      </c>
      <c r="Y134" s="26">
        <f t="shared" si="23"/>
        <v>2149237.5</v>
      </c>
      <c r="Z134" s="49">
        <v>1E-4</v>
      </c>
    </row>
    <row r="135" spans="1:26" s="50" customFormat="1" ht="90.75" customHeight="1" x14ac:dyDescent="0.25">
      <c r="A135" s="20">
        <v>80</v>
      </c>
      <c r="B135" s="37" t="s">
        <v>0</v>
      </c>
      <c r="C135" s="37">
        <v>46278</v>
      </c>
      <c r="D135" s="37">
        <v>9</v>
      </c>
      <c r="E135" s="37">
        <v>1</v>
      </c>
      <c r="F135" s="37">
        <v>64</v>
      </c>
      <c r="G135" s="20" t="s">
        <v>198</v>
      </c>
      <c r="H135" s="24">
        <f t="shared" si="22"/>
        <v>3764</v>
      </c>
      <c r="I135" s="25" t="s">
        <v>32</v>
      </c>
      <c r="J135" s="24">
        <f t="shared" si="24"/>
        <v>752800</v>
      </c>
      <c r="K135" s="20"/>
      <c r="L135" s="20"/>
      <c r="M135" s="20"/>
      <c r="N135" s="20"/>
      <c r="O135" s="24"/>
      <c r="P135" s="24"/>
      <c r="Q135" s="25"/>
      <c r="R135" s="24"/>
      <c r="S135" s="20"/>
      <c r="T135" s="27"/>
      <c r="U135" s="20"/>
      <c r="V135" s="27">
        <f t="shared" si="25"/>
        <v>752800</v>
      </c>
      <c r="W135" s="26">
        <f t="shared" si="21"/>
        <v>752800</v>
      </c>
      <c r="X135" s="27">
        <v>0</v>
      </c>
      <c r="Y135" s="26">
        <f t="shared" si="23"/>
        <v>752800</v>
      </c>
      <c r="Z135" s="49">
        <v>1E-4</v>
      </c>
    </row>
    <row r="136" spans="1:26" s="50" customFormat="1" ht="90.75" customHeight="1" x14ac:dyDescent="0.25">
      <c r="A136" s="20">
        <v>81</v>
      </c>
      <c r="B136" s="37" t="s">
        <v>0</v>
      </c>
      <c r="C136" s="37">
        <v>48704</v>
      </c>
      <c r="D136" s="37">
        <v>4</v>
      </c>
      <c r="E136" s="37">
        <v>3</v>
      </c>
      <c r="F136" s="37">
        <v>10</v>
      </c>
      <c r="G136" s="20" t="s">
        <v>198</v>
      </c>
      <c r="H136" s="24">
        <f t="shared" si="22"/>
        <v>1910</v>
      </c>
      <c r="I136" s="25" t="s">
        <v>32</v>
      </c>
      <c r="J136" s="24">
        <f t="shared" si="24"/>
        <v>382000</v>
      </c>
      <c r="K136" s="20"/>
      <c r="L136" s="20"/>
      <c r="M136" s="20"/>
      <c r="N136" s="20"/>
      <c r="O136" s="24"/>
      <c r="P136" s="24"/>
      <c r="Q136" s="25"/>
      <c r="R136" s="24"/>
      <c r="S136" s="20"/>
      <c r="T136" s="27"/>
      <c r="U136" s="20"/>
      <c r="V136" s="27">
        <f t="shared" si="25"/>
        <v>382000</v>
      </c>
      <c r="W136" s="26">
        <f t="shared" si="21"/>
        <v>382000</v>
      </c>
      <c r="X136" s="27">
        <v>0</v>
      </c>
      <c r="Y136" s="26">
        <f t="shared" si="23"/>
        <v>382000</v>
      </c>
      <c r="Z136" s="49">
        <v>1E-4</v>
      </c>
    </row>
    <row r="137" spans="1:26" s="50" customFormat="1" ht="90.75" customHeight="1" x14ac:dyDescent="0.25">
      <c r="A137" s="20">
        <v>82</v>
      </c>
      <c r="B137" s="37" t="s">
        <v>0</v>
      </c>
      <c r="C137" s="37">
        <v>7513</v>
      </c>
      <c r="D137" s="37">
        <v>24</v>
      </c>
      <c r="E137" s="37">
        <v>0</v>
      </c>
      <c r="F137" s="37">
        <v>24</v>
      </c>
      <c r="G137" s="21" t="s">
        <v>209</v>
      </c>
      <c r="H137" s="24">
        <f t="shared" si="22"/>
        <v>9624</v>
      </c>
      <c r="I137" s="25">
        <v>200</v>
      </c>
      <c r="J137" s="24">
        <f t="shared" si="24"/>
        <v>1924800</v>
      </c>
      <c r="K137" s="20"/>
      <c r="L137" s="20"/>
      <c r="M137" s="20"/>
      <c r="N137" s="20"/>
      <c r="O137" s="24"/>
      <c r="P137" s="24"/>
      <c r="Q137" s="25"/>
      <c r="R137" s="24"/>
      <c r="S137" s="20"/>
      <c r="T137" s="27"/>
      <c r="U137" s="20"/>
      <c r="V137" s="27">
        <f t="shared" si="25"/>
        <v>1924800</v>
      </c>
      <c r="W137" s="26">
        <f t="shared" ref="W137:W168" si="26">(V137*100/100)</f>
        <v>1924800</v>
      </c>
      <c r="X137" s="27">
        <v>0</v>
      </c>
      <c r="Y137" s="26">
        <f t="shared" si="23"/>
        <v>1924800</v>
      </c>
      <c r="Z137" s="49"/>
    </row>
    <row r="138" spans="1:26" s="50" customFormat="1" ht="90.75" customHeight="1" x14ac:dyDescent="0.25">
      <c r="A138" s="20">
        <v>83</v>
      </c>
      <c r="B138" s="37" t="s">
        <v>0</v>
      </c>
      <c r="C138" s="37">
        <v>7514</v>
      </c>
      <c r="D138" s="37">
        <v>33</v>
      </c>
      <c r="E138" s="37">
        <v>0</v>
      </c>
      <c r="F138" s="37">
        <v>48</v>
      </c>
      <c r="G138" s="21" t="s">
        <v>209</v>
      </c>
      <c r="H138" s="24">
        <f t="shared" si="22"/>
        <v>13248</v>
      </c>
      <c r="I138" s="25">
        <v>200</v>
      </c>
      <c r="J138" s="24">
        <f t="shared" si="24"/>
        <v>2649600</v>
      </c>
      <c r="K138" s="20"/>
      <c r="L138" s="20"/>
      <c r="M138" s="20"/>
      <c r="N138" s="20"/>
      <c r="O138" s="24"/>
      <c r="P138" s="24"/>
      <c r="Q138" s="25"/>
      <c r="R138" s="24"/>
      <c r="S138" s="20"/>
      <c r="T138" s="27"/>
      <c r="U138" s="20"/>
      <c r="V138" s="27">
        <f t="shared" si="25"/>
        <v>2649600</v>
      </c>
      <c r="W138" s="26">
        <f t="shared" si="26"/>
        <v>2649600</v>
      </c>
      <c r="X138" s="27">
        <v>0</v>
      </c>
      <c r="Y138" s="26">
        <f t="shared" si="23"/>
        <v>2649600</v>
      </c>
      <c r="Z138" s="49">
        <v>1E-4</v>
      </c>
    </row>
    <row r="139" spans="1:26" s="50" customFormat="1" ht="90.75" customHeight="1" x14ac:dyDescent="0.25">
      <c r="A139" s="20">
        <v>84</v>
      </c>
      <c r="B139" s="37" t="s">
        <v>0</v>
      </c>
      <c r="C139" s="37">
        <v>7515</v>
      </c>
      <c r="D139" s="37">
        <v>35</v>
      </c>
      <c r="E139" s="37">
        <v>1</v>
      </c>
      <c r="F139" s="37">
        <v>24</v>
      </c>
      <c r="G139" s="21" t="s">
        <v>209</v>
      </c>
      <c r="H139" s="24">
        <f t="shared" si="22"/>
        <v>14124</v>
      </c>
      <c r="I139" s="25">
        <v>625</v>
      </c>
      <c r="J139" s="24">
        <f t="shared" si="24"/>
        <v>8827500</v>
      </c>
      <c r="K139" s="20"/>
      <c r="L139" s="20"/>
      <c r="M139" s="20"/>
      <c r="N139" s="20"/>
      <c r="O139" s="24"/>
      <c r="P139" s="24"/>
      <c r="Q139" s="25"/>
      <c r="R139" s="24"/>
      <c r="S139" s="20"/>
      <c r="T139" s="27"/>
      <c r="U139" s="20"/>
      <c r="V139" s="27">
        <f t="shared" si="25"/>
        <v>8827500</v>
      </c>
      <c r="W139" s="26">
        <f t="shared" si="26"/>
        <v>8827500</v>
      </c>
      <c r="X139" s="27">
        <v>0</v>
      </c>
      <c r="Y139" s="26">
        <f t="shared" si="23"/>
        <v>8827500</v>
      </c>
      <c r="Z139" s="49">
        <v>1E-4</v>
      </c>
    </row>
    <row r="140" spans="1:26" s="50" customFormat="1" ht="90.75" customHeight="1" x14ac:dyDescent="0.25">
      <c r="A140" s="20">
        <v>85</v>
      </c>
      <c r="B140" s="37" t="s">
        <v>0</v>
      </c>
      <c r="C140" s="37">
        <v>7896</v>
      </c>
      <c r="D140" s="37">
        <v>34</v>
      </c>
      <c r="E140" s="37">
        <v>2</v>
      </c>
      <c r="F140" s="37">
        <v>41</v>
      </c>
      <c r="G140" s="21" t="s">
        <v>209</v>
      </c>
      <c r="H140" s="24">
        <f t="shared" si="22"/>
        <v>13841</v>
      </c>
      <c r="I140" s="25" t="s">
        <v>19</v>
      </c>
      <c r="J140" s="24">
        <f t="shared" si="24"/>
        <v>5190375</v>
      </c>
      <c r="K140" s="20"/>
      <c r="L140" s="20"/>
      <c r="M140" s="20"/>
      <c r="N140" s="20"/>
      <c r="O140" s="24"/>
      <c r="P140" s="24"/>
      <c r="Q140" s="25"/>
      <c r="R140" s="24"/>
      <c r="S140" s="20"/>
      <c r="T140" s="27"/>
      <c r="U140" s="20"/>
      <c r="V140" s="27">
        <f t="shared" si="25"/>
        <v>5190375</v>
      </c>
      <c r="W140" s="26">
        <f t="shared" si="26"/>
        <v>5190375</v>
      </c>
      <c r="X140" s="27">
        <v>0</v>
      </c>
      <c r="Y140" s="26">
        <f t="shared" si="23"/>
        <v>5190375</v>
      </c>
      <c r="Z140" s="49">
        <v>1E-4</v>
      </c>
    </row>
    <row r="141" spans="1:26" s="50" customFormat="1" ht="90.75" customHeight="1" x14ac:dyDescent="0.25">
      <c r="A141" s="20">
        <v>86</v>
      </c>
      <c r="B141" s="37" t="s">
        <v>0</v>
      </c>
      <c r="C141" s="37">
        <v>7975</v>
      </c>
      <c r="D141" s="37">
        <v>86</v>
      </c>
      <c r="E141" s="37">
        <v>3</v>
      </c>
      <c r="F141" s="37">
        <v>31</v>
      </c>
      <c r="G141" s="21" t="s">
        <v>209</v>
      </c>
      <c r="H141" s="24">
        <f t="shared" si="22"/>
        <v>34731</v>
      </c>
      <c r="I141" s="25" t="s">
        <v>19</v>
      </c>
      <c r="J141" s="24">
        <f t="shared" si="24"/>
        <v>13024125</v>
      </c>
      <c r="K141" s="20"/>
      <c r="L141" s="20"/>
      <c r="M141" s="20"/>
      <c r="N141" s="20"/>
      <c r="O141" s="24"/>
      <c r="P141" s="24"/>
      <c r="Q141" s="25"/>
      <c r="R141" s="24"/>
      <c r="S141" s="20"/>
      <c r="T141" s="27"/>
      <c r="U141" s="20"/>
      <c r="V141" s="27">
        <f t="shared" si="25"/>
        <v>13024125</v>
      </c>
      <c r="W141" s="26">
        <f t="shared" si="26"/>
        <v>13024125</v>
      </c>
      <c r="X141" s="27">
        <v>0</v>
      </c>
      <c r="Y141" s="26">
        <f t="shared" si="23"/>
        <v>13024125</v>
      </c>
      <c r="Z141" s="49">
        <v>1E-4</v>
      </c>
    </row>
    <row r="142" spans="1:26" s="50" customFormat="1" ht="90.75" customHeight="1" x14ac:dyDescent="0.25">
      <c r="A142" s="20">
        <v>87</v>
      </c>
      <c r="B142" s="37" t="s">
        <v>0</v>
      </c>
      <c r="C142" s="37">
        <v>7517</v>
      </c>
      <c r="D142" s="37">
        <v>6</v>
      </c>
      <c r="E142" s="37">
        <v>3</v>
      </c>
      <c r="F142" s="37">
        <v>32</v>
      </c>
      <c r="G142" s="21" t="s">
        <v>209</v>
      </c>
      <c r="H142" s="24">
        <f t="shared" ref="H142:H173" si="27">(D142*400)+(E142*100)+F142</f>
        <v>2732</v>
      </c>
      <c r="I142" s="25">
        <v>575</v>
      </c>
      <c r="J142" s="24">
        <f t="shared" si="24"/>
        <v>1570900</v>
      </c>
      <c r="K142" s="20"/>
      <c r="L142" s="20"/>
      <c r="M142" s="20"/>
      <c r="N142" s="20"/>
      <c r="O142" s="24"/>
      <c r="P142" s="24"/>
      <c r="Q142" s="25"/>
      <c r="R142" s="24"/>
      <c r="S142" s="20"/>
      <c r="T142" s="27"/>
      <c r="U142" s="20"/>
      <c r="V142" s="27">
        <f t="shared" si="25"/>
        <v>1570900</v>
      </c>
      <c r="W142" s="26">
        <f t="shared" si="26"/>
        <v>1570900</v>
      </c>
      <c r="X142" s="27">
        <v>0</v>
      </c>
      <c r="Y142" s="26">
        <f t="shared" si="23"/>
        <v>1570900</v>
      </c>
      <c r="Z142" s="49"/>
    </row>
    <row r="143" spans="1:26" s="50" customFormat="1" ht="90.75" customHeight="1" x14ac:dyDescent="0.25">
      <c r="A143" s="20">
        <v>88</v>
      </c>
      <c r="B143" s="37" t="s">
        <v>0</v>
      </c>
      <c r="C143" s="37">
        <v>48700</v>
      </c>
      <c r="D143" s="37">
        <v>7</v>
      </c>
      <c r="E143" s="37">
        <v>1</v>
      </c>
      <c r="F143" s="37">
        <v>8</v>
      </c>
      <c r="G143" s="20" t="s">
        <v>198</v>
      </c>
      <c r="H143" s="24">
        <f t="shared" si="27"/>
        <v>2908</v>
      </c>
      <c r="I143" s="25">
        <v>375</v>
      </c>
      <c r="J143" s="24">
        <f t="shared" si="24"/>
        <v>1090500</v>
      </c>
      <c r="K143" s="20"/>
      <c r="L143" s="20"/>
      <c r="M143" s="20"/>
      <c r="N143" s="20"/>
      <c r="O143" s="24"/>
      <c r="P143" s="24"/>
      <c r="Q143" s="25"/>
      <c r="R143" s="24"/>
      <c r="S143" s="20"/>
      <c r="T143" s="27"/>
      <c r="U143" s="20"/>
      <c r="V143" s="27">
        <f t="shared" si="25"/>
        <v>1090500</v>
      </c>
      <c r="W143" s="26">
        <f t="shared" si="26"/>
        <v>1090500</v>
      </c>
      <c r="X143" s="27">
        <v>0</v>
      </c>
      <c r="Y143" s="26">
        <f t="shared" si="23"/>
        <v>1090500</v>
      </c>
      <c r="Z143" s="49">
        <v>1E-4</v>
      </c>
    </row>
    <row r="144" spans="1:26" s="50" customFormat="1" ht="90.75" customHeight="1" x14ac:dyDescent="0.25">
      <c r="A144" s="20">
        <v>89</v>
      </c>
      <c r="B144" s="37" t="s">
        <v>0</v>
      </c>
      <c r="C144" s="37">
        <v>46275</v>
      </c>
      <c r="D144" s="37">
        <v>12</v>
      </c>
      <c r="E144" s="37">
        <v>3</v>
      </c>
      <c r="F144" s="37">
        <v>32</v>
      </c>
      <c r="G144" s="20" t="s">
        <v>198</v>
      </c>
      <c r="H144" s="24">
        <f t="shared" si="27"/>
        <v>5132</v>
      </c>
      <c r="I144" s="25" t="s">
        <v>32</v>
      </c>
      <c r="J144" s="24">
        <f t="shared" si="24"/>
        <v>1026400</v>
      </c>
      <c r="K144" s="20"/>
      <c r="L144" s="20"/>
      <c r="M144" s="20"/>
      <c r="N144" s="20"/>
      <c r="O144" s="24"/>
      <c r="P144" s="24"/>
      <c r="Q144" s="25"/>
      <c r="R144" s="24"/>
      <c r="S144" s="20"/>
      <c r="T144" s="27"/>
      <c r="U144" s="20"/>
      <c r="V144" s="27">
        <f t="shared" si="25"/>
        <v>1026400</v>
      </c>
      <c r="W144" s="26">
        <f t="shared" si="26"/>
        <v>1026400</v>
      </c>
      <c r="X144" s="27">
        <v>0</v>
      </c>
      <c r="Y144" s="26">
        <f t="shared" si="23"/>
        <v>1026400</v>
      </c>
      <c r="Z144" s="49">
        <v>1E-4</v>
      </c>
    </row>
    <row r="145" spans="1:26" s="50" customFormat="1" ht="90.75" customHeight="1" x14ac:dyDescent="0.25">
      <c r="A145" s="20">
        <v>90</v>
      </c>
      <c r="B145" s="37" t="s">
        <v>0</v>
      </c>
      <c r="C145" s="37">
        <v>7813</v>
      </c>
      <c r="D145" s="37">
        <v>6</v>
      </c>
      <c r="E145" s="37">
        <v>2</v>
      </c>
      <c r="F145" s="37">
        <v>60</v>
      </c>
      <c r="G145" s="20" t="s">
        <v>198</v>
      </c>
      <c r="H145" s="24">
        <f t="shared" si="27"/>
        <v>2660</v>
      </c>
      <c r="I145" s="25" t="s">
        <v>22</v>
      </c>
      <c r="J145" s="24">
        <f t="shared" si="24"/>
        <v>1396500</v>
      </c>
      <c r="K145" s="20"/>
      <c r="L145" s="20"/>
      <c r="M145" s="20"/>
      <c r="N145" s="20"/>
      <c r="O145" s="24"/>
      <c r="P145" s="24"/>
      <c r="Q145" s="25"/>
      <c r="R145" s="24"/>
      <c r="S145" s="20"/>
      <c r="T145" s="27"/>
      <c r="U145" s="20"/>
      <c r="V145" s="27">
        <f t="shared" si="25"/>
        <v>1396500</v>
      </c>
      <c r="W145" s="26">
        <f t="shared" si="26"/>
        <v>1396500</v>
      </c>
      <c r="X145" s="27">
        <v>0</v>
      </c>
      <c r="Y145" s="26">
        <f t="shared" si="23"/>
        <v>1396500</v>
      </c>
      <c r="Z145" s="49">
        <v>1E-4</v>
      </c>
    </row>
    <row r="146" spans="1:26" s="50" customFormat="1" ht="90.75" customHeight="1" x14ac:dyDescent="0.25">
      <c r="A146" s="20">
        <v>91</v>
      </c>
      <c r="B146" s="37" t="s">
        <v>0</v>
      </c>
      <c r="C146" s="37">
        <v>7804</v>
      </c>
      <c r="D146" s="37">
        <v>23</v>
      </c>
      <c r="E146" s="37">
        <v>0</v>
      </c>
      <c r="F146" s="37">
        <v>38</v>
      </c>
      <c r="G146" s="20" t="s">
        <v>198</v>
      </c>
      <c r="H146" s="24">
        <f t="shared" si="27"/>
        <v>9238</v>
      </c>
      <c r="I146" s="25" t="s">
        <v>7</v>
      </c>
      <c r="J146" s="24">
        <f t="shared" si="24"/>
        <v>3233300</v>
      </c>
      <c r="K146" s="20"/>
      <c r="L146" s="20"/>
      <c r="M146" s="20"/>
      <c r="N146" s="20"/>
      <c r="O146" s="24"/>
      <c r="P146" s="24"/>
      <c r="Q146" s="25"/>
      <c r="R146" s="24"/>
      <c r="S146" s="20"/>
      <c r="T146" s="27"/>
      <c r="U146" s="20"/>
      <c r="V146" s="27">
        <f t="shared" si="25"/>
        <v>3233300</v>
      </c>
      <c r="W146" s="26">
        <f t="shared" si="26"/>
        <v>3233300</v>
      </c>
      <c r="X146" s="27">
        <v>0</v>
      </c>
      <c r="Y146" s="26">
        <f t="shared" si="23"/>
        <v>3233300</v>
      </c>
      <c r="Z146" s="49">
        <v>1E-4</v>
      </c>
    </row>
    <row r="147" spans="1:26" s="50" customFormat="1" ht="90.75" customHeight="1" x14ac:dyDescent="0.25">
      <c r="A147" s="20">
        <v>92</v>
      </c>
      <c r="B147" s="37" t="s">
        <v>0</v>
      </c>
      <c r="C147" s="37">
        <v>7802</v>
      </c>
      <c r="D147" s="37">
        <v>6</v>
      </c>
      <c r="E147" s="37">
        <v>0</v>
      </c>
      <c r="F147" s="37">
        <v>57</v>
      </c>
      <c r="G147" s="20" t="s">
        <v>198</v>
      </c>
      <c r="H147" s="24">
        <f t="shared" si="27"/>
        <v>2457</v>
      </c>
      <c r="I147" s="25" t="s">
        <v>32</v>
      </c>
      <c r="J147" s="24">
        <f t="shared" si="24"/>
        <v>491400</v>
      </c>
      <c r="K147" s="20"/>
      <c r="L147" s="20"/>
      <c r="M147" s="20"/>
      <c r="N147" s="20"/>
      <c r="O147" s="24"/>
      <c r="P147" s="24"/>
      <c r="Q147" s="25"/>
      <c r="R147" s="24"/>
      <c r="S147" s="20"/>
      <c r="T147" s="27"/>
      <c r="U147" s="20"/>
      <c r="V147" s="27">
        <f t="shared" si="25"/>
        <v>491400</v>
      </c>
      <c r="W147" s="26">
        <f t="shared" si="26"/>
        <v>491400</v>
      </c>
      <c r="X147" s="27">
        <v>0</v>
      </c>
      <c r="Y147" s="26">
        <f t="shared" si="23"/>
        <v>491400</v>
      </c>
      <c r="Z147" s="49">
        <v>1E-4</v>
      </c>
    </row>
    <row r="148" spans="1:26" s="50" customFormat="1" ht="90.75" customHeight="1" x14ac:dyDescent="0.25">
      <c r="A148" s="20">
        <v>93</v>
      </c>
      <c r="B148" s="37" t="s">
        <v>0</v>
      </c>
      <c r="C148" s="37">
        <v>7803</v>
      </c>
      <c r="D148" s="37">
        <v>9</v>
      </c>
      <c r="E148" s="37">
        <v>2</v>
      </c>
      <c r="F148" s="37">
        <v>94</v>
      </c>
      <c r="G148" s="20" t="s">
        <v>198</v>
      </c>
      <c r="H148" s="24">
        <f t="shared" si="27"/>
        <v>3894</v>
      </c>
      <c r="I148" s="25" t="s">
        <v>32</v>
      </c>
      <c r="J148" s="24">
        <f t="shared" si="24"/>
        <v>778800</v>
      </c>
      <c r="K148" s="20"/>
      <c r="L148" s="20"/>
      <c r="M148" s="20"/>
      <c r="N148" s="20"/>
      <c r="O148" s="24"/>
      <c r="P148" s="24"/>
      <c r="Q148" s="25"/>
      <c r="R148" s="24"/>
      <c r="S148" s="20"/>
      <c r="T148" s="27"/>
      <c r="U148" s="20"/>
      <c r="V148" s="27">
        <f t="shared" si="25"/>
        <v>778800</v>
      </c>
      <c r="W148" s="26">
        <f t="shared" si="26"/>
        <v>778800</v>
      </c>
      <c r="X148" s="27">
        <v>0</v>
      </c>
      <c r="Y148" s="26">
        <f t="shared" si="23"/>
        <v>778800</v>
      </c>
      <c r="Z148" s="49">
        <v>1E-4</v>
      </c>
    </row>
    <row r="149" spans="1:26" s="50" customFormat="1" ht="90.75" customHeight="1" x14ac:dyDescent="0.25">
      <c r="A149" s="20">
        <v>94</v>
      </c>
      <c r="B149" s="37" t="s">
        <v>0</v>
      </c>
      <c r="C149" s="37">
        <v>7808</v>
      </c>
      <c r="D149" s="37">
        <v>3</v>
      </c>
      <c r="E149" s="37">
        <v>2</v>
      </c>
      <c r="F149" s="37">
        <v>33</v>
      </c>
      <c r="G149" s="20" t="s">
        <v>198</v>
      </c>
      <c r="H149" s="24">
        <f t="shared" si="27"/>
        <v>1433</v>
      </c>
      <c r="I149" s="25">
        <v>350</v>
      </c>
      <c r="J149" s="24">
        <f t="shared" si="24"/>
        <v>501550</v>
      </c>
      <c r="K149" s="20"/>
      <c r="L149" s="20"/>
      <c r="M149" s="20"/>
      <c r="N149" s="20"/>
      <c r="O149" s="24"/>
      <c r="P149" s="24"/>
      <c r="Q149" s="25"/>
      <c r="R149" s="24"/>
      <c r="S149" s="20"/>
      <c r="T149" s="27"/>
      <c r="U149" s="20"/>
      <c r="V149" s="27">
        <f t="shared" si="25"/>
        <v>501550</v>
      </c>
      <c r="W149" s="26">
        <f t="shared" si="26"/>
        <v>501550</v>
      </c>
      <c r="X149" s="27">
        <v>0</v>
      </c>
      <c r="Y149" s="26">
        <f t="shared" si="23"/>
        <v>501550</v>
      </c>
      <c r="Z149" s="49">
        <v>1E-4</v>
      </c>
    </row>
    <row r="150" spans="1:26" s="50" customFormat="1" ht="90.75" customHeight="1" x14ac:dyDescent="0.25">
      <c r="A150" s="20">
        <v>95</v>
      </c>
      <c r="B150" s="37" t="s">
        <v>0</v>
      </c>
      <c r="C150" s="37">
        <v>48702</v>
      </c>
      <c r="D150" s="37">
        <v>5</v>
      </c>
      <c r="E150" s="37">
        <v>0</v>
      </c>
      <c r="F150" s="37">
        <v>91</v>
      </c>
      <c r="G150" s="20" t="s">
        <v>198</v>
      </c>
      <c r="H150" s="24">
        <f t="shared" si="27"/>
        <v>2091</v>
      </c>
      <c r="I150" s="25" t="s">
        <v>32</v>
      </c>
      <c r="J150" s="24">
        <f t="shared" si="24"/>
        <v>418200</v>
      </c>
      <c r="K150" s="20"/>
      <c r="L150" s="20"/>
      <c r="M150" s="20"/>
      <c r="N150" s="20"/>
      <c r="O150" s="24"/>
      <c r="P150" s="24"/>
      <c r="Q150" s="25"/>
      <c r="R150" s="24"/>
      <c r="S150" s="20"/>
      <c r="T150" s="27"/>
      <c r="U150" s="20"/>
      <c r="V150" s="27">
        <f t="shared" si="25"/>
        <v>418200</v>
      </c>
      <c r="W150" s="26">
        <f t="shared" si="26"/>
        <v>418200</v>
      </c>
      <c r="X150" s="27">
        <v>0</v>
      </c>
      <c r="Y150" s="26">
        <f t="shared" si="23"/>
        <v>418200</v>
      </c>
      <c r="Z150" s="49">
        <v>1E-4</v>
      </c>
    </row>
    <row r="151" spans="1:26" s="50" customFormat="1" ht="90.75" customHeight="1" x14ac:dyDescent="0.25">
      <c r="A151" s="20">
        <v>96</v>
      </c>
      <c r="B151" s="37" t="s">
        <v>0</v>
      </c>
      <c r="C151" s="37">
        <v>31992</v>
      </c>
      <c r="D151" s="37">
        <v>9</v>
      </c>
      <c r="E151" s="37">
        <v>1</v>
      </c>
      <c r="F151" s="37">
        <v>43</v>
      </c>
      <c r="G151" s="20" t="s">
        <v>198</v>
      </c>
      <c r="H151" s="24">
        <f t="shared" si="27"/>
        <v>3743</v>
      </c>
      <c r="I151" s="25" t="s">
        <v>32</v>
      </c>
      <c r="J151" s="24">
        <f t="shared" si="24"/>
        <v>748600</v>
      </c>
      <c r="K151" s="20"/>
      <c r="L151" s="20"/>
      <c r="M151" s="20"/>
      <c r="N151" s="20"/>
      <c r="O151" s="24"/>
      <c r="P151" s="24"/>
      <c r="Q151" s="25"/>
      <c r="R151" s="24"/>
      <c r="S151" s="20"/>
      <c r="T151" s="27"/>
      <c r="U151" s="20"/>
      <c r="V151" s="27">
        <f t="shared" si="25"/>
        <v>748600</v>
      </c>
      <c r="W151" s="26">
        <f t="shared" si="26"/>
        <v>748600</v>
      </c>
      <c r="X151" s="27">
        <v>0</v>
      </c>
      <c r="Y151" s="26">
        <f t="shared" si="23"/>
        <v>748600</v>
      </c>
      <c r="Z151" s="49">
        <v>1E-4</v>
      </c>
    </row>
    <row r="152" spans="1:26" s="50" customFormat="1" ht="90.75" customHeight="1" x14ac:dyDescent="0.25">
      <c r="A152" s="20">
        <v>97</v>
      </c>
      <c r="B152" s="37" t="s">
        <v>0</v>
      </c>
      <c r="C152" s="37">
        <v>46276</v>
      </c>
      <c r="D152" s="37">
        <v>18</v>
      </c>
      <c r="E152" s="37">
        <v>3</v>
      </c>
      <c r="F152" s="37">
        <v>13</v>
      </c>
      <c r="G152" s="20" t="s">
        <v>198</v>
      </c>
      <c r="H152" s="24">
        <f t="shared" si="27"/>
        <v>7513</v>
      </c>
      <c r="I152" s="25" t="s">
        <v>32</v>
      </c>
      <c r="J152" s="24">
        <f t="shared" si="24"/>
        <v>1502600</v>
      </c>
      <c r="K152" s="20"/>
      <c r="L152" s="20"/>
      <c r="M152" s="20"/>
      <c r="N152" s="20"/>
      <c r="O152" s="24"/>
      <c r="P152" s="24"/>
      <c r="Q152" s="25"/>
      <c r="R152" s="24"/>
      <c r="S152" s="20"/>
      <c r="T152" s="27"/>
      <c r="U152" s="20"/>
      <c r="V152" s="27">
        <f t="shared" si="25"/>
        <v>1502600</v>
      </c>
      <c r="W152" s="26">
        <f t="shared" si="26"/>
        <v>1502600</v>
      </c>
      <c r="X152" s="27">
        <v>0</v>
      </c>
      <c r="Y152" s="26">
        <f t="shared" si="23"/>
        <v>1502600</v>
      </c>
      <c r="Z152" s="49">
        <v>1E-4</v>
      </c>
    </row>
    <row r="153" spans="1:26" s="50" customFormat="1" ht="90.75" customHeight="1" x14ac:dyDescent="0.25">
      <c r="A153" s="20">
        <v>98</v>
      </c>
      <c r="B153" s="37" t="s">
        <v>0</v>
      </c>
      <c r="C153" s="37">
        <v>48703</v>
      </c>
      <c r="D153" s="37">
        <v>7</v>
      </c>
      <c r="E153" s="37">
        <v>3</v>
      </c>
      <c r="F153" s="37">
        <v>78</v>
      </c>
      <c r="G153" s="20" t="s">
        <v>198</v>
      </c>
      <c r="H153" s="24">
        <f t="shared" si="27"/>
        <v>3178</v>
      </c>
      <c r="I153" s="25">
        <v>200</v>
      </c>
      <c r="J153" s="24">
        <f t="shared" si="24"/>
        <v>635600</v>
      </c>
      <c r="K153" s="20"/>
      <c r="L153" s="20"/>
      <c r="M153" s="20"/>
      <c r="N153" s="20"/>
      <c r="O153" s="24"/>
      <c r="P153" s="24"/>
      <c r="Q153" s="25"/>
      <c r="R153" s="24"/>
      <c r="S153" s="20"/>
      <c r="T153" s="27"/>
      <c r="U153" s="20"/>
      <c r="V153" s="27">
        <f t="shared" si="25"/>
        <v>635600</v>
      </c>
      <c r="W153" s="26">
        <f t="shared" si="26"/>
        <v>635600</v>
      </c>
      <c r="X153" s="27">
        <v>0</v>
      </c>
      <c r="Y153" s="26">
        <f t="shared" si="23"/>
        <v>635600</v>
      </c>
      <c r="Z153" s="49">
        <v>1E-4</v>
      </c>
    </row>
    <row r="154" spans="1:26" s="50" customFormat="1" ht="90.75" customHeight="1" x14ac:dyDescent="0.25">
      <c r="A154" s="20">
        <v>99</v>
      </c>
      <c r="B154" s="37" t="s">
        <v>0</v>
      </c>
      <c r="C154" s="37">
        <v>48701</v>
      </c>
      <c r="D154" s="37">
        <v>3</v>
      </c>
      <c r="E154" s="37">
        <v>3</v>
      </c>
      <c r="F154" s="37">
        <v>0</v>
      </c>
      <c r="G154" s="20" t="s">
        <v>198</v>
      </c>
      <c r="H154" s="24">
        <f t="shared" si="27"/>
        <v>1500</v>
      </c>
      <c r="I154" s="25" t="s">
        <v>75</v>
      </c>
      <c r="J154" s="24">
        <f t="shared" si="24"/>
        <v>937500</v>
      </c>
      <c r="K154" s="20"/>
      <c r="L154" s="20"/>
      <c r="M154" s="20"/>
      <c r="N154" s="20"/>
      <c r="O154" s="24"/>
      <c r="P154" s="24"/>
      <c r="Q154" s="25"/>
      <c r="R154" s="24"/>
      <c r="S154" s="20"/>
      <c r="T154" s="27"/>
      <c r="U154" s="20"/>
      <c r="V154" s="27">
        <f t="shared" si="25"/>
        <v>937500</v>
      </c>
      <c r="W154" s="26">
        <f t="shared" si="26"/>
        <v>937500</v>
      </c>
      <c r="X154" s="27">
        <v>0</v>
      </c>
      <c r="Y154" s="26">
        <f t="shared" si="23"/>
        <v>937500</v>
      </c>
      <c r="Z154" s="49">
        <v>1E-4</v>
      </c>
    </row>
    <row r="155" spans="1:26" s="50" customFormat="1" ht="90.75" customHeight="1" x14ac:dyDescent="0.25">
      <c r="A155" s="20">
        <v>100</v>
      </c>
      <c r="B155" s="37" t="s">
        <v>0</v>
      </c>
      <c r="C155" s="37">
        <v>31929</v>
      </c>
      <c r="D155" s="37">
        <v>26</v>
      </c>
      <c r="E155" s="37">
        <v>1</v>
      </c>
      <c r="F155" s="37">
        <v>89</v>
      </c>
      <c r="G155" s="20" t="s">
        <v>198</v>
      </c>
      <c r="H155" s="24">
        <f t="shared" si="27"/>
        <v>10589</v>
      </c>
      <c r="I155" s="25" t="s">
        <v>7</v>
      </c>
      <c r="J155" s="24">
        <f t="shared" si="24"/>
        <v>3706150</v>
      </c>
      <c r="K155" s="20"/>
      <c r="L155" s="20"/>
      <c r="M155" s="20"/>
      <c r="N155" s="20"/>
      <c r="O155" s="24"/>
      <c r="P155" s="24"/>
      <c r="Q155" s="25"/>
      <c r="R155" s="24"/>
      <c r="S155" s="20"/>
      <c r="T155" s="27"/>
      <c r="U155" s="20"/>
      <c r="V155" s="27">
        <f t="shared" si="25"/>
        <v>3706150</v>
      </c>
      <c r="W155" s="26">
        <f t="shared" si="26"/>
        <v>3706150</v>
      </c>
      <c r="X155" s="27">
        <v>0</v>
      </c>
      <c r="Y155" s="26">
        <f t="shared" si="23"/>
        <v>3706150</v>
      </c>
      <c r="Z155" s="49">
        <v>1E-4</v>
      </c>
    </row>
    <row r="156" spans="1:26" s="50" customFormat="1" ht="90.75" customHeight="1" x14ac:dyDescent="0.25">
      <c r="A156" s="20">
        <v>101</v>
      </c>
      <c r="B156" s="37" t="s">
        <v>0</v>
      </c>
      <c r="C156" s="37">
        <v>46277</v>
      </c>
      <c r="D156" s="37">
        <v>51</v>
      </c>
      <c r="E156" s="37">
        <v>2</v>
      </c>
      <c r="F156" s="37">
        <v>61</v>
      </c>
      <c r="G156" s="20" t="s">
        <v>198</v>
      </c>
      <c r="H156" s="24">
        <f t="shared" si="27"/>
        <v>20661</v>
      </c>
      <c r="I156" s="25" t="s">
        <v>7</v>
      </c>
      <c r="J156" s="24">
        <f t="shared" si="24"/>
        <v>7231350</v>
      </c>
      <c r="K156" s="20"/>
      <c r="L156" s="20"/>
      <c r="M156" s="20"/>
      <c r="N156" s="20"/>
      <c r="O156" s="24"/>
      <c r="P156" s="24"/>
      <c r="Q156" s="25"/>
      <c r="R156" s="24"/>
      <c r="S156" s="20"/>
      <c r="T156" s="27"/>
      <c r="U156" s="20"/>
      <c r="V156" s="27">
        <f t="shared" si="25"/>
        <v>7231350</v>
      </c>
      <c r="W156" s="26">
        <f t="shared" si="26"/>
        <v>7231350</v>
      </c>
      <c r="X156" s="27">
        <v>0</v>
      </c>
      <c r="Y156" s="26">
        <f t="shared" si="23"/>
        <v>7231350</v>
      </c>
      <c r="Z156" s="49">
        <v>1E-4</v>
      </c>
    </row>
    <row r="157" spans="1:26" s="50" customFormat="1" ht="90.75" customHeight="1" x14ac:dyDescent="0.25">
      <c r="A157" s="20">
        <v>102</v>
      </c>
      <c r="B157" s="37" t="s">
        <v>0</v>
      </c>
      <c r="C157" s="37">
        <v>7815</v>
      </c>
      <c r="D157" s="37">
        <v>13</v>
      </c>
      <c r="E157" s="37">
        <v>2</v>
      </c>
      <c r="F157" s="37">
        <v>14</v>
      </c>
      <c r="G157" s="20" t="s">
        <v>198</v>
      </c>
      <c r="H157" s="24">
        <f t="shared" si="27"/>
        <v>5414</v>
      </c>
      <c r="I157" s="25" t="s">
        <v>32</v>
      </c>
      <c r="J157" s="24">
        <f t="shared" si="24"/>
        <v>1082800</v>
      </c>
      <c r="K157" s="20"/>
      <c r="L157" s="20"/>
      <c r="M157" s="20"/>
      <c r="N157" s="20"/>
      <c r="O157" s="24"/>
      <c r="P157" s="24"/>
      <c r="Q157" s="25"/>
      <c r="R157" s="24"/>
      <c r="S157" s="20"/>
      <c r="T157" s="27"/>
      <c r="U157" s="20"/>
      <c r="V157" s="27">
        <f t="shared" si="25"/>
        <v>1082800</v>
      </c>
      <c r="W157" s="26">
        <f t="shared" si="26"/>
        <v>1082800</v>
      </c>
      <c r="X157" s="27">
        <v>0</v>
      </c>
      <c r="Y157" s="26">
        <f t="shared" si="23"/>
        <v>1082800</v>
      </c>
      <c r="Z157" s="49">
        <v>1E-4</v>
      </c>
    </row>
    <row r="158" spans="1:26" s="50" customFormat="1" ht="90.75" customHeight="1" x14ac:dyDescent="0.25">
      <c r="A158" s="20">
        <v>103</v>
      </c>
      <c r="B158" s="37" t="s">
        <v>0</v>
      </c>
      <c r="C158" s="37">
        <v>31991</v>
      </c>
      <c r="D158" s="37">
        <v>55</v>
      </c>
      <c r="E158" s="37">
        <v>0</v>
      </c>
      <c r="F158" s="37">
        <v>8</v>
      </c>
      <c r="G158" s="20" t="s">
        <v>198</v>
      </c>
      <c r="H158" s="24">
        <f t="shared" si="27"/>
        <v>22008</v>
      </c>
      <c r="I158" s="25">
        <v>200</v>
      </c>
      <c r="J158" s="24">
        <f t="shared" si="24"/>
        <v>4401600</v>
      </c>
      <c r="K158" s="20"/>
      <c r="L158" s="20"/>
      <c r="M158" s="20"/>
      <c r="N158" s="20"/>
      <c r="O158" s="24"/>
      <c r="P158" s="24"/>
      <c r="Q158" s="25"/>
      <c r="R158" s="24"/>
      <c r="S158" s="20"/>
      <c r="T158" s="27"/>
      <c r="U158" s="20"/>
      <c r="V158" s="27">
        <f t="shared" si="25"/>
        <v>4401600</v>
      </c>
      <c r="W158" s="26">
        <f t="shared" si="26"/>
        <v>4401600</v>
      </c>
      <c r="X158" s="27">
        <v>0</v>
      </c>
      <c r="Y158" s="26">
        <f t="shared" si="23"/>
        <v>4401600</v>
      </c>
      <c r="Z158" s="49">
        <v>1E-4</v>
      </c>
    </row>
    <row r="159" spans="1:26" s="50" customFormat="1" ht="90.75" customHeight="1" x14ac:dyDescent="0.25">
      <c r="A159" s="20">
        <v>104</v>
      </c>
      <c r="B159" s="37" t="s">
        <v>0</v>
      </c>
      <c r="C159" s="37">
        <v>7821</v>
      </c>
      <c r="D159" s="37">
        <v>20</v>
      </c>
      <c r="E159" s="37">
        <v>0</v>
      </c>
      <c r="F159" s="37">
        <v>88</v>
      </c>
      <c r="G159" s="20" t="s">
        <v>198</v>
      </c>
      <c r="H159" s="24">
        <f t="shared" si="27"/>
        <v>8088</v>
      </c>
      <c r="I159" s="25" t="s">
        <v>7</v>
      </c>
      <c r="J159" s="24">
        <f t="shared" si="24"/>
        <v>2830800</v>
      </c>
      <c r="K159" s="20"/>
      <c r="L159" s="20"/>
      <c r="M159" s="20"/>
      <c r="N159" s="20"/>
      <c r="O159" s="24"/>
      <c r="P159" s="24"/>
      <c r="Q159" s="25"/>
      <c r="R159" s="24"/>
      <c r="S159" s="20"/>
      <c r="T159" s="27"/>
      <c r="U159" s="20"/>
      <c r="V159" s="27">
        <f t="shared" si="25"/>
        <v>2830800</v>
      </c>
      <c r="W159" s="26">
        <f t="shared" si="26"/>
        <v>2830800</v>
      </c>
      <c r="X159" s="27">
        <v>0</v>
      </c>
      <c r="Y159" s="26">
        <f t="shared" si="23"/>
        <v>2830800</v>
      </c>
      <c r="Z159" s="49">
        <v>1E-4</v>
      </c>
    </row>
    <row r="160" spans="1:26" s="50" customFormat="1" ht="90.75" customHeight="1" x14ac:dyDescent="0.25">
      <c r="A160" s="20">
        <v>105</v>
      </c>
      <c r="B160" s="37" t="s">
        <v>0</v>
      </c>
      <c r="C160" s="37">
        <v>46279</v>
      </c>
      <c r="D160" s="37">
        <v>33</v>
      </c>
      <c r="E160" s="37">
        <v>1</v>
      </c>
      <c r="F160" s="37">
        <v>87</v>
      </c>
      <c r="G160" s="20" t="s">
        <v>198</v>
      </c>
      <c r="H160" s="24">
        <f t="shared" si="27"/>
        <v>13387</v>
      </c>
      <c r="I160" s="25" t="s">
        <v>7</v>
      </c>
      <c r="J160" s="24">
        <f t="shared" si="24"/>
        <v>4685450</v>
      </c>
      <c r="K160" s="20"/>
      <c r="L160" s="20"/>
      <c r="M160" s="20"/>
      <c r="N160" s="20"/>
      <c r="O160" s="24"/>
      <c r="P160" s="24"/>
      <c r="Q160" s="25"/>
      <c r="R160" s="24"/>
      <c r="S160" s="20"/>
      <c r="T160" s="27"/>
      <c r="U160" s="20"/>
      <c r="V160" s="27">
        <f t="shared" si="25"/>
        <v>4685450</v>
      </c>
      <c r="W160" s="26">
        <f t="shared" si="26"/>
        <v>4685450</v>
      </c>
      <c r="X160" s="27">
        <v>0</v>
      </c>
      <c r="Y160" s="26">
        <f t="shared" si="23"/>
        <v>4685450</v>
      </c>
      <c r="Z160" s="49">
        <v>1E-4</v>
      </c>
    </row>
    <row r="161" spans="1:26" s="50" customFormat="1" ht="90.75" customHeight="1" x14ac:dyDescent="0.25">
      <c r="A161" s="20">
        <v>106</v>
      </c>
      <c r="B161" s="37" t="s">
        <v>0</v>
      </c>
      <c r="C161" s="37">
        <v>8274</v>
      </c>
      <c r="D161" s="37">
        <v>17</v>
      </c>
      <c r="E161" s="37">
        <v>2</v>
      </c>
      <c r="F161" s="37">
        <v>75</v>
      </c>
      <c r="G161" s="20" t="s">
        <v>198</v>
      </c>
      <c r="H161" s="24">
        <f t="shared" si="27"/>
        <v>7075</v>
      </c>
      <c r="I161" s="25" t="s">
        <v>7</v>
      </c>
      <c r="J161" s="24">
        <f t="shared" si="24"/>
        <v>2476250</v>
      </c>
      <c r="K161" s="20"/>
      <c r="L161" s="20"/>
      <c r="M161" s="20"/>
      <c r="N161" s="20"/>
      <c r="O161" s="24"/>
      <c r="P161" s="24"/>
      <c r="Q161" s="25"/>
      <c r="R161" s="24"/>
      <c r="S161" s="20"/>
      <c r="T161" s="27"/>
      <c r="U161" s="20"/>
      <c r="V161" s="27">
        <f t="shared" si="25"/>
        <v>2476250</v>
      </c>
      <c r="W161" s="26">
        <f t="shared" si="26"/>
        <v>2476250</v>
      </c>
      <c r="X161" s="27">
        <v>0</v>
      </c>
      <c r="Y161" s="26">
        <f t="shared" si="23"/>
        <v>2476250</v>
      </c>
      <c r="Z161" s="49">
        <v>1E-4</v>
      </c>
    </row>
    <row r="162" spans="1:26" s="50" customFormat="1" ht="90.75" customHeight="1" x14ac:dyDescent="0.25">
      <c r="A162" s="20">
        <v>107</v>
      </c>
      <c r="B162" s="37" t="s">
        <v>0</v>
      </c>
      <c r="C162" s="37">
        <v>46272</v>
      </c>
      <c r="D162" s="37">
        <v>36</v>
      </c>
      <c r="E162" s="37">
        <v>2</v>
      </c>
      <c r="F162" s="37">
        <v>14</v>
      </c>
      <c r="G162" s="20" t="s">
        <v>198</v>
      </c>
      <c r="H162" s="24">
        <f t="shared" si="27"/>
        <v>14614</v>
      </c>
      <c r="I162" s="25">
        <v>625</v>
      </c>
      <c r="J162" s="24">
        <f t="shared" si="24"/>
        <v>9133750</v>
      </c>
      <c r="K162" s="20"/>
      <c r="L162" s="20"/>
      <c r="M162" s="20"/>
      <c r="N162" s="20"/>
      <c r="O162" s="24"/>
      <c r="P162" s="24"/>
      <c r="Q162" s="25"/>
      <c r="R162" s="24"/>
      <c r="S162" s="20"/>
      <c r="T162" s="27"/>
      <c r="U162" s="20"/>
      <c r="V162" s="27">
        <f t="shared" si="25"/>
        <v>9133750</v>
      </c>
      <c r="W162" s="26">
        <f t="shared" si="26"/>
        <v>9133750</v>
      </c>
      <c r="X162" s="27">
        <v>0</v>
      </c>
      <c r="Y162" s="26">
        <f t="shared" si="23"/>
        <v>9133750</v>
      </c>
      <c r="Z162" s="49">
        <v>1E-4</v>
      </c>
    </row>
    <row r="163" spans="1:26" s="50" customFormat="1" ht="90.75" customHeight="1" x14ac:dyDescent="0.25">
      <c r="A163" s="20">
        <v>108</v>
      </c>
      <c r="B163" s="37" t="s">
        <v>0</v>
      </c>
      <c r="C163" s="37">
        <v>8275</v>
      </c>
      <c r="D163" s="37">
        <v>22</v>
      </c>
      <c r="E163" s="37">
        <v>0</v>
      </c>
      <c r="F163" s="37">
        <v>6</v>
      </c>
      <c r="G163" s="20" t="s">
        <v>198</v>
      </c>
      <c r="H163" s="24">
        <f t="shared" si="27"/>
        <v>8806</v>
      </c>
      <c r="I163" s="25" t="s">
        <v>32</v>
      </c>
      <c r="J163" s="24">
        <f t="shared" si="24"/>
        <v>1761200</v>
      </c>
      <c r="K163" s="20"/>
      <c r="L163" s="20"/>
      <c r="M163" s="20"/>
      <c r="N163" s="20"/>
      <c r="O163" s="24"/>
      <c r="P163" s="24"/>
      <c r="Q163" s="25"/>
      <c r="R163" s="24"/>
      <c r="S163" s="20"/>
      <c r="T163" s="27"/>
      <c r="U163" s="20"/>
      <c r="V163" s="27">
        <f t="shared" si="25"/>
        <v>1761200</v>
      </c>
      <c r="W163" s="26">
        <f t="shared" si="26"/>
        <v>1761200</v>
      </c>
      <c r="X163" s="27">
        <v>0</v>
      </c>
      <c r="Y163" s="26">
        <f t="shared" si="23"/>
        <v>1761200</v>
      </c>
      <c r="Z163" s="49">
        <v>1E-4</v>
      </c>
    </row>
    <row r="164" spans="1:26" s="50" customFormat="1" ht="90.75" customHeight="1" x14ac:dyDescent="0.25">
      <c r="A164" s="20">
        <v>109</v>
      </c>
      <c r="B164" s="37" t="s">
        <v>0</v>
      </c>
      <c r="C164" s="37">
        <v>8276</v>
      </c>
      <c r="D164" s="37">
        <v>31</v>
      </c>
      <c r="E164" s="37">
        <v>1</v>
      </c>
      <c r="F164" s="37">
        <v>40</v>
      </c>
      <c r="G164" s="20" t="s">
        <v>198</v>
      </c>
      <c r="H164" s="24">
        <f t="shared" si="27"/>
        <v>12540</v>
      </c>
      <c r="I164" s="25" t="s">
        <v>7</v>
      </c>
      <c r="J164" s="24">
        <f t="shared" si="24"/>
        <v>4389000</v>
      </c>
      <c r="K164" s="20"/>
      <c r="L164" s="20"/>
      <c r="M164" s="20"/>
      <c r="N164" s="20"/>
      <c r="O164" s="24"/>
      <c r="P164" s="24"/>
      <c r="Q164" s="25"/>
      <c r="R164" s="24"/>
      <c r="S164" s="20"/>
      <c r="T164" s="27"/>
      <c r="U164" s="20"/>
      <c r="V164" s="27">
        <f t="shared" si="25"/>
        <v>4389000</v>
      </c>
      <c r="W164" s="26">
        <f t="shared" si="26"/>
        <v>4389000</v>
      </c>
      <c r="X164" s="27">
        <v>0</v>
      </c>
      <c r="Y164" s="26">
        <f t="shared" ref="Y164:Y195" si="28">(W164-X164)</f>
        <v>4389000</v>
      </c>
      <c r="Z164" s="49">
        <v>1E-4</v>
      </c>
    </row>
    <row r="165" spans="1:26" s="50" customFormat="1" ht="90.75" customHeight="1" x14ac:dyDescent="0.25">
      <c r="A165" s="20">
        <v>110</v>
      </c>
      <c r="B165" s="37" t="s">
        <v>0</v>
      </c>
      <c r="C165" s="37">
        <v>47977</v>
      </c>
      <c r="D165" s="37">
        <v>4</v>
      </c>
      <c r="E165" s="37">
        <v>0</v>
      </c>
      <c r="F165" s="37">
        <v>79</v>
      </c>
      <c r="G165" s="21" t="s">
        <v>209</v>
      </c>
      <c r="H165" s="24">
        <f t="shared" si="27"/>
        <v>1679</v>
      </c>
      <c r="I165" s="25">
        <v>312</v>
      </c>
      <c r="J165" s="24">
        <f t="shared" ref="J165:J196" si="29">(H165*I165)</f>
        <v>523848</v>
      </c>
      <c r="K165" s="20"/>
      <c r="L165" s="20"/>
      <c r="M165" s="20"/>
      <c r="N165" s="20"/>
      <c r="O165" s="24"/>
      <c r="P165" s="24"/>
      <c r="Q165" s="25"/>
      <c r="R165" s="24"/>
      <c r="S165" s="20"/>
      <c r="T165" s="27"/>
      <c r="U165" s="20"/>
      <c r="V165" s="27">
        <f t="shared" ref="V165:V196" si="30">(J165+U165)</f>
        <v>523848</v>
      </c>
      <c r="W165" s="26">
        <f t="shared" si="26"/>
        <v>523848</v>
      </c>
      <c r="X165" s="27">
        <v>0</v>
      </c>
      <c r="Y165" s="26">
        <f t="shared" si="28"/>
        <v>523848</v>
      </c>
      <c r="Z165" s="49"/>
    </row>
    <row r="166" spans="1:26" s="50" customFormat="1" ht="90.75" customHeight="1" x14ac:dyDescent="0.25">
      <c r="A166" s="20">
        <v>111</v>
      </c>
      <c r="B166" s="37" t="s">
        <v>0</v>
      </c>
      <c r="C166" s="37">
        <v>7796</v>
      </c>
      <c r="D166" s="37">
        <v>1</v>
      </c>
      <c r="E166" s="37">
        <v>0</v>
      </c>
      <c r="F166" s="37">
        <v>88</v>
      </c>
      <c r="G166" s="21" t="s">
        <v>209</v>
      </c>
      <c r="H166" s="24">
        <f t="shared" si="27"/>
        <v>488</v>
      </c>
      <c r="I166" s="25">
        <v>350</v>
      </c>
      <c r="J166" s="24">
        <f t="shared" si="29"/>
        <v>170800</v>
      </c>
      <c r="K166" s="20"/>
      <c r="L166" s="20"/>
      <c r="M166" s="20"/>
      <c r="N166" s="20"/>
      <c r="O166" s="24"/>
      <c r="P166" s="24"/>
      <c r="Q166" s="25"/>
      <c r="R166" s="24"/>
      <c r="S166" s="20"/>
      <c r="T166" s="27"/>
      <c r="U166" s="20"/>
      <c r="V166" s="27">
        <f t="shared" si="30"/>
        <v>170800</v>
      </c>
      <c r="W166" s="26">
        <f t="shared" si="26"/>
        <v>170800</v>
      </c>
      <c r="X166" s="27">
        <v>0</v>
      </c>
      <c r="Y166" s="26">
        <f t="shared" si="28"/>
        <v>170800</v>
      </c>
      <c r="Z166" s="49"/>
    </row>
    <row r="167" spans="1:26" s="50" customFormat="1" ht="90.75" customHeight="1" x14ac:dyDescent="0.25">
      <c r="A167" s="20">
        <v>112</v>
      </c>
      <c r="B167" s="37" t="s">
        <v>0</v>
      </c>
      <c r="C167" s="37">
        <v>7806</v>
      </c>
      <c r="D167" s="37">
        <v>3</v>
      </c>
      <c r="E167" s="37">
        <v>0</v>
      </c>
      <c r="F167" s="37">
        <v>51</v>
      </c>
      <c r="G167" s="21" t="s">
        <v>209</v>
      </c>
      <c r="H167" s="24">
        <f t="shared" si="27"/>
        <v>1251</v>
      </c>
      <c r="I167" s="25">
        <v>312</v>
      </c>
      <c r="J167" s="24">
        <f t="shared" si="29"/>
        <v>390312</v>
      </c>
      <c r="K167" s="20"/>
      <c r="L167" s="20"/>
      <c r="M167" s="20"/>
      <c r="N167" s="20"/>
      <c r="O167" s="24"/>
      <c r="P167" s="24"/>
      <c r="Q167" s="25"/>
      <c r="R167" s="24"/>
      <c r="S167" s="20"/>
      <c r="T167" s="27"/>
      <c r="U167" s="20"/>
      <c r="V167" s="27">
        <f t="shared" si="30"/>
        <v>390312</v>
      </c>
      <c r="W167" s="26">
        <f t="shared" si="26"/>
        <v>390312</v>
      </c>
      <c r="X167" s="27">
        <v>0</v>
      </c>
      <c r="Y167" s="26">
        <f t="shared" si="28"/>
        <v>390312</v>
      </c>
      <c r="Z167" s="49"/>
    </row>
    <row r="168" spans="1:26" s="50" customFormat="1" ht="90.75" customHeight="1" x14ac:dyDescent="0.25">
      <c r="A168" s="20">
        <v>113</v>
      </c>
      <c r="B168" s="37" t="s">
        <v>0</v>
      </c>
      <c r="C168" s="37">
        <v>47980</v>
      </c>
      <c r="D168" s="37">
        <v>2</v>
      </c>
      <c r="E168" s="37">
        <v>0</v>
      </c>
      <c r="F168" s="37">
        <v>15</v>
      </c>
      <c r="G168" s="21" t="s">
        <v>209</v>
      </c>
      <c r="H168" s="24">
        <f t="shared" si="27"/>
        <v>815</v>
      </c>
      <c r="I168" s="25">
        <v>625</v>
      </c>
      <c r="J168" s="24">
        <f t="shared" si="29"/>
        <v>509375</v>
      </c>
      <c r="K168" s="20"/>
      <c r="L168" s="20"/>
      <c r="M168" s="20"/>
      <c r="N168" s="20"/>
      <c r="O168" s="24"/>
      <c r="P168" s="24"/>
      <c r="Q168" s="25"/>
      <c r="R168" s="24"/>
      <c r="S168" s="20"/>
      <c r="T168" s="27"/>
      <c r="U168" s="20"/>
      <c r="V168" s="27">
        <f t="shared" si="30"/>
        <v>509375</v>
      </c>
      <c r="W168" s="26">
        <f t="shared" si="26"/>
        <v>509375</v>
      </c>
      <c r="X168" s="27">
        <v>0</v>
      </c>
      <c r="Y168" s="26">
        <f t="shared" si="28"/>
        <v>509375</v>
      </c>
      <c r="Z168" s="49"/>
    </row>
    <row r="169" spans="1:26" s="50" customFormat="1" ht="90.75" customHeight="1" x14ac:dyDescent="0.25">
      <c r="A169" s="20">
        <v>114</v>
      </c>
      <c r="B169" s="37" t="s">
        <v>0</v>
      </c>
      <c r="C169" s="37">
        <v>7516</v>
      </c>
      <c r="D169" s="37">
        <v>12</v>
      </c>
      <c r="E169" s="37">
        <v>1</v>
      </c>
      <c r="F169" s="37">
        <v>83</v>
      </c>
      <c r="G169" s="21" t="s">
        <v>209</v>
      </c>
      <c r="H169" s="24">
        <f t="shared" si="27"/>
        <v>4983</v>
      </c>
      <c r="I169" s="25">
        <v>200</v>
      </c>
      <c r="J169" s="24">
        <f t="shared" si="29"/>
        <v>996600</v>
      </c>
      <c r="K169" s="20"/>
      <c r="L169" s="20"/>
      <c r="M169" s="20"/>
      <c r="N169" s="20"/>
      <c r="O169" s="24"/>
      <c r="P169" s="24"/>
      <c r="Q169" s="25"/>
      <c r="R169" s="24"/>
      <c r="S169" s="20"/>
      <c r="T169" s="27"/>
      <c r="U169" s="20"/>
      <c r="V169" s="27">
        <f t="shared" si="30"/>
        <v>996600</v>
      </c>
      <c r="W169" s="26">
        <f t="shared" ref="W169:W200" si="31">(V169*100/100)</f>
        <v>996600</v>
      </c>
      <c r="X169" s="27">
        <v>0</v>
      </c>
      <c r="Y169" s="26">
        <f t="shared" si="28"/>
        <v>996600</v>
      </c>
      <c r="Z169" s="49"/>
    </row>
    <row r="170" spans="1:26" s="50" customFormat="1" ht="90.75" customHeight="1" x14ac:dyDescent="0.25">
      <c r="A170" s="20">
        <v>115</v>
      </c>
      <c r="B170" s="37" t="s">
        <v>0</v>
      </c>
      <c r="C170" s="37">
        <v>47978</v>
      </c>
      <c r="D170" s="37">
        <v>8</v>
      </c>
      <c r="E170" s="37">
        <v>2</v>
      </c>
      <c r="F170" s="37">
        <v>66</v>
      </c>
      <c r="G170" s="21" t="s">
        <v>209</v>
      </c>
      <c r="H170" s="24">
        <f t="shared" si="27"/>
        <v>3466</v>
      </c>
      <c r="I170" s="25">
        <v>575</v>
      </c>
      <c r="J170" s="24">
        <f t="shared" si="29"/>
        <v>1992950</v>
      </c>
      <c r="K170" s="20"/>
      <c r="L170" s="20"/>
      <c r="M170" s="20"/>
      <c r="N170" s="20"/>
      <c r="O170" s="24"/>
      <c r="P170" s="24"/>
      <c r="Q170" s="25"/>
      <c r="R170" s="24"/>
      <c r="S170" s="20"/>
      <c r="T170" s="27"/>
      <c r="U170" s="20"/>
      <c r="V170" s="27">
        <f t="shared" si="30"/>
        <v>1992950</v>
      </c>
      <c r="W170" s="26">
        <f t="shared" si="31"/>
        <v>1992950</v>
      </c>
      <c r="X170" s="27">
        <v>0</v>
      </c>
      <c r="Y170" s="26">
        <f t="shared" si="28"/>
        <v>1992950</v>
      </c>
      <c r="Z170" s="49"/>
    </row>
    <row r="171" spans="1:26" s="50" customFormat="1" ht="90.75" customHeight="1" x14ac:dyDescent="0.25">
      <c r="A171" s="20">
        <v>116</v>
      </c>
      <c r="B171" s="32" t="s">
        <v>0</v>
      </c>
      <c r="C171" s="32">
        <v>7893</v>
      </c>
      <c r="D171" s="32">
        <v>12</v>
      </c>
      <c r="E171" s="32">
        <v>1</v>
      </c>
      <c r="F171" s="43">
        <v>7</v>
      </c>
      <c r="G171" s="21" t="s">
        <v>209</v>
      </c>
      <c r="H171" s="24">
        <f t="shared" si="27"/>
        <v>4907</v>
      </c>
      <c r="I171" s="25">
        <v>500</v>
      </c>
      <c r="J171" s="24">
        <f t="shared" si="29"/>
        <v>2453500</v>
      </c>
      <c r="K171" s="20"/>
      <c r="L171" s="20"/>
      <c r="M171" s="20"/>
      <c r="N171" s="20"/>
      <c r="O171" s="24"/>
      <c r="P171" s="24"/>
      <c r="Q171" s="25"/>
      <c r="R171" s="24"/>
      <c r="S171" s="20"/>
      <c r="T171" s="27"/>
      <c r="U171" s="20"/>
      <c r="V171" s="27">
        <f t="shared" si="30"/>
        <v>2453500</v>
      </c>
      <c r="W171" s="26">
        <f t="shared" si="31"/>
        <v>2453500</v>
      </c>
      <c r="X171" s="27">
        <v>0</v>
      </c>
      <c r="Y171" s="26">
        <f t="shared" si="28"/>
        <v>2453500</v>
      </c>
      <c r="Z171" s="49"/>
    </row>
    <row r="172" spans="1:26" s="50" customFormat="1" ht="90.75" customHeight="1" x14ac:dyDescent="0.25">
      <c r="A172" s="20">
        <v>117</v>
      </c>
      <c r="B172" s="32" t="s">
        <v>0</v>
      </c>
      <c r="C172" s="32">
        <v>7900</v>
      </c>
      <c r="D172" s="32">
        <v>3</v>
      </c>
      <c r="E172" s="32">
        <v>3</v>
      </c>
      <c r="F172" s="43">
        <v>96</v>
      </c>
      <c r="G172" s="21" t="s">
        <v>209</v>
      </c>
      <c r="H172" s="24">
        <f t="shared" si="27"/>
        <v>1596</v>
      </c>
      <c r="I172" s="25">
        <v>200</v>
      </c>
      <c r="J172" s="24">
        <f t="shared" si="29"/>
        <v>319200</v>
      </c>
      <c r="K172" s="20"/>
      <c r="L172" s="20"/>
      <c r="M172" s="20"/>
      <c r="N172" s="20"/>
      <c r="O172" s="24"/>
      <c r="P172" s="24"/>
      <c r="Q172" s="25"/>
      <c r="R172" s="24"/>
      <c r="S172" s="20"/>
      <c r="T172" s="27"/>
      <c r="U172" s="20"/>
      <c r="V172" s="27">
        <f t="shared" si="30"/>
        <v>319200</v>
      </c>
      <c r="W172" s="26">
        <f t="shared" si="31"/>
        <v>319200</v>
      </c>
      <c r="X172" s="27">
        <v>0</v>
      </c>
      <c r="Y172" s="26">
        <f t="shared" si="28"/>
        <v>319200</v>
      </c>
      <c r="Z172" s="49"/>
    </row>
    <row r="173" spans="1:26" s="50" customFormat="1" ht="90.75" customHeight="1" x14ac:dyDescent="0.25">
      <c r="A173" s="20">
        <v>118</v>
      </c>
      <c r="B173" s="32" t="s">
        <v>0</v>
      </c>
      <c r="C173" s="32">
        <v>7901</v>
      </c>
      <c r="D173" s="32">
        <v>3</v>
      </c>
      <c r="E173" s="32">
        <v>1</v>
      </c>
      <c r="F173" s="43">
        <v>14.2</v>
      </c>
      <c r="G173" s="21" t="s">
        <v>209</v>
      </c>
      <c r="H173" s="24">
        <f t="shared" si="27"/>
        <v>1314.2</v>
      </c>
      <c r="I173" s="74" t="s">
        <v>75</v>
      </c>
      <c r="J173" s="24">
        <f t="shared" si="29"/>
        <v>821375</v>
      </c>
      <c r="K173" s="20"/>
      <c r="L173" s="20"/>
      <c r="M173" s="20"/>
      <c r="N173" s="20"/>
      <c r="O173" s="24"/>
      <c r="P173" s="24"/>
      <c r="Q173" s="25"/>
      <c r="R173" s="24"/>
      <c r="S173" s="20"/>
      <c r="T173" s="27"/>
      <c r="U173" s="20"/>
      <c r="V173" s="27">
        <f t="shared" si="30"/>
        <v>821375</v>
      </c>
      <c r="W173" s="26">
        <f t="shared" si="31"/>
        <v>821375</v>
      </c>
      <c r="X173" s="27">
        <v>0</v>
      </c>
      <c r="Y173" s="26">
        <f t="shared" si="28"/>
        <v>821375</v>
      </c>
      <c r="Z173" s="49"/>
    </row>
    <row r="174" spans="1:26" s="50" customFormat="1" ht="90.75" customHeight="1" x14ac:dyDescent="0.25">
      <c r="A174" s="20">
        <v>119</v>
      </c>
      <c r="B174" s="32" t="s">
        <v>0</v>
      </c>
      <c r="C174" s="32">
        <v>7902</v>
      </c>
      <c r="D174" s="32">
        <v>7</v>
      </c>
      <c r="E174" s="32">
        <v>3</v>
      </c>
      <c r="F174" s="43">
        <v>19.3</v>
      </c>
      <c r="G174" s="21" t="s">
        <v>209</v>
      </c>
      <c r="H174" s="24">
        <f t="shared" ref="H174:H189" si="32">(D174*400)+(E174*100)+F174</f>
        <v>3119.3</v>
      </c>
      <c r="I174" s="74" t="s">
        <v>32</v>
      </c>
      <c r="J174" s="24">
        <f t="shared" si="29"/>
        <v>623860</v>
      </c>
      <c r="K174" s="20"/>
      <c r="L174" s="20"/>
      <c r="M174" s="20"/>
      <c r="N174" s="20"/>
      <c r="O174" s="24"/>
      <c r="P174" s="24"/>
      <c r="Q174" s="25"/>
      <c r="R174" s="24"/>
      <c r="S174" s="20"/>
      <c r="T174" s="27"/>
      <c r="U174" s="20"/>
      <c r="V174" s="27">
        <f t="shared" si="30"/>
        <v>623860</v>
      </c>
      <c r="W174" s="26">
        <f t="shared" si="31"/>
        <v>623860</v>
      </c>
      <c r="X174" s="27">
        <v>0</v>
      </c>
      <c r="Y174" s="26">
        <f t="shared" si="28"/>
        <v>623860</v>
      </c>
      <c r="Z174" s="49"/>
    </row>
    <row r="175" spans="1:26" s="50" customFormat="1" ht="90.75" customHeight="1" x14ac:dyDescent="0.25">
      <c r="A175" s="20">
        <v>120</v>
      </c>
      <c r="B175" s="32" t="s">
        <v>0</v>
      </c>
      <c r="C175" s="32">
        <v>7903</v>
      </c>
      <c r="D175" s="32">
        <v>29</v>
      </c>
      <c r="E175" s="32">
        <v>1</v>
      </c>
      <c r="F175" s="43">
        <v>85.2</v>
      </c>
      <c r="G175" s="21" t="s">
        <v>209</v>
      </c>
      <c r="H175" s="24">
        <f t="shared" si="32"/>
        <v>11785.2</v>
      </c>
      <c r="I175" s="74" t="s">
        <v>32</v>
      </c>
      <c r="J175" s="24">
        <f t="shared" si="29"/>
        <v>2357040</v>
      </c>
      <c r="K175" s="20"/>
      <c r="L175" s="20"/>
      <c r="M175" s="20"/>
      <c r="N175" s="20"/>
      <c r="O175" s="24"/>
      <c r="P175" s="24"/>
      <c r="Q175" s="25"/>
      <c r="R175" s="24"/>
      <c r="S175" s="20"/>
      <c r="T175" s="27"/>
      <c r="U175" s="20"/>
      <c r="V175" s="27">
        <f t="shared" si="30"/>
        <v>2357040</v>
      </c>
      <c r="W175" s="26">
        <f t="shared" si="31"/>
        <v>2357040</v>
      </c>
      <c r="X175" s="27">
        <v>0</v>
      </c>
      <c r="Y175" s="26">
        <f t="shared" si="28"/>
        <v>2357040</v>
      </c>
      <c r="Z175" s="49">
        <v>1E-4</v>
      </c>
    </row>
    <row r="176" spans="1:26" s="50" customFormat="1" ht="90.75" customHeight="1" x14ac:dyDescent="0.25">
      <c r="A176" s="20">
        <v>121</v>
      </c>
      <c r="B176" s="32" t="s">
        <v>0</v>
      </c>
      <c r="C176" s="32">
        <v>7904</v>
      </c>
      <c r="D176" s="32">
        <v>10</v>
      </c>
      <c r="E176" s="32">
        <v>2</v>
      </c>
      <c r="F176" s="43">
        <v>18.3</v>
      </c>
      <c r="G176" s="21" t="s">
        <v>209</v>
      </c>
      <c r="H176" s="24">
        <f t="shared" si="32"/>
        <v>4218.3</v>
      </c>
      <c r="I176" s="74" t="s">
        <v>33</v>
      </c>
      <c r="J176" s="24">
        <f t="shared" si="29"/>
        <v>2003692.5</v>
      </c>
      <c r="K176" s="20"/>
      <c r="L176" s="20"/>
      <c r="M176" s="20"/>
      <c r="N176" s="20"/>
      <c r="O176" s="24"/>
      <c r="P176" s="24"/>
      <c r="Q176" s="25"/>
      <c r="R176" s="24"/>
      <c r="S176" s="20"/>
      <c r="T176" s="27"/>
      <c r="U176" s="20"/>
      <c r="V176" s="27">
        <f t="shared" si="30"/>
        <v>2003692.5</v>
      </c>
      <c r="W176" s="26">
        <f t="shared" si="31"/>
        <v>2003692.5</v>
      </c>
      <c r="X176" s="27">
        <v>0</v>
      </c>
      <c r="Y176" s="26">
        <f t="shared" si="28"/>
        <v>2003692.5</v>
      </c>
      <c r="Z176" s="49">
        <v>1E-4</v>
      </c>
    </row>
    <row r="177" spans="1:26" s="50" customFormat="1" ht="90.75" customHeight="1" x14ac:dyDescent="0.25">
      <c r="A177" s="20">
        <v>122</v>
      </c>
      <c r="B177" s="32" t="s">
        <v>0</v>
      </c>
      <c r="C177" s="32">
        <v>7905</v>
      </c>
      <c r="D177" s="32">
        <v>18</v>
      </c>
      <c r="E177" s="32">
        <v>0</v>
      </c>
      <c r="F177" s="43">
        <v>98.3</v>
      </c>
      <c r="G177" s="21" t="s">
        <v>209</v>
      </c>
      <c r="H177" s="24">
        <f t="shared" si="32"/>
        <v>7298.3</v>
      </c>
      <c r="I177" s="74" t="s">
        <v>32</v>
      </c>
      <c r="J177" s="24">
        <f t="shared" si="29"/>
        <v>1459660</v>
      </c>
      <c r="K177" s="20"/>
      <c r="L177" s="20"/>
      <c r="M177" s="20"/>
      <c r="N177" s="20"/>
      <c r="O177" s="24"/>
      <c r="P177" s="24"/>
      <c r="Q177" s="25"/>
      <c r="R177" s="24"/>
      <c r="S177" s="20"/>
      <c r="T177" s="27"/>
      <c r="U177" s="20"/>
      <c r="V177" s="27">
        <f t="shared" si="30"/>
        <v>1459660</v>
      </c>
      <c r="W177" s="26">
        <f t="shared" si="31"/>
        <v>1459660</v>
      </c>
      <c r="X177" s="27">
        <v>0</v>
      </c>
      <c r="Y177" s="26">
        <f t="shared" si="28"/>
        <v>1459660</v>
      </c>
      <c r="Z177" s="49"/>
    </row>
    <row r="178" spans="1:26" s="50" customFormat="1" ht="90.75" customHeight="1" x14ac:dyDescent="0.25">
      <c r="A178" s="20">
        <v>123</v>
      </c>
      <c r="B178" s="32" t="s">
        <v>0</v>
      </c>
      <c r="C178" s="32">
        <v>7906</v>
      </c>
      <c r="D178" s="32">
        <v>86</v>
      </c>
      <c r="E178" s="32">
        <v>0</v>
      </c>
      <c r="F178" s="43">
        <v>68</v>
      </c>
      <c r="G178" s="21" t="s">
        <v>209</v>
      </c>
      <c r="H178" s="24">
        <f t="shared" si="32"/>
        <v>34468</v>
      </c>
      <c r="I178" s="74" t="s">
        <v>19</v>
      </c>
      <c r="J178" s="24">
        <f t="shared" si="29"/>
        <v>12925500</v>
      </c>
      <c r="K178" s="20"/>
      <c r="L178" s="20"/>
      <c r="M178" s="20"/>
      <c r="N178" s="20"/>
      <c r="O178" s="24"/>
      <c r="P178" s="24"/>
      <c r="Q178" s="25"/>
      <c r="R178" s="24"/>
      <c r="S178" s="20"/>
      <c r="T178" s="27"/>
      <c r="U178" s="20"/>
      <c r="V178" s="27">
        <f t="shared" si="30"/>
        <v>12925500</v>
      </c>
      <c r="W178" s="26">
        <f t="shared" si="31"/>
        <v>12925500</v>
      </c>
      <c r="X178" s="27">
        <v>0</v>
      </c>
      <c r="Y178" s="26">
        <f t="shared" si="28"/>
        <v>12925500</v>
      </c>
      <c r="Z178" s="49">
        <v>1E-4</v>
      </c>
    </row>
    <row r="179" spans="1:26" s="50" customFormat="1" ht="90.75" customHeight="1" x14ac:dyDescent="0.25">
      <c r="A179" s="20">
        <v>124</v>
      </c>
      <c r="B179" s="32" t="s">
        <v>0</v>
      </c>
      <c r="C179" s="32">
        <v>7892</v>
      </c>
      <c r="D179" s="32">
        <v>24</v>
      </c>
      <c r="E179" s="32">
        <v>3</v>
      </c>
      <c r="F179" s="43">
        <v>16</v>
      </c>
      <c r="G179" s="21" t="s">
        <v>209</v>
      </c>
      <c r="H179" s="24">
        <f t="shared" si="32"/>
        <v>9916</v>
      </c>
      <c r="I179" s="25">
        <v>312</v>
      </c>
      <c r="J179" s="24">
        <f t="shared" si="29"/>
        <v>3093792</v>
      </c>
      <c r="K179" s="20"/>
      <c r="L179" s="20"/>
      <c r="M179" s="20"/>
      <c r="N179" s="20"/>
      <c r="O179" s="24"/>
      <c r="P179" s="24"/>
      <c r="Q179" s="25"/>
      <c r="R179" s="24"/>
      <c r="S179" s="20"/>
      <c r="T179" s="27"/>
      <c r="U179" s="20"/>
      <c r="V179" s="27">
        <f t="shared" si="30"/>
        <v>3093792</v>
      </c>
      <c r="W179" s="26">
        <f t="shared" si="31"/>
        <v>3093792</v>
      </c>
      <c r="X179" s="27">
        <v>0</v>
      </c>
      <c r="Y179" s="26">
        <f t="shared" si="28"/>
        <v>3093792</v>
      </c>
      <c r="Z179" s="49"/>
    </row>
    <row r="180" spans="1:26" s="50" customFormat="1" ht="90.75" customHeight="1" x14ac:dyDescent="0.25">
      <c r="A180" s="20">
        <v>125</v>
      </c>
      <c r="B180" s="32" t="s">
        <v>0</v>
      </c>
      <c r="C180" s="32">
        <v>7807</v>
      </c>
      <c r="D180" s="32">
        <v>15</v>
      </c>
      <c r="E180" s="32">
        <v>3</v>
      </c>
      <c r="F180" s="43">
        <v>98</v>
      </c>
      <c r="G180" s="21" t="s">
        <v>209</v>
      </c>
      <c r="H180" s="24">
        <f t="shared" si="32"/>
        <v>6398</v>
      </c>
      <c r="I180" s="25">
        <v>375</v>
      </c>
      <c r="J180" s="24">
        <f t="shared" si="29"/>
        <v>2399250</v>
      </c>
      <c r="K180" s="20"/>
      <c r="L180" s="20"/>
      <c r="M180" s="20"/>
      <c r="N180" s="20"/>
      <c r="O180" s="24"/>
      <c r="P180" s="24"/>
      <c r="Q180" s="25"/>
      <c r="R180" s="24"/>
      <c r="S180" s="20"/>
      <c r="T180" s="27"/>
      <c r="U180" s="20"/>
      <c r="V180" s="27">
        <f t="shared" si="30"/>
        <v>2399250</v>
      </c>
      <c r="W180" s="26">
        <f t="shared" si="31"/>
        <v>2399250</v>
      </c>
      <c r="X180" s="27">
        <v>0</v>
      </c>
      <c r="Y180" s="26">
        <f t="shared" si="28"/>
        <v>2399250</v>
      </c>
      <c r="Z180" s="49"/>
    </row>
    <row r="181" spans="1:26" s="50" customFormat="1" ht="90.75" customHeight="1" x14ac:dyDescent="0.25">
      <c r="A181" s="20">
        <v>126</v>
      </c>
      <c r="B181" s="32" t="s">
        <v>0</v>
      </c>
      <c r="C181" s="32">
        <v>7520</v>
      </c>
      <c r="D181" s="32">
        <v>126</v>
      </c>
      <c r="E181" s="32">
        <v>1</v>
      </c>
      <c r="F181" s="43">
        <v>60</v>
      </c>
      <c r="G181" s="21" t="s">
        <v>209</v>
      </c>
      <c r="H181" s="24">
        <f t="shared" si="32"/>
        <v>50560</v>
      </c>
      <c r="I181" s="74" t="s">
        <v>19</v>
      </c>
      <c r="J181" s="24">
        <f t="shared" si="29"/>
        <v>18960000</v>
      </c>
      <c r="K181" s="20"/>
      <c r="L181" s="20"/>
      <c r="M181" s="20"/>
      <c r="N181" s="20"/>
      <c r="O181" s="24"/>
      <c r="P181" s="24"/>
      <c r="Q181" s="25"/>
      <c r="R181" s="24"/>
      <c r="S181" s="20"/>
      <c r="T181" s="27"/>
      <c r="U181" s="20"/>
      <c r="V181" s="27">
        <f t="shared" si="30"/>
        <v>18960000</v>
      </c>
      <c r="W181" s="26">
        <f t="shared" si="31"/>
        <v>18960000</v>
      </c>
      <c r="X181" s="27">
        <v>0</v>
      </c>
      <c r="Y181" s="26">
        <f t="shared" si="28"/>
        <v>18960000</v>
      </c>
      <c r="Z181" s="49">
        <v>1E-4</v>
      </c>
    </row>
    <row r="182" spans="1:26" s="50" customFormat="1" ht="90.75" customHeight="1" x14ac:dyDescent="0.25">
      <c r="A182" s="20">
        <v>127</v>
      </c>
      <c r="B182" s="32" t="s">
        <v>0</v>
      </c>
      <c r="C182" s="32">
        <v>7521</v>
      </c>
      <c r="D182" s="32">
        <v>24</v>
      </c>
      <c r="E182" s="32">
        <v>2</v>
      </c>
      <c r="F182" s="43">
        <v>36</v>
      </c>
      <c r="G182" s="21" t="s">
        <v>209</v>
      </c>
      <c r="H182" s="24">
        <f t="shared" si="32"/>
        <v>9836</v>
      </c>
      <c r="I182" s="74" t="s">
        <v>7</v>
      </c>
      <c r="J182" s="24">
        <f t="shared" si="29"/>
        <v>3442600</v>
      </c>
      <c r="K182" s="20"/>
      <c r="L182" s="20"/>
      <c r="M182" s="20"/>
      <c r="N182" s="20"/>
      <c r="O182" s="24"/>
      <c r="P182" s="24"/>
      <c r="Q182" s="25"/>
      <c r="R182" s="24"/>
      <c r="S182" s="20"/>
      <c r="T182" s="27"/>
      <c r="U182" s="20"/>
      <c r="V182" s="27">
        <f t="shared" si="30"/>
        <v>3442600</v>
      </c>
      <c r="W182" s="26">
        <f t="shared" si="31"/>
        <v>3442600</v>
      </c>
      <c r="X182" s="27">
        <v>0</v>
      </c>
      <c r="Y182" s="26">
        <f t="shared" si="28"/>
        <v>3442600</v>
      </c>
      <c r="Z182" s="49">
        <v>1E-4</v>
      </c>
    </row>
    <row r="183" spans="1:26" s="50" customFormat="1" ht="90.75" customHeight="1" x14ac:dyDescent="0.25">
      <c r="A183" s="20">
        <v>128</v>
      </c>
      <c r="B183" s="32" t="s">
        <v>0</v>
      </c>
      <c r="C183" s="32">
        <v>7522</v>
      </c>
      <c r="D183" s="32">
        <v>15</v>
      </c>
      <c r="E183" s="32">
        <v>3</v>
      </c>
      <c r="F183" s="43">
        <v>46</v>
      </c>
      <c r="G183" s="21" t="s">
        <v>209</v>
      </c>
      <c r="H183" s="24">
        <f t="shared" si="32"/>
        <v>6346</v>
      </c>
      <c r="I183" s="74" t="s">
        <v>32</v>
      </c>
      <c r="J183" s="24">
        <f t="shared" si="29"/>
        <v>1269200</v>
      </c>
      <c r="K183" s="20"/>
      <c r="L183" s="20"/>
      <c r="M183" s="20"/>
      <c r="N183" s="20"/>
      <c r="O183" s="24"/>
      <c r="P183" s="24"/>
      <c r="Q183" s="25"/>
      <c r="R183" s="24"/>
      <c r="S183" s="20"/>
      <c r="T183" s="27"/>
      <c r="U183" s="20"/>
      <c r="V183" s="27">
        <f t="shared" si="30"/>
        <v>1269200</v>
      </c>
      <c r="W183" s="26">
        <f t="shared" si="31"/>
        <v>1269200</v>
      </c>
      <c r="X183" s="27">
        <v>0</v>
      </c>
      <c r="Y183" s="26">
        <f t="shared" si="28"/>
        <v>1269200</v>
      </c>
      <c r="Z183" s="49">
        <v>1E-4</v>
      </c>
    </row>
    <row r="184" spans="1:26" s="50" customFormat="1" ht="90.75" customHeight="1" x14ac:dyDescent="0.25">
      <c r="A184" s="20">
        <v>129</v>
      </c>
      <c r="B184" s="32" t="s">
        <v>0</v>
      </c>
      <c r="C184" s="32">
        <v>7523</v>
      </c>
      <c r="D184" s="32">
        <v>10</v>
      </c>
      <c r="E184" s="32">
        <v>3</v>
      </c>
      <c r="F184" s="43">
        <v>31</v>
      </c>
      <c r="G184" s="21" t="s">
        <v>209</v>
      </c>
      <c r="H184" s="24">
        <f t="shared" si="32"/>
        <v>4331</v>
      </c>
      <c r="I184" s="74" t="s">
        <v>62</v>
      </c>
      <c r="J184" s="24">
        <f t="shared" si="29"/>
        <v>2165500</v>
      </c>
      <c r="K184" s="20"/>
      <c r="L184" s="20"/>
      <c r="M184" s="20"/>
      <c r="N184" s="20"/>
      <c r="O184" s="24"/>
      <c r="P184" s="24"/>
      <c r="Q184" s="25"/>
      <c r="R184" s="24"/>
      <c r="S184" s="20"/>
      <c r="T184" s="27"/>
      <c r="U184" s="20"/>
      <c r="V184" s="27">
        <f t="shared" si="30"/>
        <v>2165500</v>
      </c>
      <c r="W184" s="26">
        <f t="shared" si="31"/>
        <v>2165500</v>
      </c>
      <c r="X184" s="27">
        <v>0</v>
      </c>
      <c r="Y184" s="26">
        <f t="shared" si="28"/>
        <v>2165500</v>
      </c>
      <c r="Z184" s="49"/>
    </row>
    <row r="185" spans="1:26" s="50" customFormat="1" ht="90.75" customHeight="1" x14ac:dyDescent="0.25">
      <c r="A185" s="20">
        <v>130</v>
      </c>
      <c r="B185" s="32" t="s">
        <v>0</v>
      </c>
      <c r="C185" s="32">
        <v>7524</v>
      </c>
      <c r="D185" s="32">
        <v>10</v>
      </c>
      <c r="E185" s="32">
        <v>0</v>
      </c>
      <c r="F185" s="43">
        <v>35</v>
      </c>
      <c r="G185" s="21" t="s">
        <v>209</v>
      </c>
      <c r="H185" s="24">
        <f t="shared" si="32"/>
        <v>4035</v>
      </c>
      <c r="I185" s="74" t="s">
        <v>32</v>
      </c>
      <c r="J185" s="24">
        <f t="shared" si="29"/>
        <v>807000</v>
      </c>
      <c r="K185" s="20"/>
      <c r="L185" s="20"/>
      <c r="M185" s="20"/>
      <c r="N185" s="20"/>
      <c r="O185" s="24"/>
      <c r="P185" s="24"/>
      <c r="Q185" s="25"/>
      <c r="R185" s="24"/>
      <c r="S185" s="20"/>
      <c r="T185" s="27"/>
      <c r="U185" s="20"/>
      <c r="V185" s="27">
        <f t="shared" si="30"/>
        <v>807000</v>
      </c>
      <c r="W185" s="26">
        <f t="shared" si="31"/>
        <v>807000</v>
      </c>
      <c r="X185" s="27">
        <v>0</v>
      </c>
      <c r="Y185" s="26">
        <f t="shared" si="28"/>
        <v>807000</v>
      </c>
      <c r="Z185" s="49"/>
    </row>
    <row r="186" spans="1:26" s="50" customFormat="1" ht="90.75" customHeight="1" x14ac:dyDescent="0.25">
      <c r="A186" s="20">
        <v>131</v>
      </c>
      <c r="B186" s="32" t="s">
        <v>0</v>
      </c>
      <c r="C186" s="32">
        <v>7791</v>
      </c>
      <c r="D186" s="32">
        <v>32</v>
      </c>
      <c r="E186" s="32">
        <v>0</v>
      </c>
      <c r="F186" s="43">
        <v>44</v>
      </c>
      <c r="G186" s="21" t="s">
        <v>209</v>
      </c>
      <c r="H186" s="24">
        <f t="shared" si="32"/>
        <v>12844</v>
      </c>
      <c r="I186" s="25">
        <v>500</v>
      </c>
      <c r="J186" s="24">
        <f t="shared" si="29"/>
        <v>6422000</v>
      </c>
      <c r="K186" s="20"/>
      <c r="L186" s="20"/>
      <c r="M186" s="20"/>
      <c r="N186" s="20"/>
      <c r="O186" s="24"/>
      <c r="P186" s="24"/>
      <c r="Q186" s="25"/>
      <c r="R186" s="24"/>
      <c r="S186" s="20"/>
      <c r="T186" s="27"/>
      <c r="U186" s="20"/>
      <c r="V186" s="27">
        <f t="shared" si="30"/>
        <v>6422000</v>
      </c>
      <c r="W186" s="26">
        <f t="shared" si="31"/>
        <v>6422000</v>
      </c>
      <c r="X186" s="27">
        <v>0</v>
      </c>
      <c r="Y186" s="26">
        <f t="shared" si="28"/>
        <v>6422000</v>
      </c>
      <c r="Z186" s="49">
        <v>1E-4</v>
      </c>
    </row>
    <row r="187" spans="1:26" s="50" customFormat="1" ht="90.75" customHeight="1" x14ac:dyDescent="0.25">
      <c r="A187" s="20">
        <v>132</v>
      </c>
      <c r="B187" s="32" t="s">
        <v>0</v>
      </c>
      <c r="C187" s="32">
        <v>7751</v>
      </c>
      <c r="D187" s="32">
        <v>12</v>
      </c>
      <c r="E187" s="32">
        <v>1</v>
      </c>
      <c r="F187" s="43">
        <v>95</v>
      </c>
      <c r="G187" s="21" t="s">
        <v>209</v>
      </c>
      <c r="H187" s="24">
        <f t="shared" si="32"/>
        <v>4995</v>
      </c>
      <c r="I187" s="25">
        <v>200</v>
      </c>
      <c r="J187" s="24">
        <f t="shared" si="29"/>
        <v>999000</v>
      </c>
      <c r="K187" s="20"/>
      <c r="L187" s="20"/>
      <c r="M187" s="20"/>
      <c r="N187" s="20"/>
      <c r="O187" s="24"/>
      <c r="P187" s="24"/>
      <c r="Q187" s="25"/>
      <c r="R187" s="24"/>
      <c r="S187" s="20"/>
      <c r="T187" s="27"/>
      <c r="U187" s="20"/>
      <c r="V187" s="27">
        <f t="shared" si="30"/>
        <v>999000</v>
      </c>
      <c r="W187" s="26">
        <f t="shared" si="31"/>
        <v>999000</v>
      </c>
      <c r="X187" s="27">
        <v>0</v>
      </c>
      <c r="Y187" s="26">
        <f t="shared" si="28"/>
        <v>999000</v>
      </c>
      <c r="Z187" s="49"/>
    </row>
    <row r="188" spans="1:26" s="50" customFormat="1" ht="90.75" customHeight="1" x14ac:dyDescent="0.25">
      <c r="A188" s="20">
        <v>133</v>
      </c>
      <c r="B188" s="32" t="s">
        <v>0</v>
      </c>
      <c r="C188" s="32">
        <v>7795</v>
      </c>
      <c r="D188" s="32">
        <v>6</v>
      </c>
      <c r="E188" s="32">
        <v>3</v>
      </c>
      <c r="F188" s="43">
        <v>1</v>
      </c>
      <c r="G188" s="21" t="s">
        <v>209</v>
      </c>
      <c r="H188" s="24">
        <f t="shared" si="32"/>
        <v>2701</v>
      </c>
      <c r="I188" s="25">
        <v>650</v>
      </c>
      <c r="J188" s="24">
        <f t="shared" si="29"/>
        <v>1755650</v>
      </c>
      <c r="K188" s="20"/>
      <c r="L188" s="20"/>
      <c r="M188" s="20"/>
      <c r="N188" s="20"/>
      <c r="O188" s="24"/>
      <c r="P188" s="24"/>
      <c r="Q188" s="25"/>
      <c r="R188" s="24"/>
      <c r="S188" s="20"/>
      <c r="T188" s="27"/>
      <c r="U188" s="20"/>
      <c r="V188" s="27">
        <f t="shared" si="30"/>
        <v>1755650</v>
      </c>
      <c r="W188" s="26">
        <f t="shared" si="31"/>
        <v>1755650</v>
      </c>
      <c r="X188" s="27">
        <v>0</v>
      </c>
      <c r="Y188" s="26">
        <f t="shared" si="28"/>
        <v>1755650</v>
      </c>
      <c r="Z188" s="49"/>
    </row>
    <row r="189" spans="1:26" s="50" customFormat="1" ht="90.75" customHeight="1" x14ac:dyDescent="0.25">
      <c r="A189" s="20">
        <v>134</v>
      </c>
      <c r="B189" s="32" t="s">
        <v>0</v>
      </c>
      <c r="C189" s="32">
        <v>7797</v>
      </c>
      <c r="D189" s="32">
        <v>25</v>
      </c>
      <c r="E189" s="32">
        <v>2</v>
      </c>
      <c r="F189" s="43">
        <v>40</v>
      </c>
      <c r="G189" s="21" t="s">
        <v>209</v>
      </c>
      <c r="H189" s="24">
        <f t="shared" si="32"/>
        <v>10240</v>
      </c>
      <c r="I189" s="25">
        <v>375</v>
      </c>
      <c r="J189" s="24">
        <f t="shared" si="29"/>
        <v>3840000</v>
      </c>
      <c r="K189" s="20"/>
      <c r="L189" s="20"/>
      <c r="M189" s="20"/>
      <c r="N189" s="20"/>
      <c r="O189" s="24"/>
      <c r="P189" s="24"/>
      <c r="Q189" s="25"/>
      <c r="R189" s="24"/>
      <c r="S189" s="20"/>
      <c r="T189" s="27"/>
      <c r="U189" s="20"/>
      <c r="V189" s="27">
        <f t="shared" si="30"/>
        <v>3840000</v>
      </c>
      <c r="W189" s="26">
        <f t="shared" si="31"/>
        <v>3840000</v>
      </c>
      <c r="X189" s="27">
        <v>0</v>
      </c>
      <c r="Y189" s="26">
        <f t="shared" si="28"/>
        <v>3840000</v>
      </c>
      <c r="Z189" s="49">
        <v>3.0000000000000001E-3</v>
      </c>
    </row>
    <row r="190" spans="1:26" s="50" customFormat="1" ht="90.75" customHeight="1" x14ac:dyDescent="0.25">
      <c r="A190" s="20"/>
      <c r="B190" s="32" t="s">
        <v>0</v>
      </c>
      <c r="C190" s="32">
        <v>7797</v>
      </c>
      <c r="D190" s="62"/>
      <c r="E190" s="62"/>
      <c r="F190" s="22"/>
      <c r="G190" s="22"/>
      <c r="H190" s="24">
        <f t="shared" ref="H190:H195" si="33">(O190*0.25)</f>
        <v>7140</v>
      </c>
      <c r="I190" s="25">
        <v>375</v>
      </c>
      <c r="J190" s="24">
        <f t="shared" si="29"/>
        <v>2677500</v>
      </c>
      <c r="K190" s="75">
        <v>1</v>
      </c>
      <c r="L190" s="26" t="s">
        <v>15</v>
      </c>
      <c r="M190" s="26" t="s">
        <v>13</v>
      </c>
      <c r="N190" s="75">
        <v>3</v>
      </c>
      <c r="O190" s="24">
        <v>28560</v>
      </c>
      <c r="P190" s="24">
        <v>100</v>
      </c>
      <c r="Q190" s="25">
        <v>5950</v>
      </c>
      <c r="R190" s="24">
        <f t="shared" ref="R190:R195" si="34">(O190*Q190)</f>
        <v>169932000</v>
      </c>
      <c r="S190" s="20">
        <v>1</v>
      </c>
      <c r="T190" s="24">
        <f t="shared" ref="T190:T195" si="35">(R190*1/100)</f>
        <v>1699320</v>
      </c>
      <c r="U190" s="27">
        <f t="shared" ref="U190:U195" si="36">(R190-T190)</f>
        <v>168232680</v>
      </c>
      <c r="V190" s="27">
        <f t="shared" si="30"/>
        <v>170910180</v>
      </c>
      <c r="W190" s="26">
        <f t="shared" si="31"/>
        <v>170910180</v>
      </c>
      <c r="X190" s="27">
        <v>0</v>
      </c>
      <c r="Y190" s="26">
        <f t="shared" si="28"/>
        <v>170910180</v>
      </c>
      <c r="Z190" s="49" t="s">
        <v>250</v>
      </c>
    </row>
    <row r="191" spans="1:26" s="50" customFormat="1" ht="90.75" customHeight="1" x14ac:dyDescent="0.25">
      <c r="A191" s="20"/>
      <c r="B191" s="26"/>
      <c r="C191" s="20"/>
      <c r="D191" s="62"/>
      <c r="E191" s="62"/>
      <c r="F191" s="22"/>
      <c r="G191" s="22"/>
      <c r="H191" s="24">
        <f t="shared" si="33"/>
        <v>75</v>
      </c>
      <c r="I191" s="25">
        <v>375</v>
      </c>
      <c r="J191" s="24">
        <f t="shared" si="29"/>
        <v>28125</v>
      </c>
      <c r="K191" s="75"/>
      <c r="L191" s="26" t="s">
        <v>191</v>
      </c>
      <c r="M191" s="26" t="s">
        <v>13</v>
      </c>
      <c r="N191" s="75">
        <v>3</v>
      </c>
      <c r="O191" s="24">
        <v>300</v>
      </c>
      <c r="P191" s="24">
        <v>100</v>
      </c>
      <c r="Q191" s="25">
        <v>5550</v>
      </c>
      <c r="R191" s="24">
        <f t="shared" si="34"/>
        <v>1665000</v>
      </c>
      <c r="S191" s="20">
        <v>1</v>
      </c>
      <c r="T191" s="24">
        <f t="shared" si="35"/>
        <v>16650</v>
      </c>
      <c r="U191" s="27">
        <f t="shared" si="36"/>
        <v>1648350</v>
      </c>
      <c r="V191" s="27">
        <f t="shared" si="30"/>
        <v>1676475</v>
      </c>
      <c r="W191" s="26">
        <f t="shared" si="31"/>
        <v>1676475</v>
      </c>
      <c r="X191" s="27">
        <v>0</v>
      </c>
      <c r="Y191" s="26">
        <f t="shared" si="28"/>
        <v>1676475</v>
      </c>
      <c r="Z191" s="49">
        <v>3.0000000000000001E-3</v>
      </c>
    </row>
    <row r="192" spans="1:26" s="50" customFormat="1" ht="90.75" customHeight="1" x14ac:dyDescent="0.25">
      <c r="A192" s="20"/>
      <c r="B192" s="26"/>
      <c r="C192" s="20"/>
      <c r="D192" s="62"/>
      <c r="E192" s="62"/>
      <c r="F192" s="22"/>
      <c r="G192" s="22"/>
      <c r="H192" s="24">
        <f t="shared" si="33"/>
        <v>465.75</v>
      </c>
      <c r="I192" s="25">
        <v>375</v>
      </c>
      <c r="J192" s="24">
        <f t="shared" si="29"/>
        <v>174656.25</v>
      </c>
      <c r="K192" s="75"/>
      <c r="L192" s="26" t="s">
        <v>93</v>
      </c>
      <c r="M192" s="26" t="s">
        <v>13</v>
      </c>
      <c r="N192" s="75">
        <v>3</v>
      </c>
      <c r="O192" s="24">
        <v>1863</v>
      </c>
      <c r="P192" s="24">
        <v>100</v>
      </c>
      <c r="Q192" s="25">
        <v>7100</v>
      </c>
      <c r="R192" s="24">
        <f t="shared" si="34"/>
        <v>13227300</v>
      </c>
      <c r="S192" s="20">
        <v>1</v>
      </c>
      <c r="T192" s="24">
        <f t="shared" si="35"/>
        <v>132273</v>
      </c>
      <c r="U192" s="27">
        <f t="shared" si="36"/>
        <v>13095027</v>
      </c>
      <c r="V192" s="27">
        <f t="shared" si="30"/>
        <v>13269683.25</v>
      </c>
      <c r="W192" s="26">
        <f t="shared" si="31"/>
        <v>13269683.25</v>
      </c>
      <c r="X192" s="27">
        <v>0</v>
      </c>
      <c r="Y192" s="26">
        <f t="shared" si="28"/>
        <v>13269683.25</v>
      </c>
      <c r="Z192" s="49">
        <v>3.0000000000000001E-3</v>
      </c>
    </row>
    <row r="193" spans="1:26" s="50" customFormat="1" ht="90.75" customHeight="1" x14ac:dyDescent="0.25">
      <c r="A193" s="20"/>
      <c r="B193" s="26"/>
      <c r="C193" s="20"/>
      <c r="D193" s="62"/>
      <c r="E193" s="62"/>
      <c r="F193" s="22"/>
      <c r="G193" s="22"/>
      <c r="H193" s="24">
        <f t="shared" si="33"/>
        <v>100</v>
      </c>
      <c r="I193" s="25">
        <v>375</v>
      </c>
      <c r="J193" s="24">
        <f t="shared" si="29"/>
        <v>37500</v>
      </c>
      <c r="K193" s="75"/>
      <c r="L193" s="26" t="s">
        <v>15</v>
      </c>
      <c r="M193" s="26" t="s">
        <v>13</v>
      </c>
      <c r="N193" s="75">
        <v>3</v>
      </c>
      <c r="O193" s="24">
        <v>400</v>
      </c>
      <c r="P193" s="24">
        <v>100</v>
      </c>
      <c r="Q193" s="25">
        <v>5950</v>
      </c>
      <c r="R193" s="24">
        <f t="shared" si="34"/>
        <v>2380000</v>
      </c>
      <c r="S193" s="20">
        <v>1</v>
      </c>
      <c r="T193" s="24">
        <f t="shared" si="35"/>
        <v>23800</v>
      </c>
      <c r="U193" s="27">
        <f t="shared" si="36"/>
        <v>2356200</v>
      </c>
      <c r="V193" s="27">
        <f t="shared" si="30"/>
        <v>2393700</v>
      </c>
      <c r="W193" s="26">
        <f t="shared" si="31"/>
        <v>2393700</v>
      </c>
      <c r="X193" s="27">
        <v>0</v>
      </c>
      <c r="Y193" s="26">
        <f t="shared" si="28"/>
        <v>2393700</v>
      </c>
      <c r="Z193" s="49">
        <v>3.0000000000000001E-3</v>
      </c>
    </row>
    <row r="194" spans="1:26" s="50" customFormat="1" ht="90.75" customHeight="1" x14ac:dyDescent="0.25">
      <c r="A194" s="20"/>
      <c r="B194" s="26"/>
      <c r="C194" s="20"/>
      <c r="D194" s="62"/>
      <c r="E194" s="62"/>
      <c r="F194" s="22"/>
      <c r="G194" s="22"/>
      <c r="H194" s="24">
        <f t="shared" si="33"/>
        <v>120</v>
      </c>
      <c r="I194" s="25">
        <v>375</v>
      </c>
      <c r="J194" s="24">
        <f t="shared" si="29"/>
        <v>45000</v>
      </c>
      <c r="K194" s="75"/>
      <c r="L194" s="26" t="s">
        <v>192</v>
      </c>
      <c r="M194" s="26" t="s">
        <v>13</v>
      </c>
      <c r="N194" s="75">
        <v>3</v>
      </c>
      <c r="O194" s="24">
        <v>480</v>
      </c>
      <c r="P194" s="24">
        <v>100</v>
      </c>
      <c r="Q194" s="25">
        <v>3500</v>
      </c>
      <c r="R194" s="24">
        <f t="shared" si="34"/>
        <v>1680000</v>
      </c>
      <c r="S194" s="20">
        <v>1</v>
      </c>
      <c r="T194" s="24">
        <f t="shared" si="35"/>
        <v>16800</v>
      </c>
      <c r="U194" s="27">
        <f t="shared" si="36"/>
        <v>1663200</v>
      </c>
      <c r="V194" s="27">
        <f t="shared" si="30"/>
        <v>1708200</v>
      </c>
      <c r="W194" s="26">
        <f t="shared" si="31"/>
        <v>1708200</v>
      </c>
      <c r="X194" s="27">
        <v>0</v>
      </c>
      <c r="Y194" s="26">
        <f t="shared" si="28"/>
        <v>1708200</v>
      </c>
      <c r="Z194" s="49">
        <v>3.0000000000000001E-3</v>
      </c>
    </row>
    <row r="195" spans="1:26" s="50" customFormat="1" ht="90.75" customHeight="1" x14ac:dyDescent="0.25">
      <c r="A195" s="20"/>
      <c r="B195" s="26"/>
      <c r="C195" s="20"/>
      <c r="D195" s="62"/>
      <c r="E195" s="62"/>
      <c r="F195" s="22"/>
      <c r="G195" s="22"/>
      <c r="H195" s="24">
        <f t="shared" si="33"/>
        <v>2.52</v>
      </c>
      <c r="I195" s="25">
        <v>375</v>
      </c>
      <c r="J195" s="24">
        <f t="shared" si="29"/>
        <v>945</v>
      </c>
      <c r="K195" s="75"/>
      <c r="L195" s="26" t="s">
        <v>16</v>
      </c>
      <c r="M195" s="26" t="s">
        <v>13</v>
      </c>
      <c r="N195" s="75">
        <v>3</v>
      </c>
      <c r="O195" s="24">
        <v>10.08</v>
      </c>
      <c r="P195" s="24">
        <v>100</v>
      </c>
      <c r="Q195" s="25">
        <v>6450</v>
      </c>
      <c r="R195" s="24">
        <f t="shared" si="34"/>
        <v>65016</v>
      </c>
      <c r="S195" s="20">
        <v>1</v>
      </c>
      <c r="T195" s="24">
        <f t="shared" si="35"/>
        <v>650.16</v>
      </c>
      <c r="U195" s="27">
        <f t="shared" si="36"/>
        <v>64365.84</v>
      </c>
      <c r="V195" s="27">
        <f t="shared" si="30"/>
        <v>65310.84</v>
      </c>
      <c r="W195" s="26">
        <f t="shared" si="31"/>
        <v>65310.84</v>
      </c>
      <c r="X195" s="27">
        <v>0</v>
      </c>
      <c r="Y195" s="26">
        <f t="shared" si="28"/>
        <v>65310.84</v>
      </c>
      <c r="Z195" s="49">
        <v>3.0000000000000001E-3</v>
      </c>
    </row>
    <row r="196" spans="1:26" s="50" customFormat="1" ht="90.75" customHeight="1" x14ac:dyDescent="0.25">
      <c r="A196" s="20">
        <v>135</v>
      </c>
      <c r="B196" s="32" t="s">
        <v>0</v>
      </c>
      <c r="C196" s="32">
        <v>7799</v>
      </c>
      <c r="D196" s="32">
        <v>46</v>
      </c>
      <c r="E196" s="32">
        <v>1</v>
      </c>
      <c r="F196" s="43">
        <v>36</v>
      </c>
      <c r="G196" s="21" t="s">
        <v>209</v>
      </c>
      <c r="H196" s="24">
        <f t="shared" ref="H196:H210" si="37">(D196*400)+(E196*100)+F196</f>
        <v>18536</v>
      </c>
      <c r="I196" s="25">
        <v>375</v>
      </c>
      <c r="J196" s="24">
        <f t="shared" si="29"/>
        <v>6951000</v>
      </c>
      <c r="K196" s="75"/>
      <c r="L196" s="26"/>
      <c r="M196" s="26"/>
      <c r="N196" s="26"/>
      <c r="O196" s="24"/>
      <c r="P196" s="24"/>
      <c r="Q196" s="25"/>
      <c r="R196" s="24"/>
      <c r="S196" s="20"/>
      <c r="T196" s="27"/>
      <c r="U196" s="20"/>
      <c r="V196" s="27">
        <f t="shared" si="30"/>
        <v>6951000</v>
      </c>
      <c r="W196" s="26">
        <f t="shared" si="31"/>
        <v>6951000</v>
      </c>
      <c r="X196" s="27">
        <v>0</v>
      </c>
      <c r="Y196" s="26">
        <f t="shared" ref="Y196:Y210" si="38">(W196-X196)</f>
        <v>6951000</v>
      </c>
      <c r="Z196" s="49">
        <v>1E-4</v>
      </c>
    </row>
    <row r="197" spans="1:26" s="50" customFormat="1" ht="90.75" customHeight="1" x14ac:dyDescent="0.25">
      <c r="A197" s="20">
        <v>136</v>
      </c>
      <c r="B197" s="20" t="s">
        <v>0</v>
      </c>
      <c r="C197" s="20">
        <v>7800</v>
      </c>
      <c r="D197" s="31">
        <v>5</v>
      </c>
      <c r="E197" s="31">
        <v>0</v>
      </c>
      <c r="F197" s="43">
        <v>98</v>
      </c>
      <c r="G197" s="21" t="s">
        <v>209</v>
      </c>
      <c r="H197" s="24">
        <f t="shared" si="37"/>
        <v>2098</v>
      </c>
      <c r="I197" s="25">
        <v>400</v>
      </c>
      <c r="J197" s="24">
        <f t="shared" ref="J197:J211" si="39">(H197*I197)</f>
        <v>839200</v>
      </c>
      <c r="K197" s="20"/>
      <c r="L197" s="20"/>
      <c r="M197" s="20"/>
      <c r="N197" s="20"/>
      <c r="O197" s="24"/>
      <c r="P197" s="24"/>
      <c r="Q197" s="25"/>
      <c r="R197" s="24"/>
      <c r="S197" s="20"/>
      <c r="T197" s="27"/>
      <c r="U197" s="20"/>
      <c r="V197" s="27">
        <f t="shared" ref="V197:V210" si="40">(J197+U197)</f>
        <v>839200</v>
      </c>
      <c r="W197" s="26">
        <f t="shared" si="31"/>
        <v>839200</v>
      </c>
      <c r="X197" s="27">
        <v>0</v>
      </c>
      <c r="Y197" s="26">
        <f t="shared" si="38"/>
        <v>839200</v>
      </c>
      <c r="Z197" s="49"/>
    </row>
    <row r="198" spans="1:26" s="50" customFormat="1" ht="90.75" customHeight="1" x14ac:dyDescent="0.25">
      <c r="A198" s="20">
        <v>137</v>
      </c>
      <c r="B198" s="20" t="s">
        <v>0</v>
      </c>
      <c r="C198" s="20">
        <v>6822</v>
      </c>
      <c r="D198" s="21">
        <v>45</v>
      </c>
      <c r="E198" s="21">
        <v>0</v>
      </c>
      <c r="F198" s="22">
        <v>58</v>
      </c>
      <c r="G198" s="22" t="s">
        <v>198</v>
      </c>
      <c r="H198" s="24">
        <f t="shared" si="37"/>
        <v>18058</v>
      </c>
      <c r="I198" s="25">
        <v>375</v>
      </c>
      <c r="J198" s="24">
        <f t="shared" si="39"/>
        <v>6771750</v>
      </c>
      <c r="K198" s="20"/>
      <c r="L198" s="20"/>
      <c r="M198" s="20"/>
      <c r="N198" s="20"/>
      <c r="O198" s="24"/>
      <c r="P198" s="24"/>
      <c r="Q198" s="25"/>
      <c r="R198" s="24"/>
      <c r="S198" s="20"/>
      <c r="T198" s="27"/>
      <c r="U198" s="20"/>
      <c r="V198" s="27">
        <f t="shared" si="40"/>
        <v>6771750</v>
      </c>
      <c r="W198" s="26">
        <f t="shared" si="31"/>
        <v>6771750</v>
      </c>
      <c r="X198" s="27">
        <v>0</v>
      </c>
      <c r="Y198" s="26">
        <f t="shared" si="38"/>
        <v>6771750</v>
      </c>
      <c r="Z198" s="49">
        <v>1E-4</v>
      </c>
    </row>
    <row r="199" spans="1:26" s="50" customFormat="1" ht="90.75" customHeight="1" x14ac:dyDescent="0.25">
      <c r="A199" s="20">
        <v>138</v>
      </c>
      <c r="B199" s="20" t="s">
        <v>0</v>
      </c>
      <c r="C199" s="20">
        <v>10576</v>
      </c>
      <c r="D199" s="21">
        <v>3</v>
      </c>
      <c r="E199" s="21">
        <v>3</v>
      </c>
      <c r="F199" s="22">
        <v>18</v>
      </c>
      <c r="G199" s="22" t="s">
        <v>198</v>
      </c>
      <c r="H199" s="24">
        <f t="shared" si="37"/>
        <v>1518</v>
      </c>
      <c r="I199" s="25">
        <v>450</v>
      </c>
      <c r="J199" s="24">
        <f t="shared" si="39"/>
        <v>683100</v>
      </c>
      <c r="K199" s="20"/>
      <c r="L199" s="20"/>
      <c r="M199" s="20"/>
      <c r="N199" s="20"/>
      <c r="O199" s="24"/>
      <c r="P199" s="24"/>
      <c r="Q199" s="25"/>
      <c r="R199" s="24"/>
      <c r="S199" s="20"/>
      <c r="T199" s="27"/>
      <c r="U199" s="20"/>
      <c r="V199" s="27">
        <f t="shared" si="40"/>
        <v>683100</v>
      </c>
      <c r="W199" s="26">
        <f t="shared" si="31"/>
        <v>683100</v>
      </c>
      <c r="X199" s="27">
        <v>0</v>
      </c>
      <c r="Y199" s="26">
        <f t="shared" si="38"/>
        <v>683100</v>
      </c>
      <c r="Z199" s="49">
        <v>1E-4</v>
      </c>
    </row>
    <row r="200" spans="1:26" s="50" customFormat="1" ht="90.75" customHeight="1" x14ac:dyDescent="0.25">
      <c r="A200" s="20">
        <v>139</v>
      </c>
      <c r="B200" s="20" t="s">
        <v>0</v>
      </c>
      <c r="C200" s="20">
        <v>11405</v>
      </c>
      <c r="D200" s="21">
        <v>42</v>
      </c>
      <c r="E200" s="21">
        <v>1</v>
      </c>
      <c r="F200" s="22">
        <v>10</v>
      </c>
      <c r="G200" s="22" t="s">
        <v>198</v>
      </c>
      <c r="H200" s="24">
        <f t="shared" si="37"/>
        <v>16910</v>
      </c>
      <c r="I200" s="25">
        <v>375</v>
      </c>
      <c r="J200" s="24">
        <f t="shared" si="39"/>
        <v>6341250</v>
      </c>
      <c r="K200" s="20"/>
      <c r="L200" s="20"/>
      <c r="M200" s="20"/>
      <c r="N200" s="20"/>
      <c r="O200" s="24"/>
      <c r="P200" s="24"/>
      <c r="Q200" s="25"/>
      <c r="R200" s="24"/>
      <c r="S200" s="20"/>
      <c r="T200" s="27"/>
      <c r="U200" s="20"/>
      <c r="V200" s="27">
        <f t="shared" si="40"/>
        <v>6341250</v>
      </c>
      <c r="W200" s="26">
        <f t="shared" si="31"/>
        <v>6341250</v>
      </c>
      <c r="X200" s="27">
        <v>0</v>
      </c>
      <c r="Y200" s="26">
        <f t="shared" si="38"/>
        <v>6341250</v>
      </c>
      <c r="Z200" s="49">
        <v>1E-4</v>
      </c>
    </row>
    <row r="201" spans="1:26" s="50" customFormat="1" ht="90.75" customHeight="1" x14ac:dyDescent="0.25">
      <c r="A201" s="20">
        <v>140</v>
      </c>
      <c r="B201" s="20" t="s">
        <v>0</v>
      </c>
      <c r="C201" s="20">
        <v>11679</v>
      </c>
      <c r="D201" s="21">
        <v>41</v>
      </c>
      <c r="E201" s="21">
        <v>3</v>
      </c>
      <c r="F201" s="22">
        <v>30</v>
      </c>
      <c r="G201" s="22" t="s">
        <v>198</v>
      </c>
      <c r="H201" s="24">
        <f t="shared" si="37"/>
        <v>16730</v>
      </c>
      <c r="I201" s="25">
        <v>525</v>
      </c>
      <c r="J201" s="24">
        <f t="shared" si="39"/>
        <v>8783250</v>
      </c>
      <c r="K201" s="20"/>
      <c r="L201" s="20"/>
      <c r="M201" s="20"/>
      <c r="N201" s="20"/>
      <c r="O201" s="24"/>
      <c r="P201" s="24"/>
      <c r="Q201" s="25"/>
      <c r="R201" s="24"/>
      <c r="S201" s="20"/>
      <c r="T201" s="27"/>
      <c r="U201" s="20"/>
      <c r="V201" s="27">
        <f t="shared" si="40"/>
        <v>8783250</v>
      </c>
      <c r="W201" s="26">
        <f t="shared" ref="W201:W210" si="41">(V201*100/100)</f>
        <v>8783250</v>
      </c>
      <c r="X201" s="27">
        <v>0</v>
      </c>
      <c r="Y201" s="26">
        <f t="shared" si="38"/>
        <v>8783250</v>
      </c>
      <c r="Z201" s="49">
        <v>1E-4</v>
      </c>
    </row>
    <row r="202" spans="1:26" s="50" customFormat="1" ht="90.75" customHeight="1" x14ac:dyDescent="0.25">
      <c r="A202" s="20">
        <v>141</v>
      </c>
      <c r="B202" s="20" t="s">
        <v>0</v>
      </c>
      <c r="C202" s="20">
        <v>11946</v>
      </c>
      <c r="D202" s="21">
        <v>35</v>
      </c>
      <c r="E202" s="21">
        <v>1</v>
      </c>
      <c r="F202" s="22">
        <v>61</v>
      </c>
      <c r="G202" s="22" t="s">
        <v>198</v>
      </c>
      <c r="H202" s="24">
        <f t="shared" si="37"/>
        <v>14161</v>
      </c>
      <c r="I202" s="25">
        <v>525</v>
      </c>
      <c r="J202" s="24">
        <f t="shared" si="39"/>
        <v>7434525</v>
      </c>
      <c r="K202" s="20"/>
      <c r="L202" s="20"/>
      <c r="M202" s="20"/>
      <c r="N202" s="20"/>
      <c r="O202" s="24"/>
      <c r="P202" s="24"/>
      <c r="Q202" s="25"/>
      <c r="R202" s="24"/>
      <c r="S202" s="20"/>
      <c r="T202" s="27"/>
      <c r="U202" s="20"/>
      <c r="V202" s="27">
        <f t="shared" si="40"/>
        <v>7434525</v>
      </c>
      <c r="W202" s="26">
        <f t="shared" si="41"/>
        <v>7434525</v>
      </c>
      <c r="X202" s="27">
        <v>0</v>
      </c>
      <c r="Y202" s="26">
        <f t="shared" si="38"/>
        <v>7434525</v>
      </c>
      <c r="Z202" s="49">
        <v>1E-4</v>
      </c>
    </row>
    <row r="203" spans="1:26" s="50" customFormat="1" ht="90.75" customHeight="1" x14ac:dyDescent="0.25">
      <c r="A203" s="20">
        <v>142</v>
      </c>
      <c r="B203" s="20" t="s">
        <v>0</v>
      </c>
      <c r="C203" s="20">
        <v>11943</v>
      </c>
      <c r="D203" s="21">
        <v>7</v>
      </c>
      <c r="E203" s="21">
        <v>1</v>
      </c>
      <c r="F203" s="22">
        <v>46</v>
      </c>
      <c r="G203" s="22" t="s">
        <v>198</v>
      </c>
      <c r="H203" s="24">
        <f t="shared" si="37"/>
        <v>2946</v>
      </c>
      <c r="I203" s="25">
        <v>300</v>
      </c>
      <c r="J203" s="24">
        <f t="shared" si="39"/>
        <v>883800</v>
      </c>
      <c r="K203" s="20"/>
      <c r="L203" s="20"/>
      <c r="M203" s="20"/>
      <c r="N203" s="20"/>
      <c r="O203" s="24"/>
      <c r="P203" s="24"/>
      <c r="Q203" s="25"/>
      <c r="R203" s="24"/>
      <c r="S203" s="20"/>
      <c r="T203" s="27"/>
      <c r="U203" s="20"/>
      <c r="V203" s="27">
        <f t="shared" si="40"/>
        <v>883800</v>
      </c>
      <c r="W203" s="26">
        <f t="shared" si="41"/>
        <v>883800</v>
      </c>
      <c r="X203" s="27">
        <v>0</v>
      </c>
      <c r="Y203" s="26">
        <f t="shared" si="38"/>
        <v>883800</v>
      </c>
      <c r="Z203" s="49">
        <v>1E-4</v>
      </c>
    </row>
    <row r="204" spans="1:26" s="50" customFormat="1" ht="90.75" customHeight="1" x14ac:dyDescent="0.25">
      <c r="A204" s="20">
        <v>143</v>
      </c>
      <c r="B204" s="20" t="s">
        <v>0</v>
      </c>
      <c r="C204" s="20">
        <v>9594</v>
      </c>
      <c r="D204" s="21">
        <v>21</v>
      </c>
      <c r="E204" s="21">
        <v>1</v>
      </c>
      <c r="F204" s="22">
        <v>17</v>
      </c>
      <c r="G204" s="22" t="s">
        <v>198</v>
      </c>
      <c r="H204" s="24">
        <f t="shared" si="37"/>
        <v>8517</v>
      </c>
      <c r="I204" s="25">
        <v>525</v>
      </c>
      <c r="J204" s="24">
        <f t="shared" si="39"/>
        <v>4471425</v>
      </c>
      <c r="K204" s="20"/>
      <c r="L204" s="20"/>
      <c r="M204" s="20"/>
      <c r="N204" s="20"/>
      <c r="O204" s="24"/>
      <c r="P204" s="24"/>
      <c r="Q204" s="25"/>
      <c r="R204" s="24"/>
      <c r="S204" s="20"/>
      <c r="T204" s="27"/>
      <c r="U204" s="20"/>
      <c r="V204" s="27">
        <f t="shared" si="40"/>
        <v>4471425</v>
      </c>
      <c r="W204" s="26">
        <f t="shared" si="41"/>
        <v>4471425</v>
      </c>
      <c r="X204" s="27">
        <v>0</v>
      </c>
      <c r="Y204" s="26">
        <f t="shared" si="38"/>
        <v>4471425</v>
      </c>
      <c r="Z204" s="49">
        <v>1E-4</v>
      </c>
    </row>
    <row r="205" spans="1:26" s="50" customFormat="1" ht="90.75" customHeight="1" x14ac:dyDescent="0.25">
      <c r="A205" s="20">
        <v>144</v>
      </c>
      <c r="B205" s="20" t="s">
        <v>0</v>
      </c>
      <c r="C205" s="20">
        <v>11948</v>
      </c>
      <c r="D205" s="21">
        <v>5</v>
      </c>
      <c r="E205" s="21">
        <v>1</v>
      </c>
      <c r="F205" s="22">
        <v>87</v>
      </c>
      <c r="G205" s="22" t="s">
        <v>198</v>
      </c>
      <c r="H205" s="24">
        <f t="shared" si="37"/>
        <v>2187</v>
      </c>
      <c r="I205" s="25">
        <v>725</v>
      </c>
      <c r="J205" s="24">
        <f t="shared" si="39"/>
        <v>1585575</v>
      </c>
      <c r="K205" s="20"/>
      <c r="L205" s="20"/>
      <c r="M205" s="20"/>
      <c r="N205" s="20"/>
      <c r="O205" s="24"/>
      <c r="P205" s="24"/>
      <c r="Q205" s="25"/>
      <c r="R205" s="24"/>
      <c r="S205" s="20"/>
      <c r="T205" s="27"/>
      <c r="U205" s="20"/>
      <c r="V205" s="27">
        <f t="shared" si="40"/>
        <v>1585575</v>
      </c>
      <c r="W205" s="26">
        <f t="shared" si="41"/>
        <v>1585575</v>
      </c>
      <c r="X205" s="27">
        <v>0</v>
      </c>
      <c r="Y205" s="26">
        <f t="shared" si="38"/>
        <v>1585575</v>
      </c>
      <c r="Z205" s="49">
        <v>1E-4</v>
      </c>
    </row>
    <row r="206" spans="1:26" s="50" customFormat="1" ht="90.75" customHeight="1" x14ac:dyDescent="0.25">
      <c r="A206" s="20">
        <v>145</v>
      </c>
      <c r="B206" s="20" t="s">
        <v>0</v>
      </c>
      <c r="C206" s="20">
        <v>11927</v>
      </c>
      <c r="D206" s="21">
        <v>24</v>
      </c>
      <c r="E206" s="21">
        <v>0</v>
      </c>
      <c r="F206" s="22">
        <v>41</v>
      </c>
      <c r="G206" s="22" t="s">
        <v>198</v>
      </c>
      <c r="H206" s="24">
        <f t="shared" si="37"/>
        <v>9641</v>
      </c>
      <c r="I206" s="25">
        <v>525</v>
      </c>
      <c r="J206" s="24">
        <f t="shared" si="39"/>
        <v>5061525</v>
      </c>
      <c r="K206" s="20"/>
      <c r="L206" s="20"/>
      <c r="M206" s="20"/>
      <c r="N206" s="20"/>
      <c r="O206" s="24"/>
      <c r="P206" s="24"/>
      <c r="Q206" s="25"/>
      <c r="R206" s="24"/>
      <c r="S206" s="20"/>
      <c r="T206" s="27"/>
      <c r="U206" s="20"/>
      <c r="V206" s="27">
        <f t="shared" si="40"/>
        <v>5061525</v>
      </c>
      <c r="W206" s="26">
        <f t="shared" si="41"/>
        <v>5061525</v>
      </c>
      <c r="X206" s="27">
        <v>0</v>
      </c>
      <c r="Y206" s="26">
        <f t="shared" si="38"/>
        <v>5061525</v>
      </c>
      <c r="Z206" s="49">
        <v>1E-4</v>
      </c>
    </row>
    <row r="207" spans="1:26" s="50" customFormat="1" ht="90.75" customHeight="1" x14ac:dyDescent="0.25">
      <c r="A207" s="20">
        <v>146</v>
      </c>
      <c r="B207" s="20" t="s">
        <v>0</v>
      </c>
      <c r="C207" s="20">
        <v>12570</v>
      </c>
      <c r="D207" s="21">
        <v>33</v>
      </c>
      <c r="E207" s="21">
        <v>0</v>
      </c>
      <c r="F207" s="22">
        <v>66</v>
      </c>
      <c r="G207" s="22" t="s">
        <v>198</v>
      </c>
      <c r="H207" s="24">
        <f t="shared" si="37"/>
        <v>13266</v>
      </c>
      <c r="I207" s="25">
        <v>525</v>
      </c>
      <c r="J207" s="24">
        <f t="shared" si="39"/>
        <v>6964650</v>
      </c>
      <c r="K207" s="20"/>
      <c r="L207" s="20"/>
      <c r="M207" s="20"/>
      <c r="N207" s="20"/>
      <c r="O207" s="24"/>
      <c r="P207" s="24"/>
      <c r="Q207" s="25"/>
      <c r="R207" s="24"/>
      <c r="S207" s="20"/>
      <c r="T207" s="27"/>
      <c r="U207" s="20"/>
      <c r="V207" s="27">
        <f t="shared" si="40"/>
        <v>6964650</v>
      </c>
      <c r="W207" s="26">
        <f t="shared" si="41"/>
        <v>6964650</v>
      </c>
      <c r="X207" s="27">
        <v>0</v>
      </c>
      <c r="Y207" s="26">
        <f t="shared" si="38"/>
        <v>6964650</v>
      </c>
      <c r="Z207" s="49">
        <v>1E-4</v>
      </c>
    </row>
    <row r="208" spans="1:26" s="50" customFormat="1" ht="90.75" customHeight="1" x14ac:dyDescent="0.25">
      <c r="A208" s="20">
        <v>147</v>
      </c>
      <c r="B208" s="76" t="s">
        <v>214</v>
      </c>
      <c r="C208" s="37">
        <v>85</v>
      </c>
      <c r="D208" s="37">
        <v>41</v>
      </c>
      <c r="E208" s="37">
        <v>3</v>
      </c>
      <c r="F208" s="37">
        <v>90</v>
      </c>
      <c r="G208" s="22" t="s">
        <v>198</v>
      </c>
      <c r="H208" s="24">
        <f t="shared" si="37"/>
        <v>16790</v>
      </c>
      <c r="I208" s="25" t="s">
        <v>7</v>
      </c>
      <c r="J208" s="24">
        <f t="shared" si="39"/>
        <v>5876500</v>
      </c>
      <c r="K208" s="20"/>
      <c r="L208" s="20"/>
      <c r="M208" s="20"/>
      <c r="N208" s="20"/>
      <c r="O208" s="24"/>
      <c r="P208" s="24"/>
      <c r="Q208" s="25"/>
      <c r="R208" s="24"/>
      <c r="S208" s="20"/>
      <c r="T208" s="27"/>
      <c r="U208" s="20"/>
      <c r="V208" s="27">
        <f t="shared" si="40"/>
        <v>5876500</v>
      </c>
      <c r="W208" s="26">
        <f t="shared" si="41"/>
        <v>5876500</v>
      </c>
      <c r="X208" s="27">
        <v>0</v>
      </c>
      <c r="Y208" s="26">
        <f t="shared" si="38"/>
        <v>5876500</v>
      </c>
      <c r="Z208" s="49">
        <v>1E-4</v>
      </c>
    </row>
    <row r="209" spans="1:26" s="50" customFormat="1" ht="90.75" customHeight="1" x14ac:dyDescent="0.25">
      <c r="A209" s="20">
        <v>148</v>
      </c>
      <c r="B209" s="37" t="s">
        <v>213</v>
      </c>
      <c r="C209" s="37">
        <v>1279</v>
      </c>
      <c r="D209" s="37">
        <v>43</v>
      </c>
      <c r="E209" s="37">
        <v>0</v>
      </c>
      <c r="F209" s="37">
        <v>90</v>
      </c>
      <c r="G209" s="22" t="s">
        <v>198</v>
      </c>
      <c r="H209" s="24">
        <f t="shared" si="37"/>
        <v>17290</v>
      </c>
      <c r="I209" s="25" t="s">
        <v>7</v>
      </c>
      <c r="J209" s="24">
        <f t="shared" si="39"/>
        <v>6051500</v>
      </c>
      <c r="K209" s="20"/>
      <c r="L209" s="20"/>
      <c r="M209" s="20"/>
      <c r="N209" s="20"/>
      <c r="O209" s="24"/>
      <c r="P209" s="24"/>
      <c r="Q209" s="25"/>
      <c r="R209" s="24"/>
      <c r="S209" s="20"/>
      <c r="T209" s="27"/>
      <c r="U209" s="20"/>
      <c r="V209" s="27">
        <f t="shared" si="40"/>
        <v>6051500</v>
      </c>
      <c r="W209" s="26">
        <f t="shared" si="41"/>
        <v>6051500</v>
      </c>
      <c r="X209" s="27">
        <v>0</v>
      </c>
      <c r="Y209" s="26">
        <f t="shared" si="38"/>
        <v>6051500</v>
      </c>
      <c r="Z209" s="49">
        <v>1E-4</v>
      </c>
    </row>
    <row r="210" spans="1:26" s="50" customFormat="1" ht="90.75" customHeight="1" x14ac:dyDescent="0.25">
      <c r="A210" s="20">
        <v>149</v>
      </c>
      <c r="B210" s="20" t="s">
        <v>0</v>
      </c>
      <c r="C210" s="20">
        <v>47961</v>
      </c>
      <c r="D210" s="21">
        <v>150</v>
      </c>
      <c r="E210" s="21">
        <v>0</v>
      </c>
      <c r="F210" s="22">
        <v>91</v>
      </c>
      <c r="G210" s="21" t="s">
        <v>209</v>
      </c>
      <c r="H210" s="24">
        <f t="shared" si="37"/>
        <v>60091</v>
      </c>
      <c r="I210" s="25" t="s">
        <v>123</v>
      </c>
      <c r="J210" s="24">
        <f t="shared" si="39"/>
        <v>270409500</v>
      </c>
      <c r="K210" s="20"/>
      <c r="L210" s="20"/>
      <c r="M210" s="20"/>
      <c r="N210" s="20"/>
      <c r="O210" s="24"/>
      <c r="P210" s="24"/>
      <c r="Q210" s="25"/>
      <c r="R210" s="24"/>
      <c r="S210" s="20" t="s">
        <v>2</v>
      </c>
      <c r="T210" s="27"/>
      <c r="U210" s="20"/>
      <c r="V210" s="27">
        <f t="shared" si="40"/>
        <v>270409500</v>
      </c>
      <c r="W210" s="26">
        <f t="shared" si="41"/>
        <v>270409500</v>
      </c>
      <c r="X210" s="27">
        <v>0</v>
      </c>
      <c r="Y210" s="26">
        <f t="shared" si="38"/>
        <v>270409500</v>
      </c>
      <c r="Z210" s="49" t="s">
        <v>284</v>
      </c>
    </row>
    <row r="211" spans="1:26" s="50" customFormat="1" ht="90.75" customHeight="1" x14ac:dyDescent="0.25">
      <c r="A211" s="20"/>
      <c r="B211" s="20" t="s">
        <v>0</v>
      </c>
      <c r="C211" s="20">
        <v>47961</v>
      </c>
      <c r="D211" s="21"/>
      <c r="E211" s="21"/>
      <c r="F211" s="22"/>
      <c r="G211" s="21" t="s">
        <v>209</v>
      </c>
      <c r="H211" s="24">
        <v>196.81</v>
      </c>
      <c r="I211" s="25" t="s">
        <v>123</v>
      </c>
      <c r="J211" s="24">
        <f t="shared" si="39"/>
        <v>885645</v>
      </c>
      <c r="K211" s="20">
        <v>1</v>
      </c>
      <c r="L211" s="20" t="s">
        <v>48</v>
      </c>
      <c r="M211" s="20"/>
      <c r="N211" s="20">
        <v>3</v>
      </c>
      <c r="O211" s="24">
        <v>510</v>
      </c>
      <c r="P211" s="24">
        <v>100</v>
      </c>
      <c r="Q211" s="25">
        <v>3500</v>
      </c>
      <c r="R211" s="24">
        <f>(O211*Q211)</f>
        <v>1785000</v>
      </c>
      <c r="S211" s="20">
        <v>4</v>
      </c>
      <c r="T211" s="24">
        <f>(R211*4/100)</f>
        <v>71400</v>
      </c>
      <c r="U211" s="27">
        <f>(R211-T211)</f>
        <v>1713600</v>
      </c>
      <c r="V211" s="20"/>
      <c r="W211" s="26"/>
      <c r="X211" s="27"/>
      <c r="Y211" s="20"/>
      <c r="Z211" s="20"/>
    </row>
    <row r="212" spans="1:26" s="50" customFormat="1" ht="90.75" customHeight="1" x14ac:dyDescent="0.25">
      <c r="A212" s="20"/>
      <c r="B212" s="20"/>
      <c r="C212" s="20"/>
      <c r="D212" s="21"/>
      <c r="E212" s="21"/>
      <c r="F212" s="22"/>
      <c r="G212" s="22"/>
      <c r="H212" s="24"/>
      <c r="I212" s="25"/>
      <c r="J212" s="24"/>
      <c r="K212" s="20">
        <v>2</v>
      </c>
      <c r="L212" s="20" t="s">
        <v>15</v>
      </c>
      <c r="M212" s="20" t="s">
        <v>13</v>
      </c>
      <c r="N212" s="20">
        <v>3</v>
      </c>
      <c r="O212" s="24">
        <v>228.94</v>
      </c>
      <c r="P212" s="24">
        <v>100</v>
      </c>
      <c r="Q212" s="25">
        <v>5950</v>
      </c>
      <c r="R212" s="24">
        <f>(O212*Q212)</f>
        <v>1362193</v>
      </c>
      <c r="S212" s="20">
        <v>4</v>
      </c>
      <c r="T212" s="24">
        <f>(R212*4/100)</f>
        <v>54487.72</v>
      </c>
      <c r="U212" s="27">
        <f>(R212-T212)</f>
        <v>1307705.28</v>
      </c>
      <c r="V212" s="20"/>
      <c r="W212" s="26"/>
      <c r="X212" s="27"/>
      <c r="Y212" s="20"/>
      <c r="Z212" s="20"/>
    </row>
    <row r="213" spans="1:26" s="50" customFormat="1" ht="90.75" customHeight="1" x14ac:dyDescent="0.25">
      <c r="A213" s="20"/>
      <c r="B213" s="20"/>
      <c r="C213" s="20"/>
      <c r="D213" s="21"/>
      <c r="E213" s="21"/>
      <c r="F213" s="22"/>
      <c r="G213" s="22"/>
      <c r="H213" s="24"/>
      <c r="I213" s="25"/>
      <c r="J213" s="24"/>
      <c r="K213" s="20">
        <v>3</v>
      </c>
      <c r="L213" s="20" t="s">
        <v>15</v>
      </c>
      <c r="M213" s="20" t="s">
        <v>13</v>
      </c>
      <c r="N213" s="20">
        <v>3</v>
      </c>
      <c r="O213" s="24">
        <v>48.29</v>
      </c>
      <c r="P213" s="24">
        <v>100</v>
      </c>
      <c r="Q213" s="25">
        <v>5950</v>
      </c>
      <c r="R213" s="24">
        <f>(O213*Q213)</f>
        <v>287325.5</v>
      </c>
      <c r="S213" s="20">
        <v>4</v>
      </c>
      <c r="T213" s="24">
        <f>(R213*4/100)</f>
        <v>11493.02</v>
      </c>
      <c r="U213" s="27">
        <f>(R213-T213)</f>
        <v>275832.48</v>
      </c>
      <c r="V213" s="20"/>
      <c r="W213" s="26"/>
      <c r="X213" s="27"/>
      <c r="Y213" s="20"/>
      <c r="Z213" s="20"/>
    </row>
    <row r="214" spans="1:26" s="50" customFormat="1" ht="90.75" customHeight="1" x14ac:dyDescent="0.25">
      <c r="A214" s="20"/>
      <c r="B214" s="20"/>
      <c r="C214" s="20"/>
      <c r="D214" s="21"/>
      <c r="E214" s="21"/>
      <c r="F214" s="22"/>
      <c r="G214" s="22"/>
      <c r="H214" s="24"/>
      <c r="I214" s="25"/>
      <c r="J214" s="24"/>
      <c r="K214" s="20"/>
      <c r="L214" s="20"/>
      <c r="M214" s="20"/>
      <c r="N214" s="20"/>
      <c r="O214" s="24"/>
      <c r="P214" s="24"/>
      <c r="Q214" s="25"/>
      <c r="R214" s="24"/>
      <c r="S214" s="20"/>
      <c r="T214" s="27"/>
      <c r="U214" s="27">
        <f>SUM(U211:U213)</f>
        <v>3297137.7600000002</v>
      </c>
      <c r="V214" s="27">
        <f>(J211+U214)</f>
        <v>4182782.7600000002</v>
      </c>
      <c r="W214" s="26">
        <f>(V214*100/100)</f>
        <v>4182782.76</v>
      </c>
      <c r="X214" s="27">
        <v>0</v>
      </c>
      <c r="Y214" s="26">
        <f>(W214-X214)</f>
        <v>4182782.76</v>
      </c>
      <c r="Z214" s="49">
        <v>3.0000000000000001E-3</v>
      </c>
    </row>
    <row r="215" spans="1:26" s="50" customFormat="1" ht="90.75" customHeight="1" x14ac:dyDescent="0.25">
      <c r="A215" s="20"/>
      <c r="B215" s="20" t="s">
        <v>0</v>
      </c>
      <c r="C215" s="20">
        <v>47961</v>
      </c>
      <c r="D215" s="21"/>
      <c r="E215" s="21"/>
      <c r="F215" s="22"/>
      <c r="G215" s="21" t="s">
        <v>209</v>
      </c>
      <c r="H215" s="24">
        <v>41186.9</v>
      </c>
      <c r="I215" s="25" t="s">
        <v>123</v>
      </c>
      <c r="J215" s="24">
        <f>(H215*I215)</f>
        <v>185341050</v>
      </c>
      <c r="K215" s="20">
        <v>1</v>
      </c>
      <c r="L215" s="20" t="s">
        <v>15</v>
      </c>
      <c r="M215" s="20" t="s">
        <v>13</v>
      </c>
      <c r="N215" s="62">
        <v>3</v>
      </c>
      <c r="O215" s="24">
        <v>14432</v>
      </c>
      <c r="P215" s="35">
        <v>100</v>
      </c>
      <c r="Q215" s="40">
        <v>5950</v>
      </c>
      <c r="R215" s="77">
        <f t="shared" ref="R215:R235" si="42">(O215*Q215)</f>
        <v>85870400</v>
      </c>
      <c r="S215" s="20">
        <v>5</v>
      </c>
      <c r="T215" s="28">
        <f t="shared" ref="T215:T226" si="43">(R215*5/100)</f>
        <v>4293520</v>
      </c>
      <c r="U215" s="77">
        <f t="shared" ref="U215:U235" si="44">(R215-T215)</f>
        <v>81576880</v>
      </c>
      <c r="V215" s="20"/>
      <c r="W215" s="26"/>
      <c r="X215" s="27"/>
      <c r="Y215" s="20"/>
      <c r="Z215" s="20"/>
    </row>
    <row r="216" spans="1:26" s="50" customFormat="1" ht="90.75" customHeight="1" x14ac:dyDescent="0.25">
      <c r="A216" s="20"/>
      <c r="B216" s="20"/>
      <c r="C216" s="20"/>
      <c r="D216" s="21"/>
      <c r="E216" s="21"/>
      <c r="F216" s="22"/>
      <c r="G216" s="22"/>
      <c r="H216" s="24"/>
      <c r="I216" s="25"/>
      <c r="J216" s="24"/>
      <c r="K216" s="20">
        <v>2</v>
      </c>
      <c r="L216" s="20" t="s">
        <v>15</v>
      </c>
      <c r="M216" s="20" t="s">
        <v>24</v>
      </c>
      <c r="N216" s="62">
        <v>3</v>
      </c>
      <c r="O216" s="24">
        <v>26603</v>
      </c>
      <c r="P216" s="35">
        <v>100</v>
      </c>
      <c r="Q216" s="40">
        <v>5950</v>
      </c>
      <c r="R216" s="77">
        <f t="shared" si="42"/>
        <v>158287850</v>
      </c>
      <c r="S216" s="20">
        <v>5</v>
      </c>
      <c r="T216" s="28">
        <f t="shared" si="43"/>
        <v>7914392.5</v>
      </c>
      <c r="U216" s="77">
        <f t="shared" si="44"/>
        <v>150373457.5</v>
      </c>
      <c r="V216" s="20"/>
      <c r="W216" s="26"/>
      <c r="X216" s="27"/>
      <c r="Y216" s="20"/>
      <c r="Z216" s="20"/>
    </row>
    <row r="217" spans="1:26" s="50" customFormat="1" ht="90.75" customHeight="1" x14ac:dyDescent="0.25">
      <c r="A217" s="20"/>
      <c r="B217" s="20"/>
      <c r="C217" s="20"/>
      <c r="D217" s="21"/>
      <c r="E217" s="21"/>
      <c r="F217" s="22"/>
      <c r="G217" s="22"/>
      <c r="H217" s="24"/>
      <c r="I217" s="25"/>
      <c r="J217" s="24"/>
      <c r="K217" s="20">
        <v>3</v>
      </c>
      <c r="L217" s="20" t="s">
        <v>48</v>
      </c>
      <c r="M217" s="20" t="s">
        <v>24</v>
      </c>
      <c r="N217" s="62">
        <v>3</v>
      </c>
      <c r="O217" s="24">
        <v>44000</v>
      </c>
      <c r="P217" s="35">
        <v>100</v>
      </c>
      <c r="Q217" s="40">
        <v>3500</v>
      </c>
      <c r="R217" s="77">
        <f t="shared" si="42"/>
        <v>154000000</v>
      </c>
      <c r="S217" s="20">
        <v>5</v>
      </c>
      <c r="T217" s="28">
        <f t="shared" si="43"/>
        <v>7700000</v>
      </c>
      <c r="U217" s="77">
        <f t="shared" si="44"/>
        <v>146300000</v>
      </c>
      <c r="V217" s="20"/>
      <c r="W217" s="26"/>
      <c r="X217" s="27"/>
      <c r="Y217" s="20"/>
      <c r="Z217" s="20"/>
    </row>
    <row r="218" spans="1:26" s="50" customFormat="1" ht="90.75" customHeight="1" x14ac:dyDescent="0.25">
      <c r="A218" s="20"/>
      <c r="B218" s="20"/>
      <c r="C218" s="20"/>
      <c r="D218" s="21"/>
      <c r="E218" s="21"/>
      <c r="F218" s="22"/>
      <c r="G218" s="22"/>
      <c r="H218" s="24"/>
      <c r="I218" s="25"/>
      <c r="J218" s="24"/>
      <c r="K218" s="20">
        <v>4</v>
      </c>
      <c r="L218" s="20" t="s">
        <v>29</v>
      </c>
      <c r="M218" s="20"/>
      <c r="N218" s="62">
        <v>3</v>
      </c>
      <c r="O218" s="24">
        <v>236.25</v>
      </c>
      <c r="P218" s="35">
        <v>100</v>
      </c>
      <c r="Q218" s="40">
        <v>5550</v>
      </c>
      <c r="R218" s="77">
        <f t="shared" si="42"/>
        <v>1311187.5</v>
      </c>
      <c r="S218" s="20">
        <v>5</v>
      </c>
      <c r="T218" s="28">
        <f t="shared" si="43"/>
        <v>65559.375</v>
      </c>
      <c r="U218" s="77">
        <f t="shared" si="44"/>
        <v>1245628.125</v>
      </c>
      <c r="V218" s="20"/>
      <c r="W218" s="26"/>
      <c r="X218" s="27"/>
      <c r="Y218" s="20"/>
      <c r="Z218" s="20"/>
    </row>
    <row r="219" spans="1:26" s="50" customFormat="1" ht="90.75" customHeight="1" x14ac:dyDescent="0.25">
      <c r="A219" s="20"/>
      <c r="B219" s="20"/>
      <c r="C219" s="20"/>
      <c r="D219" s="21"/>
      <c r="E219" s="21"/>
      <c r="F219" s="22"/>
      <c r="G219" s="22"/>
      <c r="H219" s="24"/>
      <c r="I219" s="25"/>
      <c r="J219" s="24"/>
      <c r="K219" s="20">
        <v>5</v>
      </c>
      <c r="L219" s="20" t="s">
        <v>17</v>
      </c>
      <c r="M219" s="20" t="s">
        <v>13</v>
      </c>
      <c r="N219" s="62">
        <v>3</v>
      </c>
      <c r="O219" s="24">
        <v>90</v>
      </c>
      <c r="P219" s="35">
        <v>100</v>
      </c>
      <c r="Q219" s="40">
        <v>5900</v>
      </c>
      <c r="R219" s="77">
        <f t="shared" si="42"/>
        <v>531000</v>
      </c>
      <c r="S219" s="20">
        <v>5</v>
      </c>
      <c r="T219" s="28">
        <f t="shared" si="43"/>
        <v>26550</v>
      </c>
      <c r="U219" s="77">
        <f t="shared" si="44"/>
        <v>504450</v>
      </c>
      <c r="V219" s="20"/>
      <c r="W219" s="26"/>
      <c r="X219" s="27"/>
      <c r="Y219" s="20"/>
      <c r="Z219" s="20"/>
    </row>
    <row r="220" spans="1:26" s="50" customFormat="1" ht="90.75" customHeight="1" x14ac:dyDescent="0.25">
      <c r="A220" s="20"/>
      <c r="B220" s="20"/>
      <c r="C220" s="20"/>
      <c r="D220" s="21"/>
      <c r="E220" s="21"/>
      <c r="F220" s="22"/>
      <c r="G220" s="22"/>
      <c r="H220" s="24"/>
      <c r="I220" s="25"/>
      <c r="J220" s="24"/>
      <c r="K220" s="20">
        <v>6</v>
      </c>
      <c r="L220" s="20" t="s">
        <v>16</v>
      </c>
      <c r="M220" s="20" t="s">
        <v>13</v>
      </c>
      <c r="N220" s="62">
        <v>3</v>
      </c>
      <c r="O220" s="24">
        <v>9</v>
      </c>
      <c r="P220" s="35">
        <v>100</v>
      </c>
      <c r="Q220" s="40">
        <v>6450</v>
      </c>
      <c r="R220" s="77">
        <f t="shared" si="42"/>
        <v>58050</v>
      </c>
      <c r="S220" s="20">
        <v>5</v>
      </c>
      <c r="T220" s="28">
        <f t="shared" si="43"/>
        <v>2902.5</v>
      </c>
      <c r="U220" s="77">
        <f t="shared" si="44"/>
        <v>55147.5</v>
      </c>
      <c r="V220" s="20"/>
      <c r="W220" s="26"/>
      <c r="X220" s="27"/>
      <c r="Y220" s="20"/>
      <c r="Z220" s="20"/>
    </row>
    <row r="221" spans="1:26" s="50" customFormat="1" ht="90.75" customHeight="1" x14ac:dyDescent="0.25">
      <c r="A221" s="20"/>
      <c r="B221" s="20"/>
      <c r="C221" s="20"/>
      <c r="D221" s="21"/>
      <c r="E221" s="21"/>
      <c r="F221" s="22"/>
      <c r="G221" s="22"/>
      <c r="H221" s="24"/>
      <c r="I221" s="25"/>
      <c r="J221" s="24"/>
      <c r="K221" s="20">
        <v>7</v>
      </c>
      <c r="L221" s="20" t="s">
        <v>16</v>
      </c>
      <c r="M221" s="20" t="s">
        <v>13</v>
      </c>
      <c r="N221" s="62">
        <v>3</v>
      </c>
      <c r="O221" s="24">
        <v>9</v>
      </c>
      <c r="P221" s="35">
        <v>100</v>
      </c>
      <c r="Q221" s="40">
        <v>6450</v>
      </c>
      <c r="R221" s="77">
        <f t="shared" si="42"/>
        <v>58050</v>
      </c>
      <c r="S221" s="20">
        <v>5</v>
      </c>
      <c r="T221" s="28">
        <f t="shared" si="43"/>
        <v>2902.5</v>
      </c>
      <c r="U221" s="77">
        <f t="shared" si="44"/>
        <v>55147.5</v>
      </c>
      <c r="V221" s="20"/>
      <c r="W221" s="26"/>
      <c r="X221" s="27"/>
      <c r="Y221" s="20"/>
      <c r="Z221" s="20"/>
    </row>
    <row r="222" spans="1:26" s="50" customFormat="1" ht="90.75" customHeight="1" x14ac:dyDescent="0.25">
      <c r="A222" s="20"/>
      <c r="B222" s="20"/>
      <c r="C222" s="20"/>
      <c r="D222" s="21"/>
      <c r="E222" s="21"/>
      <c r="F222" s="22"/>
      <c r="G222" s="22"/>
      <c r="H222" s="24"/>
      <c r="I222" s="25"/>
      <c r="J222" s="24"/>
      <c r="K222" s="20">
        <v>8</v>
      </c>
      <c r="L222" s="20" t="s">
        <v>16</v>
      </c>
      <c r="M222" s="20" t="s">
        <v>13</v>
      </c>
      <c r="N222" s="62">
        <v>3</v>
      </c>
      <c r="O222" s="24">
        <v>9</v>
      </c>
      <c r="P222" s="35">
        <v>100</v>
      </c>
      <c r="Q222" s="40">
        <v>6450</v>
      </c>
      <c r="R222" s="77">
        <f t="shared" si="42"/>
        <v>58050</v>
      </c>
      <c r="S222" s="20">
        <v>5</v>
      </c>
      <c r="T222" s="28">
        <f t="shared" si="43"/>
        <v>2902.5</v>
      </c>
      <c r="U222" s="77">
        <f t="shared" si="44"/>
        <v>55147.5</v>
      </c>
      <c r="V222" s="20"/>
      <c r="W222" s="26"/>
      <c r="X222" s="27"/>
      <c r="Y222" s="20"/>
      <c r="Z222" s="20"/>
    </row>
    <row r="223" spans="1:26" s="50" customFormat="1" ht="90.75" customHeight="1" x14ac:dyDescent="0.25">
      <c r="A223" s="20"/>
      <c r="B223" s="20"/>
      <c r="C223" s="20"/>
      <c r="D223" s="21"/>
      <c r="E223" s="21"/>
      <c r="F223" s="22"/>
      <c r="G223" s="22"/>
      <c r="H223" s="24"/>
      <c r="I223" s="25"/>
      <c r="J223" s="24"/>
      <c r="K223" s="20">
        <v>9</v>
      </c>
      <c r="L223" s="20" t="s">
        <v>93</v>
      </c>
      <c r="M223" s="20" t="s">
        <v>24</v>
      </c>
      <c r="N223" s="62">
        <v>3</v>
      </c>
      <c r="O223" s="24">
        <v>1886</v>
      </c>
      <c r="P223" s="35">
        <v>100</v>
      </c>
      <c r="Q223" s="40">
        <v>7100</v>
      </c>
      <c r="R223" s="77">
        <f t="shared" si="42"/>
        <v>13390600</v>
      </c>
      <c r="S223" s="20">
        <v>5</v>
      </c>
      <c r="T223" s="28">
        <f t="shared" si="43"/>
        <v>669530</v>
      </c>
      <c r="U223" s="77">
        <f t="shared" si="44"/>
        <v>12721070</v>
      </c>
      <c r="V223" s="20"/>
      <c r="W223" s="26"/>
      <c r="X223" s="27"/>
      <c r="Y223" s="20"/>
      <c r="Z223" s="20"/>
    </row>
    <row r="224" spans="1:26" s="50" customFormat="1" ht="90.75" customHeight="1" x14ac:dyDescent="0.25">
      <c r="A224" s="20"/>
      <c r="B224" s="20"/>
      <c r="C224" s="20"/>
      <c r="D224" s="21"/>
      <c r="E224" s="21"/>
      <c r="F224" s="22"/>
      <c r="G224" s="22"/>
      <c r="H224" s="24"/>
      <c r="I224" s="25"/>
      <c r="J224" s="24"/>
      <c r="K224" s="20">
        <v>10</v>
      </c>
      <c r="L224" s="20" t="s">
        <v>15</v>
      </c>
      <c r="M224" s="20" t="s">
        <v>13</v>
      </c>
      <c r="N224" s="62">
        <v>3</v>
      </c>
      <c r="O224" s="24">
        <v>631</v>
      </c>
      <c r="P224" s="35">
        <v>100</v>
      </c>
      <c r="Q224" s="40">
        <v>5950</v>
      </c>
      <c r="R224" s="77">
        <f t="shared" si="42"/>
        <v>3754450</v>
      </c>
      <c r="S224" s="20">
        <v>5</v>
      </c>
      <c r="T224" s="28">
        <f t="shared" si="43"/>
        <v>187722.5</v>
      </c>
      <c r="U224" s="77">
        <f t="shared" si="44"/>
        <v>3566727.5</v>
      </c>
      <c r="V224" s="20"/>
      <c r="W224" s="26"/>
      <c r="X224" s="27"/>
      <c r="Y224" s="20"/>
      <c r="Z224" s="20"/>
    </row>
    <row r="225" spans="1:26" s="50" customFormat="1" ht="90.75" customHeight="1" x14ac:dyDescent="0.25">
      <c r="A225" s="20"/>
      <c r="B225" s="20"/>
      <c r="C225" s="20"/>
      <c r="D225" s="21"/>
      <c r="E225" s="21"/>
      <c r="F225" s="22"/>
      <c r="G225" s="22"/>
      <c r="H225" s="24"/>
      <c r="I225" s="25"/>
      <c r="J225" s="24"/>
      <c r="K225" s="20">
        <v>11</v>
      </c>
      <c r="L225" s="20" t="s">
        <v>15</v>
      </c>
      <c r="M225" s="20" t="s">
        <v>13</v>
      </c>
      <c r="N225" s="62">
        <v>3</v>
      </c>
      <c r="O225" s="24">
        <v>1992</v>
      </c>
      <c r="P225" s="35">
        <v>100</v>
      </c>
      <c r="Q225" s="40">
        <v>5950</v>
      </c>
      <c r="R225" s="77">
        <f t="shared" si="42"/>
        <v>11852400</v>
      </c>
      <c r="S225" s="20">
        <v>5</v>
      </c>
      <c r="T225" s="28">
        <f t="shared" si="43"/>
        <v>592620</v>
      </c>
      <c r="U225" s="77">
        <f t="shared" si="44"/>
        <v>11259780</v>
      </c>
      <c r="V225" s="20"/>
      <c r="W225" s="26"/>
      <c r="X225" s="27"/>
      <c r="Y225" s="20"/>
      <c r="Z225" s="20"/>
    </row>
    <row r="226" spans="1:26" s="50" customFormat="1" ht="90.75" customHeight="1" x14ac:dyDescent="0.25">
      <c r="A226" s="20"/>
      <c r="B226" s="20"/>
      <c r="C226" s="20"/>
      <c r="D226" s="21"/>
      <c r="E226" s="21"/>
      <c r="F226" s="22"/>
      <c r="G226" s="22"/>
      <c r="H226" s="24"/>
      <c r="I226" s="25"/>
      <c r="J226" s="24"/>
      <c r="K226" s="20">
        <v>12</v>
      </c>
      <c r="L226" s="20" t="s">
        <v>15</v>
      </c>
      <c r="M226" s="20" t="s">
        <v>13</v>
      </c>
      <c r="N226" s="62">
        <v>3</v>
      </c>
      <c r="O226" s="24">
        <v>460</v>
      </c>
      <c r="P226" s="35">
        <v>100</v>
      </c>
      <c r="Q226" s="40">
        <v>5950</v>
      </c>
      <c r="R226" s="77">
        <f t="shared" si="42"/>
        <v>2737000</v>
      </c>
      <c r="S226" s="20">
        <v>5</v>
      </c>
      <c r="T226" s="28">
        <f t="shared" si="43"/>
        <v>136850</v>
      </c>
      <c r="U226" s="77">
        <f t="shared" si="44"/>
        <v>2600150</v>
      </c>
      <c r="V226" s="20"/>
      <c r="W226" s="26"/>
      <c r="X226" s="27"/>
      <c r="Y226" s="20"/>
      <c r="Z226" s="20"/>
    </row>
    <row r="227" spans="1:26" s="50" customFormat="1" ht="90.75" customHeight="1" x14ac:dyDescent="0.25">
      <c r="A227" s="20"/>
      <c r="B227" s="20"/>
      <c r="C227" s="20"/>
      <c r="D227" s="21"/>
      <c r="E227" s="21"/>
      <c r="F227" s="22"/>
      <c r="G227" s="22"/>
      <c r="H227" s="24"/>
      <c r="I227" s="25"/>
      <c r="J227" s="24"/>
      <c r="K227" s="20">
        <v>13</v>
      </c>
      <c r="L227" s="20" t="s">
        <v>15</v>
      </c>
      <c r="M227" s="20" t="s">
        <v>13</v>
      </c>
      <c r="N227" s="62">
        <v>3</v>
      </c>
      <c r="O227" s="24">
        <v>9290</v>
      </c>
      <c r="P227" s="35">
        <v>100</v>
      </c>
      <c r="Q227" s="40">
        <v>5950</v>
      </c>
      <c r="R227" s="77">
        <f t="shared" si="42"/>
        <v>55275500</v>
      </c>
      <c r="S227" s="20">
        <v>3</v>
      </c>
      <c r="T227" s="28">
        <f>(R227*3/100)</f>
        <v>1658265</v>
      </c>
      <c r="U227" s="77">
        <f t="shared" si="44"/>
        <v>53617235</v>
      </c>
      <c r="V227" s="20"/>
      <c r="W227" s="26"/>
      <c r="X227" s="27"/>
      <c r="Y227" s="20"/>
      <c r="Z227" s="20"/>
    </row>
    <row r="228" spans="1:26" s="50" customFormat="1" ht="90.75" customHeight="1" x14ac:dyDescent="0.25">
      <c r="A228" s="20"/>
      <c r="B228" s="20"/>
      <c r="C228" s="20"/>
      <c r="D228" s="21"/>
      <c r="E228" s="21"/>
      <c r="F228" s="22"/>
      <c r="G228" s="22"/>
      <c r="H228" s="24"/>
      <c r="I228" s="25"/>
      <c r="J228" s="24"/>
      <c r="K228" s="20">
        <v>14</v>
      </c>
      <c r="L228" s="20" t="s">
        <v>48</v>
      </c>
      <c r="M228" s="20"/>
      <c r="N228" s="62">
        <v>3</v>
      </c>
      <c r="O228" s="24">
        <v>29379.75</v>
      </c>
      <c r="P228" s="35">
        <v>100</v>
      </c>
      <c r="Q228" s="40">
        <v>3500</v>
      </c>
      <c r="R228" s="77">
        <f t="shared" si="42"/>
        <v>102829125</v>
      </c>
      <c r="S228" s="20">
        <v>3</v>
      </c>
      <c r="T228" s="28">
        <f>(R228*3/100)</f>
        <v>3084873.75</v>
      </c>
      <c r="U228" s="77">
        <f t="shared" si="44"/>
        <v>99744251.25</v>
      </c>
      <c r="V228" s="20"/>
      <c r="W228" s="26"/>
      <c r="X228" s="27"/>
      <c r="Y228" s="20"/>
      <c r="Z228" s="20"/>
    </row>
    <row r="229" spans="1:26" s="50" customFormat="1" ht="90.75" customHeight="1" x14ac:dyDescent="0.25">
      <c r="A229" s="20"/>
      <c r="B229" s="20"/>
      <c r="C229" s="20"/>
      <c r="D229" s="21"/>
      <c r="E229" s="21"/>
      <c r="F229" s="22"/>
      <c r="G229" s="22"/>
      <c r="H229" s="24"/>
      <c r="I229" s="25"/>
      <c r="J229" s="24"/>
      <c r="K229" s="20">
        <v>15</v>
      </c>
      <c r="L229" s="20" t="s">
        <v>17</v>
      </c>
      <c r="M229" s="20" t="s">
        <v>13</v>
      </c>
      <c r="N229" s="62">
        <v>3</v>
      </c>
      <c r="O229" s="24">
        <v>93.6</v>
      </c>
      <c r="P229" s="35">
        <v>100</v>
      </c>
      <c r="Q229" s="40">
        <v>5900</v>
      </c>
      <c r="R229" s="77">
        <f t="shared" si="42"/>
        <v>552240</v>
      </c>
      <c r="S229" s="20">
        <v>5</v>
      </c>
      <c r="T229" s="28">
        <f>(R229*5/100)</f>
        <v>27612</v>
      </c>
      <c r="U229" s="77">
        <f t="shared" si="44"/>
        <v>524628</v>
      </c>
      <c r="V229" s="20"/>
      <c r="W229" s="26"/>
      <c r="X229" s="27"/>
      <c r="Y229" s="20"/>
      <c r="Z229" s="20"/>
    </row>
    <row r="230" spans="1:26" s="50" customFormat="1" ht="90.75" customHeight="1" x14ac:dyDescent="0.25">
      <c r="A230" s="20"/>
      <c r="B230" s="20"/>
      <c r="C230" s="20"/>
      <c r="D230" s="21"/>
      <c r="E230" s="21"/>
      <c r="F230" s="22"/>
      <c r="G230" s="22"/>
      <c r="H230" s="24"/>
      <c r="I230" s="25"/>
      <c r="J230" s="24"/>
      <c r="K230" s="20">
        <v>16</v>
      </c>
      <c r="L230" s="20" t="s">
        <v>48</v>
      </c>
      <c r="M230" s="20"/>
      <c r="N230" s="62">
        <v>3</v>
      </c>
      <c r="O230" s="24">
        <v>968</v>
      </c>
      <c r="P230" s="35">
        <v>100</v>
      </c>
      <c r="Q230" s="40">
        <v>3500</v>
      </c>
      <c r="R230" s="77">
        <f t="shared" si="42"/>
        <v>3388000</v>
      </c>
      <c r="S230" s="20">
        <v>5</v>
      </c>
      <c r="T230" s="28">
        <f>(R230*5/100)</f>
        <v>169400</v>
      </c>
      <c r="U230" s="77">
        <f t="shared" si="44"/>
        <v>3218600</v>
      </c>
      <c r="V230" s="20"/>
      <c r="W230" s="26"/>
      <c r="X230" s="27"/>
      <c r="Y230" s="20"/>
      <c r="Z230" s="20"/>
    </row>
    <row r="231" spans="1:26" s="50" customFormat="1" ht="90.75" customHeight="1" x14ac:dyDescent="0.25">
      <c r="A231" s="20"/>
      <c r="B231" s="20"/>
      <c r="C231" s="20"/>
      <c r="D231" s="21"/>
      <c r="E231" s="21"/>
      <c r="F231" s="22"/>
      <c r="G231" s="22"/>
      <c r="H231" s="24"/>
      <c r="I231" s="25"/>
      <c r="J231" s="24"/>
      <c r="K231" s="20">
        <v>17</v>
      </c>
      <c r="L231" s="20" t="s">
        <v>15</v>
      </c>
      <c r="M231" s="20" t="s">
        <v>13</v>
      </c>
      <c r="N231" s="62">
        <v>3</v>
      </c>
      <c r="O231" s="24">
        <v>16744</v>
      </c>
      <c r="P231" s="35">
        <v>100</v>
      </c>
      <c r="Q231" s="40">
        <v>5950</v>
      </c>
      <c r="R231" s="77">
        <f t="shared" si="42"/>
        <v>99626800</v>
      </c>
      <c r="S231" s="20">
        <v>3</v>
      </c>
      <c r="T231" s="28">
        <f>(R231*3/100)</f>
        <v>2988804</v>
      </c>
      <c r="U231" s="77">
        <f t="shared" si="44"/>
        <v>96637996</v>
      </c>
      <c r="V231" s="20"/>
      <c r="W231" s="26"/>
      <c r="X231" s="27"/>
      <c r="Y231" s="20"/>
      <c r="Z231" s="20"/>
    </row>
    <row r="232" spans="1:26" s="50" customFormat="1" ht="90.75" customHeight="1" x14ac:dyDescent="0.25">
      <c r="A232" s="20"/>
      <c r="B232" s="20"/>
      <c r="C232" s="20"/>
      <c r="D232" s="21"/>
      <c r="E232" s="21"/>
      <c r="F232" s="22"/>
      <c r="G232" s="22"/>
      <c r="H232" s="24"/>
      <c r="I232" s="25"/>
      <c r="J232" s="24"/>
      <c r="K232" s="20">
        <v>18</v>
      </c>
      <c r="L232" s="20" t="s">
        <v>15</v>
      </c>
      <c r="M232" s="20" t="s">
        <v>13</v>
      </c>
      <c r="N232" s="62">
        <v>3</v>
      </c>
      <c r="O232" s="24">
        <v>121</v>
      </c>
      <c r="P232" s="35">
        <v>100</v>
      </c>
      <c r="Q232" s="40">
        <v>5950</v>
      </c>
      <c r="R232" s="77">
        <f t="shared" si="42"/>
        <v>719950</v>
      </c>
      <c r="S232" s="20">
        <v>3</v>
      </c>
      <c r="T232" s="28">
        <f>(R232*3/100)</f>
        <v>21598.5</v>
      </c>
      <c r="U232" s="77">
        <f t="shared" si="44"/>
        <v>698351.5</v>
      </c>
      <c r="V232" s="20"/>
      <c r="W232" s="26"/>
      <c r="X232" s="27"/>
      <c r="Y232" s="20"/>
      <c r="Z232" s="20"/>
    </row>
    <row r="233" spans="1:26" s="50" customFormat="1" ht="90.75" customHeight="1" x14ac:dyDescent="0.25">
      <c r="A233" s="20"/>
      <c r="B233" s="20"/>
      <c r="C233" s="20"/>
      <c r="D233" s="21"/>
      <c r="E233" s="21"/>
      <c r="F233" s="22"/>
      <c r="G233" s="22"/>
      <c r="H233" s="24"/>
      <c r="I233" s="25"/>
      <c r="J233" s="24"/>
      <c r="K233" s="20">
        <v>19</v>
      </c>
      <c r="L233" s="20" t="s">
        <v>48</v>
      </c>
      <c r="M233" s="20"/>
      <c r="N233" s="62">
        <v>3</v>
      </c>
      <c r="O233" s="24">
        <v>12480</v>
      </c>
      <c r="P233" s="35">
        <v>100</v>
      </c>
      <c r="Q233" s="40">
        <v>3500</v>
      </c>
      <c r="R233" s="77">
        <f t="shared" si="42"/>
        <v>43680000</v>
      </c>
      <c r="S233" s="20">
        <v>5</v>
      </c>
      <c r="T233" s="28">
        <f>(R233*5/100)</f>
        <v>2184000</v>
      </c>
      <c r="U233" s="77">
        <f t="shared" si="44"/>
        <v>41496000</v>
      </c>
      <c r="V233" s="20"/>
      <c r="W233" s="26"/>
      <c r="X233" s="27"/>
      <c r="Y233" s="20"/>
      <c r="Z233" s="20"/>
    </row>
    <row r="234" spans="1:26" s="50" customFormat="1" ht="90.75" customHeight="1" x14ac:dyDescent="0.25">
      <c r="A234" s="20"/>
      <c r="B234" s="20"/>
      <c r="C234" s="20"/>
      <c r="D234" s="21"/>
      <c r="E234" s="21"/>
      <c r="F234" s="22"/>
      <c r="G234" s="22"/>
      <c r="H234" s="24"/>
      <c r="I234" s="25"/>
      <c r="J234" s="24"/>
      <c r="K234" s="20">
        <v>20</v>
      </c>
      <c r="L234" s="20" t="s">
        <v>31</v>
      </c>
      <c r="M234" s="20"/>
      <c r="N234" s="62">
        <v>3</v>
      </c>
      <c r="O234" s="24">
        <v>5248</v>
      </c>
      <c r="P234" s="35">
        <v>100</v>
      </c>
      <c r="Q234" s="40">
        <v>2550</v>
      </c>
      <c r="R234" s="77">
        <f t="shared" si="42"/>
        <v>13382400</v>
      </c>
      <c r="S234" s="20">
        <v>5</v>
      </c>
      <c r="T234" s="28">
        <f>(R234*5/100)</f>
        <v>669120</v>
      </c>
      <c r="U234" s="77">
        <f t="shared" si="44"/>
        <v>12713280</v>
      </c>
      <c r="V234" s="20"/>
      <c r="W234" s="26"/>
      <c r="X234" s="27"/>
      <c r="Y234" s="20"/>
      <c r="Z234" s="20"/>
    </row>
    <row r="235" spans="1:26" s="50" customFormat="1" ht="90.75" customHeight="1" x14ac:dyDescent="0.25">
      <c r="A235" s="20"/>
      <c r="B235" s="20"/>
      <c r="C235" s="20"/>
      <c r="D235" s="21"/>
      <c r="E235" s="21"/>
      <c r="F235" s="22"/>
      <c r="G235" s="22"/>
      <c r="H235" s="24"/>
      <c r="I235" s="25"/>
      <c r="J235" s="24"/>
      <c r="K235" s="20">
        <v>21</v>
      </c>
      <c r="L235" s="20" t="s">
        <v>15</v>
      </c>
      <c r="M235" s="20"/>
      <c r="N235" s="62">
        <v>3</v>
      </c>
      <c r="O235" s="24">
        <v>66</v>
      </c>
      <c r="P235" s="35">
        <v>100</v>
      </c>
      <c r="Q235" s="40">
        <v>6450</v>
      </c>
      <c r="R235" s="77">
        <f t="shared" si="42"/>
        <v>425700</v>
      </c>
      <c r="S235" s="20">
        <v>5</v>
      </c>
      <c r="T235" s="28">
        <f>(R235*5/100)</f>
        <v>21285</v>
      </c>
      <c r="U235" s="77">
        <f t="shared" si="44"/>
        <v>404415</v>
      </c>
      <c r="V235" s="20"/>
      <c r="W235" s="26"/>
      <c r="X235" s="27"/>
      <c r="Y235" s="20"/>
      <c r="Z235" s="20"/>
    </row>
    <row r="236" spans="1:26" s="50" customFormat="1" ht="90.75" customHeight="1" x14ac:dyDescent="0.25">
      <c r="A236" s="20"/>
      <c r="B236" s="20"/>
      <c r="C236" s="20"/>
      <c r="D236" s="21"/>
      <c r="E236" s="21"/>
      <c r="F236" s="22"/>
      <c r="G236" s="22"/>
      <c r="H236" s="24"/>
      <c r="I236" s="25"/>
      <c r="J236" s="24"/>
      <c r="K236" s="20"/>
      <c r="L236" s="20"/>
      <c r="M236" s="20"/>
      <c r="N236" s="62"/>
      <c r="O236" s="24"/>
      <c r="P236" s="35"/>
      <c r="Q236" s="40"/>
      <c r="R236" s="77"/>
      <c r="S236" s="20"/>
      <c r="T236" s="28"/>
      <c r="U236" s="77">
        <f>SUBTOTAL(9,U215:U235)</f>
        <v>719368342.375</v>
      </c>
      <c r="V236" s="27">
        <f>(J215+U236)</f>
        <v>904709392.375</v>
      </c>
      <c r="W236" s="26">
        <f t="shared" ref="W236:W267" si="45">(V236*100/100)</f>
        <v>904709392.375</v>
      </c>
      <c r="X236" s="27">
        <v>0</v>
      </c>
      <c r="Y236" s="78">
        <f t="shared" ref="Y236:Y267" si="46">(W236-X236)</f>
        <v>904709392.375</v>
      </c>
      <c r="Z236" s="49" t="s">
        <v>284</v>
      </c>
    </row>
    <row r="237" spans="1:26" s="50" customFormat="1" ht="90.75" customHeight="1" x14ac:dyDescent="0.25">
      <c r="A237" s="20">
        <v>150</v>
      </c>
      <c r="B237" s="20" t="s">
        <v>0</v>
      </c>
      <c r="C237" s="20">
        <v>6684</v>
      </c>
      <c r="D237" s="21">
        <v>19</v>
      </c>
      <c r="E237" s="21">
        <v>1</v>
      </c>
      <c r="F237" s="22">
        <v>13</v>
      </c>
      <c r="G237" s="22" t="s">
        <v>198</v>
      </c>
      <c r="H237" s="24">
        <f t="shared" ref="H237:H268" si="47">(D237*400)+(E237*100)+F237</f>
        <v>7713</v>
      </c>
      <c r="I237" s="25">
        <v>375</v>
      </c>
      <c r="J237" s="24">
        <f t="shared" ref="J237:J268" si="48">(H237*I237)</f>
        <v>2892375</v>
      </c>
      <c r="K237" s="20"/>
      <c r="L237" s="20"/>
      <c r="M237" s="20"/>
      <c r="N237" s="20"/>
      <c r="O237" s="24"/>
      <c r="P237" s="24"/>
      <c r="Q237" s="25"/>
      <c r="R237" s="24"/>
      <c r="S237" s="20"/>
      <c r="T237" s="27"/>
      <c r="U237" s="20"/>
      <c r="V237" s="27">
        <f t="shared" ref="V237:V268" si="49">(J237+U237)</f>
        <v>2892375</v>
      </c>
      <c r="W237" s="26">
        <f t="shared" si="45"/>
        <v>2892375</v>
      </c>
      <c r="X237" s="27">
        <v>0</v>
      </c>
      <c r="Y237" s="26">
        <f t="shared" si="46"/>
        <v>2892375</v>
      </c>
      <c r="Z237" s="49">
        <v>1E-4</v>
      </c>
    </row>
    <row r="238" spans="1:26" s="50" customFormat="1" ht="90.75" customHeight="1" x14ac:dyDescent="0.25">
      <c r="A238" s="20">
        <v>151</v>
      </c>
      <c r="B238" s="20" t="s">
        <v>0</v>
      </c>
      <c r="C238" s="20">
        <v>9676</v>
      </c>
      <c r="D238" s="21">
        <v>39</v>
      </c>
      <c r="E238" s="21">
        <v>3</v>
      </c>
      <c r="F238" s="22">
        <v>55</v>
      </c>
      <c r="G238" s="22" t="s">
        <v>198</v>
      </c>
      <c r="H238" s="24">
        <f t="shared" si="47"/>
        <v>15955</v>
      </c>
      <c r="I238" s="25" t="s">
        <v>19</v>
      </c>
      <c r="J238" s="24">
        <f t="shared" si="48"/>
        <v>5983125</v>
      </c>
      <c r="K238" s="20"/>
      <c r="L238" s="20"/>
      <c r="M238" s="20"/>
      <c r="N238" s="20"/>
      <c r="O238" s="24"/>
      <c r="P238" s="24"/>
      <c r="Q238" s="25"/>
      <c r="R238" s="24"/>
      <c r="S238" s="20"/>
      <c r="T238" s="27"/>
      <c r="U238" s="20"/>
      <c r="V238" s="27">
        <f t="shared" si="49"/>
        <v>5983125</v>
      </c>
      <c r="W238" s="26">
        <f t="shared" si="45"/>
        <v>5983125</v>
      </c>
      <c r="X238" s="27">
        <v>0</v>
      </c>
      <c r="Y238" s="26">
        <f t="shared" si="46"/>
        <v>5983125</v>
      </c>
      <c r="Z238" s="49">
        <v>1E-4</v>
      </c>
    </row>
    <row r="239" spans="1:26" s="50" customFormat="1" ht="90.75" customHeight="1" x14ac:dyDescent="0.25">
      <c r="A239" s="20">
        <v>152</v>
      </c>
      <c r="B239" s="20" t="s">
        <v>0</v>
      </c>
      <c r="C239" s="20">
        <v>6915</v>
      </c>
      <c r="D239" s="21">
        <v>6</v>
      </c>
      <c r="E239" s="21">
        <v>1</v>
      </c>
      <c r="F239" s="22">
        <v>27</v>
      </c>
      <c r="G239" s="22" t="s">
        <v>198</v>
      </c>
      <c r="H239" s="24">
        <f t="shared" si="47"/>
        <v>2527</v>
      </c>
      <c r="I239" s="25" t="s">
        <v>7</v>
      </c>
      <c r="J239" s="24">
        <f t="shared" si="48"/>
        <v>884450</v>
      </c>
      <c r="K239" s="20"/>
      <c r="L239" s="20"/>
      <c r="M239" s="20"/>
      <c r="N239" s="20"/>
      <c r="O239" s="24"/>
      <c r="P239" s="24"/>
      <c r="Q239" s="25"/>
      <c r="R239" s="24"/>
      <c r="S239" s="20"/>
      <c r="T239" s="27"/>
      <c r="U239" s="20"/>
      <c r="V239" s="27">
        <f t="shared" si="49"/>
        <v>884450</v>
      </c>
      <c r="W239" s="26">
        <f t="shared" si="45"/>
        <v>884450</v>
      </c>
      <c r="X239" s="27">
        <v>0</v>
      </c>
      <c r="Y239" s="26">
        <f t="shared" si="46"/>
        <v>884450</v>
      </c>
      <c r="Z239" s="49">
        <v>1E-4</v>
      </c>
    </row>
    <row r="240" spans="1:26" s="50" customFormat="1" ht="90.75" customHeight="1" x14ac:dyDescent="0.25">
      <c r="A240" s="20">
        <v>153</v>
      </c>
      <c r="B240" s="20" t="s">
        <v>0</v>
      </c>
      <c r="C240" s="20">
        <v>11413</v>
      </c>
      <c r="D240" s="21">
        <v>9</v>
      </c>
      <c r="E240" s="21">
        <v>0</v>
      </c>
      <c r="F240" s="22">
        <v>0</v>
      </c>
      <c r="G240" s="22" t="s">
        <v>198</v>
      </c>
      <c r="H240" s="24">
        <f t="shared" si="47"/>
        <v>3600</v>
      </c>
      <c r="I240" s="25" t="s">
        <v>7</v>
      </c>
      <c r="J240" s="24">
        <f t="shared" si="48"/>
        <v>1260000</v>
      </c>
      <c r="K240" s="20"/>
      <c r="L240" s="20"/>
      <c r="M240" s="20"/>
      <c r="N240" s="20"/>
      <c r="O240" s="24"/>
      <c r="P240" s="24"/>
      <c r="Q240" s="25"/>
      <c r="R240" s="24"/>
      <c r="S240" s="20"/>
      <c r="T240" s="27"/>
      <c r="U240" s="20"/>
      <c r="V240" s="27">
        <f t="shared" si="49"/>
        <v>1260000</v>
      </c>
      <c r="W240" s="26">
        <f t="shared" si="45"/>
        <v>1260000</v>
      </c>
      <c r="X240" s="27">
        <v>0</v>
      </c>
      <c r="Y240" s="26">
        <f t="shared" si="46"/>
        <v>1260000</v>
      </c>
      <c r="Z240" s="49">
        <v>1E-4</v>
      </c>
    </row>
    <row r="241" spans="1:26" s="50" customFormat="1" ht="90.75" customHeight="1" x14ac:dyDescent="0.25">
      <c r="A241" s="20">
        <v>154</v>
      </c>
      <c r="B241" s="20" t="s">
        <v>0</v>
      </c>
      <c r="C241" s="20">
        <v>9821</v>
      </c>
      <c r="D241" s="21">
        <v>18</v>
      </c>
      <c r="E241" s="21">
        <v>0</v>
      </c>
      <c r="F241" s="22">
        <v>32</v>
      </c>
      <c r="G241" s="22" t="s">
        <v>198</v>
      </c>
      <c r="H241" s="24">
        <f t="shared" si="47"/>
        <v>7232</v>
      </c>
      <c r="I241" s="25" t="s">
        <v>32</v>
      </c>
      <c r="J241" s="24">
        <f t="shared" si="48"/>
        <v>1446400</v>
      </c>
      <c r="K241" s="20"/>
      <c r="L241" s="20"/>
      <c r="M241" s="20"/>
      <c r="N241" s="20"/>
      <c r="O241" s="24"/>
      <c r="P241" s="24"/>
      <c r="Q241" s="25"/>
      <c r="R241" s="24"/>
      <c r="S241" s="20"/>
      <c r="T241" s="27"/>
      <c r="U241" s="20"/>
      <c r="V241" s="27">
        <f t="shared" si="49"/>
        <v>1446400</v>
      </c>
      <c r="W241" s="26">
        <f t="shared" si="45"/>
        <v>1446400</v>
      </c>
      <c r="X241" s="27">
        <v>0</v>
      </c>
      <c r="Y241" s="26">
        <f t="shared" si="46"/>
        <v>1446400</v>
      </c>
      <c r="Z241" s="49">
        <v>1E-4</v>
      </c>
    </row>
    <row r="242" spans="1:26" s="50" customFormat="1" ht="90.75" customHeight="1" x14ac:dyDescent="0.25">
      <c r="A242" s="20">
        <v>155</v>
      </c>
      <c r="B242" s="20" t="s">
        <v>0</v>
      </c>
      <c r="C242" s="20">
        <v>7937</v>
      </c>
      <c r="D242" s="21">
        <v>12</v>
      </c>
      <c r="E242" s="21">
        <v>3</v>
      </c>
      <c r="F242" s="22">
        <v>85</v>
      </c>
      <c r="G242" s="22" t="s">
        <v>198</v>
      </c>
      <c r="H242" s="24">
        <f t="shared" si="47"/>
        <v>5185</v>
      </c>
      <c r="I242" s="25" t="s">
        <v>32</v>
      </c>
      <c r="J242" s="24">
        <f t="shared" si="48"/>
        <v>1037000</v>
      </c>
      <c r="K242" s="20"/>
      <c r="L242" s="20"/>
      <c r="M242" s="20"/>
      <c r="N242" s="20"/>
      <c r="O242" s="24"/>
      <c r="P242" s="24"/>
      <c r="Q242" s="25"/>
      <c r="R242" s="24"/>
      <c r="S242" s="20"/>
      <c r="T242" s="27"/>
      <c r="U242" s="20"/>
      <c r="V242" s="27">
        <f t="shared" si="49"/>
        <v>1037000</v>
      </c>
      <c r="W242" s="26">
        <f t="shared" si="45"/>
        <v>1037000</v>
      </c>
      <c r="X242" s="27">
        <v>0</v>
      </c>
      <c r="Y242" s="26">
        <f t="shared" si="46"/>
        <v>1037000</v>
      </c>
      <c r="Z242" s="49">
        <v>1E-4</v>
      </c>
    </row>
    <row r="243" spans="1:26" s="50" customFormat="1" ht="90.75" customHeight="1" x14ac:dyDescent="0.25">
      <c r="A243" s="20">
        <v>156</v>
      </c>
      <c r="B243" s="20" t="s">
        <v>0</v>
      </c>
      <c r="C243" s="20">
        <v>7938</v>
      </c>
      <c r="D243" s="21">
        <v>10</v>
      </c>
      <c r="E243" s="21">
        <v>0</v>
      </c>
      <c r="F243" s="22">
        <v>80</v>
      </c>
      <c r="G243" s="22" t="s">
        <v>198</v>
      </c>
      <c r="H243" s="24">
        <f t="shared" si="47"/>
        <v>4080</v>
      </c>
      <c r="I243" s="25" t="s">
        <v>32</v>
      </c>
      <c r="J243" s="24">
        <f t="shared" si="48"/>
        <v>816000</v>
      </c>
      <c r="K243" s="20"/>
      <c r="L243" s="20"/>
      <c r="M243" s="20"/>
      <c r="N243" s="20"/>
      <c r="O243" s="24"/>
      <c r="P243" s="24"/>
      <c r="Q243" s="25"/>
      <c r="R243" s="24"/>
      <c r="S243" s="20"/>
      <c r="T243" s="27"/>
      <c r="U243" s="20"/>
      <c r="V243" s="27">
        <f t="shared" si="49"/>
        <v>816000</v>
      </c>
      <c r="W243" s="26">
        <f t="shared" si="45"/>
        <v>816000</v>
      </c>
      <c r="X243" s="27">
        <v>0</v>
      </c>
      <c r="Y243" s="26">
        <f t="shared" si="46"/>
        <v>816000</v>
      </c>
      <c r="Z243" s="49">
        <v>1E-4</v>
      </c>
    </row>
    <row r="244" spans="1:26" s="50" customFormat="1" ht="90.75" customHeight="1" x14ac:dyDescent="0.25">
      <c r="A244" s="20">
        <v>157</v>
      </c>
      <c r="B244" s="20" t="s">
        <v>0</v>
      </c>
      <c r="C244" s="20">
        <v>7913</v>
      </c>
      <c r="D244" s="21">
        <v>20</v>
      </c>
      <c r="E244" s="21">
        <v>0</v>
      </c>
      <c r="F244" s="22">
        <v>14</v>
      </c>
      <c r="G244" s="22" t="s">
        <v>198</v>
      </c>
      <c r="H244" s="24">
        <f t="shared" si="47"/>
        <v>8014</v>
      </c>
      <c r="I244" s="25" t="s">
        <v>32</v>
      </c>
      <c r="J244" s="24">
        <f t="shared" si="48"/>
        <v>1602800</v>
      </c>
      <c r="K244" s="20"/>
      <c r="L244" s="20"/>
      <c r="M244" s="20"/>
      <c r="N244" s="20"/>
      <c r="O244" s="24"/>
      <c r="P244" s="24"/>
      <c r="Q244" s="25"/>
      <c r="R244" s="24"/>
      <c r="S244" s="20"/>
      <c r="T244" s="27"/>
      <c r="U244" s="20"/>
      <c r="V244" s="27">
        <f t="shared" si="49"/>
        <v>1602800</v>
      </c>
      <c r="W244" s="26">
        <f t="shared" si="45"/>
        <v>1602800</v>
      </c>
      <c r="X244" s="27">
        <v>0</v>
      </c>
      <c r="Y244" s="26">
        <f t="shared" si="46"/>
        <v>1602800</v>
      </c>
      <c r="Z244" s="49">
        <v>1E-4</v>
      </c>
    </row>
    <row r="245" spans="1:26" s="50" customFormat="1" ht="90.75" customHeight="1" x14ac:dyDescent="0.25">
      <c r="A245" s="20">
        <v>158</v>
      </c>
      <c r="B245" s="20" t="s">
        <v>0</v>
      </c>
      <c r="C245" s="20">
        <v>10677</v>
      </c>
      <c r="D245" s="21">
        <v>29</v>
      </c>
      <c r="E245" s="21">
        <v>1</v>
      </c>
      <c r="F245" s="22">
        <v>3</v>
      </c>
      <c r="G245" s="22" t="s">
        <v>198</v>
      </c>
      <c r="H245" s="24">
        <f t="shared" si="47"/>
        <v>11703</v>
      </c>
      <c r="I245" s="25" t="s">
        <v>32</v>
      </c>
      <c r="J245" s="24">
        <f t="shared" si="48"/>
        <v>2340600</v>
      </c>
      <c r="K245" s="20"/>
      <c r="L245" s="20"/>
      <c r="M245" s="20"/>
      <c r="N245" s="20"/>
      <c r="O245" s="24"/>
      <c r="P245" s="24"/>
      <c r="Q245" s="25"/>
      <c r="R245" s="24"/>
      <c r="S245" s="20"/>
      <c r="T245" s="27"/>
      <c r="U245" s="20"/>
      <c r="V245" s="27">
        <f t="shared" si="49"/>
        <v>2340600</v>
      </c>
      <c r="W245" s="26">
        <f t="shared" si="45"/>
        <v>2340600</v>
      </c>
      <c r="X245" s="27">
        <v>0</v>
      </c>
      <c r="Y245" s="26">
        <f t="shared" si="46"/>
        <v>2340600</v>
      </c>
      <c r="Z245" s="49">
        <v>1E-4</v>
      </c>
    </row>
    <row r="246" spans="1:26" s="50" customFormat="1" ht="90.75" customHeight="1" x14ac:dyDescent="0.25">
      <c r="A246" s="20">
        <v>159</v>
      </c>
      <c r="B246" s="20" t="s">
        <v>0</v>
      </c>
      <c r="C246" s="20">
        <v>10679</v>
      </c>
      <c r="D246" s="21">
        <v>30</v>
      </c>
      <c r="E246" s="21">
        <v>0</v>
      </c>
      <c r="F246" s="22">
        <v>16</v>
      </c>
      <c r="G246" s="22" t="s">
        <v>198</v>
      </c>
      <c r="H246" s="24">
        <f t="shared" si="47"/>
        <v>12016</v>
      </c>
      <c r="I246" s="25" t="s">
        <v>32</v>
      </c>
      <c r="J246" s="24">
        <f t="shared" si="48"/>
        <v>2403200</v>
      </c>
      <c r="K246" s="20"/>
      <c r="L246" s="20"/>
      <c r="M246" s="20"/>
      <c r="N246" s="20"/>
      <c r="O246" s="24"/>
      <c r="P246" s="24"/>
      <c r="Q246" s="25"/>
      <c r="R246" s="24"/>
      <c r="S246" s="20"/>
      <c r="T246" s="27"/>
      <c r="U246" s="20"/>
      <c r="V246" s="27">
        <f t="shared" si="49"/>
        <v>2403200</v>
      </c>
      <c r="W246" s="26">
        <f t="shared" si="45"/>
        <v>2403200</v>
      </c>
      <c r="X246" s="27">
        <v>0</v>
      </c>
      <c r="Y246" s="26">
        <f t="shared" si="46"/>
        <v>2403200</v>
      </c>
      <c r="Z246" s="49">
        <v>1E-4</v>
      </c>
    </row>
    <row r="247" spans="1:26" s="50" customFormat="1" ht="90.75" customHeight="1" x14ac:dyDescent="0.25">
      <c r="A247" s="20">
        <v>160</v>
      </c>
      <c r="B247" s="20" t="s">
        <v>0</v>
      </c>
      <c r="C247" s="20">
        <v>11565</v>
      </c>
      <c r="D247" s="21">
        <v>14</v>
      </c>
      <c r="E247" s="21">
        <v>3</v>
      </c>
      <c r="F247" s="22">
        <v>20</v>
      </c>
      <c r="G247" s="22" t="s">
        <v>198</v>
      </c>
      <c r="H247" s="24">
        <f t="shared" si="47"/>
        <v>5920</v>
      </c>
      <c r="I247" s="25" t="s">
        <v>7</v>
      </c>
      <c r="J247" s="24">
        <f t="shared" si="48"/>
        <v>2072000</v>
      </c>
      <c r="K247" s="20"/>
      <c r="L247" s="20"/>
      <c r="M247" s="20"/>
      <c r="N247" s="20"/>
      <c r="O247" s="24"/>
      <c r="P247" s="24"/>
      <c r="Q247" s="25"/>
      <c r="R247" s="24"/>
      <c r="S247" s="20"/>
      <c r="T247" s="27"/>
      <c r="U247" s="20"/>
      <c r="V247" s="27">
        <f t="shared" si="49"/>
        <v>2072000</v>
      </c>
      <c r="W247" s="26">
        <f t="shared" si="45"/>
        <v>2072000</v>
      </c>
      <c r="X247" s="27">
        <v>0</v>
      </c>
      <c r="Y247" s="26">
        <f t="shared" si="46"/>
        <v>2072000</v>
      </c>
      <c r="Z247" s="49">
        <v>1E-4</v>
      </c>
    </row>
    <row r="248" spans="1:26" s="50" customFormat="1" ht="90.75" customHeight="1" x14ac:dyDescent="0.25">
      <c r="A248" s="20">
        <v>161</v>
      </c>
      <c r="B248" s="20" t="s">
        <v>0</v>
      </c>
      <c r="C248" s="20">
        <v>6789</v>
      </c>
      <c r="D248" s="21">
        <v>7</v>
      </c>
      <c r="E248" s="21">
        <v>0</v>
      </c>
      <c r="F248" s="22">
        <v>38</v>
      </c>
      <c r="G248" s="22" t="s">
        <v>198</v>
      </c>
      <c r="H248" s="24">
        <f t="shared" si="47"/>
        <v>2838</v>
      </c>
      <c r="I248" s="25" t="s">
        <v>22</v>
      </c>
      <c r="J248" s="24">
        <f t="shared" si="48"/>
        <v>1489950</v>
      </c>
      <c r="K248" s="20"/>
      <c r="L248" s="20"/>
      <c r="M248" s="20"/>
      <c r="N248" s="20"/>
      <c r="O248" s="24"/>
      <c r="P248" s="24"/>
      <c r="Q248" s="25"/>
      <c r="R248" s="24"/>
      <c r="S248" s="20"/>
      <c r="T248" s="27"/>
      <c r="U248" s="20"/>
      <c r="V248" s="27">
        <f t="shared" si="49"/>
        <v>1489950</v>
      </c>
      <c r="W248" s="26">
        <f t="shared" si="45"/>
        <v>1489950</v>
      </c>
      <c r="X248" s="27">
        <v>0</v>
      </c>
      <c r="Y248" s="26">
        <f t="shared" si="46"/>
        <v>1489950</v>
      </c>
      <c r="Z248" s="49">
        <v>1E-4</v>
      </c>
    </row>
    <row r="249" spans="1:26" s="50" customFormat="1" ht="90.75" customHeight="1" x14ac:dyDescent="0.25">
      <c r="A249" s="20">
        <v>162</v>
      </c>
      <c r="B249" s="20" t="s">
        <v>0</v>
      </c>
      <c r="C249" s="20">
        <v>6787</v>
      </c>
      <c r="D249" s="21">
        <v>7</v>
      </c>
      <c r="E249" s="21">
        <v>0</v>
      </c>
      <c r="F249" s="22">
        <v>65</v>
      </c>
      <c r="G249" s="22" t="s">
        <v>198</v>
      </c>
      <c r="H249" s="24">
        <f t="shared" si="47"/>
        <v>2865</v>
      </c>
      <c r="I249" s="25" t="s">
        <v>19</v>
      </c>
      <c r="J249" s="24">
        <f t="shared" si="48"/>
        <v>1074375</v>
      </c>
      <c r="K249" s="20"/>
      <c r="L249" s="20"/>
      <c r="M249" s="20"/>
      <c r="N249" s="20"/>
      <c r="O249" s="24"/>
      <c r="P249" s="24"/>
      <c r="Q249" s="25"/>
      <c r="R249" s="24"/>
      <c r="S249" s="20"/>
      <c r="T249" s="27"/>
      <c r="U249" s="20"/>
      <c r="V249" s="27">
        <f t="shared" si="49"/>
        <v>1074375</v>
      </c>
      <c r="W249" s="26">
        <f t="shared" si="45"/>
        <v>1074375</v>
      </c>
      <c r="X249" s="27">
        <v>0</v>
      </c>
      <c r="Y249" s="26">
        <f t="shared" si="46"/>
        <v>1074375</v>
      </c>
      <c r="Z249" s="49">
        <v>1E-4</v>
      </c>
    </row>
    <row r="250" spans="1:26" s="50" customFormat="1" ht="90.75" customHeight="1" x14ac:dyDescent="0.25">
      <c r="A250" s="20">
        <v>163</v>
      </c>
      <c r="B250" s="20" t="s">
        <v>0</v>
      </c>
      <c r="C250" s="20">
        <v>6786</v>
      </c>
      <c r="D250" s="21">
        <v>7</v>
      </c>
      <c r="E250" s="21">
        <v>2</v>
      </c>
      <c r="F250" s="22">
        <v>9</v>
      </c>
      <c r="G250" s="22" t="s">
        <v>198</v>
      </c>
      <c r="H250" s="24">
        <f t="shared" si="47"/>
        <v>3009</v>
      </c>
      <c r="I250" s="25" t="s">
        <v>19</v>
      </c>
      <c r="J250" s="24">
        <f t="shared" si="48"/>
        <v>1128375</v>
      </c>
      <c r="K250" s="20"/>
      <c r="L250" s="20"/>
      <c r="M250" s="20"/>
      <c r="N250" s="20"/>
      <c r="O250" s="24"/>
      <c r="P250" s="24"/>
      <c r="Q250" s="25"/>
      <c r="R250" s="24"/>
      <c r="S250" s="20"/>
      <c r="T250" s="27"/>
      <c r="U250" s="20"/>
      <c r="V250" s="27">
        <f t="shared" si="49"/>
        <v>1128375</v>
      </c>
      <c r="W250" s="26">
        <f t="shared" si="45"/>
        <v>1128375</v>
      </c>
      <c r="X250" s="27">
        <v>0</v>
      </c>
      <c r="Y250" s="26">
        <f t="shared" si="46"/>
        <v>1128375</v>
      </c>
      <c r="Z250" s="49">
        <v>1E-4</v>
      </c>
    </row>
    <row r="251" spans="1:26" s="50" customFormat="1" ht="90.75" customHeight="1" x14ac:dyDescent="0.25">
      <c r="A251" s="20">
        <v>164</v>
      </c>
      <c r="B251" s="20" t="s">
        <v>0</v>
      </c>
      <c r="C251" s="20">
        <v>6785</v>
      </c>
      <c r="D251" s="21">
        <v>27</v>
      </c>
      <c r="E251" s="21">
        <v>2</v>
      </c>
      <c r="F251" s="22">
        <v>72</v>
      </c>
      <c r="G251" s="22" t="s">
        <v>198</v>
      </c>
      <c r="H251" s="24">
        <f t="shared" si="47"/>
        <v>11072</v>
      </c>
      <c r="I251" s="25" t="s">
        <v>19</v>
      </c>
      <c r="J251" s="24">
        <f t="shared" si="48"/>
        <v>4152000</v>
      </c>
      <c r="K251" s="20"/>
      <c r="L251" s="20"/>
      <c r="M251" s="20"/>
      <c r="N251" s="20"/>
      <c r="O251" s="24"/>
      <c r="P251" s="24"/>
      <c r="Q251" s="25"/>
      <c r="R251" s="24"/>
      <c r="S251" s="20"/>
      <c r="T251" s="27"/>
      <c r="U251" s="20"/>
      <c r="V251" s="27">
        <f t="shared" si="49"/>
        <v>4152000</v>
      </c>
      <c r="W251" s="26">
        <f t="shared" si="45"/>
        <v>4152000</v>
      </c>
      <c r="X251" s="27">
        <v>0</v>
      </c>
      <c r="Y251" s="26">
        <f t="shared" si="46"/>
        <v>4152000</v>
      </c>
      <c r="Z251" s="49">
        <v>1E-4</v>
      </c>
    </row>
    <row r="252" spans="1:26" s="50" customFormat="1" ht="90.75" customHeight="1" x14ac:dyDescent="0.25">
      <c r="A252" s="20">
        <v>165</v>
      </c>
      <c r="B252" s="20" t="s">
        <v>0</v>
      </c>
      <c r="C252" s="20">
        <v>6790</v>
      </c>
      <c r="D252" s="21">
        <v>20</v>
      </c>
      <c r="E252" s="21">
        <v>2</v>
      </c>
      <c r="F252" s="22">
        <v>33</v>
      </c>
      <c r="G252" s="22" t="s">
        <v>198</v>
      </c>
      <c r="H252" s="24">
        <f t="shared" si="47"/>
        <v>8233</v>
      </c>
      <c r="I252" s="25" t="s">
        <v>22</v>
      </c>
      <c r="J252" s="24">
        <f t="shared" si="48"/>
        <v>4322325</v>
      </c>
      <c r="K252" s="20"/>
      <c r="L252" s="20"/>
      <c r="M252" s="20"/>
      <c r="N252" s="20"/>
      <c r="O252" s="24"/>
      <c r="P252" s="24"/>
      <c r="Q252" s="25"/>
      <c r="R252" s="24"/>
      <c r="S252" s="20"/>
      <c r="T252" s="27"/>
      <c r="U252" s="20"/>
      <c r="V252" s="27">
        <f t="shared" si="49"/>
        <v>4322325</v>
      </c>
      <c r="W252" s="26">
        <f t="shared" si="45"/>
        <v>4322325</v>
      </c>
      <c r="X252" s="27">
        <v>0</v>
      </c>
      <c r="Y252" s="26">
        <f t="shared" si="46"/>
        <v>4322325</v>
      </c>
      <c r="Z252" s="49">
        <v>1E-4</v>
      </c>
    </row>
    <row r="253" spans="1:26" s="50" customFormat="1" ht="90.75" customHeight="1" x14ac:dyDescent="0.25">
      <c r="A253" s="20">
        <v>166</v>
      </c>
      <c r="B253" s="20" t="s">
        <v>0</v>
      </c>
      <c r="C253" s="20">
        <v>12211</v>
      </c>
      <c r="D253" s="21">
        <v>28</v>
      </c>
      <c r="E253" s="21">
        <v>2</v>
      </c>
      <c r="F253" s="22">
        <v>63</v>
      </c>
      <c r="G253" s="22" t="s">
        <v>198</v>
      </c>
      <c r="H253" s="24">
        <f t="shared" si="47"/>
        <v>11463</v>
      </c>
      <c r="I253" s="25" t="s">
        <v>7</v>
      </c>
      <c r="J253" s="24">
        <f t="shared" si="48"/>
        <v>4012050</v>
      </c>
      <c r="K253" s="20"/>
      <c r="L253" s="20"/>
      <c r="M253" s="20"/>
      <c r="N253" s="20"/>
      <c r="O253" s="24"/>
      <c r="P253" s="24"/>
      <c r="Q253" s="25"/>
      <c r="R253" s="24"/>
      <c r="S253" s="20"/>
      <c r="T253" s="27"/>
      <c r="U253" s="20"/>
      <c r="V253" s="27">
        <f t="shared" si="49"/>
        <v>4012050</v>
      </c>
      <c r="W253" s="26">
        <f t="shared" si="45"/>
        <v>4012050</v>
      </c>
      <c r="X253" s="27">
        <v>0</v>
      </c>
      <c r="Y253" s="26">
        <f t="shared" si="46"/>
        <v>4012050</v>
      </c>
      <c r="Z253" s="49">
        <v>1E-4</v>
      </c>
    </row>
    <row r="254" spans="1:26" s="50" customFormat="1" ht="90.75" customHeight="1" x14ac:dyDescent="0.25">
      <c r="A254" s="20">
        <v>167</v>
      </c>
      <c r="B254" s="20" t="s">
        <v>0</v>
      </c>
      <c r="C254" s="20">
        <v>9837</v>
      </c>
      <c r="D254" s="21">
        <v>11</v>
      </c>
      <c r="E254" s="21">
        <v>3</v>
      </c>
      <c r="F254" s="22">
        <v>77</v>
      </c>
      <c r="G254" s="22" t="s">
        <v>198</v>
      </c>
      <c r="H254" s="24">
        <f t="shared" si="47"/>
        <v>4777</v>
      </c>
      <c r="I254" s="25" t="s">
        <v>19</v>
      </c>
      <c r="J254" s="24">
        <f t="shared" si="48"/>
        <v>1791375</v>
      </c>
      <c r="K254" s="20"/>
      <c r="L254" s="20"/>
      <c r="M254" s="20"/>
      <c r="N254" s="20"/>
      <c r="O254" s="24"/>
      <c r="P254" s="24"/>
      <c r="Q254" s="25"/>
      <c r="R254" s="24"/>
      <c r="S254" s="20"/>
      <c r="T254" s="27"/>
      <c r="U254" s="20"/>
      <c r="V254" s="27">
        <f t="shared" si="49"/>
        <v>1791375</v>
      </c>
      <c r="W254" s="26">
        <f t="shared" si="45"/>
        <v>1791375</v>
      </c>
      <c r="X254" s="27">
        <v>0</v>
      </c>
      <c r="Y254" s="26">
        <f t="shared" si="46"/>
        <v>1791375</v>
      </c>
      <c r="Z254" s="49">
        <v>1E-4</v>
      </c>
    </row>
    <row r="255" spans="1:26" s="50" customFormat="1" ht="90.75" customHeight="1" x14ac:dyDescent="0.25">
      <c r="A255" s="20">
        <v>168</v>
      </c>
      <c r="B255" s="20" t="s">
        <v>0</v>
      </c>
      <c r="C255" s="20">
        <v>9838</v>
      </c>
      <c r="D255" s="21">
        <v>10</v>
      </c>
      <c r="E255" s="21">
        <v>0</v>
      </c>
      <c r="F255" s="22">
        <v>67</v>
      </c>
      <c r="G255" s="22" t="s">
        <v>198</v>
      </c>
      <c r="H255" s="24">
        <f t="shared" si="47"/>
        <v>4067</v>
      </c>
      <c r="I255" s="25" t="s">
        <v>19</v>
      </c>
      <c r="J255" s="24">
        <f t="shared" si="48"/>
        <v>1525125</v>
      </c>
      <c r="K255" s="20"/>
      <c r="L255" s="20"/>
      <c r="M255" s="20"/>
      <c r="N255" s="20"/>
      <c r="O255" s="24"/>
      <c r="P255" s="24"/>
      <c r="Q255" s="25"/>
      <c r="R255" s="24"/>
      <c r="S255" s="20"/>
      <c r="T255" s="27"/>
      <c r="U255" s="20"/>
      <c r="V255" s="27">
        <f t="shared" si="49"/>
        <v>1525125</v>
      </c>
      <c r="W255" s="26">
        <f t="shared" si="45"/>
        <v>1525125</v>
      </c>
      <c r="X255" s="27">
        <v>0</v>
      </c>
      <c r="Y255" s="26">
        <f t="shared" si="46"/>
        <v>1525125</v>
      </c>
      <c r="Z255" s="49">
        <v>1E-4</v>
      </c>
    </row>
    <row r="256" spans="1:26" s="50" customFormat="1" ht="90.75" customHeight="1" x14ac:dyDescent="0.25">
      <c r="A256" s="20">
        <v>169</v>
      </c>
      <c r="B256" s="20" t="s">
        <v>0</v>
      </c>
      <c r="C256" s="20">
        <v>9839</v>
      </c>
      <c r="D256" s="21">
        <v>12</v>
      </c>
      <c r="E256" s="21">
        <v>3</v>
      </c>
      <c r="F256" s="22">
        <v>33</v>
      </c>
      <c r="G256" s="22" t="s">
        <v>198</v>
      </c>
      <c r="H256" s="24">
        <f t="shared" si="47"/>
        <v>5133</v>
      </c>
      <c r="I256" s="25" t="s">
        <v>32</v>
      </c>
      <c r="J256" s="24">
        <f t="shared" si="48"/>
        <v>1026600</v>
      </c>
      <c r="K256" s="20"/>
      <c r="L256" s="20"/>
      <c r="M256" s="20"/>
      <c r="N256" s="20"/>
      <c r="O256" s="24"/>
      <c r="P256" s="24"/>
      <c r="Q256" s="25"/>
      <c r="R256" s="24"/>
      <c r="S256" s="20"/>
      <c r="T256" s="27"/>
      <c r="U256" s="20"/>
      <c r="V256" s="27">
        <f t="shared" si="49"/>
        <v>1026600</v>
      </c>
      <c r="W256" s="26">
        <f t="shared" si="45"/>
        <v>1026600</v>
      </c>
      <c r="X256" s="27">
        <v>0</v>
      </c>
      <c r="Y256" s="26">
        <f t="shared" si="46"/>
        <v>1026600</v>
      </c>
      <c r="Z256" s="49">
        <v>1E-4</v>
      </c>
    </row>
    <row r="257" spans="1:26" s="50" customFormat="1" ht="90.75" customHeight="1" x14ac:dyDescent="0.25">
      <c r="A257" s="20">
        <v>170</v>
      </c>
      <c r="B257" s="20" t="s">
        <v>0</v>
      </c>
      <c r="C257" s="20">
        <v>8311</v>
      </c>
      <c r="D257" s="21">
        <v>27</v>
      </c>
      <c r="E257" s="21">
        <v>0</v>
      </c>
      <c r="F257" s="22">
        <v>97</v>
      </c>
      <c r="G257" s="22" t="s">
        <v>198</v>
      </c>
      <c r="H257" s="24">
        <f t="shared" si="47"/>
        <v>10897</v>
      </c>
      <c r="I257" s="25" t="s">
        <v>62</v>
      </c>
      <c r="J257" s="24">
        <f t="shared" si="48"/>
        <v>5448500</v>
      </c>
      <c r="K257" s="20"/>
      <c r="L257" s="20"/>
      <c r="M257" s="20"/>
      <c r="N257" s="20"/>
      <c r="O257" s="24"/>
      <c r="P257" s="24"/>
      <c r="Q257" s="25"/>
      <c r="R257" s="24"/>
      <c r="S257" s="20"/>
      <c r="T257" s="27"/>
      <c r="U257" s="20"/>
      <c r="V257" s="27">
        <f t="shared" si="49"/>
        <v>5448500</v>
      </c>
      <c r="W257" s="26">
        <f t="shared" si="45"/>
        <v>5448500</v>
      </c>
      <c r="X257" s="27">
        <v>0</v>
      </c>
      <c r="Y257" s="26">
        <f t="shared" si="46"/>
        <v>5448500</v>
      </c>
      <c r="Z257" s="49">
        <v>1E-4</v>
      </c>
    </row>
    <row r="258" spans="1:26" s="50" customFormat="1" ht="90.75" customHeight="1" x14ac:dyDescent="0.25">
      <c r="A258" s="20">
        <v>171</v>
      </c>
      <c r="B258" s="20" t="s">
        <v>0</v>
      </c>
      <c r="C258" s="20">
        <v>8313</v>
      </c>
      <c r="D258" s="21">
        <v>37</v>
      </c>
      <c r="E258" s="21">
        <v>2</v>
      </c>
      <c r="F258" s="22">
        <v>79</v>
      </c>
      <c r="G258" s="22" t="s">
        <v>198</v>
      </c>
      <c r="H258" s="24">
        <f t="shared" si="47"/>
        <v>15079</v>
      </c>
      <c r="I258" s="25" t="s">
        <v>32</v>
      </c>
      <c r="J258" s="24">
        <f t="shared" si="48"/>
        <v>3015800</v>
      </c>
      <c r="K258" s="20"/>
      <c r="L258" s="20"/>
      <c r="M258" s="20"/>
      <c r="N258" s="20"/>
      <c r="O258" s="24"/>
      <c r="P258" s="24"/>
      <c r="Q258" s="25"/>
      <c r="R258" s="24"/>
      <c r="S258" s="20"/>
      <c r="T258" s="27"/>
      <c r="U258" s="20"/>
      <c r="V258" s="27">
        <f t="shared" si="49"/>
        <v>3015800</v>
      </c>
      <c r="W258" s="26">
        <f t="shared" si="45"/>
        <v>3015800</v>
      </c>
      <c r="X258" s="27">
        <v>0</v>
      </c>
      <c r="Y258" s="26">
        <f t="shared" si="46"/>
        <v>3015800</v>
      </c>
      <c r="Z258" s="49">
        <v>1E-4</v>
      </c>
    </row>
    <row r="259" spans="1:26" s="50" customFormat="1" ht="90.75" customHeight="1" x14ac:dyDescent="0.25">
      <c r="A259" s="20">
        <v>172</v>
      </c>
      <c r="B259" s="20" t="s">
        <v>0</v>
      </c>
      <c r="C259" s="20">
        <v>11408</v>
      </c>
      <c r="D259" s="21">
        <v>7</v>
      </c>
      <c r="E259" s="21">
        <v>3</v>
      </c>
      <c r="F259" s="22">
        <v>81</v>
      </c>
      <c r="G259" s="22" t="s">
        <v>198</v>
      </c>
      <c r="H259" s="24">
        <f t="shared" si="47"/>
        <v>3181</v>
      </c>
      <c r="I259" s="25" t="s">
        <v>32</v>
      </c>
      <c r="J259" s="24">
        <f t="shared" si="48"/>
        <v>636200</v>
      </c>
      <c r="K259" s="20"/>
      <c r="L259" s="20"/>
      <c r="M259" s="20"/>
      <c r="N259" s="20"/>
      <c r="O259" s="24"/>
      <c r="P259" s="24"/>
      <c r="Q259" s="25"/>
      <c r="R259" s="24"/>
      <c r="S259" s="20"/>
      <c r="T259" s="27"/>
      <c r="U259" s="20"/>
      <c r="V259" s="27">
        <f t="shared" si="49"/>
        <v>636200</v>
      </c>
      <c r="W259" s="26">
        <f t="shared" si="45"/>
        <v>636200</v>
      </c>
      <c r="X259" s="27">
        <v>0</v>
      </c>
      <c r="Y259" s="26">
        <f t="shared" si="46"/>
        <v>636200</v>
      </c>
      <c r="Z259" s="49">
        <v>1E-4</v>
      </c>
    </row>
    <row r="260" spans="1:26" s="50" customFormat="1" ht="90.75" customHeight="1" x14ac:dyDescent="0.25">
      <c r="A260" s="20">
        <v>173</v>
      </c>
      <c r="B260" s="20" t="s">
        <v>0</v>
      </c>
      <c r="C260" s="20">
        <v>12214</v>
      </c>
      <c r="D260" s="21">
        <v>14</v>
      </c>
      <c r="E260" s="21">
        <v>3</v>
      </c>
      <c r="F260" s="22">
        <v>6</v>
      </c>
      <c r="G260" s="22" t="s">
        <v>198</v>
      </c>
      <c r="H260" s="24">
        <f t="shared" si="47"/>
        <v>5906</v>
      </c>
      <c r="I260" s="25" t="s">
        <v>32</v>
      </c>
      <c r="J260" s="24">
        <f t="shared" si="48"/>
        <v>1181200</v>
      </c>
      <c r="K260" s="20"/>
      <c r="L260" s="20"/>
      <c r="M260" s="20"/>
      <c r="N260" s="20"/>
      <c r="O260" s="24"/>
      <c r="P260" s="24"/>
      <c r="Q260" s="25"/>
      <c r="R260" s="24"/>
      <c r="S260" s="20"/>
      <c r="T260" s="27"/>
      <c r="U260" s="20"/>
      <c r="V260" s="27">
        <f t="shared" si="49"/>
        <v>1181200</v>
      </c>
      <c r="W260" s="26">
        <f t="shared" si="45"/>
        <v>1181200</v>
      </c>
      <c r="X260" s="27">
        <v>0</v>
      </c>
      <c r="Y260" s="26">
        <f t="shared" si="46"/>
        <v>1181200</v>
      </c>
      <c r="Z260" s="49">
        <v>1E-4</v>
      </c>
    </row>
    <row r="261" spans="1:26" s="50" customFormat="1" ht="90.75" customHeight="1" x14ac:dyDescent="0.25">
      <c r="A261" s="20">
        <v>174</v>
      </c>
      <c r="B261" s="20" t="s">
        <v>0</v>
      </c>
      <c r="C261" s="20">
        <v>6818</v>
      </c>
      <c r="D261" s="21">
        <v>17</v>
      </c>
      <c r="E261" s="21">
        <v>0</v>
      </c>
      <c r="F261" s="22">
        <v>6</v>
      </c>
      <c r="G261" s="22" t="s">
        <v>198</v>
      </c>
      <c r="H261" s="24">
        <f t="shared" si="47"/>
        <v>6806</v>
      </c>
      <c r="I261" s="25" t="s">
        <v>32</v>
      </c>
      <c r="J261" s="24">
        <f t="shared" si="48"/>
        <v>1361200</v>
      </c>
      <c r="K261" s="20"/>
      <c r="L261" s="20"/>
      <c r="M261" s="20"/>
      <c r="N261" s="20"/>
      <c r="O261" s="24"/>
      <c r="P261" s="24"/>
      <c r="Q261" s="25"/>
      <c r="R261" s="24"/>
      <c r="S261" s="20"/>
      <c r="T261" s="27"/>
      <c r="U261" s="20"/>
      <c r="V261" s="27">
        <f t="shared" si="49"/>
        <v>1361200</v>
      </c>
      <c r="W261" s="26">
        <f t="shared" si="45"/>
        <v>1361200</v>
      </c>
      <c r="X261" s="27">
        <v>0</v>
      </c>
      <c r="Y261" s="26">
        <f t="shared" si="46"/>
        <v>1361200</v>
      </c>
      <c r="Z261" s="49">
        <v>1E-4</v>
      </c>
    </row>
    <row r="262" spans="1:26" s="50" customFormat="1" ht="90.75" customHeight="1" x14ac:dyDescent="0.25">
      <c r="A262" s="20">
        <v>175</v>
      </c>
      <c r="B262" s="20" t="s">
        <v>0</v>
      </c>
      <c r="C262" s="20">
        <v>6819</v>
      </c>
      <c r="D262" s="21">
        <v>12</v>
      </c>
      <c r="E262" s="21">
        <v>3</v>
      </c>
      <c r="F262" s="22">
        <v>55</v>
      </c>
      <c r="G262" s="22" t="s">
        <v>198</v>
      </c>
      <c r="H262" s="24">
        <f t="shared" si="47"/>
        <v>5155</v>
      </c>
      <c r="I262" s="25" t="s">
        <v>32</v>
      </c>
      <c r="J262" s="24">
        <f t="shared" si="48"/>
        <v>1031000</v>
      </c>
      <c r="K262" s="20"/>
      <c r="L262" s="20"/>
      <c r="M262" s="20"/>
      <c r="N262" s="20"/>
      <c r="O262" s="24"/>
      <c r="P262" s="24"/>
      <c r="Q262" s="25"/>
      <c r="R262" s="24"/>
      <c r="S262" s="20"/>
      <c r="T262" s="27"/>
      <c r="U262" s="20"/>
      <c r="V262" s="27">
        <f t="shared" si="49"/>
        <v>1031000</v>
      </c>
      <c r="W262" s="26">
        <f t="shared" si="45"/>
        <v>1031000</v>
      </c>
      <c r="X262" s="27">
        <v>0</v>
      </c>
      <c r="Y262" s="26">
        <f t="shared" si="46"/>
        <v>1031000</v>
      </c>
      <c r="Z262" s="49">
        <v>1E-4</v>
      </c>
    </row>
    <row r="263" spans="1:26" s="50" customFormat="1" ht="90.75" customHeight="1" x14ac:dyDescent="0.25">
      <c r="A263" s="20">
        <v>176</v>
      </c>
      <c r="B263" s="20" t="s">
        <v>0</v>
      </c>
      <c r="C263" s="20">
        <v>6783</v>
      </c>
      <c r="D263" s="21">
        <v>11</v>
      </c>
      <c r="E263" s="21">
        <v>2</v>
      </c>
      <c r="F263" s="22">
        <v>67</v>
      </c>
      <c r="G263" s="22" t="s">
        <v>198</v>
      </c>
      <c r="H263" s="24">
        <f t="shared" si="47"/>
        <v>4667</v>
      </c>
      <c r="I263" s="25" t="s">
        <v>19</v>
      </c>
      <c r="J263" s="24">
        <f t="shared" si="48"/>
        <v>1750125</v>
      </c>
      <c r="K263" s="20"/>
      <c r="L263" s="20"/>
      <c r="M263" s="20"/>
      <c r="N263" s="20"/>
      <c r="O263" s="24"/>
      <c r="P263" s="24"/>
      <c r="Q263" s="25"/>
      <c r="R263" s="24"/>
      <c r="S263" s="20"/>
      <c r="T263" s="27"/>
      <c r="U263" s="20"/>
      <c r="V263" s="27">
        <f t="shared" si="49"/>
        <v>1750125</v>
      </c>
      <c r="W263" s="26">
        <f t="shared" si="45"/>
        <v>1750125</v>
      </c>
      <c r="X263" s="27">
        <v>0</v>
      </c>
      <c r="Y263" s="26">
        <f t="shared" si="46"/>
        <v>1750125</v>
      </c>
      <c r="Z263" s="49">
        <v>1E-4</v>
      </c>
    </row>
    <row r="264" spans="1:26" s="50" customFormat="1" ht="90.75" customHeight="1" x14ac:dyDescent="0.25">
      <c r="A264" s="20">
        <v>177</v>
      </c>
      <c r="B264" s="20" t="s">
        <v>0</v>
      </c>
      <c r="C264" s="20">
        <v>6715</v>
      </c>
      <c r="D264" s="21">
        <v>11</v>
      </c>
      <c r="E264" s="21">
        <v>3</v>
      </c>
      <c r="F264" s="22">
        <v>67</v>
      </c>
      <c r="G264" s="22" t="s">
        <v>198</v>
      </c>
      <c r="H264" s="24">
        <f t="shared" si="47"/>
        <v>4767</v>
      </c>
      <c r="I264" s="25" t="s">
        <v>32</v>
      </c>
      <c r="J264" s="24">
        <f t="shared" si="48"/>
        <v>953400</v>
      </c>
      <c r="K264" s="20"/>
      <c r="L264" s="20"/>
      <c r="M264" s="20"/>
      <c r="N264" s="20"/>
      <c r="O264" s="24"/>
      <c r="P264" s="24"/>
      <c r="Q264" s="25"/>
      <c r="R264" s="24"/>
      <c r="S264" s="20"/>
      <c r="T264" s="27"/>
      <c r="U264" s="20"/>
      <c r="V264" s="27">
        <f t="shared" si="49"/>
        <v>953400</v>
      </c>
      <c r="W264" s="26">
        <f t="shared" si="45"/>
        <v>953400</v>
      </c>
      <c r="X264" s="27">
        <v>0</v>
      </c>
      <c r="Y264" s="26">
        <f t="shared" si="46"/>
        <v>953400</v>
      </c>
      <c r="Z264" s="49">
        <v>1E-4</v>
      </c>
    </row>
    <row r="265" spans="1:26" s="50" customFormat="1" ht="90.75" customHeight="1" x14ac:dyDescent="0.25">
      <c r="A265" s="20">
        <v>178</v>
      </c>
      <c r="B265" s="20" t="s">
        <v>0</v>
      </c>
      <c r="C265" s="20">
        <v>7451</v>
      </c>
      <c r="D265" s="21">
        <v>11</v>
      </c>
      <c r="E265" s="21">
        <v>2</v>
      </c>
      <c r="F265" s="22">
        <v>51</v>
      </c>
      <c r="G265" s="22" t="s">
        <v>198</v>
      </c>
      <c r="H265" s="24">
        <f t="shared" si="47"/>
        <v>4651</v>
      </c>
      <c r="I265" s="25" t="s">
        <v>11</v>
      </c>
      <c r="J265" s="24">
        <f t="shared" si="48"/>
        <v>1279025</v>
      </c>
      <c r="K265" s="20"/>
      <c r="L265" s="20"/>
      <c r="M265" s="20"/>
      <c r="N265" s="20"/>
      <c r="O265" s="24"/>
      <c r="P265" s="24"/>
      <c r="Q265" s="25"/>
      <c r="R265" s="24"/>
      <c r="S265" s="20"/>
      <c r="T265" s="27"/>
      <c r="U265" s="20"/>
      <c r="V265" s="27">
        <f t="shared" si="49"/>
        <v>1279025</v>
      </c>
      <c r="W265" s="26">
        <f t="shared" si="45"/>
        <v>1279025</v>
      </c>
      <c r="X265" s="27">
        <v>0</v>
      </c>
      <c r="Y265" s="26">
        <f t="shared" si="46"/>
        <v>1279025</v>
      </c>
      <c r="Z265" s="49">
        <v>1E-4</v>
      </c>
    </row>
    <row r="266" spans="1:26" s="50" customFormat="1" ht="90.75" customHeight="1" x14ac:dyDescent="0.25">
      <c r="A266" s="20">
        <v>179</v>
      </c>
      <c r="B266" s="20" t="s">
        <v>0</v>
      </c>
      <c r="C266" s="20">
        <v>12625</v>
      </c>
      <c r="D266" s="21">
        <v>0</v>
      </c>
      <c r="E266" s="21">
        <v>1</v>
      </c>
      <c r="F266" s="22">
        <v>88</v>
      </c>
      <c r="G266" s="22" t="s">
        <v>198</v>
      </c>
      <c r="H266" s="24">
        <f t="shared" si="47"/>
        <v>188</v>
      </c>
      <c r="I266" s="25">
        <v>350</v>
      </c>
      <c r="J266" s="24">
        <f t="shared" si="48"/>
        <v>65800</v>
      </c>
      <c r="K266" s="20"/>
      <c r="L266" s="20"/>
      <c r="M266" s="20"/>
      <c r="N266" s="20"/>
      <c r="O266" s="24"/>
      <c r="P266" s="24"/>
      <c r="Q266" s="25"/>
      <c r="R266" s="24"/>
      <c r="S266" s="20"/>
      <c r="T266" s="27"/>
      <c r="U266" s="20"/>
      <c r="V266" s="27">
        <f t="shared" si="49"/>
        <v>65800</v>
      </c>
      <c r="W266" s="26">
        <f t="shared" si="45"/>
        <v>65800</v>
      </c>
      <c r="X266" s="27">
        <v>0</v>
      </c>
      <c r="Y266" s="26">
        <f t="shared" si="46"/>
        <v>65800</v>
      </c>
      <c r="Z266" s="49">
        <v>1E-4</v>
      </c>
    </row>
    <row r="267" spans="1:26" s="50" customFormat="1" ht="90.75" customHeight="1" x14ac:dyDescent="0.25">
      <c r="A267" s="20">
        <v>180</v>
      </c>
      <c r="B267" s="20" t="s">
        <v>0</v>
      </c>
      <c r="C267" s="20">
        <v>8309</v>
      </c>
      <c r="D267" s="21">
        <v>39</v>
      </c>
      <c r="E267" s="21">
        <v>2</v>
      </c>
      <c r="F267" s="22">
        <v>69</v>
      </c>
      <c r="G267" s="22" t="s">
        <v>198</v>
      </c>
      <c r="H267" s="24">
        <f t="shared" si="47"/>
        <v>15869</v>
      </c>
      <c r="I267" s="25" t="s">
        <v>11</v>
      </c>
      <c r="J267" s="24">
        <f t="shared" si="48"/>
        <v>4363975</v>
      </c>
      <c r="K267" s="20"/>
      <c r="L267" s="20"/>
      <c r="M267" s="20"/>
      <c r="N267" s="20"/>
      <c r="O267" s="24"/>
      <c r="P267" s="24"/>
      <c r="Q267" s="25"/>
      <c r="R267" s="24"/>
      <c r="S267" s="20"/>
      <c r="T267" s="27"/>
      <c r="U267" s="20"/>
      <c r="V267" s="27">
        <f t="shared" si="49"/>
        <v>4363975</v>
      </c>
      <c r="W267" s="26">
        <f t="shared" si="45"/>
        <v>4363975</v>
      </c>
      <c r="X267" s="27">
        <v>0</v>
      </c>
      <c r="Y267" s="26">
        <f t="shared" si="46"/>
        <v>4363975</v>
      </c>
      <c r="Z267" s="49">
        <v>1E-4</v>
      </c>
    </row>
    <row r="268" spans="1:26" s="50" customFormat="1" ht="90.75" customHeight="1" x14ac:dyDescent="0.25">
      <c r="A268" s="20">
        <v>181</v>
      </c>
      <c r="B268" s="20" t="s">
        <v>0</v>
      </c>
      <c r="C268" s="20">
        <v>7769</v>
      </c>
      <c r="D268" s="21">
        <v>20</v>
      </c>
      <c r="E268" s="21">
        <v>0</v>
      </c>
      <c r="F268" s="22">
        <v>48</v>
      </c>
      <c r="G268" s="22" t="s">
        <v>198</v>
      </c>
      <c r="H268" s="24">
        <f t="shared" si="47"/>
        <v>8048</v>
      </c>
      <c r="I268" s="25" t="s">
        <v>32</v>
      </c>
      <c r="J268" s="24">
        <f t="shared" si="48"/>
        <v>1609600</v>
      </c>
      <c r="K268" s="20"/>
      <c r="L268" s="20"/>
      <c r="M268" s="20"/>
      <c r="N268" s="20"/>
      <c r="O268" s="24"/>
      <c r="P268" s="24"/>
      <c r="Q268" s="25"/>
      <c r="R268" s="24"/>
      <c r="S268" s="20"/>
      <c r="T268" s="27"/>
      <c r="U268" s="20"/>
      <c r="V268" s="27">
        <f t="shared" si="49"/>
        <v>1609600</v>
      </c>
      <c r="W268" s="26">
        <f t="shared" ref="W268:W299" si="50">(V268*100/100)</f>
        <v>1609600</v>
      </c>
      <c r="X268" s="27">
        <v>0</v>
      </c>
      <c r="Y268" s="26">
        <f t="shared" ref="Y268:Y299" si="51">(W268-X268)</f>
        <v>1609600</v>
      </c>
      <c r="Z268" s="49">
        <v>1E-4</v>
      </c>
    </row>
    <row r="269" spans="1:26" s="50" customFormat="1" ht="90.75" customHeight="1" x14ac:dyDescent="0.25">
      <c r="A269" s="20">
        <v>182</v>
      </c>
      <c r="B269" s="20" t="s">
        <v>0</v>
      </c>
      <c r="C269" s="20">
        <v>11714</v>
      </c>
      <c r="D269" s="21">
        <v>25</v>
      </c>
      <c r="E269" s="21">
        <v>3</v>
      </c>
      <c r="F269" s="22">
        <v>36</v>
      </c>
      <c r="G269" s="22" t="s">
        <v>198</v>
      </c>
      <c r="H269" s="24">
        <f t="shared" ref="H269:H300" si="52">(D269*400)+(E269*100)+F269</f>
        <v>10336</v>
      </c>
      <c r="I269" s="25" t="s">
        <v>32</v>
      </c>
      <c r="J269" s="24">
        <f t="shared" ref="J269:J300" si="53">(H269*I269)</f>
        <v>2067200</v>
      </c>
      <c r="K269" s="20"/>
      <c r="L269" s="20"/>
      <c r="M269" s="20"/>
      <c r="N269" s="20"/>
      <c r="O269" s="24"/>
      <c r="P269" s="24"/>
      <c r="Q269" s="25"/>
      <c r="R269" s="24"/>
      <c r="S269" s="20"/>
      <c r="T269" s="27"/>
      <c r="U269" s="20"/>
      <c r="V269" s="27">
        <f t="shared" ref="V269:V300" si="54">(J269+U269)</f>
        <v>2067200</v>
      </c>
      <c r="W269" s="26">
        <f t="shared" si="50"/>
        <v>2067200</v>
      </c>
      <c r="X269" s="27">
        <v>0</v>
      </c>
      <c r="Y269" s="26">
        <f t="shared" si="51"/>
        <v>2067200</v>
      </c>
      <c r="Z269" s="49">
        <v>1E-4</v>
      </c>
    </row>
    <row r="270" spans="1:26" s="50" customFormat="1" ht="90.75" customHeight="1" x14ac:dyDescent="0.25">
      <c r="A270" s="20">
        <v>183</v>
      </c>
      <c r="B270" s="20" t="s">
        <v>0</v>
      </c>
      <c r="C270" s="20">
        <v>7192</v>
      </c>
      <c r="D270" s="21">
        <v>27</v>
      </c>
      <c r="E270" s="21">
        <v>1</v>
      </c>
      <c r="F270" s="22">
        <v>16</v>
      </c>
      <c r="G270" s="22" t="s">
        <v>198</v>
      </c>
      <c r="H270" s="24">
        <f t="shared" si="52"/>
        <v>10916</v>
      </c>
      <c r="I270" s="25" t="s">
        <v>32</v>
      </c>
      <c r="J270" s="24">
        <f t="shared" si="53"/>
        <v>2183200</v>
      </c>
      <c r="K270" s="20"/>
      <c r="L270" s="20"/>
      <c r="M270" s="20"/>
      <c r="N270" s="20"/>
      <c r="O270" s="24"/>
      <c r="P270" s="24"/>
      <c r="Q270" s="25"/>
      <c r="R270" s="24"/>
      <c r="S270" s="20"/>
      <c r="T270" s="27"/>
      <c r="U270" s="20"/>
      <c r="V270" s="27">
        <f t="shared" si="54"/>
        <v>2183200</v>
      </c>
      <c r="W270" s="26">
        <f t="shared" si="50"/>
        <v>2183200</v>
      </c>
      <c r="X270" s="27">
        <v>0</v>
      </c>
      <c r="Y270" s="26">
        <f t="shared" si="51"/>
        <v>2183200</v>
      </c>
      <c r="Z270" s="49">
        <v>1E-4</v>
      </c>
    </row>
    <row r="271" spans="1:26" s="50" customFormat="1" ht="90.75" customHeight="1" x14ac:dyDescent="0.25">
      <c r="A271" s="20">
        <v>184</v>
      </c>
      <c r="B271" s="20" t="s">
        <v>0</v>
      </c>
      <c r="C271" s="20">
        <v>12689</v>
      </c>
      <c r="D271" s="21">
        <v>38</v>
      </c>
      <c r="E271" s="21">
        <v>1</v>
      </c>
      <c r="F271" s="22">
        <v>55</v>
      </c>
      <c r="G271" s="22" t="s">
        <v>198</v>
      </c>
      <c r="H271" s="24">
        <f t="shared" si="52"/>
        <v>15355</v>
      </c>
      <c r="I271" s="25">
        <v>200</v>
      </c>
      <c r="J271" s="24">
        <f t="shared" si="53"/>
        <v>3071000</v>
      </c>
      <c r="K271" s="20"/>
      <c r="L271" s="20"/>
      <c r="M271" s="20"/>
      <c r="N271" s="20"/>
      <c r="O271" s="24"/>
      <c r="P271" s="24"/>
      <c r="Q271" s="25"/>
      <c r="R271" s="24"/>
      <c r="S271" s="20"/>
      <c r="T271" s="27"/>
      <c r="U271" s="20"/>
      <c r="V271" s="27">
        <f t="shared" si="54"/>
        <v>3071000</v>
      </c>
      <c r="W271" s="26">
        <f t="shared" si="50"/>
        <v>3071000</v>
      </c>
      <c r="X271" s="27">
        <v>0</v>
      </c>
      <c r="Y271" s="26">
        <f t="shared" si="51"/>
        <v>3071000</v>
      </c>
      <c r="Z271" s="49">
        <v>1E-4</v>
      </c>
    </row>
    <row r="272" spans="1:26" s="50" customFormat="1" ht="90.75" customHeight="1" x14ac:dyDescent="0.25">
      <c r="A272" s="20">
        <v>185</v>
      </c>
      <c r="B272" s="20" t="s">
        <v>0</v>
      </c>
      <c r="C272" s="20">
        <v>8203</v>
      </c>
      <c r="D272" s="21">
        <v>30</v>
      </c>
      <c r="E272" s="21">
        <v>0</v>
      </c>
      <c r="F272" s="22">
        <v>86</v>
      </c>
      <c r="G272" s="22" t="s">
        <v>198</v>
      </c>
      <c r="H272" s="24">
        <f t="shared" si="52"/>
        <v>12086</v>
      </c>
      <c r="I272" s="25">
        <v>200</v>
      </c>
      <c r="J272" s="24">
        <f t="shared" si="53"/>
        <v>2417200</v>
      </c>
      <c r="K272" s="20"/>
      <c r="L272" s="20"/>
      <c r="M272" s="20"/>
      <c r="N272" s="20"/>
      <c r="O272" s="24"/>
      <c r="P272" s="24"/>
      <c r="Q272" s="25"/>
      <c r="R272" s="24"/>
      <c r="S272" s="20"/>
      <c r="T272" s="27"/>
      <c r="U272" s="20"/>
      <c r="V272" s="27">
        <f t="shared" si="54"/>
        <v>2417200</v>
      </c>
      <c r="W272" s="26">
        <f t="shared" si="50"/>
        <v>2417200</v>
      </c>
      <c r="X272" s="27">
        <v>0</v>
      </c>
      <c r="Y272" s="26">
        <f t="shared" si="51"/>
        <v>2417200</v>
      </c>
      <c r="Z272" s="49">
        <v>1E-4</v>
      </c>
    </row>
    <row r="273" spans="1:26" s="50" customFormat="1" ht="90.75" customHeight="1" x14ac:dyDescent="0.25">
      <c r="A273" s="20">
        <v>186</v>
      </c>
      <c r="B273" s="20" t="s">
        <v>0</v>
      </c>
      <c r="C273" s="20">
        <v>8232</v>
      </c>
      <c r="D273" s="21">
        <v>16</v>
      </c>
      <c r="E273" s="21">
        <v>2</v>
      </c>
      <c r="F273" s="22">
        <v>78</v>
      </c>
      <c r="G273" s="22" t="s">
        <v>198</v>
      </c>
      <c r="H273" s="24">
        <f t="shared" si="52"/>
        <v>6678</v>
      </c>
      <c r="I273" s="25" t="s">
        <v>19</v>
      </c>
      <c r="J273" s="24">
        <f t="shared" si="53"/>
        <v>2504250</v>
      </c>
      <c r="K273" s="20"/>
      <c r="L273" s="20"/>
      <c r="M273" s="20"/>
      <c r="N273" s="20"/>
      <c r="O273" s="24"/>
      <c r="P273" s="24"/>
      <c r="Q273" s="25"/>
      <c r="R273" s="24"/>
      <c r="S273" s="20"/>
      <c r="T273" s="27"/>
      <c r="U273" s="20"/>
      <c r="V273" s="27">
        <f t="shared" si="54"/>
        <v>2504250</v>
      </c>
      <c r="W273" s="26">
        <f t="shared" si="50"/>
        <v>2504250</v>
      </c>
      <c r="X273" s="27">
        <v>0</v>
      </c>
      <c r="Y273" s="26">
        <f t="shared" si="51"/>
        <v>2504250</v>
      </c>
      <c r="Z273" s="49">
        <v>1E-4</v>
      </c>
    </row>
    <row r="274" spans="1:26" s="50" customFormat="1" ht="90.75" customHeight="1" x14ac:dyDescent="0.25">
      <c r="A274" s="20">
        <v>187</v>
      </c>
      <c r="B274" s="20" t="s">
        <v>0</v>
      </c>
      <c r="C274" s="20">
        <v>9819</v>
      </c>
      <c r="D274" s="21">
        <v>31</v>
      </c>
      <c r="E274" s="21">
        <v>1</v>
      </c>
      <c r="F274" s="22">
        <v>35</v>
      </c>
      <c r="G274" s="22" t="s">
        <v>198</v>
      </c>
      <c r="H274" s="24">
        <f t="shared" si="52"/>
        <v>12535</v>
      </c>
      <c r="I274" s="25" t="s">
        <v>22</v>
      </c>
      <c r="J274" s="24">
        <f t="shared" si="53"/>
        <v>6580875</v>
      </c>
      <c r="K274" s="20"/>
      <c r="L274" s="20"/>
      <c r="M274" s="20"/>
      <c r="N274" s="20"/>
      <c r="O274" s="24"/>
      <c r="P274" s="24"/>
      <c r="Q274" s="25"/>
      <c r="R274" s="24"/>
      <c r="S274" s="20"/>
      <c r="T274" s="27"/>
      <c r="U274" s="20"/>
      <c r="V274" s="27">
        <f t="shared" si="54"/>
        <v>6580875</v>
      </c>
      <c r="W274" s="26">
        <f t="shared" si="50"/>
        <v>6580875</v>
      </c>
      <c r="X274" s="27">
        <v>0</v>
      </c>
      <c r="Y274" s="26">
        <f t="shared" si="51"/>
        <v>6580875</v>
      </c>
      <c r="Z274" s="49">
        <v>1E-4</v>
      </c>
    </row>
    <row r="275" spans="1:26" s="50" customFormat="1" ht="90.75" customHeight="1" x14ac:dyDescent="0.25">
      <c r="A275" s="20">
        <v>188</v>
      </c>
      <c r="B275" s="20" t="s">
        <v>0</v>
      </c>
      <c r="C275" s="20">
        <v>9820</v>
      </c>
      <c r="D275" s="21">
        <v>13</v>
      </c>
      <c r="E275" s="21">
        <v>3</v>
      </c>
      <c r="F275" s="22">
        <v>39</v>
      </c>
      <c r="G275" s="22" t="s">
        <v>198</v>
      </c>
      <c r="H275" s="24">
        <f t="shared" si="52"/>
        <v>5539</v>
      </c>
      <c r="I275" s="25" t="s">
        <v>32</v>
      </c>
      <c r="J275" s="24">
        <f t="shared" si="53"/>
        <v>1107800</v>
      </c>
      <c r="K275" s="20"/>
      <c r="L275" s="20"/>
      <c r="M275" s="20"/>
      <c r="N275" s="20"/>
      <c r="O275" s="24"/>
      <c r="P275" s="24"/>
      <c r="Q275" s="25"/>
      <c r="R275" s="24"/>
      <c r="S275" s="20"/>
      <c r="T275" s="27"/>
      <c r="U275" s="20"/>
      <c r="V275" s="27">
        <f t="shared" si="54"/>
        <v>1107800</v>
      </c>
      <c r="W275" s="26">
        <f t="shared" si="50"/>
        <v>1107800</v>
      </c>
      <c r="X275" s="27">
        <v>0</v>
      </c>
      <c r="Y275" s="26">
        <f t="shared" si="51"/>
        <v>1107800</v>
      </c>
      <c r="Z275" s="49">
        <v>1E-4</v>
      </c>
    </row>
    <row r="276" spans="1:26" s="50" customFormat="1" ht="90.75" customHeight="1" x14ac:dyDescent="0.25">
      <c r="A276" s="20">
        <v>189</v>
      </c>
      <c r="B276" s="20" t="s">
        <v>0</v>
      </c>
      <c r="C276" s="20">
        <v>9826</v>
      </c>
      <c r="D276" s="21">
        <v>12</v>
      </c>
      <c r="E276" s="21">
        <v>3</v>
      </c>
      <c r="F276" s="22">
        <v>82</v>
      </c>
      <c r="G276" s="22" t="s">
        <v>198</v>
      </c>
      <c r="H276" s="24">
        <f t="shared" si="52"/>
        <v>5182</v>
      </c>
      <c r="I276" s="25" t="s">
        <v>87</v>
      </c>
      <c r="J276" s="24">
        <f t="shared" si="53"/>
        <v>4275150</v>
      </c>
      <c r="K276" s="20"/>
      <c r="L276" s="20"/>
      <c r="M276" s="20"/>
      <c r="N276" s="20"/>
      <c r="O276" s="24"/>
      <c r="P276" s="24"/>
      <c r="Q276" s="25"/>
      <c r="R276" s="24"/>
      <c r="S276" s="20"/>
      <c r="T276" s="27"/>
      <c r="U276" s="20"/>
      <c r="V276" s="27">
        <f t="shared" si="54"/>
        <v>4275150</v>
      </c>
      <c r="W276" s="26">
        <f t="shared" si="50"/>
        <v>4275150</v>
      </c>
      <c r="X276" s="27">
        <v>0</v>
      </c>
      <c r="Y276" s="26">
        <f t="shared" si="51"/>
        <v>4275150</v>
      </c>
      <c r="Z276" s="49">
        <v>1E-4</v>
      </c>
    </row>
    <row r="277" spans="1:26" s="50" customFormat="1" ht="90.75" customHeight="1" x14ac:dyDescent="0.25">
      <c r="A277" s="20">
        <v>190</v>
      </c>
      <c r="B277" s="20" t="s">
        <v>0</v>
      </c>
      <c r="C277" s="20">
        <v>7908</v>
      </c>
      <c r="D277" s="21">
        <v>14</v>
      </c>
      <c r="E277" s="21">
        <v>1</v>
      </c>
      <c r="F277" s="22">
        <v>81</v>
      </c>
      <c r="G277" s="22" t="s">
        <v>198</v>
      </c>
      <c r="H277" s="24">
        <f t="shared" si="52"/>
        <v>5781</v>
      </c>
      <c r="I277" s="25">
        <v>525</v>
      </c>
      <c r="J277" s="24">
        <f t="shared" si="53"/>
        <v>3035025</v>
      </c>
      <c r="K277" s="20"/>
      <c r="L277" s="20"/>
      <c r="M277" s="20"/>
      <c r="N277" s="20"/>
      <c r="O277" s="24"/>
      <c r="P277" s="24"/>
      <c r="Q277" s="25"/>
      <c r="R277" s="24"/>
      <c r="S277" s="20"/>
      <c r="T277" s="27"/>
      <c r="U277" s="20"/>
      <c r="V277" s="27">
        <f t="shared" si="54"/>
        <v>3035025</v>
      </c>
      <c r="W277" s="26">
        <f t="shared" si="50"/>
        <v>3035025</v>
      </c>
      <c r="X277" s="27">
        <v>0</v>
      </c>
      <c r="Y277" s="26">
        <f t="shared" si="51"/>
        <v>3035025</v>
      </c>
      <c r="Z277" s="49">
        <v>1E-4</v>
      </c>
    </row>
    <row r="278" spans="1:26" s="50" customFormat="1" ht="90.75" customHeight="1" x14ac:dyDescent="0.25">
      <c r="A278" s="20">
        <v>191</v>
      </c>
      <c r="B278" s="20" t="s">
        <v>0</v>
      </c>
      <c r="C278" s="20">
        <v>7193</v>
      </c>
      <c r="D278" s="21">
        <v>14</v>
      </c>
      <c r="E278" s="21">
        <v>3</v>
      </c>
      <c r="F278" s="22">
        <v>70</v>
      </c>
      <c r="G278" s="22" t="s">
        <v>198</v>
      </c>
      <c r="H278" s="24">
        <f t="shared" si="52"/>
        <v>5970</v>
      </c>
      <c r="I278" s="25">
        <v>525</v>
      </c>
      <c r="J278" s="24">
        <f t="shared" si="53"/>
        <v>3134250</v>
      </c>
      <c r="K278" s="20"/>
      <c r="L278" s="20"/>
      <c r="M278" s="20"/>
      <c r="N278" s="20"/>
      <c r="O278" s="24"/>
      <c r="P278" s="24"/>
      <c r="Q278" s="25"/>
      <c r="R278" s="24"/>
      <c r="S278" s="20"/>
      <c r="T278" s="27"/>
      <c r="U278" s="20"/>
      <c r="V278" s="27">
        <f t="shared" si="54"/>
        <v>3134250</v>
      </c>
      <c r="W278" s="26">
        <f t="shared" si="50"/>
        <v>3134250</v>
      </c>
      <c r="X278" s="27">
        <v>0</v>
      </c>
      <c r="Y278" s="26">
        <f t="shared" si="51"/>
        <v>3134250</v>
      </c>
      <c r="Z278" s="49">
        <v>1E-4</v>
      </c>
    </row>
    <row r="279" spans="1:26" s="50" customFormat="1" ht="90.75" customHeight="1" x14ac:dyDescent="0.25">
      <c r="A279" s="20">
        <v>192</v>
      </c>
      <c r="B279" s="20" t="s">
        <v>0</v>
      </c>
      <c r="C279" s="20">
        <v>10602</v>
      </c>
      <c r="D279" s="21">
        <v>8</v>
      </c>
      <c r="E279" s="21">
        <v>3</v>
      </c>
      <c r="F279" s="22">
        <v>69</v>
      </c>
      <c r="G279" s="22" t="s">
        <v>198</v>
      </c>
      <c r="H279" s="24">
        <f t="shared" si="52"/>
        <v>3569</v>
      </c>
      <c r="I279" s="25">
        <v>525</v>
      </c>
      <c r="J279" s="24">
        <f t="shared" si="53"/>
        <v>1873725</v>
      </c>
      <c r="K279" s="20"/>
      <c r="L279" s="20"/>
      <c r="M279" s="20"/>
      <c r="N279" s="20"/>
      <c r="O279" s="24"/>
      <c r="P279" s="24"/>
      <c r="Q279" s="25"/>
      <c r="R279" s="24"/>
      <c r="S279" s="20"/>
      <c r="T279" s="27"/>
      <c r="U279" s="20"/>
      <c r="V279" s="27">
        <f t="shared" si="54"/>
        <v>1873725</v>
      </c>
      <c r="W279" s="26">
        <f t="shared" si="50"/>
        <v>1873725</v>
      </c>
      <c r="X279" s="27">
        <v>0</v>
      </c>
      <c r="Y279" s="26">
        <f t="shared" si="51"/>
        <v>1873725</v>
      </c>
      <c r="Z279" s="49">
        <v>1E-4</v>
      </c>
    </row>
    <row r="280" spans="1:26" s="50" customFormat="1" ht="90.75" customHeight="1" x14ac:dyDescent="0.25">
      <c r="A280" s="20">
        <v>193</v>
      </c>
      <c r="B280" s="20" t="s">
        <v>0</v>
      </c>
      <c r="C280" s="20">
        <v>9688</v>
      </c>
      <c r="D280" s="21">
        <v>21</v>
      </c>
      <c r="E280" s="21">
        <v>2</v>
      </c>
      <c r="F280" s="22">
        <v>37</v>
      </c>
      <c r="G280" s="22" t="s">
        <v>198</v>
      </c>
      <c r="H280" s="24">
        <f t="shared" si="52"/>
        <v>8637</v>
      </c>
      <c r="I280" s="25" t="s">
        <v>32</v>
      </c>
      <c r="J280" s="24">
        <f t="shared" si="53"/>
        <v>1727400</v>
      </c>
      <c r="K280" s="20"/>
      <c r="L280" s="20"/>
      <c r="M280" s="20"/>
      <c r="N280" s="20"/>
      <c r="O280" s="24"/>
      <c r="P280" s="24"/>
      <c r="Q280" s="25"/>
      <c r="R280" s="24"/>
      <c r="S280" s="20"/>
      <c r="T280" s="27"/>
      <c r="U280" s="20"/>
      <c r="V280" s="27">
        <f t="shared" si="54"/>
        <v>1727400</v>
      </c>
      <c r="W280" s="26">
        <f t="shared" si="50"/>
        <v>1727400</v>
      </c>
      <c r="X280" s="27">
        <v>0</v>
      </c>
      <c r="Y280" s="26">
        <f t="shared" si="51"/>
        <v>1727400</v>
      </c>
      <c r="Z280" s="49">
        <v>1E-4</v>
      </c>
    </row>
    <row r="281" spans="1:26" s="50" customFormat="1" ht="90.75" customHeight="1" x14ac:dyDescent="0.25">
      <c r="A281" s="20">
        <v>194</v>
      </c>
      <c r="B281" s="20" t="s">
        <v>0</v>
      </c>
      <c r="C281" s="20">
        <v>12632</v>
      </c>
      <c r="D281" s="21">
        <v>27</v>
      </c>
      <c r="E281" s="21">
        <v>3</v>
      </c>
      <c r="F281" s="22">
        <v>13</v>
      </c>
      <c r="G281" s="22" t="s">
        <v>198</v>
      </c>
      <c r="H281" s="24">
        <f t="shared" si="52"/>
        <v>11113</v>
      </c>
      <c r="I281" s="25">
        <v>200</v>
      </c>
      <c r="J281" s="24">
        <f t="shared" si="53"/>
        <v>2222600</v>
      </c>
      <c r="K281" s="20"/>
      <c r="L281" s="20"/>
      <c r="M281" s="20"/>
      <c r="N281" s="20"/>
      <c r="O281" s="24"/>
      <c r="P281" s="24"/>
      <c r="Q281" s="25"/>
      <c r="R281" s="24"/>
      <c r="S281" s="20"/>
      <c r="T281" s="27"/>
      <c r="U281" s="20"/>
      <c r="V281" s="27">
        <f t="shared" si="54"/>
        <v>2222600</v>
      </c>
      <c r="W281" s="26">
        <f t="shared" si="50"/>
        <v>2222600</v>
      </c>
      <c r="X281" s="27">
        <v>0</v>
      </c>
      <c r="Y281" s="26">
        <f t="shared" si="51"/>
        <v>2222600</v>
      </c>
      <c r="Z281" s="49">
        <v>1E-4</v>
      </c>
    </row>
    <row r="282" spans="1:26" s="50" customFormat="1" ht="90.75" customHeight="1" x14ac:dyDescent="0.25">
      <c r="A282" s="20">
        <v>195</v>
      </c>
      <c r="B282" s="20" t="s">
        <v>0</v>
      </c>
      <c r="C282" s="20">
        <v>7771</v>
      </c>
      <c r="D282" s="21">
        <v>10</v>
      </c>
      <c r="E282" s="21">
        <v>3</v>
      </c>
      <c r="F282" s="22">
        <v>9</v>
      </c>
      <c r="G282" s="22" t="s">
        <v>198</v>
      </c>
      <c r="H282" s="24">
        <f t="shared" si="52"/>
        <v>4309</v>
      </c>
      <c r="I282" s="25">
        <v>150</v>
      </c>
      <c r="J282" s="24">
        <f t="shared" si="53"/>
        <v>646350</v>
      </c>
      <c r="K282" s="20"/>
      <c r="L282" s="20"/>
      <c r="M282" s="20"/>
      <c r="N282" s="20"/>
      <c r="O282" s="24"/>
      <c r="P282" s="24"/>
      <c r="Q282" s="25"/>
      <c r="R282" s="24"/>
      <c r="S282" s="20"/>
      <c r="T282" s="27"/>
      <c r="U282" s="20"/>
      <c r="V282" s="27">
        <f t="shared" si="54"/>
        <v>646350</v>
      </c>
      <c r="W282" s="26">
        <f t="shared" si="50"/>
        <v>646350</v>
      </c>
      <c r="X282" s="27">
        <v>0</v>
      </c>
      <c r="Y282" s="26">
        <f t="shared" si="51"/>
        <v>646350</v>
      </c>
      <c r="Z282" s="49">
        <v>1E-4</v>
      </c>
    </row>
    <row r="283" spans="1:26" s="50" customFormat="1" ht="90.75" customHeight="1" x14ac:dyDescent="0.25">
      <c r="A283" s="20">
        <v>196</v>
      </c>
      <c r="B283" s="20" t="s">
        <v>0</v>
      </c>
      <c r="C283" s="20">
        <v>7772</v>
      </c>
      <c r="D283" s="21">
        <v>13</v>
      </c>
      <c r="E283" s="21">
        <v>0</v>
      </c>
      <c r="F283" s="22">
        <v>59</v>
      </c>
      <c r="G283" s="22" t="s">
        <v>198</v>
      </c>
      <c r="H283" s="24">
        <f t="shared" si="52"/>
        <v>5259</v>
      </c>
      <c r="I283" s="25">
        <v>150</v>
      </c>
      <c r="J283" s="24">
        <f t="shared" si="53"/>
        <v>788850</v>
      </c>
      <c r="K283" s="20"/>
      <c r="L283" s="20"/>
      <c r="M283" s="20"/>
      <c r="N283" s="20"/>
      <c r="O283" s="24"/>
      <c r="P283" s="24"/>
      <c r="Q283" s="25"/>
      <c r="R283" s="24"/>
      <c r="S283" s="20"/>
      <c r="T283" s="27"/>
      <c r="U283" s="20"/>
      <c r="V283" s="27">
        <f t="shared" si="54"/>
        <v>788850</v>
      </c>
      <c r="W283" s="26">
        <f t="shared" si="50"/>
        <v>788850</v>
      </c>
      <c r="X283" s="27">
        <v>0</v>
      </c>
      <c r="Y283" s="26">
        <f t="shared" si="51"/>
        <v>788850</v>
      </c>
      <c r="Z283" s="49">
        <v>1E-4</v>
      </c>
    </row>
    <row r="284" spans="1:26" s="50" customFormat="1" ht="90.75" customHeight="1" x14ac:dyDescent="0.25">
      <c r="A284" s="20">
        <v>197</v>
      </c>
      <c r="B284" s="20" t="s">
        <v>0</v>
      </c>
      <c r="C284" s="20">
        <v>12697</v>
      </c>
      <c r="D284" s="21">
        <v>36</v>
      </c>
      <c r="E284" s="21">
        <v>0</v>
      </c>
      <c r="F284" s="22">
        <v>36</v>
      </c>
      <c r="G284" s="22" t="s">
        <v>198</v>
      </c>
      <c r="H284" s="24">
        <f t="shared" si="52"/>
        <v>14436</v>
      </c>
      <c r="I284" s="25">
        <v>200</v>
      </c>
      <c r="J284" s="24">
        <f t="shared" si="53"/>
        <v>2887200</v>
      </c>
      <c r="K284" s="20"/>
      <c r="L284" s="20"/>
      <c r="M284" s="20"/>
      <c r="N284" s="20"/>
      <c r="O284" s="24"/>
      <c r="P284" s="24"/>
      <c r="Q284" s="25"/>
      <c r="R284" s="24"/>
      <c r="S284" s="20"/>
      <c r="T284" s="27"/>
      <c r="U284" s="20"/>
      <c r="V284" s="27">
        <f t="shared" si="54"/>
        <v>2887200</v>
      </c>
      <c r="W284" s="26">
        <f t="shared" si="50"/>
        <v>2887200</v>
      </c>
      <c r="X284" s="27">
        <v>0</v>
      </c>
      <c r="Y284" s="26">
        <f t="shared" si="51"/>
        <v>2887200</v>
      </c>
      <c r="Z284" s="49">
        <v>1E-4</v>
      </c>
    </row>
    <row r="285" spans="1:26" s="50" customFormat="1" ht="90.75" customHeight="1" x14ac:dyDescent="0.25">
      <c r="A285" s="20">
        <v>198</v>
      </c>
      <c r="B285" s="20" t="s">
        <v>0</v>
      </c>
      <c r="C285" s="20">
        <v>12696</v>
      </c>
      <c r="D285" s="21">
        <v>31</v>
      </c>
      <c r="E285" s="21">
        <v>0</v>
      </c>
      <c r="F285" s="22">
        <v>1</v>
      </c>
      <c r="G285" s="22" t="s">
        <v>198</v>
      </c>
      <c r="H285" s="24">
        <f t="shared" si="52"/>
        <v>12401</v>
      </c>
      <c r="I285" s="25">
        <v>200</v>
      </c>
      <c r="J285" s="24">
        <f t="shared" si="53"/>
        <v>2480200</v>
      </c>
      <c r="K285" s="20"/>
      <c r="L285" s="20"/>
      <c r="M285" s="20"/>
      <c r="N285" s="20"/>
      <c r="O285" s="24"/>
      <c r="P285" s="24"/>
      <c r="Q285" s="25"/>
      <c r="R285" s="24"/>
      <c r="S285" s="20"/>
      <c r="T285" s="27"/>
      <c r="U285" s="20"/>
      <c r="V285" s="27">
        <f t="shared" si="54"/>
        <v>2480200</v>
      </c>
      <c r="W285" s="26">
        <f t="shared" si="50"/>
        <v>2480200</v>
      </c>
      <c r="X285" s="27">
        <v>0</v>
      </c>
      <c r="Y285" s="26">
        <f t="shared" si="51"/>
        <v>2480200</v>
      </c>
      <c r="Z285" s="49">
        <v>1E-4</v>
      </c>
    </row>
    <row r="286" spans="1:26" s="50" customFormat="1" ht="90.75" customHeight="1" x14ac:dyDescent="0.25">
      <c r="A286" s="20">
        <v>199</v>
      </c>
      <c r="B286" s="20" t="s">
        <v>0</v>
      </c>
      <c r="C286" s="20">
        <v>11404</v>
      </c>
      <c r="D286" s="21">
        <v>26</v>
      </c>
      <c r="E286" s="21">
        <v>0</v>
      </c>
      <c r="F286" s="22">
        <v>64</v>
      </c>
      <c r="G286" s="22" t="s">
        <v>198</v>
      </c>
      <c r="H286" s="24">
        <f t="shared" si="52"/>
        <v>10464</v>
      </c>
      <c r="I286" s="25">
        <v>200</v>
      </c>
      <c r="J286" s="24">
        <f t="shared" si="53"/>
        <v>2092800</v>
      </c>
      <c r="K286" s="20"/>
      <c r="L286" s="20"/>
      <c r="M286" s="20"/>
      <c r="N286" s="20"/>
      <c r="O286" s="24"/>
      <c r="P286" s="24"/>
      <c r="Q286" s="25"/>
      <c r="R286" s="24"/>
      <c r="S286" s="20"/>
      <c r="T286" s="27"/>
      <c r="U286" s="20"/>
      <c r="V286" s="27">
        <f t="shared" si="54"/>
        <v>2092800</v>
      </c>
      <c r="W286" s="26">
        <f t="shared" si="50"/>
        <v>2092800</v>
      </c>
      <c r="X286" s="27">
        <v>0</v>
      </c>
      <c r="Y286" s="26">
        <f t="shared" si="51"/>
        <v>2092800</v>
      </c>
      <c r="Z286" s="49">
        <v>1E-4</v>
      </c>
    </row>
    <row r="287" spans="1:26" s="50" customFormat="1" ht="90.75" customHeight="1" x14ac:dyDescent="0.25">
      <c r="A287" s="20">
        <v>200</v>
      </c>
      <c r="B287" s="20" t="s">
        <v>0</v>
      </c>
      <c r="C287" s="20">
        <v>11409</v>
      </c>
      <c r="D287" s="21">
        <v>4</v>
      </c>
      <c r="E287" s="21">
        <v>2</v>
      </c>
      <c r="F287" s="22">
        <v>3</v>
      </c>
      <c r="G287" s="22" t="s">
        <v>198</v>
      </c>
      <c r="H287" s="24">
        <f t="shared" si="52"/>
        <v>1803</v>
      </c>
      <c r="I287" s="25">
        <v>200</v>
      </c>
      <c r="J287" s="24">
        <f t="shared" si="53"/>
        <v>360600</v>
      </c>
      <c r="K287" s="20"/>
      <c r="L287" s="20"/>
      <c r="M287" s="20"/>
      <c r="N287" s="20"/>
      <c r="O287" s="24"/>
      <c r="P287" s="24"/>
      <c r="Q287" s="25"/>
      <c r="R287" s="24"/>
      <c r="S287" s="20"/>
      <c r="T287" s="27"/>
      <c r="U287" s="20"/>
      <c r="V287" s="27">
        <f t="shared" si="54"/>
        <v>360600</v>
      </c>
      <c r="W287" s="26">
        <f t="shared" si="50"/>
        <v>360600</v>
      </c>
      <c r="X287" s="27">
        <v>0</v>
      </c>
      <c r="Y287" s="26">
        <f t="shared" si="51"/>
        <v>360600</v>
      </c>
      <c r="Z287" s="49">
        <v>1E-4</v>
      </c>
    </row>
    <row r="288" spans="1:26" s="50" customFormat="1" ht="90.75" customHeight="1" x14ac:dyDescent="0.25">
      <c r="A288" s="20">
        <v>201</v>
      </c>
      <c r="B288" s="20" t="s">
        <v>0</v>
      </c>
      <c r="C288" s="20">
        <v>7770</v>
      </c>
      <c r="D288" s="21">
        <v>12</v>
      </c>
      <c r="E288" s="21">
        <v>1</v>
      </c>
      <c r="F288" s="22">
        <v>7</v>
      </c>
      <c r="G288" s="22" t="s">
        <v>198</v>
      </c>
      <c r="H288" s="24">
        <f t="shared" si="52"/>
        <v>4907</v>
      </c>
      <c r="I288" s="25">
        <v>650</v>
      </c>
      <c r="J288" s="24">
        <f t="shared" si="53"/>
        <v>3189550</v>
      </c>
      <c r="K288" s="20"/>
      <c r="L288" s="20"/>
      <c r="M288" s="20"/>
      <c r="N288" s="20"/>
      <c r="O288" s="24"/>
      <c r="P288" s="24"/>
      <c r="Q288" s="25"/>
      <c r="R288" s="24"/>
      <c r="S288" s="20"/>
      <c r="T288" s="27"/>
      <c r="U288" s="20"/>
      <c r="V288" s="27">
        <f t="shared" si="54"/>
        <v>3189550</v>
      </c>
      <c r="W288" s="26">
        <f t="shared" si="50"/>
        <v>3189550</v>
      </c>
      <c r="X288" s="27">
        <v>0</v>
      </c>
      <c r="Y288" s="26">
        <f t="shared" si="51"/>
        <v>3189550</v>
      </c>
      <c r="Z288" s="49">
        <v>1E-4</v>
      </c>
    </row>
    <row r="289" spans="1:26" s="50" customFormat="1" ht="90.75" customHeight="1" x14ac:dyDescent="0.25">
      <c r="A289" s="20">
        <v>202</v>
      </c>
      <c r="B289" s="20" t="s">
        <v>0</v>
      </c>
      <c r="C289" s="20">
        <v>7184</v>
      </c>
      <c r="D289" s="21">
        <v>12</v>
      </c>
      <c r="E289" s="21">
        <v>1</v>
      </c>
      <c r="F289" s="22">
        <v>6</v>
      </c>
      <c r="G289" s="22" t="s">
        <v>198</v>
      </c>
      <c r="H289" s="24">
        <f t="shared" si="52"/>
        <v>4906</v>
      </c>
      <c r="I289" s="25">
        <v>750</v>
      </c>
      <c r="J289" s="24">
        <f t="shared" si="53"/>
        <v>3679500</v>
      </c>
      <c r="K289" s="20"/>
      <c r="L289" s="20"/>
      <c r="M289" s="20"/>
      <c r="N289" s="20"/>
      <c r="O289" s="24"/>
      <c r="P289" s="24"/>
      <c r="Q289" s="25"/>
      <c r="R289" s="24"/>
      <c r="S289" s="20"/>
      <c r="T289" s="27"/>
      <c r="U289" s="20"/>
      <c r="V289" s="27">
        <f t="shared" si="54"/>
        <v>3679500</v>
      </c>
      <c r="W289" s="26">
        <f t="shared" si="50"/>
        <v>3679500</v>
      </c>
      <c r="X289" s="27">
        <v>0</v>
      </c>
      <c r="Y289" s="26">
        <f t="shared" si="51"/>
        <v>3679500</v>
      </c>
      <c r="Z289" s="49">
        <v>1E-4</v>
      </c>
    </row>
    <row r="290" spans="1:26" s="50" customFormat="1" ht="90.75" customHeight="1" x14ac:dyDescent="0.25">
      <c r="A290" s="20">
        <v>203</v>
      </c>
      <c r="B290" s="20" t="s">
        <v>0</v>
      </c>
      <c r="C290" s="20">
        <v>7185</v>
      </c>
      <c r="D290" s="21">
        <v>12</v>
      </c>
      <c r="E290" s="21">
        <v>0</v>
      </c>
      <c r="F290" s="22">
        <v>4</v>
      </c>
      <c r="G290" s="22" t="s">
        <v>198</v>
      </c>
      <c r="H290" s="24">
        <f t="shared" si="52"/>
        <v>4804</v>
      </c>
      <c r="I290" s="25">
        <v>750</v>
      </c>
      <c r="J290" s="24">
        <f t="shared" si="53"/>
        <v>3603000</v>
      </c>
      <c r="K290" s="20"/>
      <c r="L290" s="20"/>
      <c r="M290" s="20"/>
      <c r="N290" s="20"/>
      <c r="O290" s="24"/>
      <c r="P290" s="24"/>
      <c r="Q290" s="25"/>
      <c r="R290" s="24"/>
      <c r="S290" s="20"/>
      <c r="T290" s="27"/>
      <c r="U290" s="20"/>
      <c r="V290" s="27">
        <f t="shared" si="54"/>
        <v>3603000</v>
      </c>
      <c r="W290" s="26">
        <f t="shared" si="50"/>
        <v>3603000</v>
      </c>
      <c r="X290" s="27">
        <v>0</v>
      </c>
      <c r="Y290" s="26">
        <f t="shared" si="51"/>
        <v>3603000</v>
      </c>
      <c r="Z290" s="49">
        <v>1E-4</v>
      </c>
    </row>
    <row r="291" spans="1:26" s="50" customFormat="1" ht="90.75" customHeight="1" x14ac:dyDescent="0.25">
      <c r="A291" s="20">
        <v>204</v>
      </c>
      <c r="B291" s="20" t="s">
        <v>0</v>
      </c>
      <c r="C291" s="20">
        <v>7190</v>
      </c>
      <c r="D291" s="21">
        <v>21</v>
      </c>
      <c r="E291" s="21">
        <v>1</v>
      </c>
      <c r="F291" s="22">
        <v>12</v>
      </c>
      <c r="G291" s="22" t="s">
        <v>198</v>
      </c>
      <c r="H291" s="24">
        <f t="shared" si="52"/>
        <v>8512</v>
      </c>
      <c r="I291" s="25">
        <v>200</v>
      </c>
      <c r="J291" s="24">
        <f t="shared" si="53"/>
        <v>1702400</v>
      </c>
      <c r="K291" s="20"/>
      <c r="L291" s="20"/>
      <c r="M291" s="20"/>
      <c r="N291" s="20"/>
      <c r="O291" s="24"/>
      <c r="P291" s="24"/>
      <c r="Q291" s="25"/>
      <c r="R291" s="24"/>
      <c r="S291" s="20"/>
      <c r="T291" s="27"/>
      <c r="U291" s="20"/>
      <c r="V291" s="27">
        <f t="shared" si="54"/>
        <v>1702400</v>
      </c>
      <c r="W291" s="26">
        <f t="shared" si="50"/>
        <v>1702400</v>
      </c>
      <c r="X291" s="27">
        <v>0</v>
      </c>
      <c r="Y291" s="26">
        <f t="shared" si="51"/>
        <v>1702400</v>
      </c>
      <c r="Z291" s="49">
        <v>1E-4</v>
      </c>
    </row>
    <row r="292" spans="1:26" s="50" customFormat="1" ht="90.75" customHeight="1" x14ac:dyDescent="0.25">
      <c r="A292" s="20">
        <v>205</v>
      </c>
      <c r="B292" s="20" t="s">
        <v>0</v>
      </c>
      <c r="C292" s="20">
        <v>7191</v>
      </c>
      <c r="D292" s="21">
        <v>36</v>
      </c>
      <c r="E292" s="21">
        <v>3</v>
      </c>
      <c r="F292" s="22">
        <v>40</v>
      </c>
      <c r="G292" s="22" t="s">
        <v>198</v>
      </c>
      <c r="H292" s="24">
        <f t="shared" si="52"/>
        <v>14740</v>
      </c>
      <c r="I292" s="25">
        <v>200</v>
      </c>
      <c r="J292" s="24">
        <f t="shared" si="53"/>
        <v>2948000</v>
      </c>
      <c r="K292" s="20"/>
      <c r="L292" s="20"/>
      <c r="M292" s="20"/>
      <c r="N292" s="20"/>
      <c r="O292" s="24"/>
      <c r="P292" s="24"/>
      <c r="Q292" s="25"/>
      <c r="R292" s="24"/>
      <c r="S292" s="20"/>
      <c r="T292" s="27"/>
      <c r="U292" s="20"/>
      <c r="V292" s="27">
        <f t="shared" si="54"/>
        <v>2948000</v>
      </c>
      <c r="W292" s="26">
        <f t="shared" si="50"/>
        <v>2948000</v>
      </c>
      <c r="X292" s="27">
        <v>0</v>
      </c>
      <c r="Y292" s="26">
        <f t="shared" si="51"/>
        <v>2948000</v>
      </c>
      <c r="Z292" s="49">
        <v>1E-4</v>
      </c>
    </row>
    <row r="293" spans="1:26" s="50" customFormat="1" ht="90.75" customHeight="1" x14ac:dyDescent="0.25">
      <c r="A293" s="20">
        <v>206</v>
      </c>
      <c r="B293" s="20" t="s">
        <v>0</v>
      </c>
      <c r="C293" s="20">
        <v>7186</v>
      </c>
      <c r="D293" s="21">
        <v>7</v>
      </c>
      <c r="E293" s="21">
        <v>1</v>
      </c>
      <c r="F293" s="22">
        <v>66</v>
      </c>
      <c r="G293" s="22" t="s">
        <v>198</v>
      </c>
      <c r="H293" s="24">
        <f t="shared" si="52"/>
        <v>2966</v>
      </c>
      <c r="I293" s="25">
        <v>200</v>
      </c>
      <c r="J293" s="24">
        <f t="shared" si="53"/>
        <v>593200</v>
      </c>
      <c r="K293" s="20"/>
      <c r="L293" s="20"/>
      <c r="M293" s="20"/>
      <c r="N293" s="20"/>
      <c r="O293" s="24"/>
      <c r="P293" s="24"/>
      <c r="Q293" s="25"/>
      <c r="R293" s="24"/>
      <c r="S293" s="20"/>
      <c r="T293" s="27"/>
      <c r="U293" s="20"/>
      <c r="V293" s="27">
        <f t="shared" si="54"/>
        <v>593200</v>
      </c>
      <c r="W293" s="26">
        <f t="shared" si="50"/>
        <v>593200</v>
      </c>
      <c r="X293" s="27">
        <v>0</v>
      </c>
      <c r="Y293" s="26">
        <f t="shared" si="51"/>
        <v>593200</v>
      </c>
      <c r="Z293" s="49">
        <v>1E-4</v>
      </c>
    </row>
    <row r="294" spans="1:26" s="50" customFormat="1" ht="90.75" customHeight="1" x14ac:dyDescent="0.25">
      <c r="A294" s="20">
        <v>207</v>
      </c>
      <c r="B294" s="20" t="s">
        <v>0</v>
      </c>
      <c r="C294" s="20">
        <v>7187</v>
      </c>
      <c r="D294" s="21">
        <v>7</v>
      </c>
      <c r="E294" s="21">
        <v>2</v>
      </c>
      <c r="F294" s="22">
        <v>3</v>
      </c>
      <c r="G294" s="22" t="s">
        <v>198</v>
      </c>
      <c r="H294" s="24">
        <f t="shared" si="52"/>
        <v>3003</v>
      </c>
      <c r="I294" s="25">
        <v>200</v>
      </c>
      <c r="J294" s="24">
        <f t="shared" si="53"/>
        <v>600600</v>
      </c>
      <c r="K294" s="20"/>
      <c r="L294" s="20"/>
      <c r="M294" s="20"/>
      <c r="N294" s="20"/>
      <c r="O294" s="24"/>
      <c r="P294" s="24"/>
      <c r="Q294" s="25"/>
      <c r="R294" s="24"/>
      <c r="S294" s="20"/>
      <c r="T294" s="27"/>
      <c r="U294" s="20"/>
      <c r="V294" s="27">
        <f t="shared" si="54"/>
        <v>600600</v>
      </c>
      <c r="W294" s="26">
        <f t="shared" si="50"/>
        <v>600600</v>
      </c>
      <c r="X294" s="27">
        <v>0</v>
      </c>
      <c r="Y294" s="26">
        <f t="shared" si="51"/>
        <v>600600</v>
      </c>
      <c r="Z294" s="49">
        <v>1E-4</v>
      </c>
    </row>
    <row r="295" spans="1:26" s="50" customFormat="1" ht="90.75" customHeight="1" x14ac:dyDescent="0.25">
      <c r="A295" s="20">
        <v>208</v>
      </c>
      <c r="B295" s="20" t="s">
        <v>0</v>
      </c>
      <c r="C295" s="20">
        <v>7188</v>
      </c>
      <c r="D295" s="21">
        <v>6</v>
      </c>
      <c r="E295" s="21">
        <v>3</v>
      </c>
      <c r="F295" s="22">
        <v>49</v>
      </c>
      <c r="G295" s="22" t="s">
        <v>198</v>
      </c>
      <c r="H295" s="24">
        <f t="shared" si="52"/>
        <v>2749</v>
      </c>
      <c r="I295" s="25">
        <v>650</v>
      </c>
      <c r="J295" s="24">
        <f t="shared" si="53"/>
        <v>1786850</v>
      </c>
      <c r="K295" s="20"/>
      <c r="L295" s="20"/>
      <c r="M295" s="20"/>
      <c r="N295" s="20"/>
      <c r="O295" s="24"/>
      <c r="P295" s="24"/>
      <c r="Q295" s="25"/>
      <c r="R295" s="24"/>
      <c r="S295" s="20"/>
      <c r="T295" s="27"/>
      <c r="U295" s="20"/>
      <c r="V295" s="27">
        <f t="shared" si="54"/>
        <v>1786850</v>
      </c>
      <c r="W295" s="26">
        <f t="shared" si="50"/>
        <v>1786850</v>
      </c>
      <c r="X295" s="27">
        <v>0</v>
      </c>
      <c r="Y295" s="26">
        <f t="shared" si="51"/>
        <v>1786850</v>
      </c>
      <c r="Z295" s="49">
        <v>1E-4</v>
      </c>
    </row>
    <row r="296" spans="1:26" s="50" customFormat="1" ht="90.75" customHeight="1" x14ac:dyDescent="0.25">
      <c r="A296" s="20">
        <v>209</v>
      </c>
      <c r="B296" s="20" t="s">
        <v>0</v>
      </c>
      <c r="C296" s="20">
        <v>7189</v>
      </c>
      <c r="D296" s="21">
        <v>10</v>
      </c>
      <c r="E296" s="21">
        <v>3</v>
      </c>
      <c r="F296" s="22">
        <v>87</v>
      </c>
      <c r="G296" s="22" t="s">
        <v>198</v>
      </c>
      <c r="H296" s="24">
        <f t="shared" si="52"/>
        <v>4387</v>
      </c>
      <c r="I296" s="25">
        <v>650</v>
      </c>
      <c r="J296" s="24">
        <f t="shared" si="53"/>
        <v>2851550</v>
      </c>
      <c r="K296" s="20"/>
      <c r="L296" s="20"/>
      <c r="M296" s="20"/>
      <c r="N296" s="20"/>
      <c r="O296" s="24"/>
      <c r="P296" s="24"/>
      <c r="Q296" s="25"/>
      <c r="R296" s="24"/>
      <c r="S296" s="20"/>
      <c r="T296" s="27"/>
      <c r="U296" s="20"/>
      <c r="V296" s="27">
        <f t="shared" si="54"/>
        <v>2851550</v>
      </c>
      <c r="W296" s="26">
        <f t="shared" si="50"/>
        <v>2851550</v>
      </c>
      <c r="X296" s="27">
        <v>0</v>
      </c>
      <c r="Y296" s="26">
        <f t="shared" si="51"/>
        <v>2851550</v>
      </c>
      <c r="Z296" s="49">
        <v>1E-4</v>
      </c>
    </row>
    <row r="297" spans="1:26" s="50" customFormat="1" ht="90.75" customHeight="1" x14ac:dyDescent="0.25">
      <c r="A297" s="20">
        <v>210</v>
      </c>
      <c r="B297" s="20" t="s">
        <v>0</v>
      </c>
      <c r="C297" s="20">
        <v>12646</v>
      </c>
      <c r="D297" s="21">
        <v>38</v>
      </c>
      <c r="E297" s="21">
        <v>0</v>
      </c>
      <c r="F297" s="22">
        <v>66</v>
      </c>
      <c r="G297" s="22" t="s">
        <v>198</v>
      </c>
      <c r="H297" s="24">
        <f t="shared" si="52"/>
        <v>15266</v>
      </c>
      <c r="I297" s="25">
        <v>200</v>
      </c>
      <c r="J297" s="24">
        <f t="shared" si="53"/>
        <v>3053200</v>
      </c>
      <c r="K297" s="20"/>
      <c r="L297" s="20"/>
      <c r="M297" s="20"/>
      <c r="N297" s="20"/>
      <c r="O297" s="24"/>
      <c r="P297" s="24"/>
      <c r="Q297" s="25"/>
      <c r="R297" s="24"/>
      <c r="S297" s="20"/>
      <c r="T297" s="27"/>
      <c r="U297" s="20"/>
      <c r="V297" s="27">
        <f t="shared" si="54"/>
        <v>3053200</v>
      </c>
      <c r="W297" s="26">
        <f t="shared" si="50"/>
        <v>3053200</v>
      </c>
      <c r="X297" s="27">
        <v>0</v>
      </c>
      <c r="Y297" s="26">
        <f t="shared" si="51"/>
        <v>3053200</v>
      </c>
      <c r="Z297" s="49">
        <v>1E-4</v>
      </c>
    </row>
    <row r="298" spans="1:26" s="50" customFormat="1" ht="90.75" customHeight="1" x14ac:dyDescent="0.25">
      <c r="A298" s="20">
        <v>211</v>
      </c>
      <c r="B298" s="20" t="s">
        <v>0</v>
      </c>
      <c r="C298" s="20">
        <v>11306</v>
      </c>
      <c r="D298" s="21">
        <v>20</v>
      </c>
      <c r="E298" s="21">
        <v>0</v>
      </c>
      <c r="F298" s="22">
        <v>26</v>
      </c>
      <c r="G298" s="22" t="s">
        <v>198</v>
      </c>
      <c r="H298" s="24">
        <f t="shared" si="52"/>
        <v>8026</v>
      </c>
      <c r="I298" s="25">
        <v>200</v>
      </c>
      <c r="J298" s="24">
        <f t="shared" si="53"/>
        <v>1605200</v>
      </c>
      <c r="K298" s="20"/>
      <c r="L298" s="20"/>
      <c r="M298" s="20"/>
      <c r="N298" s="20"/>
      <c r="O298" s="24"/>
      <c r="P298" s="24"/>
      <c r="Q298" s="25"/>
      <c r="R298" s="24"/>
      <c r="S298" s="20"/>
      <c r="T298" s="27"/>
      <c r="U298" s="20"/>
      <c r="V298" s="27">
        <f t="shared" si="54"/>
        <v>1605200</v>
      </c>
      <c r="W298" s="26">
        <f t="shared" si="50"/>
        <v>1605200</v>
      </c>
      <c r="X298" s="27">
        <v>0</v>
      </c>
      <c r="Y298" s="26">
        <f t="shared" si="51"/>
        <v>1605200</v>
      </c>
      <c r="Z298" s="49">
        <v>1E-4</v>
      </c>
    </row>
    <row r="299" spans="1:26" s="50" customFormat="1" ht="90.75" customHeight="1" x14ac:dyDescent="0.25">
      <c r="A299" s="20">
        <v>212</v>
      </c>
      <c r="B299" s="20" t="s">
        <v>0</v>
      </c>
      <c r="C299" s="20">
        <v>11566</v>
      </c>
      <c r="D299" s="21">
        <v>21</v>
      </c>
      <c r="E299" s="21">
        <v>2</v>
      </c>
      <c r="F299" s="22">
        <v>34</v>
      </c>
      <c r="G299" s="22" t="s">
        <v>198</v>
      </c>
      <c r="H299" s="24">
        <f t="shared" si="52"/>
        <v>8634</v>
      </c>
      <c r="I299" s="25">
        <v>200</v>
      </c>
      <c r="J299" s="24">
        <f t="shared" si="53"/>
        <v>1726800</v>
      </c>
      <c r="K299" s="20"/>
      <c r="L299" s="20"/>
      <c r="M299" s="20"/>
      <c r="N299" s="20"/>
      <c r="O299" s="24"/>
      <c r="P299" s="24"/>
      <c r="Q299" s="25"/>
      <c r="R299" s="24"/>
      <c r="S299" s="20"/>
      <c r="T299" s="27"/>
      <c r="U299" s="20"/>
      <c r="V299" s="27">
        <f t="shared" si="54"/>
        <v>1726800</v>
      </c>
      <c r="W299" s="26">
        <f t="shared" si="50"/>
        <v>1726800</v>
      </c>
      <c r="X299" s="27">
        <v>0</v>
      </c>
      <c r="Y299" s="26">
        <f t="shared" si="51"/>
        <v>1726800</v>
      </c>
      <c r="Z299" s="49">
        <v>1E-4</v>
      </c>
    </row>
    <row r="300" spans="1:26" s="50" customFormat="1" ht="90.75" customHeight="1" x14ac:dyDescent="0.25">
      <c r="A300" s="20">
        <v>213</v>
      </c>
      <c r="B300" s="76" t="s">
        <v>214</v>
      </c>
      <c r="C300" s="37">
        <v>57</v>
      </c>
      <c r="D300" s="37">
        <v>27</v>
      </c>
      <c r="E300" s="37">
        <v>2</v>
      </c>
      <c r="F300" s="37">
        <v>23</v>
      </c>
      <c r="G300" s="22" t="s">
        <v>198</v>
      </c>
      <c r="H300" s="24">
        <f t="shared" si="52"/>
        <v>11023</v>
      </c>
      <c r="I300" s="25">
        <v>200</v>
      </c>
      <c r="J300" s="24">
        <f t="shared" si="53"/>
        <v>2204600</v>
      </c>
      <c r="K300" s="37"/>
      <c r="L300" s="37"/>
      <c r="M300" s="37"/>
      <c r="N300" s="37"/>
      <c r="O300" s="65"/>
      <c r="P300" s="37"/>
      <c r="Q300" s="79"/>
      <c r="R300" s="37"/>
      <c r="S300" s="37"/>
      <c r="T300" s="65"/>
      <c r="U300" s="37"/>
      <c r="V300" s="27">
        <f t="shared" si="54"/>
        <v>2204600</v>
      </c>
      <c r="W300" s="26">
        <f t="shared" ref="W300:W305" si="55">(V300*100/100)</f>
        <v>2204600</v>
      </c>
      <c r="X300" s="27">
        <v>0</v>
      </c>
      <c r="Y300" s="26">
        <f t="shared" ref="Y300:Y305" si="56">(W300-X300)</f>
        <v>2204600</v>
      </c>
      <c r="Z300" s="49">
        <v>1E-4</v>
      </c>
    </row>
    <row r="301" spans="1:26" s="50" customFormat="1" ht="90.75" customHeight="1" x14ac:dyDescent="0.25">
      <c r="A301" s="20">
        <v>214</v>
      </c>
      <c r="B301" s="37" t="s">
        <v>213</v>
      </c>
      <c r="C301" s="37">
        <v>835</v>
      </c>
      <c r="D301" s="37">
        <v>33</v>
      </c>
      <c r="E301" s="37">
        <v>2</v>
      </c>
      <c r="F301" s="37">
        <v>57</v>
      </c>
      <c r="G301" s="22" t="s">
        <v>198</v>
      </c>
      <c r="H301" s="24">
        <f t="shared" ref="H301:H306" si="57">(D301*400)+(E301*100)+F301</f>
        <v>13457</v>
      </c>
      <c r="I301" s="25">
        <v>200</v>
      </c>
      <c r="J301" s="24">
        <f t="shared" ref="J301:J306" si="58">(H301*I301)</f>
        <v>2691400</v>
      </c>
      <c r="K301" s="37"/>
      <c r="L301" s="37"/>
      <c r="M301" s="37"/>
      <c r="N301" s="37"/>
      <c r="O301" s="27"/>
      <c r="P301" s="20"/>
      <c r="Q301" s="64"/>
      <c r="R301" s="20"/>
      <c r="S301" s="37"/>
      <c r="T301" s="65"/>
      <c r="U301" s="37"/>
      <c r="V301" s="27">
        <f t="shared" ref="V301:V305" si="59">(J301+U301)</f>
        <v>2691400</v>
      </c>
      <c r="W301" s="26">
        <f t="shared" si="55"/>
        <v>2691400</v>
      </c>
      <c r="X301" s="27">
        <v>0</v>
      </c>
      <c r="Y301" s="26">
        <f t="shared" si="56"/>
        <v>2691400</v>
      </c>
      <c r="Z301" s="49">
        <v>1E-4</v>
      </c>
    </row>
    <row r="302" spans="1:26" s="50" customFormat="1" ht="90.75" customHeight="1" x14ac:dyDescent="0.25">
      <c r="A302" s="20">
        <v>215</v>
      </c>
      <c r="B302" s="37" t="s">
        <v>213</v>
      </c>
      <c r="C302" s="37">
        <v>1151</v>
      </c>
      <c r="D302" s="37">
        <v>17</v>
      </c>
      <c r="E302" s="37">
        <v>3</v>
      </c>
      <c r="F302" s="37">
        <v>60</v>
      </c>
      <c r="G302" s="22" t="s">
        <v>198</v>
      </c>
      <c r="H302" s="24">
        <f t="shared" si="57"/>
        <v>7160</v>
      </c>
      <c r="I302" s="25">
        <v>200</v>
      </c>
      <c r="J302" s="24">
        <f t="shared" si="58"/>
        <v>1432000</v>
      </c>
      <c r="K302" s="37"/>
      <c r="L302" s="37"/>
      <c r="M302" s="37"/>
      <c r="N302" s="37"/>
      <c r="O302" s="27"/>
      <c r="P302" s="20"/>
      <c r="Q302" s="64"/>
      <c r="R302" s="20"/>
      <c r="S302" s="37"/>
      <c r="T302" s="65"/>
      <c r="U302" s="37"/>
      <c r="V302" s="27">
        <f t="shared" si="59"/>
        <v>1432000</v>
      </c>
      <c r="W302" s="26">
        <f t="shared" si="55"/>
        <v>1432000</v>
      </c>
      <c r="X302" s="27">
        <v>0</v>
      </c>
      <c r="Y302" s="26">
        <f t="shared" si="56"/>
        <v>1432000</v>
      </c>
      <c r="Z302" s="49">
        <v>1E-4</v>
      </c>
    </row>
    <row r="303" spans="1:26" s="50" customFormat="1" ht="90.75" customHeight="1" x14ac:dyDescent="0.25">
      <c r="A303" s="20">
        <v>216</v>
      </c>
      <c r="B303" s="37" t="s">
        <v>213</v>
      </c>
      <c r="C303" s="37">
        <v>1152</v>
      </c>
      <c r="D303" s="37">
        <v>42</v>
      </c>
      <c r="E303" s="37">
        <v>2</v>
      </c>
      <c r="F303" s="37">
        <v>21</v>
      </c>
      <c r="G303" s="22" t="s">
        <v>198</v>
      </c>
      <c r="H303" s="24">
        <f t="shared" si="57"/>
        <v>17021</v>
      </c>
      <c r="I303" s="25">
        <v>200</v>
      </c>
      <c r="J303" s="24">
        <f t="shared" si="58"/>
        <v>3404200</v>
      </c>
      <c r="K303" s="37"/>
      <c r="L303" s="37"/>
      <c r="M303" s="37"/>
      <c r="N303" s="37"/>
      <c r="O303" s="27"/>
      <c r="P303" s="20"/>
      <c r="Q303" s="64"/>
      <c r="R303" s="20"/>
      <c r="S303" s="37"/>
      <c r="T303" s="65"/>
      <c r="U303" s="37"/>
      <c r="V303" s="27">
        <f t="shared" si="59"/>
        <v>3404200</v>
      </c>
      <c r="W303" s="26">
        <f t="shared" si="55"/>
        <v>3404200</v>
      </c>
      <c r="X303" s="27">
        <v>0</v>
      </c>
      <c r="Y303" s="26">
        <f t="shared" si="56"/>
        <v>3404200</v>
      </c>
      <c r="Z303" s="49">
        <v>1E-4</v>
      </c>
    </row>
    <row r="304" spans="1:26" s="50" customFormat="1" ht="90.75" customHeight="1" x14ac:dyDescent="0.25">
      <c r="A304" s="20">
        <v>217</v>
      </c>
      <c r="B304" s="37" t="s">
        <v>213</v>
      </c>
      <c r="C304" s="37">
        <v>2728</v>
      </c>
      <c r="D304" s="37">
        <v>54</v>
      </c>
      <c r="E304" s="37">
        <v>3</v>
      </c>
      <c r="F304" s="37">
        <v>42</v>
      </c>
      <c r="G304" s="22" t="s">
        <v>198</v>
      </c>
      <c r="H304" s="24">
        <f t="shared" si="57"/>
        <v>21942</v>
      </c>
      <c r="I304" s="25">
        <v>200</v>
      </c>
      <c r="J304" s="24">
        <f t="shared" si="58"/>
        <v>4388400</v>
      </c>
      <c r="K304" s="37"/>
      <c r="L304" s="37"/>
      <c r="M304" s="37"/>
      <c r="N304" s="37"/>
      <c r="O304" s="27"/>
      <c r="P304" s="20"/>
      <c r="Q304" s="64"/>
      <c r="R304" s="20"/>
      <c r="S304" s="37"/>
      <c r="T304" s="65"/>
      <c r="U304" s="37"/>
      <c r="V304" s="27">
        <f t="shared" si="59"/>
        <v>4388400</v>
      </c>
      <c r="W304" s="26">
        <f t="shared" si="55"/>
        <v>4388400</v>
      </c>
      <c r="X304" s="27">
        <v>0</v>
      </c>
      <c r="Y304" s="26">
        <f t="shared" si="56"/>
        <v>4388400</v>
      </c>
      <c r="Z304" s="49">
        <v>1E-4</v>
      </c>
    </row>
    <row r="305" spans="1:26" s="50" customFormat="1" ht="90.75" customHeight="1" x14ac:dyDescent="0.25">
      <c r="A305" s="20">
        <v>218</v>
      </c>
      <c r="B305" s="37" t="s">
        <v>0</v>
      </c>
      <c r="C305" s="37">
        <v>12549</v>
      </c>
      <c r="D305" s="37">
        <v>21</v>
      </c>
      <c r="E305" s="37">
        <v>0</v>
      </c>
      <c r="F305" s="37">
        <v>94</v>
      </c>
      <c r="G305" s="22" t="s">
        <v>198</v>
      </c>
      <c r="H305" s="24">
        <f t="shared" si="57"/>
        <v>8494</v>
      </c>
      <c r="I305" s="25">
        <v>350</v>
      </c>
      <c r="J305" s="24">
        <f t="shared" si="58"/>
        <v>2972900</v>
      </c>
      <c r="K305" s="37"/>
      <c r="L305" s="37"/>
      <c r="M305" s="37"/>
      <c r="N305" s="37"/>
      <c r="O305" s="27"/>
      <c r="P305" s="20"/>
      <c r="Q305" s="64"/>
      <c r="R305" s="20"/>
      <c r="S305" s="37"/>
      <c r="T305" s="65"/>
      <c r="U305" s="37"/>
      <c r="V305" s="27">
        <f t="shared" si="59"/>
        <v>2972900</v>
      </c>
      <c r="W305" s="26">
        <f t="shared" si="55"/>
        <v>2972900</v>
      </c>
      <c r="X305" s="27">
        <v>0</v>
      </c>
      <c r="Y305" s="26">
        <f t="shared" si="56"/>
        <v>2972900</v>
      </c>
      <c r="Z305" s="49">
        <v>1E-4</v>
      </c>
    </row>
    <row r="306" spans="1:26" s="50" customFormat="1" ht="90.75" customHeight="1" x14ac:dyDescent="0.25">
      <c r="A306" s="20">
        <v>219</v>
      </c>
      <c r="B306" s="20" t="s">
        <v>0</v>
      </c>
      <c r="C306" s="20">
        <v>7509</v>
      </c>
      <c r="D306" s="21">
        <v>30</v>
      </c>
      <c r="E306" s="21">
        <v>3</v>
      </c>
      <c r="F306" s="22">
        <v>46</v>
      </c>
      <c r="G306" s="22" t="s">
        <v>198</v>
      </c>
      <c r="H306" s="24">
        <f t="shared" si="57"/>
        <v>12346</v>
      </c>
      <c r="I306" s="25" t="s">
        <v>19</v>
      </c>
      <c r="J306" s="24">
        <f t="shared" si="58"/>
        <v>4629750</v>
      </c>
      <c r="K306" s="20"/>
      <c r="L306" s="20"/>
      <c r="M306" s="20"/>
      <c r="N306" s="20"/>
      <c r="O306" s="24"/>
      <c r="P306" s="24"/>
      <c r="Q306" s="25"/>
      <c r="R306" s="24"/>
      <c r="S306" s="20"/>
      <c r="T306" s="27"/>
      <c r="U306" s="20"/>
      <c r="V306" s="20"/>
      <c r="W306" s="26"/>
      <c r="X306" s="27"/>
      <c r="Y306" s="20"/>
      <c r="Z306" s="20"/>
    </row>
    <row r="307" spans="1:26" s="50" customFormat="1" ht="90.75" customHeight="1" x14ac:dyDescent="0.25">
      <c r="A307" s="20"/>
      <c r="B307" s="20"/>
      <c r="C307" s="20"/>
      <c r="D307" s="21"/>
      <c r="E307" s="21"/>
      <c r="F307" s="22"/>
      <c r="G307" s="22"/>
      <c r="H307" s="36"/>
      <c r="I307" s="40"/>
      <c r="J307" s="28"/>
      <c r="K307" s="30">
        <v>1</v>
      </c>
      <c r="L307" s="31" t="s">
        <v>215</v>
      </c>
      <c r="M307" s="31" t="s">
        <v>13</v>
      </c>
      <c r="N307" s="51">
        <v>1</v>
      </c>
      <c r="O307" s="45">
        <v>8.75</v>
      </c>
      <c r="P307" s="35">
        <v>100</v>
      </c>
      <c r="Q307" s="40">
        <v>6450</v>
      </c>
      <c r="R307" s="36">
        <f t="shared" ref="R307:R319" si="60">(O307*Q307)</f>
        <v>56437.5</v>
      </c>
      <c r="S307" s="37">
        <v>9</v>
      </c>
      <c r="T307" s="28">
        <f t="shared" ref="T307:T319" si="61">(R307*9/100)</f>
        <v>5079.375</v>
      </c>
      <c r="U307" s="36">
        <f t="shared" ref="U307:U319" si="62">(R307-T307)</f>
        <v>51358.125</v>
      </c>
      <c r="V307" s="36"/>
      <c r="W307" s="36"/>
      <c r="X307" s="28"/>
      <c r="Y307" s="28"/>
      <c r="Z307" s="49"/>
    </row>
    <row r="308" spans="1:26" s="50" customFormat="1" ht="90.75" customHeight="1" x14ac:dyDescent="0.25">
      <c r="A308" s="20"/>
      <c r="B308" s="20"/>
      <c r="C308" s="20"/>
      <c r="D308" s="21"/>
      <c r="E308" s="21"/>
      <c r="F308" s="22"/>
      <c r="G308" s="22"/>
      <c r="H308" s="36"/>
      <c r="I308" s="40"/>
      <c r="J308" s="28"/>
      <c r="K308" s="30">
        <v>2</v>
      </c>
      <c r="L308" s="31" t="s">
        <v>27</v>
      </c>
      <c r="M308" s="31" t="s">
        <v>13</v>
      </c>
      <c r="N308" s="51">
        <v>1</v>
      </c>
      <c r="O308" s="45">
        <v>200</v>
      </c>
      <c r="P308" s="35">
        <v>100</v>
      </c>
      <c r="Q308" s="40">
        <v>7100</v>
      </c>
      <c r="R308" s="36">
        <f t="shared" si="60"/>
        <v>1420000</v>
      </c>
      <c r="S308" s="37">
        <v>9</v>
      </c>
      <c r="T308" s="28">
        <f t="shared" si="61"/>
        <v>127800</v>
      </c>
      <c r="U308" s="36">
        <f t="shared" si="62"/>
        <v>1292200</v>
      </c>
      <c r="V308" s="36"/>
      <c r="W308" s="36"/>
      <c r="X308" s="28"/>
      <c r="Y308" s="28"/>
      <c r="Z308" s="49"/>
    </row>
    <row r="309" spans="1:26" s="50" customFormat="1" ht="90.75" customHeight="1" x14ac:dyDescent="0.25">
      <c r="A309" s="20"/>
      <c r="B309" s="20"/>
      <c r="C309" s="20"/>
      <c r="D309" s="21"/>
      <c r="E309" s="21"/>
      <c r="F309" s="22"/>
      <c r="G309" s="22"/>
      <c r="H309" s="36"/>
      <c r="I309" s="40"/>
      <c r="J309" s="28"/>
      <c r="K309" s="30">
        <v>3</v>
      </c>
      <c r="L309" s="31" t="s">
        <v>34</v>
      </c>
      <c r="M309" s="31" t="s">
        <v>13</v>
      </c>
      <c r="N309" s="51">
        <v>1</v>
      </c>
      <c r="O309" s="45">
        <v>2016</v>
      </c>
      <c r="P309" s="35">
        <v>100</v>
      </c>
      <c r="Q309" s="40">
        <v>2100</v>
      </c>
      <c r="R309" s="36">
        <f t="shared" si="60"/>
        <v>4233600</v>
      </c>
      <c r="S309" s="37">
        <v>9</v>
      </c>
      <c r="T309" s="28">
        <f t="shared" si="61"/>
        <v>381024</v>
      </c>
      <c r="U309" s="36">
        <f t="shared" si="62"/>
        <v>3852576</v>
      </c>
      <c r="V309" s="36"/>
      <c r="W309" s="36"/>
      <c r="X309" s="28"/>
      <c r="Y309" s="28"/>
      <c r="Z309" s="49"/>
    </row>
    <row r="310" spans="1:26" s="50" customFormat="1" ht="90.75" customHeight="1" x14ac:dyDescent="0.25">
      <c r="A310" s="20"/>
      <c r="B310" s="20"/>
      <c r="C310" s="20"/>
      <c r="D310" s="21"/>
      <c r="E310" s="21"/>
      <c r="F310" s="22"/>
      <c r="G310" s="22"/>
      <c r="H310" s="36"/>
      <c r="I310" s="40"/>
      <c r="J310" s="28"/>
      <c r="K310" s="30">
        <v>4</v>
      </c>
      <c r="L310" s="31" t="s">
        <v>34</v>
      </c>
      <c r="M310" s="31" t="s">
        <v>13</v>
      </c>
      <c r="N310" s="51">
        <v>1</v>
      </c>
      <c r="O310" s="45">
        <v>2016</v>
      </c>
      <c r="P310" s="35">
        <v>100</v>
      </c>
      <c r="Q310" s="40">
        <v>2100</v>
      </c>
      <c r="R310" s="36">
        <f t="shared" si="60"/>
        <v>4233600</v>
      </c>
      <c r="S310" s="37">
        <v>9</v>
      </c>
      <c r="T310" s="28">
        <f t="shared" si="61"/>
        <v>381024</v>
      </c>
      <c r="U310" s="36">
        <f t="shared" si="62"/>
        <v>3852576</v>
      </c>
      <c r="V310" s="36"/>
      <c r="W310" s="36"/>
      <c r="X310" s="28"/>
      <c r="Y310" s="28"/>
      <c r="Z310" s="49"/>
    </row>
    <row r="311" spans="1:26" s="50" customFormat="1" ht="90.75" customHeight="1" x14ac:dyDescent="0.25">
      <c r="A311" s="20"/>
      <c r="B311" s="20"/>
      <c r="C311" s="20"/>
      <c r="D311" s="21"/>
      <c r="E311" s="21"/>
      <c r="F311" s="22"/>
      <c r="G311" s="22"/>
      <c r="H311" s="36"/>
      <c r="I311" s="40"/>
      <c r="J311" s="28"/>
      <c r="K311" s="30">
        <v>5</v>
      </c>
      <c r="L311" s="31" t="s">
        <v>34</v>
      </c>
      <c r="M311" s="31" t="s">
        <v>13</v>
      </c>
      <c r="N311" s="51">
        <v>1</v>
      </c>
      <c r="O311" s="45">
        <v>2016</v>
      </c>
      <c r="P311" s="35">
        <v>100</v>
      </c>
      <c r="Q311" s="40">
        <v>2100</v>
      </c>
      <c r="R311" s="36">
        <f t="shared" si="60"/>
        <v>4233600</v>
      </c>
      <c r="S311" s="37">
        <v>9</v>
      </c>
      <c r="T311" s="28">
        <f t="shared" si="61"/>
        <v>381024</v>
      </c>
      <c r="U311" s="36">
        <f t="shared" si="62"/>
        <v>3852576</v>
      </c>
      <c r="V311" s="36"/>
      <c r="W311" s="36"/>
      <c r="X311" s="28"/>
      <c r="Y311" s="28"/>
      <c r="Z311" s="49"/>
    </row>
    <row r="312" spans="1:26" s="50" customFormat="1" ht="90.75" customHeight="1" x14ac:dyDescent="0.25">
      <c r="A312" s="20"/>
      <c r="B312" s="20"/>
      <c r="C312" s="20"/>
      <c r="D312" s="21"/>
      <c r="E312" s="21"/>
      <c r="F312" s="22"/>
      <c r="G312" s="22"/>
      <c r="H312" s="36"/>
      <c r="I312" s="40"/>
      <c r="J312" s="28"/>
      <c r="K312" s="30">
        <v>6</v>
      </c>
      <c r="L312" s="31" t="s">
        <v>34</v>
      </c>
      <c r="M312" s="31" t="s">
        <v>13</v>
      </c>
      <c r="N312" s="51">
        <v>1</v>
      </c>
      <c r="O312" s="45">
        <v>2016</v>
      </c>
      <c r="P312" s="35">
        <v>100</v>
      </c>
      <c r="Q312" s="40">
        <v>2100</v>
      </c>
      <c r="R312" s="36">
        <f t="shared" si="60"/>
        <v>4233600</v>
      </c>
      <c r="S312" s="37">
        <v>9</v>
      </c>
      <c r="T312" s="28">
        <f t="shared" si="61"/>
        <v>381024</v>
      </c>
      <c r="U312" s="36">
        <f t="shared" si="62"/>
        <v>3852576</v>
      </c>
      <c r="V312" s="36"/>
      <c r="W312" s="36"/>
      <c r="X312" s="28"/>
      <c r="Y312" s="28"/>
      <c r="Z312" s="49"/>
    </row>
    <row r="313" spans="1:26" s="29" customFormat="1" ht="90.75" customHeight="1" x14ac:dyDescent="0.25">
      <c r="A313" s="20"/>
      <c r="B313" s="20"/>
      <c r="C313" s="20"/>
      <c r="D313" s="21"/>
      <c r="E313" s="21"/>
      <c r="F313" s="22"/>
      <c r="G313" s="22"/>
      <c r="H313" s="36"/>
      <c r="I313" s="40"/>
      <c r="J313" s="28"/>
      <c r="K313" s="30">
        <v>7</v>
      </c>
      <c r="L313" s="31" t="s">
        <v>34</v>
      </c>
      <c r="M313" s="31" t="s">
        <v>13</v>
      </c>
      <c r="N313" s="51">
        <v>1</v>
      </c>
      <c r="O313" s="45">
        <v>2016</v>
      </c>
      <c r="P313" s="35">
        <v>100</v>
      </c>
      <c r="Q313" s="40">
        <v>2100</v>
      </c>
      <c r="R313" s="36">
        <f t="shared" si="60"/>
        <v>4233600</v>
      </c>
      <c r="S313" s="37">
        <v>9</v>
      </c>
      <c r="T313" s="28">
        <f t="shared" si="61"/>
        <v>381024</v>
      </c>
      <c r="U313" s="36">
        <f t="shared" si="62"/>
        <v>3852576</v>
      </c>
      <c r="V313" s="36"/>
      <c r="W313" s="36"/>
      <c r="X313" s="28"/>
      <c r="Y313" s="28"/>
      <c r="Z313" s="49"/>
    </row>
    <row r="314" spans="1:26" s="29" customFormat="1" ht="90.75" customHeight="1" x14ac:dyDescent="0.25">
      <c r="A314" s="20"/>
      <c r="B314" s="20"/>
      <c r="C314" s="20"/>
      <c r="D314" s="21"/>
      <c r="E314" s="21"/>
      <c r="F314" s="22"/>
      <c r="G314" s="22"/>
      <c r="H314" s="36"/>
      <c r="I314" s="40"/>
      <c r="J314" s="28"/>
      <c r="K314" s="30">
        <v>8</v>
      </c>
      <c r="L314" s="31" t="s">
        <v>34</v>
      </c>
      <c r="M314" s="31" t="s">
        <v>13</v>
      </c>
      <c r="N314" s="51">
        <v>1</v>
      </c>
      <c r="O314" s="45">
        <v>2016</v>
      </c>
      <c r="P314" s="35">
        <v>100</v>
      </c>
      <c r="Q314" s="40">
        <v>2100</v>
      </c>
      <c r="R314" s="36">
        <f t="shared" si="60"/>
        <v>4233600</v>
      </c>
      <c r="S314" s="37">
        <v>9</v>
      </c>
      <c r="T314" s="28">
        <f t="shared" si="61"/>
        <v>381024</v>
      </c>
      <c r="U314" s="36">
        <f t="shared" si="62"/>
        <v>3852576</v>
      </c>
      <c r="V314" s="36"/>
      <c r="W314" s="36"/>
      <c r="X314" s="28"/>
      <c r="Y314" s="28"/>
      <c r="Z314" s="49"/>
    </row>
    <row r="315" spans="1:26" s="29" customFormat="1" ht="90.75" customHeight="1" x14ac:dyDescent="0.25">
      <c r="A315" s="20"/>
      <c r="B315" s="20"/>
      <c r="C315" s="20"/>
      <c r="D315" s="21"/>
      <c r="E315" s="21"/>
      <c r="F315" s="22"/>
      <c r="G315" s="22"/>
      <c r="H315" s="36"/>
      <c r="I315" s="40"/>
      <c r="J315" s="28"/>
      <c r="K315" s="30">
        <v>9</v>
      </c>
      <c r="L315" s="31" t="s">
        <v>34</v>
      </c>
      <c r="M315" s="31" t="s">
        <v>13</v>
      </c>
      <c r="N315" s="51">
        <v>1</v>
      </c>
      <c r="O315" s="45">
        <v>2016</v>
      </c>
      <c r="P315" s="35">
        <v>100</v>
      </c>
      <c r="Q315" s="40">
        <v>2100</v>
      </c>
      <c r="R315" s="36">
        <f t="shared" si="60"/>
        <v>4233600</v>
      </c>
      <c r="S315" s="37">
        <v>9</v>
      </c>
      <c r="T315" s="28">
        <f t="shared" si="61"/>
        <v>381024</v>
      </c>
      <c r="U315" s="36">
        <f t="shared" si="62"/>
        <v>3852576</v>
      </c>
      <c r="V315" s="36"/>
      <c r="W315" s="36"/>
      <c r="X315" s="28"/>
      <c r="Y315" s="28"/>
      <c r="Z315" s="49"/>
    </row>
    <row r="316" spans="1:26" s="29" customFormat="1" ht="90.75" customHeight="1" x14ac:dyDescent="0.25">
      <c r="A316" s="20"/>
      <c r="B316" s="20"/>
      <c r="C316" s="20"/>
      <c r="D316" s="21"/>
      <c r="E316" s="21"/>
      <c r="F316" s="22"/>
      <c r="G316" s="22"/>
      <c r="H316" s="36"/>
      <c r="I316" s="40"/>
      <c r="J316" s="28"/>
      <c r="K316" s="30">
        <v>10</v>
      </c>
      <c r="L316" s="31" t="s">
        <v>34</v>
      </c>
      <c r="M316" s="31" t="s">
        <v>13</v>
      </c>
      <c r="N316" s="51">
        <v>1</v>
      </c>
      <c r="O316" s="45">
        <v>2016</v>
      </c>
      <c r="P316" s="35">
        <v>100</v>
      </c>
      <c r="Q316" s="40">
        <v>2100</v>
      </c>
      <c r="R316" s="36">
        <f t="shared" si="60"/>
        <v>4233600</v>
      </c>
      <c r="S316" s="37">
        <v>9</v>
      </c>
      <c r="T316" s="28">
        <f t="shared" si="61"/>
        <v>381024</v>
      </c>
      <c r="U316" s="36">
        <f t="shared" si="62"/>
        <v>3852576</v>
      </c>
      <c r="V316" s="36"/>
      <c r="W316" s="36"/>
      <c r="X316" s="28"/>
      <c r="Y316" s="28"/>
      <c r="Z316" s="49"/>
    </row>
    <row r="317" spans="1:26" s="29" customFormat="1" ht="90.75" customHeight="1" x14ac:dyDescent="0.25">
      <c r="A317" s="20"/>
      <c r="B317" s="20"/>
      <c r="C317" s="20"/>
      <c r="D317" s="21"/>
      <c r="E317" s="21"/>
      <c r="F317" s="22"/>
      <c r="G317" s="22"/>
      <c r="H317" s="36"/>
      <c r="I317" s="40"/>
      <c r="J317" s="28"/>
      <c r="K317" s="30">
        <v>11</v>
      </c>
      <c r="L317" s="31" t="s">
        <v>34</v>
      </c>
      <c r="M317" s="31" t="s">
        <v>13</v>
      </c>
      <c r="N317" s="51">
        <v>1</v>
      </c>
      <c r="O317" s="45">
        <v>2016</v>
      </c>
      <c r="P317" s="35">
        <v>100</v>
      </c>
      <c r="Q317" s="40">
        <v>2100</v>
      </c>
      <c r="R317" s="36">
        <f t="shared" si="60"/>
        <v>4233600</v>
      </c>
      <c r="S317" s="37">
        <v>9</v>
      </c>
      <c r="T317" s="28">
        <f t="shared" si="61"/>
        <v>381024</v>
      </c>
      <c r="U317" s="36">
        <f t="shared" si="62"/>
        <v>3852576</v>
      </c>
      <c r="V317" s="36"/>
      <c r="W317" s="36"/>
      <c r="X317" s="28"/>
      <c r="Y317" s="28"/>
      <c r="Z317" s="49"/>
    </row>
    <row r="318" spans="1:26" s="29" customFormat="1" ht="90.75" customHeight="1" x14ac:dyDescent="0.25">
      <c r="A318" s="20"/>
      <c r="B318" s="20"/>
      <c r="C318" s="20"/>
      <c r="D318" s="21"/>
      <c r="E318" s="21"/>
      <c r="F318" s="22"/>
      <c r="G318" s="22"/>
      <c r="H318" s="36"/>
      <c r="I318" s="40"/>
      <c r="J318" s="28"/>
      <c r="K318" s="30">
        <v>12</v>
      </c>
      <c r="L318" s="31" t="s">
        <v>36</v>
      </c>
      <c r="M318" s="31" t="s">
        <v>13</v>
      </c>
      <c r="N318" s="51">
        <v>1</v>
      </c>
      <c r="O318" s="45">
        <v>27.6</v>
      </c>
      <c r="P318" s="35">
        <v>100</v>
      </c>
      <c r="Q318" s="40">
        <v>5550</v>
      </c>
      <c r="R318" s="36">
        <f t="shared" si="60"/>
        <v>153180</v>
      </c>
      <c r="S318" s="37">
        <v>9</v>
      </c>
      <c r="T318" s="28">
        <f t="shared" si="61"/>
        <v>13786.2</v>
      </c>
      <c r="U318" s="36">
        <f t="shared" si="62"/>
        <v>139393.79999999999</v>
      </c>
      <c r="V318" s="36"/>
      <c r="W318" s="36"/>
      <c r="X318" s="28"/>
      <c r="Y318" s="28"/>
      <c r="Z318" s="49"/>
    </row>
    <row r="319" spans="1:26" s="29" customFormat="1" ht="90.75" customHeight="1" x14ac:dyDescent="0.25">
      <c r="A319" s="20"/>
      <c r="B319" s="20"/>
      <c r="C319" s="20"/>
      <c r="D319" s="21"/>
      <c r="E319" s="21"/>
      <c r="F319" s="22"/>
      <c r="G319" s="22"/>
      <c r="H319" s="36"/>
      <c r="I319" s="40"/>
      <c r="J319" s="28"/>
      <c r="K319" s="30">
        <v>13</v>
      </c>
      <c r="L319" s="31" t="s">
        <v>31</v>
      </c>
      <c r="M319" s="31" t="s">
        <v>13</v>
      </c>
      <c r="N319" s="51">
        <v>1</v>
      </c>
      <c r="O319" s="45">
        <v>62.4</v>
      </c>
      <c r="P319" s="35">
        <v>100</v>
      </c>
      <c r="Q319" s="40">
        <v>2550</v>
      </c>
      <c r="R319" s="36">
        <f t="shared" si="60"/>
        <v>159120</v>
      </c>
      <c r="S319" s="37">
        <v>9</v>
      </c>
      <c r="T319" s="28">
        <f t="shared" si="61"/>
        <v>14320.8</v>
      </c>
      <c r="U319" s="36">
        <f t="shared" si="62"/>
        <v>144799.20000000001</v>
      </c>
      <c r="V319" s="36"/>
      <c r="W319" s="36"/>
      <c r="X319" s="28"/>
      <c r="Y319" s="28"/>
      <c r="Z319" s="49"/>
    </row>
    <row r="320" spans="1:26" s="29" customFormat="1" ht="90.75" customHeight="1" x14ac:dyDescent="0.25">
      <c r="A320" s="20"/>
      <c r="B320" s="20"/>
      <c r="C320" s="20"/>
      <c r="D320" s="21"/>
      <c r="E320" s="21"/>
      <c r="F320" s="22"/>
      <c r="G320" s="22"/>
      <c r="H320" s="36"/>
      <c r="I320" s="40"/>
      <c r="J320" s="28"/>
      <c r="K320" s="30"/>
      <c r="L320" s="31"/>
      <c r="M320" s="31"/>
      <c r="N320" s="51"/>
      <c r="O320" s="45"/>
      <c r="P320" s="35"/>
      <c r="Q320" s="40"/>
      <c r="R320" s="36"/>
      <c r="S320" s="37"/>
      <c r="T320" s="28"/>
      <c r="U320" s="36">
        <f>SUM(U307:U319)</f>
        <v>36300935.125</v>
      </c>
      <c r="V320" s="36">
        <f>(J306+U320)</f>
        <v>40930685.125</v>
      </c>
      <c r="W320" s="36">
        <f>(V320*100/100)</f>
        <v>40930685.125</v>
      </c>
      <c r="X320" s="28">
        <v>0</v>
      </c>
      <c r="Y320" s="28">
        <f>(W320-X320)</f>
        <v>40930685.125</v>
      </c>
      <c r="Z320" s="49">
        <v>3.0000000000000001E-3</v>
      </c>
    </row>
    <row r="321" spans="1:26" s="29" customFormat="1" ht="90.75" customHeight="1" x14ac:dyDescent="0.25">
      <c r="A321" s="20">
        <v>220</v>
      </c>
      <c r="B321" s="20" t="s">
        <v>0</v>
      </c>
      <c r="C321" s="20">
        <v>11290</v>
      </c>
      <c r="D321" s="21">
        <v>17</v>
      </c>
      <c r="E321" s="21">
        <v>1</v>
      </c>
      <c r="F321" s="22">
        <v>11</v>
      </c>
      <c r="G321" s="22" t="s">
        <v>198</v>
      </c>
      <c r="H321" s="24">
        <f>(D321*400)+(E321*100)+F321</f>
        <v>6911</v>
      </c>
      <c r="I321" s="25" t="s">
        <v>19</v>
      </c>
      <c r="J321" s="24">
        <f>(H321*I321)</f>
        <v>2591625</v>
      </c>
      <c r="K321" s="30">
        <v>1</v>
      </c>
      <c r="L321" s="31" t="s">
        <v>215</v>
      </c>
      <c r="M321" s="31" t="s">
        <v>13</v>
      </c>
      <c r="N321" s="51">
        <v>1</v>
      </c>
      <c r="O321" s="45">
        <v>48</v>
      </c>
      <c r="P321" s="35">
        <v>100</v>
      </c>
      <c r="Q321" s="40">
        <v>6450</v>
      </c>
      <c r="R321" s="36">
        <f t="shared" ref="R321:R331" si="63">(O321*Q321)</f>
        <v>309600</v>
      </c>
      <c r="S321" s="37">
        <v>9</v>
      </c>
      <c r="T321" s="28">
        <f t="shared" ref="T321:T331" si="64">(R321*9/100)</f>
        <v>27864</v>
      </c>
      <c r="U321" s="36">
        <f t="shared" ref="U321:U331" si="65">(R321-T321)</f>
        <v>281736</v>
      </c>
      <c r="V321" s="36"/>
      <c r="W321" s="36"/>
      <c r="X321" s="28"/>
      <c r="Y321" s="28"/>
      <c r="Z321" s="20"/>
    </row>
    <row r="322" spans="1:26" s="29" customFormat="1" ht="90.75" customHeight="1" x14ac:dyDescent="0.25">
      <c r="A322" s="20"/>
      <c r="B322" s="20"/>
      <c r="C322" s="20"/>
      <c r="D322" s="21"/>
      <c r="E322" s="21"/>
      <c r="F322" s="22"/>
      <c r="G322" s="22"/>
      <c r="H322" s="24"/>
      <c r="I322" s="25"/>
      <c r="J322" s="24"/>
      <c r="K322" s="30">
        <v>2</v>
      </c>
      <c r="L322" s="31" t="s">
        <v>27</v>
      </c>
      <c r="M322" s="31" t="s">
        <v>13</v>
      </c>
      <c r="N322" s="51">
        <v>1</v>
      </c>
      <c r="O322" s="45">
        <v>72</v>
      </c>
      <c r="P322" s="35">
        <v>100</v>
      </c>
      <c r="Q322" s="40">
        <v>7100</v>
      </c>
      <c r="R322" s="36">
        <f t="shared" si="63"/>
        <v>511200</v>
      </c>
      <c r="S322" s="37">
        <v>9</v>
      </c>
      <c r="T322" s="28">
        <f t="shared" si="64"/>
        <v>46008</v>
      </c>
      <c r="U322" s="36">
        <f t="shared" si="65"/>
        <v>465192</v>
      </c>
      <c r="V322" s="36"/>
      <c r="W322" s="36"/>
      <c r="X322" s="28"/>
      <c r="Y322" s="28"/>
      <c r="Z322" s="20"/>
    </row>
    <row r="323" spans="1:26" s="29" customFormat="1" ht="90.75" customHeight="1" x14ac:dyDescent="0.25">
      <c r="A323" s="20"/>
      <c r="B323" s="20"/>
      <c r="C323" s="20"/>
      <c r="D323" s="21"/>
      <c r="E323" s="21"/>
      <c r="F323" s="22"/>
      <c r="G323" s="22"/>
      <c r="H323" s="24"/>
      <c r="I323" s="25"/>
      <c r="J323" s="24"/>
      <c r="K323" s="30">
        <v>3</v>
      </c>
      <c r="L323" s="31" t="s">
        <v>43</v>
      </c>
      <c r="M323" s="31" t="s">
        <v>94</v>
      </c>
      <c r="N323" s="51">
        <v>1</v>
      </c>
      <c r="O323" s="45">
        <v>42</v>
      </c>
      <c r="P323" s="35">
        <v>100</v>
      </c>
      <c r="Q323" s="40">
        <v>7700</v>
      </c>
      <c r="R323" s="36">
        <f t="shared" si="63"/>
        <v>323400</v>
      </c>
      <c r="S323" s="37">
        <v>9</v>
      </c>
      <c r="T323" s="28">
        <f t="shared" si="64"/>
        <v>29106</v>
      </c>
      <c r="U323" s="36">
        <f t="shared" si="65"/>
        <v>294294</v>
      </c>
      <c r="V323" s="36"/>
      <c r="W323" s="36"/>
      <c r="X323" s="28"/>
      <c r="Y323" s="28"/>
      <c r="Z323" s="20"/>
    </row>
    <row r="324" spans="1:26" s="29" customFormat="1" ht="90.75" customHeight="1" x14ac:dyDescent="0.25">
      <c r="A324" s="20"/>
      <c r="B324" s="20"/>
      <c r="C324" s="20"/>
      <c r="D324" s="21"/>
      <c r="E324" s="21"/>
      <c r="F324" s="22"/>
      <c r="G324" s="22"/>
      <c r="H324" s="24"/>
      <c r="I324" s="25"/>
      <c r="J324" s="24"/>
      <c r="K324" s="30">
        <v>4</v>
      </c>
      <c r="L324" s="31" t="s">
        <v>34</v>
      </c>
      <c r="M324" s="31"/>
      <c r="N324" s="51">
        <v>1</v>
      </c>
      <c r="O324" s="45">
        <v>1920</v>
      </c>
      <c r="P324" s="35">
        <v>100</v>
      </c>
      <c r="Q324" s="40">
        <v>2100</v>
      </c>
      <c r="R324" s="36">
        <f t="shared" si="63"/>
        <v>4032000</v>
      </c>
      <c r="S324" s="37">
        <v>9</v>
      </c>
      <c r="T324" s="28">
        <f t="shared" si="64"/>
        <v>362880</v>
      </c>
      <c r="U324" s="36">
        <f t="shared" si="65"/>
        <v>3669120</v>
      </c>
      <c r="V324" s="36"/>
      <c r="W324" s="36"/>
      <c r="X324" s="28"/>
      <c r="Y324" s="28"/>
      <c r="Z324" s="20"/>
    </row>
    <row r="325" spans="1:26" s="29" customFormat="1" ht="90.75" customHeight="1" x14ac:dyDescent="0.25">
      <c r="A325" s="20"/>
      <c r="B325" s="20"/>
      <c r="C325" s="20"/>
      <c r="D325" s="21"/>
      <c r="E325" s="21"/>
      <c r="F325" s="22"/>
      <c r="G325" s="22"/>
      <c r="H325" s="24"/>
      <c r="I325" s="25"/>
      <c r="J325" s="24"/>
      <c r="K325" s="30">
        <v>5</v>
      </c>
      <c r="L325" s="31" t="s">
        <v>34</v>
      </c>
      <c r="M325" s="31"/>
      <c r="N325" s="51">
        <v>1</v>
      </c>
      <c r="O325" s="45">
        <v>1920</v>
      </c>
      <c r="P325" s="35">
        <v>100</v>
      </c>
      <c r="Q325" s="40">
        <v>2100</v>
      </c>
      <c r="R325" s="36">
        <f t="shared" si="63"/>
        <v>4032000</v>
      </c>
      <c r="S325" s="37">
        <v>9</v>
      </c>
      <c r="T325" s="28">
        <f t="shared" si="64"/>
        <v>362880</v>
      </c>
      <c r="U325" s="36">
        <f t="shared" si="65"/>
        <v>3669120</v>
      </c>
      <c r="V325" s="36"/>
      <c r="W325" s="36"/>
      <c r="X325" s="28"/>
      <c r="Y325" s="28"/>
      <c r="Z325" s="20"/>
    </row>
    <row r="326" spans="1:26" s="29" customFormat="1" ht="90.75" customHeight="1" x14ac:dyDescent="0.25">
      <c r="A326" s="20"/>
      <c r="B326" s="20"/>
      <c r="C326" s="20"/>
      <c r="D326" s="21"/>
      <c r="E326" s="21"/>
      <c r="F326" s="22"/>
      <c r="G326" s="22"/>
      <c r="H326" s="24"/>
      <c r="I326" s="25"/>
      <c r="J326" s="24"/>
      <c r="K326" s="30">
        <v>6</v>
      </c>
      <c r="L326" s="31" t="s">
        <v>34</v>
      </c>
      <c r="M326" s="31"/>
      <c r="N326" s="51">
        <v>1</v>
      </c>
      <c r="O326" s="45">
        <v>1920</v>
      </c>
      <c r="P326" s="35">
        <v>100</v>
      </c>
      <c r="Q326" s="40">
        <v>2100</v>
      </c>
      <c r="R326" s="36">
        <f t="shared" si="63"/>
        <v>4032000</v>
      </c>
      <c r="S326" s="37">
        <v>9</v>
      </c>
      <c r="T326" s="28">
        <f t="shared" si="64"/>
        <v>362880</v>
      </c>
      <c r="U326" s="36">
        <f t="shared" si="65"/>
        <v>3669120</v>
      </c>
      <c r="V326" s="36"/>
      <c r="W326" s="36"/>
      <c r="X326" s="28"/>
      <c r="Y326" s="28"/>
      <c r="Z326" s="20"/>
    </row>
    <row r="327" spans="1:26" s="29" customFormat="1" ht="90.75" customHeight="1" x14ac:dyDescent="0.25">
      <c r="A327" s="20"/>
      <c r="B327" s="20"/>
      <c r="C327" s="20"/>
      <c r="D327" s="21"/>
      <c r="E327" s="21"/>
      <c r="F327" s="22"/>
      <c r="G327" s="22"/>
      <c r="H327" s="24"/>
      <c r="I327" s="25"/>
      <c r="J327" s="24"/>
      <c r="K327" s="30">
        <v>7</v>
      </c>
      <c r="L327" s="31" t="s">
        <v>34</v>
      </c>
      <c r="M327" s="31"/>
      <c r="N327" s="51">
        <v>1</v>
      </c>
      <c r="O327" s="45">
        <v>1920</v>
      </c>
      <c r="P327" s="35">
        <v>100</v>
      </c>
      <c r="Q327" s="40">
        <v>2100</v>
      </c>
      <c r="R327" s="36">
        <f t="shared" si="63"/>
        <v>4032000</v>
      </c>
      <c r="S327" s="37">
        <v>9</v>
      </c>
      <c r="T327" s="28">
        <f t="shared" si="64"/>
        <v>362880</v>
      </c>
      <c r="U327" s="36">
        <f t="shared" si="65"/>
        <v>3669120</v>
      </c>
      <c r="V327" s="36"/>
      <c r="W327" s="36"/>
      <c r="X327" s="28"/>
      <c r="Y327" s="28"/>
      <c r="Z327" s="20"/>
    </row>
    <row r="328" spans="1:26" s="29" customFormat="1" ht="90.75" customHeight="1" x14ac:dyDescent="0.25">
      <c r="A328" s="20"/>
      <c r="B328" s="20"/>
      <c r="C328" s="20"/>
      <c r="D328" s="21"/>
      <c r="E328" s="21"/>
      <c r="F328" s="22"/>
      <c r="G328" s="22"/>
      <c r="H328" s="24"/>
      <c r="I328" s="25"/>
      <c r="J328" s="24"/>
      <c r="K328" s="30">
        <v>8</v>
      </c>
      <c r="L328" s="31" t="s">
        <v>34</v>
      </c>
      <c r="M328" s="31"/>
      <c r="N328" s="51">
        <v>1</v>
      </c>
      <c r="O328" s="45">
        <v>1920</v>
      </c>
      <c r="P328" s="35">
        <v>100</v>
      </c>
      <c r="Q328" s="40">
        <v>2100</v>
      </c>
      <c r="R328" s="36">
        <f t="shared" si="63"/>
        <v>4032000</v>
      </c>
      <c r="S328" s="37">
        <v>9</v>
      </c>
      <c r="T328" s="28">
        <f t="shared" si="64"/>
        <v>362880</v>
      </c>
      <c r="U328" s="36">
        <f t="shared" si="65"/>
        <v>3669120</v>
      </c>
      <c r="V328" s="36"/>
      <c r="W328" s="36"/>
      <c r="X328" s="28"/>
      <c r="Y328" s="28"/>
      <c r="Z328" s="20"/>
    </row>
    <row r="329" spans="1:26" s="29" customFormat="1" ht="90.75" customHeight="1" x14ac:dyDescent="0.25">
      <c r="A329" s="20"/>
      <c r="B329" s="20"/>
      <c r="C329" s="20"/>
      <c r="D329" s="21"/>
      <c r="E329" s="21"/>
      <c r="F329" s="22"/>
      <c r="G329" s="22"/>
      <c r="H329" s="24"/>
      <c r="I329" s="25"/>
      <c r="J329" s="24"/>
      <c r="K329" s="30">
        <v>9</v>
      </c>
      <c r="L329" s="31" t="s">
        <v>34</v>
      </c>
      <c r="M329" s="31"/>
      <c r="N329" s="51">
        <v>1</v>
      </c>
      <c r="O329" s="45">
        <v>1920</v>
      </c>
      <c r="P329" s="35">
        <v>100</v>
      </c>
      <c r="Q329" s="40">
        <v>2100</v>
      </c>
      <c r="R329" s="36">
        <f t="shared" si="63"/>
        <v>4032000</v>
      </c>
      <c r="S329" s="37">
        <v>9</v>
      </c>
      <c r="T329" s="28">
        <f t="shared" si="64"/>
        <v>362880</v>
      </c>
      <c r="U329" s="36">
        <f t="shared" si="65"/>
        <v>3669120</v>
      </c>
      <c r="V329" s="36"/>
      <c r="W329" s="36"/>
      <c r="X329" s="28"/>
      <c r="Y329" s="28"/>
      <c r="Z329" s="20"/>
    </row>
    <row r="330" spans="1:26" s="29" customFormat="1" ht="90.75" customHeight="1" x14ac:dyDescent="0.25">
      <c r="A330" s="20"/>
      <c r="B330" s="20"/>
      <c r="C330" s="20"/>
      <c r="D330" s="21"/>
      <c r="E330" s="21"/>
      <c r="F330" s="22"/>
      <c r="G330" s="22"/>
      <c r="H330" s="24"/>
      <c r="I330" s="25"/>
      <c r="J330" s="24"/>
      <c r="K330" s="30">
        <v>10</v>
      </c>
      <c r="L330" s="31" t="s">
        <v>36</v>
      </c>
      <c r="M330" s="31"/>
      <c r="N330" s="51">
        <v>1</v>
      </c>
      <c r="O330" s="45">
        <v>72</v>
      </c>
      <c r="P330" s="35">
        <v>100</v>
      </c>
      <c r="Q330" s="40">
        <v>5550</v>
      </c>
      <c r="R330" s="36">
        <f t="shared" si="63"/>
        <v>399600</v>
      </c>
      <c r="S330" s="37">
        <v>9</v>
      </c>
      <c r="T330" s="28">
        <f t="shared" si="64"/>
        <v>35964</v>
      </c>
      <c r="U330" s="36">
        <f t="shared" si="65"/>
        <v>363636</v>
      </c>
      <c r="V330" s="36"/>
      <c r="W330" s="36"/>
      <c r="X330" s="28"/>
      <c r="Y330" s="28"/>
      <c r="Z330" s="20"/>
    </row>
    <row r="331" spans="1:26" s="29" customFormat="1" ht="90.75" customHeight="1" x14ac:dyDescent="0.25">
      <c r="A331" s="20"/>
      <c r="B331" s="20"/>
      <c r="C331" s="20"/>
      <c r="D331" s="21"/>
      <c r="E331" s="21"/>
      <c r="F331" s="22"/>
      <c r="G331" s="22"/>
      <c r="H331" s="24"/>
      <c r="I331" s="25"/>
      <c r="J331" s="24"/>
      <c r="K331" s="30">
        <v>11</v>
      </c>
      <c r="L331" s="31" t="s">
        <v>36</v>
      </c>
      <c r="M331" s="31"/>
      <c r="N331" s="51">
        <v>1</v>
      </c>
      <c r="O331" s="45">
        <v>40</v>
      </c>
      <c r="P331" s="35">
        <v>100</v>
      </c>
      <c r="Q331" s="40">
        <v>5550</v>
      </c>
      <c r="R331" s="36">
        <f t="shared" si="63"/>
        <v>222000</v>
      </c>
      <c r="S331" s="37">
        <v>9</v>
      </c>
      <c r="T331" s="28">
        <f t="shared" si="64"/>
        <v>19980</v>
      </c>
      <c r="U331" s="36">
        <f t="shared" si="65"/>
        <v>202020</v>
      </c>
      <c r="V331" s="36"/>
      <c r="W331" s="36"/>
      <c r="X331" s="28"/>
      <c r="Y331" s="28"/>
      <c r="Z331" s="20"/>
    </row>
    <row r="332" spans="1:26" s="29" customFormat="1" ht="90.75" customHeight="1" x14ac:dyDescent="0.25">
      <c r="A332" s="20"/>
      <c r="B332" s="20"/>
      <c r="C332" s="20"/>
      <c r="D332" s="21"/>
      <c r="E332" s="21"/>
      <c r="F332" s="22"/>
      <c r="G332" s="22"/>
      <c r="H332" s="24"/>
      <c r="I332" s="25"/>
      <c r="J332" s="24"/>
      <c r="K332" s="30"/>
      <c r="L332" s="31"/>
      <c r="M332" s="31"/>
      <c r="N332" s="51"/>
      <c r="O332" s="45"/>
      <c r="P332" s="35"/>
      <c r="Q332" s="40"/>
      <c r="R332" s="36"/>
      <c r="S332" s="37"/>
      <c r="T332" s="28"/>
      <c r="U332" s="36">
        <f>SUM(U321:U331)</f>
        <v>23621598</v>
      </c>
      <c r="V332" s="36">
        <f>(J321+U332)</f>
        <v>26213223</v>
      </c>
      <c r="W332" s="36">
        <f>(V332*100/100)</f>
        <v>26213223</v>
      </c>
      <c r="X332" s="28">
        <v>0</v>
      </c>
      <c r="Y332" s="28">
        <f>(W332-X332)</f>
        <v>26213223</v>
      </c>
      <c r="Z332" s="49">
        <v>3.0000000000000001E-3</v>
      </c>
    </row>
    <row r="333" spans="1:26" s="29" customFormat="1" ht="90.75" customHeight="1" x14ac:dyDescent="0.25">
      <c r="A333" s="20">
        <v>221</v>
      </c>
      <c r="B333" s="20" t="s">
        <v>0</v>
      </c>
      <c r="C333" s="20">
        <v>48035</v>
      </c>
      <c r="D333" s="21">
        <v>39</v>
      </c>
      <c r="E333" s="21">
        <v>0</v>
      </c>
      <c r="F333" s="22">
        <v>3</v>
      </c>
      <c r="G333" s="21" t="s">
        <v>209</v>
      </c>
      <c r="H333" s="24">
        <f>(D333*400)+(E333*100)+F333</f>
        <v>15603</v>
      </c>
      <c r="I333" s="25" t="s">
        <v>123</v>
      </c>
      <c r="J333" s="24">
        <f>(H333*I333)</f>
        <v>70213500</v>
      </c>
      <c r="K333" s="20"/>
      <c r="L333" s="20"/>
      <c r="M333" s="20"/>
      <c r="N333" s="20"/>
      <c r="O333" s="24"/>
      <c r="P333" s="24"/>
      <c r="Q333" s="25"/>
      <c r="R333" s="24"/>
      <c r="S333" s="20"/>
      <c r="T333" s="27"/>
      <c r="U333" s="20"/>
      <c r="V333" s="20"/>
      <c r="W333" s="26"/>
      <c r="X333" s="27"/>
      <c r="Y333" s="20"/>
      <c r="Z333" s="20"/>
    </row>
    <row r="334" spans="1:26" s="29" customFormat="1" ht="90.75" customHeight="1" x14ac:dyDescent="0.25">
      <c r="A334" s="20"/>
      <c r="B334" s="20"/>
      <c r="C334" s="20"/>
      <c r="D334" s="21"/>
      <c r="E334" s="21"/>
      <c r="F334" s="22"/>
      <c r="G334" s="22"/>
      <c r="H334" s="24"/>
      <c r="I334" s="25"/>
      <c r="J334" s="24"/>
      <c r="K334" s="37">
        <v>1</v>
      </c>
      <c r="L334" s="20" t="s">
        <v>15</v>
      </c>
      <c r="M334" s="20" t="s">
        <v>13</v>
      </c>
      <c r="N334" s="62" t="s">
        <v>209</v>
      </c>
      <c r="O334" s="24">
        <v>2600</v>
      </c>
      <c r="P334" s="35">
        <v>100</v>
      </c>
      <c r="Q334" s="40">
        <v>5950</v>
      </c>
      <c r="R334" s="77">
        <f t="shared" ref="R334:R341" si="66">(O334*Q334)</f>
        <v>15470000</v>
      </c>
      <c r="S334" s="37">
        <v>7</v>
      </c>
      <c r="T334" s="28">
        <f t="shared" ref="T334:T340" si="67">(R334*7/100)</f>
        <v>1082900</v>
      </c>
      <c r="U334" s="77">
        <f t="shared" ref="U334:U341" si="68">(R334-T334)</f>
        <v>14387100</v>
      </c>
      <c r="V334" s="20"/>
      <c r="W334" s="26"/>
      <c r="X334" s="27"/>
      <c r="Y334" s="20"/>
      <c r="Z334" s="20"/>
    </row>
    <row r="335" spans="1:26" s="29" customFormat="1" ht="90.75" customHeight="1" x14ac:dyDescent="0.25">
      <c r="A335" s="20"/>
      <c r="B335" s="20"/>
      <c r="C335" s="20"/>
      <c r="D335" s="21"/>
      <c r="E335" s="21"/>
      <c r="F335" s="22"/>
      <c r="G335" s="22"/>
      <c r="H335" s="24"/>
      <c r="I335" s="25"/>
      <c r="J335" s="24"/>
      <c r="K335" s="37">
        <v>2</v>
      </c>
      <c r="L335" s="20" t="s">
        <v>48</v>
      </c>
      <c r="M335" s="20" t="s">
        <v>13</v>
      </c>
      <c r="N335" s="62" t="s">
        <v>209</v>
      </c>
      <c r="O335" s="24">
        <v>9935</v>
      </c>
      <c r="P335" s="35">
        <v>100</v>
      </c>
      <c r="Q335" s="40">
        <v>3500</v>
      </c>
      <c r="R335" s="77">
        <f t="shared" si="66"/>
        <v>34772500</v>
      </c>
      <c r="S335" s="37">
        <v>7</v>
      </c>
      <c r="T335" s="28">
        <f t="shared" si="67"/>
        <v>2434075</v>
      </c>
      <c r="U335" s="77">
        <f t="shared" si="68"/>
        <v>32338425</v>
      </c>
      <c r="V335" s="20"/>
      <c r="W335" s="26"/>
      <c r="X335" s="27"/>
      <c r="Y335" s="20"/>
      <c r="Z335" s="20"/>
    </row>
    <row r="336" spans="1:26" s="29" customFormat="1" ht="90.75" customHeight="1" x14ac:dyDescent="0.25">
      <c r="A336" s="20"/>
      <c r="B336" s="20"/>
      <c r="C336" s="20"/>
      <c r="D336" s="21"/>
      <c r="E336" s="21"/>
      <c r="F336" s="22"/>
      <c r="G336" s="22"/>
      <c r="H336" s="24"/>
      <c r="I336" s="25"/>
      <c r="J336" s="24"/>
      <c r="K336" s="37">
        <v>3</v>
      </c>
      <c r="L336" s="20" t="s">
        <v>12</v>
      </c>
      <c r="M336" s="20" t="s">
        <v>24</v>
      </c>
      <c r="N336" s="62" t="s">
        <v>209</v>
      </c>
      <c r="O336" s="24">
        <v>800</v>
      </c>
      <c r="P336" s="35">
        <v>100</v>
      </c>
      <c r="Q336" s="40">
        <v>7700</v>
      </c>
      <c r="R336" s="77">
        <f t="shared" si="66"/>
        <v>6160000</v>
      </c>
      <c r="S336" s="37">
        <v>7</v>
      </c>
      <c r="T336" s="28">
        <f t="shared" si="67"/>
        <v>431200</v>
      </c>
      <c r="U336" s="77">
        <f t="shared" si="68"/>
        <v>5728800</v>
      </c>
      <c r="V336" s="20"/>
      <c r="W336" s="26"/>
      <c r="X336" s="27"/>
      <c r="Y336" s="20"/>
      <c r="Z336" s="20"/>
    </row>
    <row r="337" spans="1:16109" s="29" customFormat="1" ht="90.75" customHeight="1" x14ac:dyDescent="0.25">
      <c r="A337" s="20"/>
      <c r="B337" s="20"/>
      <c r="C337" s="20"/>
      <c r="D337" s="21"/>
      <c r="E337" s="21"/>
      <c r="F337" s="22"/>
      <c r="G337" s="22"/>
      <c r="H337" s="24"/>
      <c r="I337" s="25"/>
      <c r="J337" s="24"/>
      <c r="K337" s="37">
        <v>4</v>
      </c>
      <c r="L337" s="20" t="s">
        <v>31</v>
      </c>
      <c r="M337" s="20"/>
      <c r="N337" s="62" t="s">
        <v>209</v>
      </c>
      <c r="O337" s="24">
        <v>59</v>
      </c>
      <c r="P337" s="35">
        <v>100</v>
      </c>
      <c r="Q337" s="40">
        <v>2550</v>
      </c>
      <c r="R337" s="77">
        <f t="shared" si="66"/>
        <v>150450</v>
      </c>
      <c r="S337" s="37">
        <v>7</v>
      </c>
      <c r="T337" s="28">
        <f t="shared" si="67"/>
        <v>10531.5</v>
      </c>
      <c r="U337" s="77">
        <f t="shared" si="68"/>
        <v>139918.5</v>
      </c>
      <c r="V337" s="20"/>
      <c r="W337" s="26"/>
      <c r="X337" s="27"/>
      <c r="Y337" s="20"/>
      <c r="Z337" s="20"/>
    </row>
    <row r="338" spans="1:16109" s="29" customFormat="1" ht="90.75" customHeight="1" x14ac:dyDescent="0.25">
      <c r="A338" s="20"/>
      <c r="B338" s="20"/>
      <c r="C338" s="20"/>
      <c r="D338" s="21"/>
      <c r="E338" s="21"/>
      <c r="F338" s="22"/>
      <c r="G338" s="22"/>
      <c r="H338" s="24"/>
      <c r="I338" s="25"/>
      <c r="J338" s="24"/>
      <c r="K338" s="37">
        <v>5</v>
      </c>
      <c r="L338" s="20" t="s">
        <v>215</v>
      </c>
      <c r="M338" s="20" t="s">
        <v>13</v>
      </c>
      <c r="N338" s="62" t="s">
        <v>209</v>
      </c>
      <c r="O338" s="24">
        <v>17</v>
      </c>
      <c r="P338" s="35">
        <v>100</v>
      </c>
      <c r="Q338" s="40">
        <v>6450</v>
      </c>
      <c r="R338" s="77">
        <f t="shared" si="66"/>
        <v>109650</v>
      </c>
      <c r="S338" s="37">
        <v>7</v>
      </c>
      <c r="T338" s="28">
        <f t="shared" si="67"/>
        <v>7675.5</v>
      </c>
      <c r="U338" s="77">
        <f t="shared" si="68"/>
        <v>101974.5</v>
      </c>
      <c r="V338" s="20"/>
      <c r="W338" s="26"/>
      <c r="X338" s="27"/>
      <c r="Y338" s="20"/>
      <c r="Z338" s="20"/>
    </row>
    <row r="339" spans="1:16109" s="29" customFormat="1" ht="90.75" customHeight="1" x14ac:dyDescent="0.25">
      <c r="A339" s="20"/>
      <c r="B339" s="20"/>
      <c r="C339" s="20"/>
      <c r="D339" s="21"/>
      <c r="E339" s="21"/>
      <c r="F339" s="22"/>
      <c r="G339" s="22"/>
      <c r="H339" s="24"/>
      <c r="I339" s="25"/>
      <c r="J339" s="24"/>
      <c r="K339" s="37">
        <v>6</v>
      </c>
      <c r="L339" s="20" t="s">
        <v>215</v>
      </c>
      <c r="M339" s="20" t="s">
        <v>13</v>
      </c>
      <c r="N339" s="62" t="s">
        <v>209</v>
      </c>
      <c r="O339" s="24">
        <v>17</v>
      </c>
      <c r="P339" s="35">
        <v>100</v>
      </c>
      <c r="Q339" s="40">
        <v>6450</v>
      </c>
      <c r="R339" s="77">
        <f t="shared" si="66"/>
        <v>109650</v>
      </c>
      <c r="S339" s="37">
        <v>7</v>
      </c>
      <c r="T339" s="28">
        <f t="shared" si="67"/>
        <v>7675.5</v>
      </c>
      <c r="U339" s="77">
        <f t="shared" si="68"/>
        <v>101974.5</v>
      </c>
      <c r="V339" s="20"/>
      <c r="W339" s="26"/>
      <c r="X339" s="27"/>
      <c r="Y339" s="20"/>
      <c r="Z339" s="20"/>
    </row>
    <row r="340" spans="1:16109" s="29" customFormat="1" ht="90.75" customHeight="1" x14ac:dyDescent="0.25">
      <c r="A340" s="20"/>
      <c r="B340" s="20"/>
      <c r="C340" s="20"/>
      <c r="D340" s="21"/>
      <c r="E340" s="21"/>
      <c r="F340" s="22"/>
      <c r="G340" s="22"/>
      <c r="H340" s="24"/>
      <c r="I340" s="25"/>
      <c r="J340" s="24"/>
      <c r="K340" s="37">
        <v>7</v>
      </c>
      <c r="L340" s="20" t="s">
        <v>215</v>
      </c>
      <c r="M340" s="20" t="s">
        <v>13</v>
      </c>
      <c r="N340" s="62" t="s">
        <v>209</v>
      </c>
      <c r="O340" s="24">
        <v>17</v>
      </c>
      <c r="P340" s="35">
        <v>100</v>
      </c>
      <c r="Q340" s="40">
        <v>6450</v>
      </c>
      <c r="R340" s="77">
        <f t="shared" si="66"/>
        <v>109650</v>
      </c>
      <c r="S340" s="37">
        <v>7</v>
      </c>
      <c r="T340" s="28">
        <f t="shared" si="67"/>
        <v>7675.5</v>
      </c>
      <c r="U340" s="77">
        <f t="shared" si="68"/>
        <v>101974.5</v>
      </c>
      <c r="V340" s="20"/>
      <c r="W340" s="26"/>
      <c r="X340" s="27"/>
      <c r="Y340" s="20"/>
      <c r="Z340" s="20"/>
    </row>
    <row r="341" spans="1:16109" s="29" customFormat="1" ht="90.75" customHeight="1" x14ac:dyDescent="0.25">
      <c r="A341" s="20"/>
      <c r="B341" s="20"/>
      <c r="C341" s="20"/>
      <c r="D341" s="21"/>
      <c r="E341" s="21"/>
      <c r="F341" s="22"/>
      <c r="G341" s="22"/>
      <c r="H341" s="24"/>
      <c r="I341" s="25"/>
      <c r="J341" s="24"/>
      <c r="K341" s="37">
        <v>8</v>
      </c>
      <c r="L341" s="20" t="s">
        <v>48</v>
      </c>
      <c r="M341" s="20" t="s">
        <v>13</v>
      </c>
      <c r="N341" s="62" t="s">
        <v>209</v>
      </c>
      <c r="O341" s="24">
        <v>9416</v>
      </c>
      <c r="P341" s="35">
        <v>100</v>
      </c>
      <c r="Q341" s="40">
        <v>3500</v>
      </c>
      <c r="R341" s="77">
        <f t="shared" si="66"/>
        <v>32956000</v>
      </c>
      <c r="S341" s="37">
        <v>4</v>
      </c>
      <c r="T341" s="28">
        <f>(R341*4/100)</f>
        <v>1318240</v>
      </c>
      <c r="U341" s="77">
        <f t="shared" si="68"/>
        <v>31637760</v>
      </c>
      <c r="V341" s="20"/>
      <c r="W341" s="26"/>
      <c r="X341" s="27"/>
      <c r="Y341" s="20"/>
      <c r="Z341" s="20"/>
    </row>
    <row r="342" spans="1:16109" s="29" customFormat="1" ht="90.75" customHeight="1" x14ac:dyDescent="0.25">
      <c r="A342" s="20"/>
      <c r="B342" s="20"/>
      <c r="C342" s="20"/>
      <c r="D342" s="21"/>
      <c r="E342" s="21"/>
      <c r="F342" s="22"/>
      <c r="G342" s="22"/>
      <c r="H342" s="24"/>
      <c r="I342" s="25"/>
      <c r="J342" s="24"/>
      <c r="K342" s="20"/>
      <c r="L342" s="20"/>
      <c r="M342" s="20"/>
      <c r="N342" s="20"/>
      <c r="O342" s="24"/>
      <c r="P342" s="24"/>
      <c r="Q342" s="25"/>
      <c r="R342" s="24"/>
      <c r="S342" s="20"/>
      <c r="T342" s="27"/>
      <c r="U342" s="80">
        <f>SUM(U334:U341)</f>
        <v>84537927</v>
      </c>
      <c r="V342" s="27">
        <f>(J333+U342)</f>
        <v>154751427</v>
      </c>
      <c r="W342" s="26">
        <f>(V342*100/100)</f>
        <v>154751427</v>
      </c>
      <c r="X342" s="24">
        <v>0</v>
      </c>
      <c r="Y342" s="26">
        <f>(W342-X342)</f>
        <v>154751427</v>
      </c>
      <c r="Z342" s="49" t="s">
        <v>287</v>
      </c>
    </row>
    <row r="343" spans="1:16109" s="29" customFormat="1" ht="90.75" customHeight="1" x14ac:dyDescent="0.25">
      <c r="A343" s="20">
        <v>222</v>
      </c>
      <c r="B343" s="20" t="s">
        <v>0</v>
      </c>
      <c r="C343" s="20">
        <v>48024</v>
      </c>
      <c r="D343" s="21">
        <v>62</v>
      </c>
      <c r="E343" s="21">
        <v>0</v>
      </c>
      <c r="F343" s="22">
        <v>41</v>
      </c>
      <c r="G343" s="21" t="s">
        <v>209</v>
      </c>
      <c r="H343" s="24">
        <f>(D343*400)+(E343*100)+F343</f>
        <v>24841</v>
      </c>
      <c r="I343" s="25" t="s">
        <v>123</v>
      </c>
      <c r="J343" s="24">
        <f>(H343*I343)</f>
        <v>111784500</v>
      </c>
      <c r="K343" s="37">
        <v>1</v>
      </c>
      <c r="L343" s="20" t="s">
        <v>93</v>
      </c>
      <c r="M343" s="20" t="s">
        <v>24</v>
      </c>
      <c r="N343" s="62" t="s">
        <v>209</v>
      </c>
      <c r="O343" s="24">
        <v>4047</v>
      </c>
      <c r="P343" s="35">
        <v>100</v>
      </c>
      <c r="Q343" s="40">
        <v>7100</v>
      </c>
      <c r="R343" s="77">
        <f t="shared" ref="R343:R357" si="69">(O343*Q343)</f>
        <v>28733700</v>
      </c>
      <c r="S343" s="37">
        <v>5</v>
      </c>
      <c r="T343" s="28">
        <f t="shared" ref="T343:T356" si="70">(R343*5/100)</f>
        <v>1436685</v>
      </c>
      <c r="U343" s="77">
        <f t="shared" ref="U343:U357" si="71">(R343-T343)</f>
        <v>27297015</v>
      </c>
      <c r="V343" s="20"/>
      <c r="W343" s="26"/>
      <c r="X343" s="27"/>
      <c r="Y343" s="20"/>
      <c r="Z343" s="20"/>
    </row>
    <row r="344" spans="1:16109" s="29" customFormat="1" ht="90.75" customHeight="1" x14ac:dyDescent="0.25">
      <c r="A344" s="20"/>
      <c r="B344" s="20"/>
      <c r="C344" s="20"/>
      <c r="D344" s="21"/>
      <c r="E344" s="21"/>
      <c r="F344" s="22"/>
      <c r="G344" s="22"/>
      <c r="H344" s="24"/>
      <c r="I344" s="25"/>
      <c r="J344" s="24"/>
      <c r="K344" s="37">
        <v>2</v>
      </c>
      <c r="L344" s="20" t="s">
        <v>15</v>
      </c>
      <c r="M344" s="20" t="s">
        <v>24</v>
      </c>
      <c r="N344" s="62" t="s">
        <v>209</v>
      </c>
      <c r="O344" s="24">
        <v>44603</v>
      </c>
      <c r="P344" s="35">
        <v>100</v>
      </c>
      <c r="Q344" s="40">
        <v>5950</v>
      </c>
      <c r="R344" s="77">
        <f t="shared" si="69"/>
        <v>265387850</v>
      </c>
      <c r="S344" s="37">
        <v>5</v>
      </c>
      <c r="T344" s="28">
        <f t="shared" si="70"/>
        <v>13269392.5</v>
      </c>
      <c r="U344" s="77">
        <f t="shared" si="71"/>
        <v>252118457.5</v>
      </c>
      <c r="V344" s="20"/>
      <c r="W344" s="26"/>
      <c r="X344" s="27"/>
      <c r="Y344" s="20"/>
      <c r="Z344" s="20"/>
    </row>
    <row r="345" spans="1:16109" s="29" customFormat="1" ht="90.75" customHeight="1" x14ac:dyDescent="0.25">
      <c r="A345" s="20"/>
      <c r="B345" s="20"/>
      <c r="C345" s="20"/>
      <c r="D345" s="21"/>
      <c r="E345" s="21"/>
      <c r="F345" s="22"/>
      <c r="G345" s="22"/>
      <c r="H345" s="24"/>
      <c r="I345" s="25"/>
      <c r="J345" s="24"/>
      <c r="K345" s="37"/>
      <c r="L345" s="20" t="s">
        <v>15</v>
      </c>
      <c r="M345" s="20"/>
      <c r="N345" s="62" t="s">
        <v>209</v>
      </c>
      <c r="O345" s="24">
        <v>40667</v>
      </c>
      <c r="P345" s="35">
        <v>91.18</v>
      </c>
      <c r="Q345" s="40">
        <v>5950</v>
      </c>
      <c r="R345" s="77">
        <f t="shared" si="69"/>
        <v>241968650</v>
      </c>
      <c r="S345" s="37">
        <v>5</v>
      </c>
      <c r="T345" s="28">
        <f t="shared" si="70"/>
        <v>12098432.5</v>
      </c>
      <c r="U345" s="77">
        <f t="shared" si="71"/>
        <v>229870217.5</v>
      </c>
      <c r="V345" s="20"/>
      <c r="W345" s="26"/>
      <c r="X345" s="27"/>
      <c r="Y345" s="20"/>
      <c r="Z345" s="2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50"/>
      <c r="AR345" s="50"/>
      <c r="AS345" s="50"/>
      <c r="AT345" s="50"/>
      <c r="AU345" s="50"/>
      <c r="AV345" s="50"/>
      <c r="AW345" s="50"/>
      <c r="AX345" s="50"/>
      <c r="AY345" s="50"/>
      <c r="AZ345" s="50"/>
      <c r="BA345" s="50"/>
      <c r="BB345" s="50"/>
      <c r="BC345" s="50"/>
      <c r="BD345" s="50"/>
      <c r="BE345" s="50"/>
      <c r="BF345" s="50"/>
      <c r="BG345" s="50"/>
      <c r="BH345" s="50"/>
      <c r="BI345" s="50"/>
      <c r="BJ345" s="50"/>
      <c r="BK345" s="50"/>
      <c r="BL345" s="50"/>
      <c r="BM345" s="50"/>
      <c r="BN345" s="50"/>
      <c r="BO345" s="50"/>
      <c r="BP345" s="50"/>
      <c r="BQ345" s="50"/>
      <c r="BR345" s="50"/>
      <c r="BS345" s="50"/>
      <c r="BT345" s="50"/>
      <c r="BU345" s="50"/>
      <c r="BV345" s="50"/>
      <c r="BW345" s="50"/>
      <c r="BX345" s="50"/>
      <c r="BY345" s="50"/>
      <c r="BZ345" s="50"/>
      <c r="CA345" s="50"/>
      <c r="CB345" s="50"/>
      <c r="CC345" s="50"/>
      <c r="CD345" s="50"/>
      <c r="CE345" s="50"/>
      <c r="CF345" s="50"/>
      <c r="CG345" s="50"/>
      <c r="CH345" s="50"/>
      <c r="CI345" s="50"/>
      <c r="CJ345" s="50"/>
      <c r="CK345" s="50"/>
      <c r="CL345" s="50"/>
      <c r="CM345" s="50"/>
      <c r="CN345" s="50"/>
      <c r="CO345" s="50"/>
      <c r="CP345" s="50"/>
      <c r="CQ345" s="50"/>
      <c r="CR345" s="50"/>
      <c r="CS345" s="50"/>
      <c r="CT345" s="50"/>
      <c r="CU345" s="50"/>
      <c r="CV345" s="50"/>
      <c r="CW345" s="50"/>
      <c r="CX345" s="50"/>
      <c r="CY345" s="50"/>
      <c r="CZ345" s="50"/>
      <c r="DA345" s="50"/>
      <c r="DB345" s="50"/>
      <c r="DC345" s="50"/>
      <c r="DD345" s="50"/>
      <c r="DE345" s="50"/>
      <c r="DF345" s="50"/>
      <c r="DG345" s="50"/>
      <c r="DH345" s="50"/>
      <c r="DI345" s="50"/>
      <c r="DJ345" s="50"/>
      <c r="DK345" s="50"/>
      <c r="DL345" s="50"/>
      <c r="DM345" s="50"/>
      <c r="DN345" s="50"/>
      <c r="DO345" s="50"/>
      <c r="DP345" s="50"/>
      <c r="DQ345" s="50"/>
      <c r="DR345" s="50"/>
      <c r="DS345" s="50"/>
      <c r="DT345" s="50"/>
      <c r="DU345" s="50"/>
      <c r="DV345" s="50"/>
      <c r="DW345" s="50"/>
      <c r="DX345" s="50"/>
      <c r="DY345" s="50"/>
      <c r="DZ345" s="50"/>
      <c r="EA345" s="50"/>
      <c r="EB345" s="50"/>
      <c r="EC345" s="50"/>
      <c r="ED345" s="50"/>
      <c r="EE345" s="50"/>
      <c r="EF345" s="50"/>
      <c r="EG345" s="50"/>
      <c r="EH345" s="50"/>
      <c r="EI345" s="50"/>
      <c r="EJ345" s="50"/>
      <c r="EK345" s="50"/>
      <c r="EL345" s="50"/>
      <c r="EM345" s="50"/>
      <c r="EN345" s="50"/>
      <c r="EO345" s="50"/>
      <c r="EP345" s="50"/>
      <c r="EQ345" s="50"/>
      <c r="ER345" s="50"/>
      <c r="ES345" s="50"/>
      <c r="ET345" s="50"/>
      <c r="EU345" s="50"/>
      <c r="EV345" s="50"/>
      <c r="EW345" s="50"/>
      <c r="EX345" s="50"/>
      <c r="EY345" s="50"/>
      <c r="EZ345" s="50"/>
      <c r="FA345" s="50"/>
      <c r="FB345" s="50"/>
      <c r="FC345" s="50"/>
      <c r="FD345" s="50"/>
      <c r="FE345" s="50"/>
      <c r="FF345" s="50"/>
      <c r="FG345" s="50"/>
      <c r="FH345" s="50"/>
      <c r="FI345" s="50"/>
      <c r="FJ345" s="50"/>
      <c r="FK345" s="50"/>
      <c r="FL345" s="50"/>
      <c r="FM345" s="50"/>
      <c r="FN345" s="50"/>
      <c r="FO345" s="50"/>
      <c r="FP345" s="50"/>
      <c r="FQ345" s="50"/>
      <c r="FR345" s="50"/>
      <c r="FS345" s="50"/>
      <c r="FT345" s="50"/>
      <c r="FU345" s="50"/>
      <c r="FV345" s="50"/>
      <c r="FW345" s="50"/>
      <c r="FX345" s="50"/>
      <c r="FY345" s="50"/>
      <c r="FZ345" s="50"/>
      <c r="GA345" s="50"/>
      <c r="GB345" s="50"/>
      <c r="GC345" s="50"/>
      <c r="GD345" s="50"/>
      <c r="GE345" s="50"/>
      <c r="GF345" s="50"/>
      <c r="GG345" s="50"/>
      <c r="GH345" s="50"/>
      <c r="GI345" s="50"/>
      <c r="GJ345" s="50"/>
      <c r="GK345" s="50"/>
      <c r="GL345" s="50"/>
      <c r="GM345" s="50"/>
      <c r="GN345" s="50"/>
      <c r="GO345" s="50"/>
      <c r="GP345" s="50"/>
      <c r="GQ345" s="50"/>
      <c r="GR345" s="50"/>
      <c r="GS345" s="50"/>
      <c r="GT345" s="50"/>
      <c r="GU345" s="50"/>
      <c r="GV345" s="50"/>
      <c r="GW345" s="50"/>
      <c r="GX345" s="50"/>
      <c r="GY345" s="50"/>
      <c r="GZ345" s="50"/>
      <c r="HA345" s="50"/>
      <c r="HB345" s="50"/>
      <c r="HC345" s="50"/>
      <c r="HD345" s="50"/>
      <c r="HE345" s="50"/>
      <c r="HF345" s="50"/>
      <c r="HG345" s="50"/>
      <c r="HH345" s="50"/>
      <c r="HI345" s="50"/>
      <c r="HJ345" s="50"/>
      <c r="HK345" s="50"/>
      <c r="HL345" s="50"/>
      <c r="HM345" s="50"/>
      <c r="HN345" s="50"/>
      <c r="HO345" s="50"/>
      <c r="HP345" s="50"/>
      <c r="HQ345" s="50"/>
      <c r="HR345" s="50"/>
      <c r="HS345" s="50"/>
      <c r="HT345" s="50"/>
      <c r="HU345" s="50"/>
      <c r="HV345" s="50"/>
      <c r="HW345" s="50"/>
      <c r="HX345" s="50"/>
      <c r="HY345" s="50"/>
      <c r="HZ345" s="50"/>
      <c r="IA345" s="50"/>
      <c r="IB345" s="50"/>
      <c r="IC345" s="50"/>
      <c r="ID345" s="50"/>
      <c r="IE345" s="50"/>
      <c r="IF345" s="50"/>
      <c r="IG345" s="50"/>
      <c r="IH345" s="50"/>
      <c r="II345" s="50"/>
      <c r="IJ345" s="50"/>
      <c r="IK345" s="50"/>
      <c r="IL345" s="50"/>
      <c r="IM345" s="50"/>
      <c r="IN345" s="50"/>
      <c r="IO345" s="50"/>
      <c r="IP345" s="50"/>
      <c r="IQ345" s="50"/>
      <c r="IR345" s="50"/>
      <c r="IS345" s="50"/>
      <c r="IT345" s="50"/>
      <c r="IU345" s="50"/>
      <c r="IV345" s="50"/>
      <c r="IW345" s="50"/>
      <c r="IX345" s="50"/>
      <c r="IY345" s="50"/>
      <c r="IZ345" s="50"/>
      <c r="JA345" s="50"/>
      <c r="JB345" s="50"/>
      <c r="JC345" s="50"/>
      <c r="JD345" s="50"/>
      <c r="JE345" s="50"/>
      <c r="JF345" s="50"/>
      <c r="JG345" s="50"/>
      <c r="JH345" s="50"/>
      <c r="JI345" s="50"/>
      <c r="JJ345" s="50"/>
      <c r="JK345" s="50"/>
      <c r="JL345" s="50"/>
      <c r="JM345" s="50"/>
      <c r="JN345" s="50"/>
      <c r="JO345" s="50"/>
      <c r="JP345" s="50"/>
      <c r="JQ345" s="50"/>
      <c r="JR345" s="50"/>
      <c r="JS345" s="50"/>
      <c r="JT345" s="50"/>
      <c r="JU345" s="50"/>
      <c r="JV345" s="50"/>
      <c r="JW345" s="50"/>
      <c r="JX345" s="50"/>
      <c r="JY345" s="50"/>
      <c r="JZ345" s="50"/>
      <c r="KA345" s="50"/>
      <c r="KB345" s="50"/>
      <c r="KC345" s="50"/>
      <c r="KD345" s="50"/>
      <c r="KE345" s="50"/>
      <c r="KF345" s="50"/>
      <c r="KG345" s="50"/>
      <c r="KH345" s="50"/>
      <c r="KI345" s="50"/>
      <c r="KJ345" s="50"/>
      <c r="KK345" s="50"/>
      <c r="KL345" s="50"/>
      <c r="KM345" s="50"/>
      <c r="KN345" s="50"/>
      <c r="KO345" s="50"/>
      <c r="KP345" s="50"/>
      <c r="KQ345" s="50"/>
      <c r="KR345" s="50"/>
      <c r="KS345" s="50"/>
      <c r="KT345" s="50"/>
      <c r="KU345" s="50"/>
      <c r="KV345" s="50"/>
      <c r="KW345" s="50"/>
      <c r="KX345" s="50"/>
      <c r="KY345" s="50"/>
      <c r="KZ345" s="50"/>
      <c r="LA345" s="50"/>
      <c r="LB345" s="50"/>
      <c r="LC345" s="50"/>
      <c r="LD345" s="50"/>
      <c r="LE345" s="50"/>
      <c r="LF345" s="50"/>
      <c r="LG345" s="50"/>
      <c r="LH345" s="50"/>
      <c r="LI345" s="50"/>
      <c r="LJ345" s="50"/>
      <c r="LK345" s="50"/>
      <c r="LL345" s="50"/>
      <c r="LM345" s="50"/>
      <c r="LN345" s="50"/>
      <c r="LO345" s="50"/>
      <c r="LP345" s="50"/>
      <c r="LQ345" s="50"/>
      <c r="LR345" s="50"/>
      <c r="LS345" s="50"/>
      <c r="LT345" s="50"/>
      <c r="LU345" s="50"/>
      <c r="LV345" s="50"/>
      <c r="LW345" s="50"/>
      <c r="LX345" s="50"/>
      <c r="LY345" s="50"/>
      <c r="LZ345" s="50"/>
      <c r="MA345" s="50"/>
      <c r="MB345" s="50"/>
      <c r="MC345" s="50"/>
      <c r="MD345" s="50"/>
      <c r="ME345" s="50"/>
      <c r="MF345" s="50"/>
      <c r="MG345" s="50"/>
      <c r="MH345" s="50"/>
      <c r="MI345" s="50"/>
      <c r="MJ345" s="50"/>
      <c r="MK345" s="50"/>
      <c r="ML345" s="50"/>
      <c r="MM345" s="50"/>
      <c r="MN345" s="50"/>
      <c r="MO345" s="50"/>
      <c r="MP345" s="50"/>
      <c r="MQ345" s="50"/>
      <c r="MR345" s="50"/>
      <c r="MS345" s="50"/>
      <c r="MT345" s="50"/>
      <c r="MU345" s="50"/>
      <c r="MV345" s="50"/>
      <c r="MW345" s="50"/>
      <c r="MX345" s="50"/>
      <c r="MY345" s="50"/>
      <c r="MZ345" s="50"/>
      <c r="NA345" s="50"/>
      <c r="NB345" s="50"/>
      <c r="NC345" s="50"/>
      <c r="ND345" s="50"/>
      <c r="NE345" s="50"/>
      <c r="NF345" s="50"/>
      <c r="NG345" s="50"/>
      <c r="NH345" s="50"/>
      <c r="NI345" s="50"/>
      <c r="NJ345" s="50"/>
      <c r="NK345" s="50"/>
      <c r="NL345" s="50"/>
      <c r="NM345" s="50"/>
      <c r="NN345" s="50"/>
      <c r="NO345" s="50"/>
      <c r="NP345" s="50"/>
      <c r="NQ345" s="50"/>
      <c r="NR345" s="50"/>
      <c r="NS345" s="50"/>
      <c r="NT345" s="50"/>
      <c r="NU345" s="50"/>
      <c r="NV345" s="50"/>
      <c r="NW345" s="50"/>
      <c r="NX345" s="50"/>
      <c r="NY345" s="50"/>
      <c r="NZ345" s="50"/>
      <c r="OA345" s="50"/>
      <c r="OB345" s="50"/>
      <c r="OC345" s="50"/>
      <c r="OD345" s="50"/>
      <c r="OE345" s="50"/>
      <c r="OF345" s="50"/>
      <c r="OG345" s="50"/>
      <c r="OH345" s="50"/>
      <c r="OI345" s="50"/>
      <c r="OJ345" s="50"/>
      <c r="OK345" s="50"/>
      <c r="OL345" s="50"/>
      <c r="OM345" s="50"/>
      <c r="ON345" s="50"/>
      <c r="OO345" s="50"/>
      <c r="OP345" s="50"/>
      <c r="OQ345" s="50"/>
      <c r="OR345" s="50"/>
      <c r="OS345" s="50"/>
      <c r="OT345" s="50"/>
      <c r="OU345" s="50"/>
      <c r="OV345" s="50"/>
      <c r="OW345" s="50"/>
      <c r="OX345" s="50"/>
      <c r="OY345" s="50"/>
      <c r="OZ345" s="50"/>
      <c r="PA345" s="50"/>
      <c r="PB345" s="50"/>
      <c r="PC345" s="50"/>
      <c r="PD345" s="50"/>
      <c r="PE345" s="50"/>
      <c r="PF345" s="50"/>
      <c r="PG345" s="50"/>
      <c r="PH345" s="50"/>
      <c r="PI345" s="50"/>
      <c r="PJ345" s="50"/>
      <c r="PK345" s="50"/>
      <c r="PL345" s="50"/>
      <c r="PM345" s="50"/>
      <c r="PN345" s="50"/>
      <c r="PO345" s="50"/>
      <c r="PP345" s="50"/>
      <c r="PQ345" s="50"/>
      <c r="PR345" s="50"/>
      <c r="PS345" s="50"/>
      <c r="PT345" s="50"/>
      <c r="PU345" s="50"/>
      <c r="PV345" s="50"/>
      <c r="PW345" s="50"/>
      <c r="PX345" s="50"/>
      <c r="PY345" s="50"/>
      <c r="PZ345" s="50"/>
      <c r="QA345" s="50"/>
      <c r="QB345" s="50"/>
      <c r="QC345" s="50"/>
      <c r="QD345" s="50"/>
      <c r="QE345" s="50"/>
      <c r="QF345" s="50"/>
      <c r="QG345" s="50"/>
      <c r="QH345" s="50"/>
      <c r="QI345" s="50"/>
      <c r="QJ345" s="50"/>
      <c r="QK345" s="50"/>
      <c r="QL345" s="50"/>
      <c r="QM345" s="50"/>
      <c r="QN345" s="50"/>
      <c r="QO345" s="50"/>
      <c r="QP345" s="50"/>
      <c r="QQ345" s="50"/>
      <c r="QR345" s="50"/>
      <c r="QS345" s="50"/>
      <c r="QT345" s="50"/>
      <c r="QU345" s="50"/>
      <c r="QV345" s="50"/>
      <c r="QW345" s="50"/>
      <c r="QX345" s="50"/>
      <c r="QY345" s="50"/>
      <c r="QZ345" s="50"/>
      <c r="RA345" s="50"/>
      <c r="RB345" s="50"/>
      <c r="RC345" s="50"/>
      <c r="RD345" s="50"/>
      <c r="RE345" s="50"/>
      <c r="RF345" s="50"/>
      <c r="RG345" s="50"/>
      <c r="RH345" s="50"/>
      <c r="RI345" s="50"/>
      <c r="RJ345" s="50"/>
      <c r="RK345" s="50"/>
      <c r="RL345" s="50"/>
      <c r="RM345" s="50"/>
      <c r="RN345" s="50"/>
      <c r="RO345" s="50"/>
      <c r="RP345" s="50"/>
      <c r="RQ345" s="50"/>
      <c r="RR345" s="50"/>
      <c r="RS345" s="50"/>
      <c r="RT345" s="50"/>
      <c r="RU345" s="50"/>
      <c r="RV345" s="50"/>
      <c r="RW345" s="50"/>
      <c r="RX345" s="50"/>
      <c r="RY345" s="50"/>
      <c r="RZ345" s="50"/>
      <c r="SA345" s="50"/>
      <c r="SB345" s="50"/>
      <c r="SC345" s="50"/>
      <c r="SD345" s="50"/>
      <c r="SE345" s="50"/>
      <c r="SF345" s="50"/>
      <c r="SG345" s="50"/>
      <c r="SH345" s="50"/>
      <c r="SI345" s="50"/>
      <c r="SJ345" s="50"/>
      <c r="SK345" s="50"/>
      <c r="SL345" s="50"/>
      <c r="SM345" s="50"/>
      <c r="SN345" s="50"/>
      <c r="SO345" s="50"/>
      <c r="SP345" s="50"/>
      <c r="SQ345" s="50"/>
      <c r="SR345" s="50"/>
      <c r="SS345" s="50"/>
      <c r="ST345" s="50"/>
      <c r="SU345" s="50"/>
      <c r="SV345" s="50"/>
      <c r="SW345" s="50"/>
      <c r="SX345" s="50"/>
      <c r="SY345" s="50"/>
      <c r="SZ345" s="50"/>
      <c r="TA345" s="50"/>
      <c r="TB345" s="50"/>
      <c r="TC345" s="50"/>
      <c r="TD345" s="50"/>
      <c r="TE345" s="50"/>
      <c r="TF345" s="50"/>
      <c r="TG345" s="50"/>
      <c r="TH345" s="50"/>
      <c r="TI345" s="50"/>
      <c r="TJ345" s="50"/>
      <c r="TK345" s="50"/>
      <c r="TL345" s="50"/>
      <c r="TM345" s="50"/>
      <c r="TN345" s="50"/>
      <c r="TO345" s="50"/>
      <c r="TP345" s="50"/>
      <c r="TQ345" s="50"/>
      <c r="TR345" s="50"/>
      <c r="TS345" s="50"/>
      <c r="TT345" s="50"/>
      <c r="TU345" s="50"/>
      <c r="TV345" s="50"/>
      <c r="TW345" s="50"/>
      <c r="TX345" s="50"/>
      <c r="TY345" s="50"/>
      <c r="TZ345" s="50"/>
      <c r="UA345" s="50"/>
      <c r="UB345" s="50"/>
      <c r="UC345" s="50"/>
      <c r="UD345" s="50"/>
      <c r="UE345" s="50"/>
      <c r="UF345" s="50"/>
      <c r="UG345" s="50"/>
      <c r="UH345" s="50"/>
      <c r="UI345" s="50"/>
      <c r="UJ345" s="50"/>
      <c r="UK345" s="50"/>
      <c r="UL345" s="50"/>
      <c r="UM345" s="50"/>
      <c r="UN345" s="50"/>
      <c r="UO345" s="50"/>
      <c r="UP345" s="50"/>
      <c r="UQ345" s="50"/>
      <c r="UR345" s="50"/>
      <c r="US345" s="50"/>
      <c r="UT345" s="50"/>
      <c r="UU345" s="50"/>
      <c r="UV345" s="50"/>
      <c r="UW345" s="50"/>
      <c r="UX345" s="50"/>
      <c r="UY345" s="50"/>
      <c r="UZ345" s="50"/>
      <c r="VA345" s="50"/>
      <c r="VB345" s="50"/>
      <c r="VC345" s="50"/>
      <c r="VD345" s="50"/>
      <c r="VE345" s="50"/>
      <c r="VF345" s="50"/>
      <c r="VG345" s="50"/>
      <c r="VH345" s="50"/>
      <c r="VI345" s="50"/>
      <c r="VJ345" s="50"/>
      <c r="VK345" s="50"/>
      <c r="VL345" s="50"/>
      <c r="VM345" s="50"/>
      <c r="VN345" s="50"/>
      <c r="VO345" s="50"/>
      <c r="VP345" s="50"/>
      <c r="VQ345" s="50"/>
      <c r="VR345" s="50"/>
      <c r="VS345" s="50"/>
      <c r="VT345" s="50"/>
      <c r="VU345" s="50"/>
      <c r="VV345" s="50"/>
      <c r="VW345" s="50"/>
      <c r="VX345" s="50"/>
      <c r="VY345" s="50"/>
      <c r="VZ345" s="50"/>
      <c r="WA345" s="50"/>
      <c r="WB345" s="50"/>
      <c r="WC345" s="50"/>
      <c r="WD345" s="50"/>
      <c r="WE345" s="50"/>
      <c r="WF345" s="50"/>
      <c r="WG345" s="50"/>
      <c r="WH345" s="50"/>
      <c r="WI345" s="50"/>
      <c r="WJ345" s="50"/>
      <c r="WK345" s="50"/>
      <c r="WL345" s="50"/>
      <c r="WM345" s="50"/>
      <c r="WN345" s="50"/>
      <c r="WO345" s="50"/>
      <c r="WP345" s="50"/>
      <c r="WQ345" s="50"/>
      <c r="WR345" s="50"/>
      <c r="WS345" s="50"/>
      <c r="WT345" s="50"/>
      <c r="WU345" s="50"/>
      <c r="WV345" s="50"/>
      <c r="WW345" s="50"/>
      <c r="WX345" s="50"/>
      <c r="WY345" s="50"/>
      <c r="WZ345" s="50"/>
      <c r="XA345" s="50"/>
      <c r="XB345" s="50"/>
      <c r="XC345" s="50"/>
      <c r="XD345" s="50"/>
      <c r="XE345" s="50"/>
      <c r="XF345" s="50"/>
      <c r="XG345" s="50"/>
      <c r="XH345" s="50"/>
      <c r="XI345" s="50"/>
      <c r="XJ345" s="50"/>
      <c r="XK345" s="50"/>
      <c r="XL345" s="50"/>
      <c r="XM345" s="50"/>
      <c r="XN345" s="50"/>
      <c r="XO345" s="50"/>
      <c r="XP345" s="50"/>
      <c r="XQ345" s="50"/>
      <c r="XR345" s="50"/>
      <c r="XS345" s="50"/>
      <c r="XT345" s="50"/>
      <c r="XU345" s="50"/>
      <c r="XV345" s="50"/>
      <c r="XW345" s="50"/>
      <c r="XX345" s="50"/>
      <c r="XY345" s="50"/>
      <c r="XZ345" s="50"/>
      <c r="YA345" s="50"/>
      <c r="YB345" s="50"/>
      <c r="YC345" s="50"/>
      <c r="YD345" s="50"/>
      <c r="YE345" s="50"/>
      <c r="YF345" s="50"/>
      <c r="YG345" s="50"/>
      <c r="YH345" s="50"/>
      <c r="YI345" s="50"/>
      <c r="YJ345" s="50"/>
      <c r="YK345" s="50"/>
      <c r="YL345" s="50"/>
      <c r="YM345" s="50"/>
      <c r="YN345" s="50"/>
      <c r="YO345" s="50"/>
      <c r="YP345" s="50"/>
      <c r="YQ345" s="50"/>
      <c r="YR345" s="50"/>
      <c r="YS345" s="50"/>
      <c r="YT345" s="50"/>
      <c r="YU345" s="50"/>
      <c r="YV345" s="50"/>
      <c r="YW345" s="50"/>
      <c r="YX345" s="50"/>
      <c r="YY345" s="50"/>
      <c r="YZ345" s="50"/>
      <c r="ZA345" s="50"/>
      <c r="ZB345" s="50"/>
      <c r="ZC345" s="50"/>
      <c r="ZD345" s="50"/>
      <c r="ZE345" s="50"/>
      <c r="ZF345" s="50"/>
      <c r="ZG345" s="50"/>
      <c r="ZH345" s="50"/>
      <c r="ZI345" s="50"/>
      <c r="ZJ345" s="50"/>
      <c r="ZK345" s="50"/>
      <c r="ZL345" s="50"/>
      <c r="ZM345" s="50"/>
      <c r="ZN345" s="50"/>
      <c r="ZO345" s="50"/>
      <c r="ZP345" s="50"/>
      <c r="ZQ345" s="50"/>
      <c r="ZR345" s="50"/>
      <c r="ZS345" s="50"/>
      <c r="ZT345" s="50"/>
      <c r="ZU345" s="50"/>
      <c r="ZV345" s="50"/>
      <c r="ZW345" s="50"/>
      <c r="ZX345" s="50"/>
      <c r="ZY345" s="50"/>
      <c r="ZZ345" s="50"/>
      <c r="AAA345" s="50"/>
      <c r="AAB345" s="50"/>
      <c r="AAC345" s="50"/>
      <c r="AAD345" s="50"/>
      <c r="AAE345" s="50"/>
      <c r="AAF345" s="50"/>
      <c r="AAG345" s="50"/>
      <c r="AAH345" s="50"/>
      <c r="AAI345" s="50"/>
      <c r="AAJ345" s="50"/>
      <c r="AAK345" s="50"/>
      <c r="AAL345" s="50"/>
      <c r="AAM345" s="50"/>
      <c r="AAN345" s="50"/>
      <c r="AAO345" s="50"/>
      <c r="AAP345" s="50"/>
      <c r="AAQ345" s="50"/>
      <c r="AAR345" s="50"/>
      <c r="AAS345" s="50"/>
      <c r="AAT345" s="50"/>
      <c r="AAU345" s="50"/>
      <c r="AAV345" s="50"/>
      <c r="AAW345" s="50"/>
      <c r="AAX345" s="50"/>
      <c r="AAY345" s="50"/>
      <c r="AAZ345" s="50"/>
      <c r="ABA345" s="50"/>
      <c r="ABB345" s="50"/>
      <c r="ABC345" s="50"/>
      <c r="ABD345" s="50"/>
      <c r="ABE345" s="50"/>
      <c r="ABF345" s="50"/>
      <c r="ABG345" s="50"/>
      <c r="ABH345" s="50"/>
      <c r="ABI345" s="50"/>
      <c r="ABJ345" s="50"/>
      <c r="ABK345" s="50"/>
      <c r="ABL345" s="50"/>
      <c r="ABM345" s="50"/>
      <c r="ABN345" s="50"/>
      <c r="ABO345" s="50"/>
      <c r="ABP345" s="50"/>
      <c r="ABQ345" s="50"/>
      <c r="ABR345" s="50"/>
      <c r="ABS345" s="50"/>
      <c r="ABT345" s="50"/>
      <c r="ABU345" s="50"/>
      <c r="ABV345" s="50"/>
      <c r="ABW345" s="50"/>
      <c r="ABX345" s="50"/>
      <c r="ABY345" s="50"/>
      <c r="ABZ345" s="50"/>
      <c r="ACA345" s="50"/>
      <c r="ACB345" s="50"/>
      <c r="ACC345" s="50"/>
      <c r="ACD345" s="50"/>
      <c r="ACE345" s="50"/>
      <c r="ACF345" s="50"/>
      <c r="ACG345" s="50"/>
      <c r="ACH345" s="50"/>
      <c r="ACI345" s="50"/>
      <c r="ACJ345" s="50"/>
      <c r="ACK345" s="50"/>
      <c r="ACL345" s="50"/>
      <c r="ACM345" s="50"/>
      <c r="ACN345" s="50"/>
      <c r="ACO345" s="50"/>
      <c r="ACP345" s="50"/>
      <c r="ACQ345" s="50"/>
      <c r="ACR345" s="50"/>
      <c r="ACS345" s="50"/>
      <c r="ACT345" s="50"/>
      <c r="ACU345" s="50"/>
      <c r="ACV345" s="50"/>
      <c r="ACW345" s="50"/>
      <c r="ACX345" s="50"/>
      <c r="ACY345" s="50"/>
      <c r="ACZ345" s="50"/>
      <c r="ADA345" s="50"/>
      <c r="ADB345" s="50"/>
      <c r="ADC345" s="50"/>
      <c r="ADD345" s="50"/>
      <c r="ADE345" s="50"/>
      <c r="ADF345" s="50"/>
      <c r="ADG345" s="50"/>
      <c r="ADH345" s="50"/>
      <c r="ADI345" s="50"/>
      <c r="ADJ345" s="50"/>
      <c r="ADK345" s="50"/>
      <c r="ADL345" s="50"/>
      <c r="ADM345" s="50"/>
      <c r="ADN345" s="50"/>
      <c r="ADO345" s="50"/>
      <c r="ADP345" s="50"/>
      <c r="ADQ345" s="50"/>
      <c r="ADR345" s="50"/>
      <c r="ADS345" s="50"/>
      <c r="ADT345" s="50"/>
      <c r="ADU345" s="50"/>
      <c r="ADV345" s="50"/>
      <c r="ADW345" s="50"/>
      <c r="ADX345" s="50"/>
      <c r="ADY345" s="50"/>
      <c r="ADZ345" s="50"/>
      <c r="AEA345" s="50"/>
      <c r="AEB345" s="50"/>
      <c r="AEC345" s="50"/>
      <c r="AED345" s="50"/>
      <c r="AEE345" s="50"/>
      <c r="AEF345" s="50"/>
      <c r="AEG345" s="50"/>
      <c r="AEH345" s="50"/>
      <c r="AEI345" s="50"/>
      <c r="AEJ345" s="50"/>
      <c r="AEK345" s="50"/>
      <c r="AEL345" s="50"/>
      <c r="AEM345" s="50"/>
      <c r="AEN345" s="50"/>
      <c r="AEO345" s="50"/>
      <c r="AEP345" s="50"/>
      <c r="AEQ345" s="50"/>
      <c r="AER345" s="50"/>
      <c r="AES345" s="50"/>
      <c r="AET345" s="50"/>
      <c r="AEU345" s="50"/>
      <c r="AEV345" s="50"/>
      <c r="AEW345" s="50"/>
      <c r="AEX345" s="50"/>
      <c r="AEY345" s="50"/>
      <c r="AEZ345" s="50"/>
      <c r="AFA345" s="50"/>
      <c r="AFB345" s="50"/>
      <c r="AFC345" s="50"/>
      <c r="AFD345" s="50"/>
      <c r="AFE345" s="50"/>
      <c r="AFF345" s="50"/>
      <c r="AFG345" s="50"/>
      <c r="AFH345" s="50"/>
      <c r="AFI345" s="50"/>
      <c r="AFJ345" s="50"/>
      <c r="AFK345" s="50"/>
      <c r="AFL345" s="50"/>
      <c r="AFM345" s="50"/>
      <c r="AFN345" s="50"/>
      <c r="AFO345" s="50"/>
      <c r="AFP345" s="50"/>
      <c r="AFQ345" s="50"/>
      <c r="AFR345" s="50"/>
      <c r="AFS345" s="50"/>
      <c r="AFT345" s="50"/>
      <c r="AFU345" s="50"/>
      <c r="AFV345" s="50"/>
      <c r="AFW345" s="50"/>
      <c r="AFX345" s="50"/>
      <c r="AFY345" s="50"/>
      <c r="AFZ345" s="50"/>
      <c r="AGA345" s="50"/>
      <c r="AGB345" s="50"/>
      <c r="AGC345" s="50"/>
      <c r="AGD345" s="50"/>
      <c r="AGE345" s="50"/>
      <c r="AGF345" s="50"/>
      <c r="AGG345" s="50"/>
      <c r="AGH345" s="50"/>
      <c r="AGI345" s="50"/>
      <c r="AGJ345" s="50"/>
      <c r="AGK345" s="50"/>
      <c r="AGL345" s="50"/>
      <c r="AGM345" s="50"/>
      <c r="AGN345" s="50"/>
      <c r="AGO345" s="50"/>
      <c r="AGP345" s="50"/>
      <c r="AGQ345" s="50"/>
      <c r="AGR345" s="50"/>
      <c r="AGS345" s="50"/>
      <c r="AGT345" s="50"/>
      <c r="AGU345" s="50"/>
      <c r="AGV345" s="50"/>
      <c r="AGW345" s="50"/>
      <c r="AGX345" s="50"/>
      <c r="AGY345" s="50"/>
      <c r="AGZ345" s="50"/>
      <c r="AHA345" s="50"/>
      <c r="AHB345" s="50"/>
      <c r="AHC345" s="50"/>
      <c r="AHD345" s="50"/>
      <c r="AHE345" s="50"/>
      <c r="AHF345" s="50"/>
      <c r="AHG345" s="50"/>
      <c r="AHH345" s="50"/>
      <c r="AHI345" s="50"/>
      <c r="AHJ345" s="50"/>
      <c r="AHK345" s="50"/>
      <c r="AHL345" s="50"/>
      <c r="AHM345" s="50"/>
      <c r="AHN345" s="50"/>
      <c r="AHO345" s="50"/>
      <c r="AHP345" s="50"/>
      <c r="AHQ345" s="50"/>
      <c r="AHR345" s="50"/>
      <c r="AHS345" s="50"/>
      <c r="AHT345" s="50"/>
      <c r="AHU345" s="50"/>
      <c r="AHV345" s="50"/>
      <c r="AHW345" s="50"/>
      <c r="AHX345" s="50"/>
      <c r="AHY345" s="50"/>
      <c r="AHZ345" s="50"/>
      <c r="AIA345" s="50"/>
      <c r="AIB345" s="50"/>
      <c r="AIC345" s="50"/>
      <c r="AID345" s="50"/>
      <c r="AIE345" s="50"/>
      <c r="AIF345" s="50"/>
      <c r="AIG345" s="50"/>
      <c r="AIH345" s="50"/>
      <c r="AII345" s="50"/>
      <c r="AIJ345" s="50"/>
      <c r="AIK345" s="50"/>
      <c r="AIL345" s="50"/>
      <c r="AIM345" s="50"/>
      <c r="AIN345" s="50"/>
      <c r="AIO345" s="50"/>
      <c r="AIP345" s="50"/>
      <c r="AIQ345" s="50"/>
      <c r="AIR345" s="50"/>
      <c r="AIS345" s="50"/>
      <c r="AIT345" s="50"/>
      <c r="AIU345" s="50"/>
      <c r="AIV345" s="50"/>
      <c r="AIW345" s="50"/>
      <c r="AIX345" s="50"/>
      <c r="AIY345" s="50"/>
      <c r="AIZ345" s="50"/>
      <c r="AJA345" s="50"/>
      <c r="AJB345" s="50"/>
      <c r="AJC345" s="50"/>
      <c r="AJD345" s="50"/>
      <c r="AJE345" s="50"/>
      <c r="AJF345" s="50"/>
      <c r="AJG345" s="50"/>
      <c r="AJH345" s="50"/>
      <c r="AJI345" s="50"/>
      <c r="AJJ345" s="50"/>
      <c r="AJK345" s="50"/>
      <c r="AJL345" s="50"/>
      <c r="AJM345" s="50"/>
      <c r="AJN345" s="50"/>
      <c r="AJO345" s="50"/>
      <c r="AJP345" s="50"/>
      <c r="AJQ345" s="50"/>
      <c r="AJR345" s="50"/>
      <c r="AJS345" s="50"/>
      <c r="AJT345" s="50"/>
      <c r="AJU345" s="50"/>
      <c r="AJV345" s="50"/>
      <c r="AJW345" s="50"/>
      <c r="AJX345" s="50"/>
      <c r="AJY345" s="50"/>
      <c r="AJZ345" s="50"/>
      <c r="AKA345" s="50"/>
      <c r="AKB345" s="50"/>
      <c r="AKC345" s="50"/>
      <c r="AKD345" s="50"/>
      <c r="AKE345" s="50"/>
      <c r="AKF345" s="50"/>
      <c r="AKG345" s="50"/>
      <c r="AKH345" s="50"/>
      <c r="AKI345" s="50"/>
      <c r="AKJ345" s="50"/>
      <c r="AKK345" s="50"/>
      <c r="AKL345" s="50"/>
      <c r="AKM345" s="50"/>
      <c r="AKN345" s="50"/>
      <c r="AKO345" s="50"/>
      <c r="AKP345" s="50"/>
      <c r="AKQ345" s="50"/>
      <c r="AKR345" s="50"/>
      <c r="AKS345" s="50"/>
      <c r="AKT345" s="50"/>
      <c r="AKU345" s="50"/>
      <c r="AKV345" s="50"/>
      <c r="AKW345" s="50"/>
      <c r="AKX345" s="50"/>
      <c r="AKY345" s="50"/>
      <c r="AKZ345" s="50"/>
      <c r="ALA345" s="50"/>
      <c r="ALB345" s="50"/>
      <c r="ALC345" s="50"/>
      <c r="ALD345" s="50"/>
      <c r="ALE345" s="50"/>
      <c r="ALF345" s="50"/>
      <c r="ALG345" s="50"/>
      <c r="ALH345" s="50"/>
      <c r="ALI345" s="50"/>
      <c r="ALJ345" s="50"/>
      <c r="ALK345" s="50"/>
      <c r="ALL345" s="50"/>
      <c r="ALM345" s="50"/>
      <c r="ALN345" s="50"/>
      <c r="ALO345" s="50"/>
      <c r="ALP345" s="50"/>
      <c r="ALQ345" s="50"/>
      <c r="ALR345" s="50"/>
      <c r="ALS345" s="50"/>
      <c r="ALT345" s="50"/>
      <c r="ALU345" s="50"/>
      <c r="ALV345" s="50"/>
      <c r="ALW345" s="50"/>
      <c r="ALX345" s="50"/>
      <c r="ALY345" s="50"/>
      <c r="ALZ345" s="50"/>
      <c r="AMA345" s="50"/>
      <c r="AMB345" s="50"/>
      <c r="AMC345" s="50"/>
      <c r="AMD345" s="50"/>
      <c r="AME345" s="50"/>
      <c r="AMF345" s="50"/>
      <c r="AMG345" s="50"/>
      <c r="AMH345" s="50"/>
      <c r="AMI345" s="50"/>
      <c r="AMJ345" s="50"/>
      <c r="AMK345" s="50"/>
      <c r="AML345" s="50"/>
      <c r="AMM345" s="50"/>
      <c r="AMN345" s="50"/>
      <c r="AMO345" s="50"/>
      <c r="AMP345" s="50"/>
      <c r="AMQ345" s="50"/>
      <c r="AMR345" s="50"/>
      <c r="AMS345" s="50"/>
      <c r="AMT345" s="50"/>
      <c r="AMU345" s="50"/>
      <c r="AMV345" s="50"/>
      <c r="AMW345" s="50"/>
      <c r="AMX345" s="50"/>
      <c r="AMY345" s="50"/>
      <c r="AMZ345" s="50"/>
      <c r="ANA345" s="50"/>
      <c r="ANB345" s="50"/>
      <c r="ANC345" s="50"/>
      <c r="AND345" s="50"/>
      <c r="ANE345" s="50"/>
      <c r="ANF345" s="50"/>
      <c r="ANG345" s="50"/>
      <c r="ANH345" s="50"/>
      <c r="ANI345" s="50"/>
      <c r="ANJ345" s="50"/>
      <c r="ANK345" s="50"/>
      <c r="ANL345" s="50"/>
      <c r="ANM345" s="50"/>
      <c r="ANN345" s="50"/>
      <c r="ANO345" s="50"/>
      <c r="ANP345" s="50"/>
      <c r="ANQ345" s="50"/>
      <c r="ANR345" s="50"/>
      <c r="ANS345" s="50"/>
      <c r="ANT345" s="50"/>
      <c r="ANU345" s="50"/>
      <c r="ANV345" s="50"/>
      <c r="ANW345" s="50"/>
      <c r="ANX345" s="50"/>
      <c r="ANY345" s="50"/>
      <c r="ANZ345" s="50"/>
      <c r="AOA345" s="50"/>
      <c r="AOB345" s="50"/>
      <c r="AOC345" s="50"/>
      <c r="AOD345" s="50"/>
      <c r="AOE345" s="50"/>
      <c r="AOF345" s="50"/>
      <c r="AOG345" s="50"/>
      <c r="AOH345" s="50"/>
      <c r="AOI345" s="50"/>
      <c r="AOJ345" s="50"/>
      <c r="AOK345" s="50"/>
      <c r="AOL345" s="50"/>
      <c r="AOM345" s="50"/>
      <c r="AON345" s="50"/>
      <c r="AOO345" s="50"/>
      <c r="AOP345" s="50"/>
      <c r="AOQ345" s="50"/>
      <c r="AOR345" s="50"/>
      <c r="AOS345" s="50"/>
      <c r="AOT345" s="50"/>
      <c r="AOU345" s="50"/>
      <c r="AOV345" s="50"/>
      <c r="AOW345" s="50"/>
      <c r="AOX345" s="50"/>
      <c r="AOY345" s="50"/>
      <c r="AOZ345" s="50"/>
      <c r="APA345" s="50"/>
      <c r="APB345" s="50"/>
      <c r="APC345" s="50"/>
      <c r="APD345" s="50"/>
      <c r="APE345" s="50"/>
      <c r="APF345" s="50"/>
      <c r="APG345" s="50"/>
      <c r="APH345" s="50"/>
      <c r="API345" s="50"/>
      <c r="APJ345" s="50"/>
      <c r="APK345" s="50"/>
      <c r="APL345" s="50"/>
      <c r="APM345" s="50"/>
      <c r="APN345" s="50"/>
      <c r="APO345" s="50"/>
      <c r="APP345" s="50"/>
      <c r="APQ345" s="50"/>
      <c r="APR345" s="50"/>
      <c r="APS345" s="50"/>
      <c r="APT345" s="50"/>
      <c r="APU345" s="50"/>
      <c r="APV345" s="50"/>
      <c r="APW345" s="50"/>
      <c r="APX345" s="50"/>
      <c r="APY345" s="50"/>
      <c r="APZ345" s="50"/>
      <c r="AQA345" s="50"/>
      <c r="AQB345" s="50"/>
      <c r="AQC345" s="50"/>
      <c r="AQD345" s="50"/>
      <c r="AQE345" s="50"/>
      <c r="AQF345" s="50"/>
      <c r="AQG345" s="50"/>
      <c r="AQH345" s="50"/>
      <c r="AQI345" s="50"/>
      <c r="AQJ345" s="50"/>
      <c r="AQK345" s="50"/>
      <c r="AQL345" s="50"/>
      <c r="AQM345" s="50"/>
      <c r="AQN345" s="50"/>
      <c r="AQO345" s="50"/>
      <c r="AQP345" s="50"/>
      <c r="AQQ345" s="50"/>
      <c r="AQR345" s="50"/>
      <c r="AQS345" s="50"/>
      <c r="AQT345" s="50"/>
      <c r="AQU345" s="50"/>
      <c r="AQV345" s="50"/>
      <c r="AQW345" s="50"/>
      <c r="AQX345" s="50"/>
      <c r="AQY345" s="50"/>
      <c r="AQZ345" s="50"/>
      <c r="ARA345" s="50"/>
      <c r="ARB345" s="50"/>
      <c r="ARC345" s="50"/>
      <c r="ARD345" s="50"/>
      <c r="ARE345" s="50"/>
      <c r="ARF345" s="50"/>
      <c r="ARG345" s="50"/>
      <c r="ARH345" s="50"/>
      <c r="ARI345" s="50"/>
      <c r="ARJ345" s="50"/>
      <c r="ARK345" s="50"/>
      <c r="ARL345" s="50"/>
      <c r="ARM345" s="50"/>
      <c r="ARN345" s="50"/>
      <c r="ARO345" s="50"/>
      <c r="ARP345" s="50"/>
      <c r="ARQ345" s="50"/>
      <c r="ARR345" s="50"/>
      <c r="ARS345" s="50"/>
      <c r="ART345" s="50"/>
      <c r="ARU345" s="50"/>
      <c r="ARV345" s="50"/>
      <c r="ARW345" s="50"/>
      <c r="ARX345" s="50"/>
      <c r="ARY345" s="50"/>
      <c r="ARZ345" s="50"/>
      <c r="ASA345" s="50"/>
      <c r="ASB345" s="50"/>
      <c r="ASC345" s="50"/>
      <c r="ASD345" s="50"/>
      <c r="ASE345" s="50"/>
      <c r="ASF345" s="50"/>
      <c r="ASG345" s="50"/>
      <c r="ASH345" s="50"/>
      <c r="ASI345" s="50"/>
      <c r="ASJ345" s="50"/>
      <c r="ASK345" s="50"/>
      <c r="ASL345" s="50"/>
      <c r="ASM345" s="50"/>
      <c r="ASN345" s="50"/>
      <c r="ASO345" s="50"/>
      <c r="ASP345" s="50"/>
      <c r="ASQ345" s="50"/>
      <c r="ASR345" s="50"/>
      <c r="ASS345" s="50"/>
      <c r="AST345" s="50"/>
      <c r="ASU345" s="50"/>
      <c r="ASV345" s="50"/>
      <c r="ASW345" s="50"/>
      <c r="ASX345" s="50"/>
      <c r="ASY345" s="50"/>
      <c r="ASZ345" s="50"/>
      <c r="ATA345" s="50"/>
      <c r="ATB345" s="50"/>
      <c r="ATC345" s="50"/>
      <c r="ATD345" s="50"/>
      <c r="ATE345" s="50"/>
      <c r="ATF345" s="50"/>
      <c r="ATG345" s="50"/>
      <c r="ATH345" s="50"/>
      <c r="ATI345" s="50"/>
      <c r="ATJ345" s="50"/>
      <c r="ATK345" s="50"/>
      <c r="ATL345" s="50"/>
      <c r="ATM345" s="50"/>
      <c r="ATN345" s="50"/>
      <c r="ATO345" s="50"/>
      <c r="ATP345" s="50"/>
      <c r="ATQ345" s="50"/>
      <c r="ATR345" s="50"/>
      <c r="ATS345" s="50"/>
      <c r="ATT345" s="50"/>
      <c r="ATU345" s="50"/>
      <c r="ATV345" s="50"/>
      <c r="ATW345" s="50"/>
      <c r="ATX345" s="50"/>
      <c r="ATY345" s="50"/>
      <c r="ATZ345" s="50"/>
      <c r="AUA345" s="50"/>
      <c r="AUB345" s="50"/>
      <c r="AUC345" s="50"/>
      <c r="AUD345" s="50"/>
      <c r="AUE345" s="50"/>
      <c r="AUF345" s="50"/>
      <c r="AUG345" s="50"/>
      <c r="AUH345" s="50"/>
      <c r="AUI345" s="50"/>
      <c r="AUJ345" s="50"/>
      <c r="AUK345" s="50"/>
      <c r="AUL345" s="50"/>
      <c r="AUM345" s="50"/>
      <c r="AUN345" s="50"/>
      <c r="AUO345" s="50"/>
      <c r="AUP345" s="50"/>
      <c r="AUQ345" s="50"/>
      <c r="AUR345" s="50"/>
      <c r="AUS345" s="50"/>
      <c r="AUT345" s="50"/>
      <c r="AUU345" s="50"/>
      <c r="AUV345" s="50"/>
      <c r="AUW345" s="50"/>
      <c r="AUX345" s="50"/>
      <c r="AUY345" s="50"/>
      <c r="AUZ345" s="50"/>
      <c r="AVA345" s="50"/>
      <c r="AVB345" s="50"/>
      <c r="AVC345" s="50"/>
      <c r="AVD345" s="50"/>
      <c r="AVE345" s="50"/>
      <c r="AVF345" s="50"/>
      <c r="AVG345" s="50"/>
      <c r="AVH345" s="50"/>
      <c r="AVI345" s="50"/>
      <c r="AVJ345" s="50"/>
      <c r="AVK345" s="50"/>
      <c r="AVL345" s="50"/>
      <c r="AVM345" s="50"/>
      <c r="AVN345" s="50"/>
      <c r="AVO345" s="50"/>
      <c r="AVP345" s="50"/>
      <c r="AVQ345" s="50"/>
      <c r="AVR345" s="50"/>
      <c r="AVS345" s="50"/>
      <c r="AVT345" s="50"/>
      <c r="AVU345" s="50"/>
      <c r="AVV345" s="50"/>
      <c r="AVW345" s="50"/>
      <c r="AVX345" s="50"/>
      <c r="AVY345" s="50"/>
      <c r="AVZ345" s="50"/>
      <c r="AWA345" s="50"/>
      <c r="AWB345" s="50"/>
      <c r="AWC345" s="50"/>
      <c r="AWD345" s="50"/>
      <c r="AWE345" s="50"/>
      <c r="AWF345" s="50"/>
      <c r="AWG345" s="50"/>
      <c r="AWH345" s="50"/>
      <c r="AWI345" s="50"/>
      <c r="AWJ345" s="50"/>
      <c r="AWK345" s="50"/>
      <c r="AWL345" s="50"/>
      <c r="AWM345" s="50"/>
      <c r="AWN345" s="50"/>
      <c r="AWO345" s="50"/>
      <c r="AWP345" s="50"/>
      <c r="AWQ345" s="50"/>
      <c r="AWR345" s="50"/>
      <c r="AWS345" s="50"/>
      <c r="AWT345" s="50"/>
      <c r="AWU345" s="50"/>
      <c r="AWV345" s="50"/>
      <c r="AWW345" s="50"/>
      <c r="AWX345" s="50"/>
      <c r="AWY345" s="50"/>
      <c r="AWZ345" s="50"/>
      <c r="AXA345" s="50"/>
      <c r="AXB345" s="50"/>
      <c r="AXC345" s="50"/>
      <c r="AXD345" s="50"/>
      <c r="AXE345" s="50"/>
      <c r="AXF345" s="50"/>
      <c r="AXG345" s="50"/>
      <c r="AXH345" s="50"/>
      <c r="AXI345" s="50"/>
      <c r="AXJ345" s="50"/>
      <c r="AXK345" s="50"/>
      <c r="AXL345" s="50"/>
      <c r="AXM345" s="50"/>
      <c r="AXN345" s="50"/>
      <c r="AXO345" s="50"/>
      <c r="AXP345" s="50"/>
      <c r="AXQ345" s="50"/>
      <c r="AXR345" s="50"/>
      <c r="AXS345" s="50"/>
      <c r="AXT345" s="50"/>
      <c r="AXU345" s="50"/>
      <c r="AXV345" s="50"/>
      <c r="AXW345" s="50"/>
      <c r="AXX345" s="50"/>
      <c r="AXY345" s="50"/>
      <c r="AXZ345" s="50"/>
      <c r="AYA345" s="50"/>
      <c r="AYB345" s="50"/>
      <c r="AYC345" s="50"/>
      <c r="AYD345" s="50"/>
      <c r="AYE345" s="50"/>
      <c r="AYF345" s="50"/>
      <c r="AYG345" s="50"/>
      <c r="AYH345" s="50"/>
      <c r="AYI345" s="50"/>
      <c r="AYJ345" s="50"/>
      <c r="AYK345" s="50"/>
      <c r="AYL345" s="50"/>
      <c r="AYM345" s="50"/>
      <c r="AYN345" s="50"/>
      <c r="AYO345" s="50"/>
      <c r="AYP345" s="50"/>
      <c r="AYQ345" s="50"/>
      <c r="AYR345" s="50"/>
      <c r="AYS345" s="50"/>
      <c r="AYT345" s="50"/>
      <c r="AYU345" s="50"/>
      <c r="AYV345" s="50"/>
      <c r="AYW345" s="50"/>
      <c r="AYX345" s="50"/>
      <c r="AYY345" s="50"/>
      <c r="AYZ345" s="50"/>
      <c r="AZA345" s="50"/>
      <c r="AZB345" s="50"/>
      <c r="AZC345" s="50"/>
      <c r="AZD345" s="50"/>
      <c r="AZE345" s="50"/>
      <c r="AZF345" s="50"/>
      <c r="AZG345" s="50"/>
      <c r="AZH345" s="50"/>
      <c r="AZI345" s="50"/>
      <c r="AZJ345" s="50"/>
      <c r="AZK345" s="50"/>
      <c r="AZL345" s="50"/>
      <c r="AZM345" s="50"/>
      <c r="AZN345" s="50"/>
      <c r="AZO345" s="50"/>
      <c r="AZP345" s="50"/>
      <c r="AZQ345" s="50"/>
      <c r="AZR345" s="50"/>
      <c r="AZS345" s="50"/>
      <c r="AZT345" s="50"/>
      <c r="AZU345" s="50"/>
      <c r="AZV345" s="50"/>
      <c r="AZW345" s="50"/>
      <c r="AZX345" s="50"/>
      <c r="AZY345" s="50"/>
      <c r="AZZ345" s="50"/>
      <c r="BAA345" s="50"/>
      <c r="BAB345" s="50"/>
      <c r="BAC345" s="50"/>
      <c r="BAD345" s="50"/>
      <c r="BAE345" s="50"/>
      <c r="BAF345" s="50"/>
      <c r="BAG345" s="50"/>
      <c r="BAH345" s="50"/>
      <c r="BAI345" s="50"/>
      <c r="BAJ345" s="50"/>
      <c r="BAK345" s="50"/>
      <c r="BAL345" s="50"/>
      <c r="BAM345" s="50"/>
      <c r="BAN345" s="50"/>
      <c r="BAO345" s="50"/>
      <c r="BAP345" s="50"/>
      <c r="BAQ345" s="50"/>
      <c r="BAR345" s="50"/>
      <c r="BAS345" s="50"/>
      <c r="BAT345" s="50"/>
      <c r="BAU345" s="50"/>
      <c r="BAV345" s="50"/>
      <c r="BAW345" s="50"/>
      <c r="BAX345" s="50"/>
      <c r="BAY345" s="50"/>
      <c r="BAZ345" s="50"/>
      <c r="BBA345" s="50"/>
      <c r="BBB345" s="50"/>
      <c r="BBC345" s="50"/>
      <c r="BBD345" s="50"/>
      <c r="BBE345" s="50"/>
      <c r="BBF345" s="50"/>
      <c r="BBG345" s="50"/>
      <c r="BBH345" s="50"/>
      <c r="BBI345" s="50"/>
      <c r="BBJ345" s="50"/>
      <c r="BBK345" s="50"/>
      <c r="BBL345" s="50"/>
      <c r="BBM345" s="50"/>
      <c r="BBN345" s="50"/>
      <c r="BBO345" s="50"/>
      <c r="BBP345" s="50"/>
      <c r="BBQ345" s="50"/>
      <c r="BBR345" s="50"/>
      <c r="BBS345" s="50"/>
      <c r="BBT345" s="50"/>
      <c r="BBU345" s="50"/>
      <c r="BBV345" s="50"/>
      <c r="BBW345" s="50"/>
      <c r="BBX345" s="50"/>
      <c r="BBY345" s="50"/>
      <c r="BBZ345" s="50"/>
      <c r="BCA345" s="50"/>
      <c r="BCB345" s="50"/>
      <c r="BCC345" s="50"/>
      <c r="BCD345" s="50"/>
      <c r="BCE345" s="50"/>
      <c r="BCF345" s="50"/>
      <c r="BCG345" s="50"/>
      <c r="BCH345" s="50"/>
      <c r="BCI345" s="50"/>
      <c r="BCJ345" s="50"/>
      <c r="BCK345" s="50"/>
      <c r="BCL345" s="50"/>
      <c r="BCM345" s="50"/>
      <c r="BCN345" s="50"/>
      <c r="BCO345" s="50"/>
      <c r="BCP345" s="50"/>
      <c r="BCQ345" s="50"/>
      <c r="BCR345" s="50"/>
      <c r="BCS345" s="50"/>
      <c r="BCT345" s="50"/>
      <c r="BCU345" s="50"/>
      <c r="BCV345" s="50"/>
      <c r="BCW345" s="50"/>
      <c r="BCX345" s="50"/>
      <c r="BCY345" s="50"/>
      <c r="BCZ345" s="50"/>
      <c r="BDA345" s="50"/>
      <c r="BDB345" s="50"/>
      <c r="BDC345" s="50"/>
      <c r="BDD345" s="50"/>
      <c r="BDE345" s="50"/>
      <c r="BDF345" s="50"/>
      <c r="BDG345" s="50"/>
      <c r="BDH345" s="50"/>
      <c r="BDI345" s="50"/>
      <c r="BDJ345" s="50"/>
      <c r="BDK345" s="50"/>
      <c r="BDL345" s="50"/>
      <c r="BDM345" s="50"/>
      <c r="BDN345" s="50"/>
      <c r="BDO345" s="50"/>
      <c r="BDP345" s="50"/>
      <c r="BDQ345" s="50"/>
      <c r="BDR345" s="50"/>
      <c r="BDS345" s="50"/>
      <c r="BDT345" s="50"/>
      <c r="BDU345" s="50"/>
      <c r="BDV345" s="50"/>
      <c r="BDW345" s="50"/>
      <c r="BDX345" s="50"/>
      <c r="BDY345" s="50"/>
      <c r="BDZ345" s="50"/>
      <c r="BEA345" s="50"/>
      <c r="BEB345" s="50"/>
      <c r="BEC345" s="50"/>
      <c r="BED345" s="50"/>
      <c r="BEE345" s="50"/>
      <c r="BEF345" s="50"/>
      <c r="BEG345" s="50"/>
      <c r="BEH345" s="50"/>
      <c r="BEI345" s="50"/>
      <c r="BEJ345" s="50"/>
      <c r="BEK345" s="50"/>
      <c r="BEL345" s="50"/>
      <c r="BEM345" s="50"/>
      <c r="BEN345" s="50"/>
      <c r="BEO345" s="50"/>
      <c r="BEP345" s="50"/>
      <c r="BEQ345" s="50"/>
      <c r="BER345" s="50"/>
      <c r="BES345" s="50"/>
      <c r="BET345" s="50"/>
      <c r="BEU345" s="50"/>
      <c r="BEV345" s="50"/>
      <c r="BEW345" s="50"/>
      <c r="BEX345" s="50"/>
      <c r="BEY345" s="50"/>
      <c r="BEZ345" s="50"/>
      <c r="BFA345" s="50"/>
      <c r="BFB345" s="50"/>
      <c r="BFC345" s="50"/>
      <c r="BFD345" s="50"/>
      <c r="BFE345" s="50"/>
      <c r="BFF345" s="50"/>
      <c r="BFG345" s="50"/>
      <c r="BFH345" s="50"/>
      <c r="BFI345" s="50"/>
      <c r="BFJ345" s="50"/>
      <c r="BFK345" s="50"/>
      <c r="BFL345" s="50"/>
      <c r="BFM345" s="50"/>
      <c r="BFN345" s="50"/>
      <c r="BFO345" s="50"/>
      <c r="BFP345" s="50"/>
      <c r="BFQ345" s="50"/>
      <c r="BFR345" s="50"/>
      <c r="BFS345" s="50"/>
      <c r="BFT345" s="50"/>
      <c r="BFU345" s="50"/>
      <c r="BFV345" s="50"/>
      <c r="BFW345" s="50"/>
      <c r="BFX345" s="50"/>
      <c r="BFY345" s="50"/>
      <c r="BFZ345" s="50"/>
      <c r="BGA345" s="50"/>
      <c r="BGB345" s="50"/>
      <c r="BGC345" s="50"/>
      <c r="BGD345" s="50"/>
      <c r="BGE345" s="50"/>
      <c r="BGF345" s="50"/>
      <c r="BGG345" s="50"/>
      <c r="BGH345" s="50"/>
      <c r="BGI345" s="50"/>
      <c r="BGJ345" s="50"/>
      <c r="BGK345" s="50"/>
      <c r="BGL345" s="50"/>
      <c r="BGM345" s="50"/>
      <c r="BGN345" s="50"/>
      <c r="BGO345" s="50"/>
      <c r="BGP345" s="50"/>
      <c r="BGQ345" s="50"/>
      <c r="BGR345" s="50"/>
      <c r="BGS345" s="50"/>
      <c r="BGT345" s="50"/>
      <c r="BGU345" s="50"/>
      <c r="BGV345" s="50"/>
      <c r="BGW345" s="50"/>
      <c r="BGX345" s="50"/>
      <c r="BGY345" s="50"/>
      <c r="BGZ345" s="50"/>
      <c r="BHA345" s="50"/>
      <c r="BHB345" s="50"/>
      <c r="BHC345" s="50"/>
      <c r="BHD345" s="50"/>
      <c r="BHE345" s="50"/>
      <c r="BHF345" s="50"/>
      <c r="BHG345" s="50"/>
      <c r="BHH345" s="50"/>
      <c r="BHI345" s="50"/>
      <c r="BHJ345" s="50"/>
      <c r="BHK345" s="50"/>
      <c r="BHL345" s="50"/>
      <c r="BHM345" s="50"/>
      <c r="BHN345" s="50"/>
      <c r="BHO345" s="50"/>
      <c r="BHP345" s="50"/>
      <c r="BHQ345" s="50"/>
      <c r="BHR345" s="50"/>
      <c r="BHS345" s="50"/>
      <c r="BHT345" s="50"/>
      <c r="BHU345" s="50"/>
      <c r="BHV345" s="50"/>
      <c r="BHW345" s="50"/>
      <c r="BHX345" s="50"/>
      <c r="BHY345" s="50"/>
      <c r="BHZ345" s="50"/>
      <c r="BIA345" s="50"/>
      <c r="BIB345" s="50"/>
      <c r="BIC345" s="50"/>
      <c r="BID345" s="50"/>
      <c r="BIE345" s="50"/>
      <c r="BIF345" s="50"/>
      <c r="BIG345" s="50"/>
      <c r="BIH345" s="50"/>
      <c r="BII345" s="50"/>
      <c r="BIJ345" s="50"/>
      <c r="BIK345" s="50"/>
      <c r="BIL345" s="50"/>
      <c r="BIM345" s="50"/>
      <c r="BIN345" s="50"/>
      <c r="BIO345" s="50"/>
      <c r="BIP345" s="50"/>
      <c r="BIQ345" s="50"/>
      <c r="BIR345" s="50"/>
      <c r="BIS345" s="50"/>
      <c r="BIT345" s="50"/>
      <c r="BIU345" s="50"/>
      <c r="BIV345" s="50"/>
      <c r="BIW345" s="50"/>
      <c r="BIX345" s="50"/>
      <c r="BIY345" s="50"/>
      <c r="BIZ345" s="50"/>
      <c r="BJA345" s="50"/>
      <c r="BJB345" s="50"/>
      <c r="BJC345" s="50"/>
      <c r="BJD345" s="50"/>
      <c r="BJE345" s="50"/>
      <c r="BJF345" s="50"/>
      <c r="BJG345" s="50"/>
      <c r="BJH345" s="50"/>
      <c r="BJI345" s="50"/>
      <c r="BJJ345" s="50"/>
      <c r="BJK345" s="50"/>
      <c r="BJL345" s="50"/>
      <c r="BJM345" s="50"/>
      <c r="BJN345" s="50"/>
      <c r="BJO345" s="50"/>
      <c r="BJP345" s="50"/>
      <c r="BJQ345" s="50"/>
      <c r="BJR345" s="50"/>
      <c r="BJS345" s="50"/>
      <c r="BJT345" s="50"/>
      <c r="BJU345" s="50"/>
      <c r="BJV345" s="50"/>
      <c r="BJW345" s="50"/>
      <c r="BJX345" s="50"/>
      <c r="BJY345" s="50"/>
      <c r="BJZ345" s="50"/>
      <c r="BKA345" s="50"/>
      <c r="BKB345" s="50"/>
      <c r="BKC345" s="50"/>
      <c r="BKD345" s="50"/>
      <c r="BKE345" s="50"/>
      <c r="BKF345" s="50"/>
      <c r="BKG345" s="50"/>
      <c r="BKH345" s="50"/>
      <c r="BKI345" s="50"/>
      <c r="BKJ345" s="50"/>
      <c r="BKK345" s="50"/>
      <c r="BKL345" s="50"/>
      <c r="BKM345" s="50"/>
      <c r="BKN345" s="50"/>
      <c r="BKO345" s="50"/>
      <c r="BKP345" s="50"/>
      <c r="BKQ345" s="50"/>
      <c r="BKR345" s="50"/>
      <c r="BKS345" s="50"/>
      <c r="BKT345" s="50"/>
      <c r="BKU345" s="50"/>
      <c r="BKV345" s="50"/>
      <c r="BKW345" s="50"/>
      <c r="BKX345" s="50"/>
      <c r="BKY345" s="50"/>
      <c r="BKZ345" s="50"/>
      <c r="BLA345" s="50"/>
      <c r="BLB345" s="50"/>
      <c r="BLC345" s="50"/>
      <c r="BLD345" s="50"/>
      <c r="BLE345" s="50"/>
      <c r="BLF345" s="50"/>
      <c r="BLG345" s="50"/>
      <c r="BLH345" s="50"/>
      <c r="BLI345" s="50"/>
      <c r="BLJ345" s="50"/>
      <c r="BLK345" s="50"/>
      <c r="BLL345" s="50"/>
      <c r="BLM345" s="50"/>
      <c r="BLN345" s="50"/>
      <c r="BLO345" s="50"/>
      <c r="BLP345" s="50"/>
      <c r="BLQ345" s="50"/>
      <c r="BLR345" s="50"/>
      <c r="BLS345" s="50"/>
      <c r="BLT345" s="50"/>
      <c r="BLU345" s="50"/>
      <c r="BLV345" s="50"/>
      <c r="BLW345" s="50"/>
      <c r="BLX345" s="50"/>
      <c r="BLY345" s="50"/>
      <c r="BLZ345" s="50"/>
      <c r="BMA345" s="50"/>
      <c r="BMB345" s="50"/>
      <c r="BMC345" s="50"/>
      <c r="BMD345" s="50"/>
      <c r="BME345" s="50"/>
      <c r="BMF345" s="50"/>
      <c r="BMG345" s="50"/>
      <c r="BMH345" s="50"/>
      <c r="BMI345" s="50"/>
      <c r="BMJ345" s="50"/>
      <c r="BMK345" s="50"/>
      <c r="BML345" s="50"/>
      <c r="BMM345" s="50"/>
      <c r="BMN345" s="50"/>
      <c r="BMO345" s="50"/>
      <c r="BMP345" s="50"/>
      <c r="BMQ345" s="50"/>
      <c r="BMR345" s="50"/>
      <c r="BMS345" s="50"/>
      <c r="BMT345" s="50"/>
      <c r="BMU345" s="50"/>
      <c r="BMV345" s="50"/>
      <c r="BMW345" s="50"/>
      <c r="BMX345" s="50"/>
      <c r="BMY345" s="50"/>
      <c r="BMZ345" s="50"/>
      <c r="BNA345" s="50"/>
      <c r="BNB345" s="50"/>
      <c r="BNC345" s="50"/>
      <c r="BND345" s="50"/>
      <c r="BNE345" s="50"/>
      <c r="BNF345" s="50"/>
      <c r="BNG345" s="50"/>
      <c r="BNH345" s="50"/>
      <c r="BNI345" s="50"/>
      <c r="BNJ345" s="50"/>
      <c r="BNK345" s="50"/>
      <c r="BNL345" s="50"/>
      <c r="BNM345" s="50"/>
      <c r="BNN345" s="50"/>
      <c r="BNO345" s="50"/>
      <c r="BNP345" s="50"/>
      <c r="BNQ345" s="50"/>
      <c r="BNR345" s="50"/>
      <c r="BNS345" s="50"/>
      <c r="BNT345" s="50"/>
      <c r="BNU345" s="50"/>
      <c r="BNV345" s="50"/>
      <c r="BNW345" s="50"/>
      <c r="BNX345" s="50"/>
      <c r="BNY345" s="50"/>
      <c r="BNZ345" s="50"/>
      <c r="BOA345" s="50"/>
      <c r="BOB345" s="50"/>
      <c r="BOC345" s="50"/>
      <c r="BOD345" s="50"/>
      <c r="BOE345" s="50"/>
      <c r="BOF345" s="50"/>
      <c r="BOG345" s="50"/>
      <c r="BOH345" s="50"/>
      <c r="BOI345" s="50"/>
      <c r="BOJ345" s="50"/>
      <c r="BOK345" s="50"/>
      <c r="BOL345" s="50"/>
      <c r="BOM345" s="50"/>
      <c r="BON345" s="50"/>
      <c r="BOO345" s="50"/>
      <c r="BOP345" s="50"/>
      <c r="BOQ345" s="50"/>
      <c r="BOR345" s="50"/>
      <c r="BOS345" s="50"/>
      <c r="BOT345" s="50"/>
      <c r="BOU345" s="50"/>
      <c r="BOV345" s="50"/>
      <c r="BOW345" s="50"/>
      <c r="BOX345" s="50"/>
      <c r="BOY345" s="50"/>
      <c r="BOZ345" s="50"/>
      <c r="BPA345" s="50"/>
      <c r="BPB345" s="50"/>
      <c r="BPC345" s="50"/>
      <c r="BPD345" s="50"/>
      <c r="BPE345" s="50"/>
      <c r="BPF345" s="50"/>
      <c r="BPG345" s="50"/>
      <c r="BPH345" s="50"/>
      <c r="BPI345" s="50"/>
      <c r="BPJ345" s="50"/>
      <c r="BPK345" s="50"/>
      <c r="BPL345" s="50"/>
      <c r="BPM345" s="50"/>
      <c r="BPN345" s="50"/>
      <c r="BPO345" s="50"/>
      <c r="BPP345" s="50"/>
      <c r="BPQ345" s="50"/>
      <c r="BPR345" s="50"/>
      <c r="BPS345" s="50"/>
      <c r="BPT345" s="50"/>
      <c r="BPU345" s="50"/>
      <c r="BPV345" s="50"/>
      <c r="BPW345" s="50"/>
      <c r="BPX345" s="50"/>
      <c r="BPY345" s="50"/>
      <c r="BPZ345" s="50"/>
      <c r="BQA345" s="50"/>
      <c r="BQB345" s="50"/>
      <c r="BQC345" s="50"/>
      <c r="BQD345" s="50"/>
      <c r="BQE345" s="50"/>
      <c r="BQF345" s="50"/>
      <c r="BQG345" s="50"/>
      <c r="BQH345" s="50"/>
      <c r="BQI345" s="50"/>
      <c r="BQJ345" s="50"/>
      <c r="BQK345" s="50"/>
      <c r="BQL345" s="50"/>
      <c r="BQM345" s="50"/>
      <c r="BQN345" s="50"/>
      <c r="BQO345" s="50"/>
      <c r="BQP345" s="50"/>
      <c r="BQQ345" s="50"/>
      <c r="BQR345" s="50"/>
      <c r="BQS345" s="50"/>
      <c r="BQT345" s="50"/>
      <c r="BQU345" s="50"/>
      <c r="BQV345" s="50"/>
      <c r="BQW345" s="50"/>
      <c r="BQX345" s="50"/>
      <c r="BQY345" s="50"/>
      <c r="BQZ345" s="50"/>
      <c r="BRA345" s="50"/>
      <c r="BRB345" s="50"/>
      <c r="BRC345" s="50"/>
      <c r="BRD345" s="50"/>
      <c r="BRE345" s="50"/>
      <c r="BRF345" s="50"/>
      <c r="BRG345" s="50"/>
      <c r="BRH345" s="50"/>
      <c r="BRI345" s="50"/>
      <c r="BRJ345" s="50"/>
      <c r="BRK345" s="50"/>
      <c r="BRL345" s="50"/>
      <c r="BRM345" s="50"/>
      <c r="BRN345" s="50"/>
      <c r="BRO345" s="50"/>
      <c r="BRP345" s="50"/>
      <c r="BRQ345" s="50"/>
      <c r="BRR345" s="50"/>
      <c r="BRS345" s="50"/>
      <c r="BRT345" s="50"/>
      <c r="BRU345" s="50"/>
      <c r="BRV345" s="50"/>
      <c r="BRW345" s="50"/>
      <c r="BRX345" s="50"/>
      <c r="BRY345" s="50"/>
      <c r="BRZ345" s="50"/>
      <c r="BSA345" s="50"/>
      <c r="BSB345" s="50"/>
      <c r="BSC345" s="50"/>
      <c r="BSD345" s="50"/>
      <c r="BSE345" s="50"/>
      <c r="BSF345" s="50"/>
      <c r="BSG345" s="50"/>
      <c r="BSH345" s="50"/>
      <c r="BSI345" s="50"/>
      <c r="BSJ345" s="50"/>
      <c r="BSK345" s="50"/>
      <c r="BSL345" s="50"/>
      <c r="BSM345" s="50"/>
      <c r="BSN345" s="50"/>
      <c r="BSO345" s="50"/>
      <c r="BSP345" s="50"/>
      <c r="BSQ345" s="50"/>
      <c r="BSR345" s="50"/>
      <c r="BSS345" s="50"/>
      <c r="BST345" s="50"/>
      <c r="BSU345" s="50"/>
      <c r="BSV345" s="50"/>
      <c r="BSW345" s="50"/>
      <c r="BSX345" s="50"/>
      <c r="BSY345" s="50"/>
      <c r="BSZ345" s="50"/>
      <c r="BTA345" s="50"/>
      <c r="BTB345" s="50"/>
      <c r="BTC345" s="50"/>
      <c r="BTD345" s="50"/>
      <c r="BTE345" s="50"/>
      <c r="BTF345" s="50"/>
      <c r="BTG345" s="50"/>
      <c r="BTH345" s="50"/>
      <c r="BTI345" s="50"/>
      <c r="BTJ345" s="50"/>
      <c r="BTK345" s="50"/>
      <c r="BTL345" s="50"/>
      <c r="BTM345" s="50"/>
      <c r="BTN345" s="50"/>
      <c r="BTO345" s="50"/>
      <c r="BTP345" s="50"/>
      <c r="BTQ345" s="50"/>
      <c r="BTR345" s="50"/>
      <c r="BTS345" s="50"/>
      <c r="BTT345" s="50"/>
      <c r="BTU345" s="50"/>
      <c r="BTV345" s="50"/>
      <c r="BTW345" s="50"/>
      <c r="BTX345" s="50"/>
      <c r="BTY345" s="50"/>
      <c r="BTZ345" s="50"/>
      <c r="BUA345" s="50"/>
      <c r="BUB345" s="50"/>
      <c r="BUC345" s="50"/>
      <c r="BUD345" s="50"/>
      <c r="BUE345" s="50"/>
      <c r="BUF345" s="50"/>
      <c r="BUG345" s="50"/>
      <c r="BUH345" s="50"/>
      <c r="BUI345" s="50"/>
      <c r="BUJ345" s="50"/>
      <c r="BUK345" s="50"/>
      <c r="BUL345" s="50"/>
      <c r="BUM345" s="50"/>
      <c r="BUN345" s="50"/>
      <c r="BUO345" s="50"/>
      <c r="BUP345" s="50"/>
      <c r="BUQ345" s="50"/>
      <c r="BUR345" s="50"/>
      <c r="BUS345" s="50"/>
      <c r="BUT345" s="50"/>
      <c r="BUU345" s="50"/>
      <c r="BUV345" s="50"/>
      <c r="BUW345" s="50"/>
      <c r="BUX345" s="50"/>
      <c r="BUY345" s="50"/>
      <c r="BUZ345" s="50"/>
      <c r="BVA345" s="50"/>
      <c r="BVB345" s="50"/>
      <c r="BVC345" s="50"/>
      <c r="BVD345" s="50"/>
      <c r="BVE345" s="50"/>
      <c r="BVF345" s="50"/>
      <c r="BVG345" s="50"/>
      <c r="BVH345" s="50"/>
      <c r="BVI345" s="50"/>
      <c r="BVJ345" s="50"/>
      <c r="BVK345" s="50"/>
      <c r="BVL345" s="50"/>
      <c r="BVM345" s="50"/>
      <c r="BVN345" s="50"/>
      <c r="BVO345" s="50"/>
      <c r="BVP345" s="50"/>
      <c r="BVQ345" s="50"/>
      <c r="BVR345" s="50"/>
      <c r="BVS345" s="50"/>
      <c r="BVT345" s="50"/>
      <c r="BVU345" s="50"/>
      <c r="BVV345" s="50"/>
      <c r="BVW345" s="50"/>
      <c r="BVX345" s="50"/>
      <c r="BVY345" s="50"/>
      <c r="BVZ345" s="50"/>
      <c r="BWA345" s="50"/>
      <c r="BWB345" s="50"/>
      <c r="BWC345" s="50"/>
      <c r="BWD345" s="50"/>
      <c r="BWE345" s="50"/>
      <c r="BWF345" s="50"/>
      <c r="BWG345" s="50"/>
      <c r="BWH345" s="50"/>
      <c r="BWI345" s="50"/>
      <c r="BWJ345" s="50"/>
      <c r="BWK345" s="50"/>
      <c r="BWL345" s="50"/>
      <c r="BWM345" s="50"/>
      <c r="BWN345" s="50"/>
      <c r="BWO345" s="50"/>
      <c r="BWP345" s="50"/>
      <c r="BWQ345" s="50"/>
      <c r="BWR345" s="50"/>
      <c r="BWS345" s="50"/>
      <c r="BWT345" s="50"/>
      <c r="BWU345" s="50"/>
      <c r="BWV345" s="50"/>
      <c r="BWW345" s="50"/>
      <c r="BWX345" s="50"/>
      <c r="BWY345" s="50"/>
      <c r="BWZ345" s="50"/>
      <c r="BXA345" s="50"/>
      <c r="BXB345" s="50"/>
      <c r="BXC345" s="50"/>
      <c r="BXD345" s="50"/>
      <c r="BXE345" s="50"/>
      <c r="BXF345" s="50"/>
      <c r="BXG345" s="50"/>
      <c r="BXH345" s="50"/>
      <c r="BXI345" s="50"/>
      <c r="BXJ345" s="50"/>
      <c r="BXK345" s="50"/>
      <c r="BXL345" s="50"/>
      <c r="BXM345" s="50"/>
      <c r="BXN345" s="50"/>
      <c r="BXO345" s="50"/>
      <c r="BXP345" s="50"/>
      <c r="BXQ345" s="50"/>
      <c r="BXR345" s="50"/>
      <c r="BXS345" s="50"/>
      <c r="BXT345" s="50"/>
      <c r="BXU345" s="50"/>
      <c r="BXV345" s="50"/>
      <c r="BXW345" s="50"/>
      <c r="BXX345" s="50"/>
      <c r="BXY345" s="50"/>
      <c r="BXZ345" s="50"/>
      <c r="BYA345" s="50"/>
      <c r="BYB345" s="50"/>
      <c r="BYC345" s="50"/>
      <c r="BYD345" s="50"/>
      <c r="BYE345" s="50"/>
      <c r="BYF345" s="50"/>
      <c r="BYG345" s="50"/>
      <c r="BYH345" s="50"/>
      <c r="BYI345" s="50"/>
      <c r="BYJ345" s="50"/>
      <c r="BYK345" s="50"/>
      <c r="BYL345" s="50"/>
      <c r="BYM345" s="50"/>
      <c r="BYN345" s="50"/>
      <c r="BYO345" s="50"/>
      <c r="BYP345" s="50"/>
      <c r="BYQ345" s="50"/>
      <c r="BYR345" s="50"/>
      <c r="BYS345" s="50"/>
      <c r="BYT345" s="50"/>
      <c r="BYU345" s="50"/>
      <c r="BYV345" s="50"/>
      <c r="BYW345" s="50"/>
      <c r="BYX345" s="50"/>
      <c r="BYY345" s="50"/>
      <c r="BYZ345" s="50"/>
      <c r="BZA345" s="50"/>
      <c r="BZB345" s="50"/>
      <c r="BZC345" s="50"/>
      <c r="BZD345" s="50"/>
      <c r="BZE345" s="50"/>
      <c r="BZF345" s="50"/>
      <c r="BZG345" s="50"/>
      <c r="BZH345" s="50"/>
      <c r="BZI345" s="50"/>
      <c r="BZJ345" s="50"/>
      <c r="BZK345" s="50"/>
      <c r="BZL345" s="50"/>
      <c r="BZM345" s="50"/>
      <c r="BZN345" s="50"/>
      <c r="BZO345" s="50"/>
      <c r="BZP345" s="50"/>
      <c r="BZQ345" s="50"/>
      <c r="BZR345" s="50"/>
      <c r="BZS345" s="50"/>
      <c r="BZT345" s="50"/>
      <c r="BZU345" s="50"/>
      <c r="BZV345" s="50"/>
      <c r="BZW345" s="50"/>
      <c r="BZX345" s="50"/>
      <c r="BZY345" s="50"/>
      <c r="BZZ345" s="50"/>
      <c r="CAA345" s="50"/>
      <c r="CAB345" s="50"/>
      <c r="CAC345" s="50"/>
      <c r="CAD345" s="50"/>
      <c r="CAE345" s="50"/>
      <c r="CAF345" s="50"/>
      <c r="CAG345" s="50"/>
      <c r="CAH345" s="50"/>
      <c r="CAI345" s="50"/>
      <c r="CAJ345" s="50"/>
      <c r="CAK345" s="50"/>
      <c r="CAL345" s="50"/>
      <c r="CAM345" s="50"/>
      <c r="CAN345" s="50"/>
      <c r="CAO345" s="50"/>
      <c r="CAP345" s="50"/>
      <c r="CAQ345" s="50"/>
      <c r="CAR345" s="50"/>
      <c r="CAS345" s="50"/>
      <c r="CAT345" s="50"/>
      <c r="CAU345" s="50"/>
      <c r="CAV345" s="50"/>
      <c r="CAW345" s="50"/>
      <c r="CAX345" s="50"/>
      <c r="CAY345" s="50"/>
      <c r="CAZ345" s="50"/>
      <c r="CBA345" s="50"/>
      <c r="CBB345" s="50"/>
      <c r="CBC345" s="50"/>
      <c r="CBD345" s="50"/>
      <c r="CBE345" s="50"/>
      <c r="CBF345" s="50"/>
      <c r="CBG345" s="50"/>
      <c r="CBH345" s="50"/>
      <c r="CBI345" s="50"/>
      <c r="CBJ345" s="50"/>
      <c r="CBK345" s="50"/>
      <c r="CBL345" s="50"/>
      <c r="CBM345" s="50"/>
      <c r="CBN345" s="50"/>
      <c r="CBO345" s="50"/>
      <c r="CBP345" s="50"/>
      <c r="CBQ345" s="50"/>
      <c r="CBR345" s="50"/>
      <c r="CBS345" s="50"/>
      <c r="CBT345" s="50"/>
      <c r="CBU345" s="50"/>
      <c r="CBV345" s="50"/>
      <c r="CBW345" s="50"/>
      <c r="CBX345" s="50"/>
      <c r="CBY345" s="50"/>
      <c r="CBZ345" s="50"/>
      <c r="CCA345" s="50"/>
      <c r="CCB345" s="50"/>
      <c r="CCC345" s="50"/>
      <c r="CCD345" s="50"/>
      <c r="CCE345" s="50"/>
      <c r="CCF345" s="50"/>
      <c r="CCG345" s="50"/>
      <c r="CCH345" s="50"/>
      <c r="CCI345" s="50"/>
      <c r="CCJ345" s="50"/>
      <c r="CCK345" s="50"/>
      <c r="CCL345" s="50"/>
      <c r="CCM345" s="50"/>
      <c r="CCN345" s="50"/>
      <c r="CCO345" s="50"/>
      <c r="CCP345" s="50"/>
      <c r="CCQ345" s="50"/>
      <c r="CCR345" s="50"/>
      <c r="CCS345" s="50"/>
      <c r="CCT345" s="50"/>
      <c r="CCU345" s="50"/>
      <c r="CCV345" s="50"/>
      <c r="CCW345" s="50"/>
      <c r="CCX345" s="50"/>
      <c r="CCY345" s="50"/>
      <c r="CCZ345" s="50"/>
      <c r="CDA345" s="50"/>
      <c r="CDB345" s="50"/>
      <c r="CDC345" s="50"/>
      <c r="CDD345" s="50"/>
      <c r="CDE345" s="50"/>
      <c r="CDF345" s="50"/>
      <c r="CDG345" s="50"/>
      <c r="CDH345" s="50"/>
      <c r="CDI345" s="50"/>
      <c r="CDJ345" s="50"/>
      <c r="CDK345" s="50"/>
      <c r="CDL345" s="50"/>
      <c r="CDM345" s="50"/>
      <c r="CDN345" s="50"/>
      <c r="CDO345" s="50"/>
      <c r="CDP345" s="50"/>
      <c r="CDQ345" s="50"/>
      <c r="CDR345" s="50"/>
      <c r="CDS345" s="50"/>
      <c r="CDT345" s="50"/>
      <c r="CDU345" s="50"/>
      <c r="CDV345" s="50"/>
      <c r="CDW345" s="50"/>
      <c r="CDX345" s="50"/>
      <c r="CDY345" s="50"/>
      <c r="CDZ345" s="50"/>
      <c r="CEA345" s="50"/>
      <c r="CEB345" s="50"/>
      <c r="CEC345" s="50"/>
      <c r="CED345" s="50"/>
      <c r="CEE345" s="50"/>
      <c r="CEF345" s="50"/>
      <c r="CEG345" s="50"/>
      <c r="CEH345" s="50"/>
      <c r="CEI345" s="50"/>
      <c r="CEJ345" s="50"/>
      <c r="CEK345" s="50"/>
      <c r="CEL345" s="50"/>
      <c r="CEM345" s="50"/>
      <c r="CEN345" s="50"/>
      <c r="CEO345" s="50"/>
      <c r="CEP345" s="50"/>
      <c r="CEQ345" s="50"/>
      <c r="CER345" s="50"/>
      <c r="CES345" s="50"/>
      <c r="CET345" s="50"/>
      <c r="CEU345" s="50"/>
      <c r="CEV345" s="50"/>
      <c r="CEW345" s="50"/>
      <c r="CEX345" s="50"/>
      <c r="CEY345" s="50"/>
      <c r="CEZ345" s="50"/>
      <c r="CFA345" s="50"/>
      <c r="CFB345" s="50"/>
      <c r="CFC345" s="50"/>
      <c r="CFD345" s="50"/>
      <c r="CFE345" s="50"/>
      <c r="CFF345" s="50"/>
      <c r="CFG345" s="50"/>
      <c r="CFH345" s="50"/>
      <c r="CFI345" s="50"/>
      <c r="CFJ345" s="50"/>
      <c r="CFK345" s="50"/>
      <c r="CFL345" s="50"/>
      <c r="CFM345" s="50"/>
      <c r="CFN345" s="50"/>
      <c r="CFO345" s="50"/>
      <c r="CFP345" s="50"/>
      <c r="CFQ345" s="50"/>
      <c r="CFR345" s="50"/>
      <c r="CFS345" s="50"/>
      <c r="CFT345" s="50"/>
      <c r="CFU345" s="50"/>
      <c r="CFV345" s="50"/>
      <c r="CFW345" s="50"/>
      <c r="CFX345" s="50"/>
      <c r="CFY345" s="50"/>
      <c r="CFZ345" s="50"/>
      <c r="CGA345" s="50"/>
      <c r="CGB345" s="50"/>
      <c r="CGC345" s="50"/>
      <c r="CGD345" s="50"/>
      <c r="CGE345" s="50"/>
      <c r="CGF345" s="50"/>
      <c r="CGG345" s="50"/>
      <c r="CGH345" s="50"/>
      <c r="CGI345" s="50"/>
      <c r="CGJ345" s="50"/>
      <c r="CGK345" s="50"/>
      <c r="CGL345" s="50"/>
      <c r="CGM345" s="50"/>
      <c r="CGN345" s="50"/>
      <c r="CGO345" s="50"/>
      <c r="CGP345" s="50"/>
      <c r="CGQ345" s="50"/>
      <c r="CGR345" s="50"/>
      <c r="CGS345" s="50"/>
      <c r="CGT345" s="50"/>
      <c r="CGU345" s="50"/>
      <c r="CGV345" s="50"/>
      <c r="CGW345" s="50"/>
      <c r="CGX345" s="50"/>
      <c r="CGY345" s="50"/>
      <c r="CGZ345" s="50"/>
      <c r="CHA345" s="50"/>
      <c r="CHB345" s="50"/>
      <c r="CHC345" s="50"/>
      <c r="CHD345" s="50"/>
      <c r="CHE345" s="50"/>
      <c r="CHF345" s="50"/>
      <c r="CHG345" s="50"/>
      <c r="CHH345" s="50"/>
      <c r="CHI345" s="50"/>
      <c r="CHJ345" s="50"/>
      <c r="CHK345" s="50"/>
      <c r="CHL345" s="50"/>
      <c r="CHM345" s="50"/>
      <c r="CHN345" s="50"/>
      <c r="CHO345" s="50"/>
      <c r="CHP345" s="50"/>
      <c r="CHQ345" s="50"/>
      <c r="CHR345" s="50"/>
      <c r="CHS345" s="50"/>
      <c r="CHT345" s="50"/>
      <c r="CHU345" s="50"/>
      <c r="CHV345" s="50"/>
      <c r="CHW345" s="50"/>
      <c r="CHX345" s="50"/>
      <c r="CHY345" s="50"/>
      <c r="CHZ345" s="50"/>
      <c r="CIA345" s="50"/>
      <c r="CIB345" s="50"/>
      <c r="CIC345" s="50"/>
      <c r="CID345" s="50"/>
      <c r="CIE345" s="50"/>
      <c r="CIF345" s="50"/>
      <c r="CIG345" s="50"/>
      <c r="CIH345" s="50"/>
      <c r="CII345" s="50"/>
      <c r="CIJ345" s="50"/>
      <c r="CIK345" s="50"/>
      <c r="CIL345" s="50"/>
      <c r="CIM345" s="50"/>
      <c r="CIN345" s="50"/>
      <c r="CIO345" s="50"/>
      <c r="CIP345" s="50"/>
      <c r="CIQ345" s="50"/>
      <c r="CIR345" s="50"/>
      <c r="CIS345" s="50"/>
      <c r="CIT345" s="50"/>
      <c r="CIU345" s="50"/>
      <c r="CIV345" s="50"/>
      <c r="CIW345" s="50"/>
      <c r="CIX345" s="50"/>
      <c r="CIY345" s="50"/>
      <c r="CIZ345" s="50"/>
      <c r="CJA345" s="50"/>
      <c r="CJB345" s="50"/>
      <c r="CJC345" s="50"/>
      <c r="CJD345" s="50"/>
      <c r="CJE345" s="50"/>
      <c r="CJF345" s="50"/>
      <c r="CJG345" s="50"/>
      <c r="CJH345" s="50"/>
      <c r="CJI345" s="50"/>
      <c r="CJJ345" s="50"/>
      <c r="CJK345" s="50"/>
      <c r="CJL345" s="50"/>
      <c r="CJM345" s="50"/>
      <c r="CJN345" s="50"/>
      <c r="CJO345" s="50"/>
      <c r="CJP345" s="50"/>
      <c r="CJQ345" s="50"/>
      <c r="CJR345" s="50"/>
      <c r="CJS345" s="50"/>
      <c r="CJT345" s="50"/>
      <c r="CJU345" s="50"/>
      <c r="CJV345" s="50"/>
      <c r="CJW345" s="50"/>
      <c r="CJX345" s="50"/>
      <c r="CJY345" s="50"/>
      <c r="CJZ345" s="50"/>
      <c r="CKA345" s="50"/>
      <c r="CKB345" s="50"/>
      <c r="CKC345" s="50"/>
      <c r="CKD345" s="50"/>
      <c r="CKE345" s="50"/>
      <c r="CKF345" s="50"/>
      <c r="CKG345" s="50"/>
      <c r="CKH345" s="50"/>
      <c r="CKI345" s="50"/>
      <c r="CKJ345" s="50"/>
      <c r="CKK345" s="50"/>
      <c r="CKL345" s="50"/>
      <c r="CKM345" s="50"/>
      <c r="CKN345" s="50"/>
      <c r="CKO345" s="50"/>
      <c r="CKP345" s="50"/>
      <c r="CKQ345" s="50"/>
      <c r="CKR345" s="50"/>
      <c r="CKS345" s="50"/>
      <c r="CKT345" s="50"/>
      <c r="CKU345" s="50"/>
      <c r="CKV345" s="50"/>
      <c r="CKW345" s="50"/>
      <c r="CKX345" s="50"/>
      <c r="CKY345" s="50"/>
      <c r="CKZ345" s="50"/>
      <c r="CLA345" s="50"/>
      <c r="CLB345" s="50"/>
      <c r="CLC345" s="50"/>
      <c r="CLD345" s="50"/>
      <c r="CLE345" s="50"/>
      <c r="CLF345" s="50"/>
      <c r="CLG345" s="50"/>
      <c r="CLH345" s="50"/>
      <c r="CLI345" s="50"/>
      <c r="CLJ345" s="50"/>
      <c r="CLK345" s="50"/>
      <c r="CLL345" s="50"/>
      <c r="CLM345" s="50"/>
      <c r="CLN345" s="50"/>
      <c r="CLO345" s="50"/>
      <c r="CLP345" s="50"/>
      <c r="CLQ345" s="50"/>
      <c r="CLR345" s="50"/>
      <c r="CLS345" s="50"/>
      <c r="CLT345" s="50"/>
      <c r="CLU345" s="50"/>
      <c r="CLV345" s="50"/>
      <c r="CLW345" s="50"/>
      <c r="CLX345" s="50"/>
      <c r="CLY345" s="50"/>
      <c r="CLZ345" s="50"/>
      <c r="CMA345" s="50"/>
      <c r="CMB345" s="50"/>
      <c r="CMC345" s="50"/>
      <c r="CMD345" s="50"/>
      <c r="CME345" s="50"/>
      <c r="CMF345" s="50"/>
      <c r="CMG345" s="50"/>
      <c r="CMH345" s="50"/>
      <c r="CMI345" s="50"/>
      <c r="CMJ345" s="50"/>
      <c r="CMK345" s="50"/>
      <c r="CML345" s="50"/>
      <c r="CMM345" s="50"/>
      <c r="CMN345" s="50"/>
      <c r="CMO345" s="50"/>
      <c r="CMP345" s="50"/>
      <c r="CMQ345" s="50"/>
      <c r="CMR345" s="50"/>
      <c r="CMS345" s="50"/>
      <c r="CMT345" s="50"/>
      <c r="CMU345" s="50"/>
      <c r="CMV345" s="50"/>
      <c r="CMW345" s="50"/>
      <c r="CMX345" s="50"/>
      <c r="CMY345" s="50"/>
      <c r="CMZ345" s="50"/>
      <c r="CNA345" s="50"/>
      <c r="CNB345" s="50"/>
      <c r="CNC345" s="50"/>
      <c r="CND345" s="50"/>
      <c r="CNE345" s="50"/>
      <c r="CNF345" s="50"/>
      <c r="CNG345" s="50"/>
      <c r="CNH345" s="50"/>
      <c r="CNI345" s="50"/>
      <c r="CNJ345" s="50"/>
      <c r="CNK345" s="50"/>
      <c r="CNL345" s="50"/>
      <c r="CNM345" s="50"/>
      <c r="CNN345" s="50"/>
      <c r="CNO345" s="50"/>
      <c r="CNP345" s="50"/>
      <c r="CNQ345" s="50"/>
      <c r="CNR345" s="50"/>
      <c r="CNS345" s="50"/>
      <c r="CNT345" s="50"/>
      <c r="CNU345" s="50"/>
      <c r="CNV345" s="50"/>
      <c r="CNW345" s="50"/>
      <c r="CNX345" s="50"/>
      <c r="CNY345" s="50"/>
      <c r="CNZ345" s="50"/>
      <c r="COA345" s="50"/>
      <c r="COB345" s="50"/>
      <c r="COC345" s="50"/>
      <c r="COD345" s="50"/>
      <c r="COE345" s="50"/>
      <c r="COF345" s="50"/>
      <c r="COG345" s="50"/>
      <c r="COH345" s="50"/>
      <c r="COI345" s="50"/>
      <c r="COJ345" s="50"/>
      <c r="COK345" s="50"/>
      <c r="COL345" s="50"/>
      <c r="COM345" s="50"/>
      <c r="CON345" s="50"/>
      <c r="COO345" s="50"/>
      <c r="COP345" s="50"/>
      <c r="COQ345" s="50"/>
      <c r="COR345" s="50"/>
      <c r="COS345" s="50"/>
      <c r="COT345" s="50"/>
      <c r="COU345" s="50"/>
      <c r="COV345" s="50"/>
      <c r="COW345" s="50"/>
      <c r="COX345" s="50"/>
      <c r="COY345" s="50"/>
      <c r="COZ345" s="50"/>
      <c r="CPA345" s="50"/>
      <c r="CPB345" s="50"/>
      <c r="CPC345" s="50"/>
      <c r="CPD345" s="50"/>
      <c r="CPE345" s="50"/>
      <c r="CPF345" s="50"/>
      <c r="CPG345" s="50"/>
      <c r="CPH345" s="50"/>
      <c r="CPI345" s="50"/>
      <c r="CPJ345" s="50"/>
      <c r="CPK345" s="50"/>
      <c r="CPL345" s="50"/>
      <c r="CPM345" s="50"/>
      <c r="CPN345" s="50"/>
      <c r="CPO345" s="50"/>
      <c r="CPP345" s="50"/>
      <c r="CPQ345" s="50"/>
      <c r="CPR345" s="50"/>
      <c r="CPS345" s="50"/>
      <c r="CPT345" s="50"/>
      <c r="CPU345" s="50"/>
      <c r="CPV345" s="50"/>
      <c r="CPW345" s="50"/>
      <c r="CPX345" s="50"/>
      <c r="CPY345" s="50"/>
      <c r="CPZ345" s="50"/>
      <c r="CQA345" s="50"/>
      <c r="CQB345" s="50"/>
      <c r="CQC345" s="50"/>
      <c r="CQD345" s="50"/>
      <c r="CQE345" s="50"/>
      <c r="CQF345" s="50"/>
      <c r="CQG345" s="50"/>
      <c r="CQH345" s="50"/>
      <c r="CQI345" s="50"/>
      <c r="CQJ345" s="50"/>
      <c r="CQK345" s="50"/>
      <c r="CQL345" s="50"/>
      <c r="CQM345" s="50"/>
      <c r="CQN345" s="50"/>
      <c r="CQO345" s="50"/>
      <c r="CQP345" s="50"/>
      <c r="CQQ345" s="50"/>
      <c r="CQR345" s="50"/>
      <c r="CQS345" s="50"/>
      <c r="CQT345" s="50"/>
      <c r="CQU345" s="50"/>
      <c r="CQV345" s="50"/>
      <c r="CQW345" s="50"/>
      <c r="CQX345" s="50"/>
      <c r="CQY345" s="50"/>
      <c r="CQZ345" s="50"/>
      <c r="CRA345" s="50"/>
      <c r="CRB345" s="50"/>
      <c r="CRC345" s="50"/>
      <c r="CRD345" s="50"/>
      <c r="CRE345" s="50"/>
      <c r="CRF345" s="50"/>
      <c r="CRG345" s="50"/>
      <c r="CRH345" s="50"/>
      <c r="CRI345" s="50"/>
      <c r="CRJ345" s="50"/>
      <c r="CRK345" s="50"/>
      <c r="CRL345" s="50"/>
      <c r="CRM345" s="50"/>
      <c r="CRN345" s="50"/>
      <c r="CRO345" s="50"/>
      <c r="CRP345" s="50"/>
      <c r="CRQ345" s="50"/>
      <c r="CRR345" s="50"/>
      <c r="CRS345" s="50"/>
      <c r="CRT345" s="50"/>
      <c r="CRU345" s="50"/>
      <c r="CRV345" s="50"/>
      <c r="CRW345" s="50"/>
      <c r="CRX345" s="50"/>
      <c r="CRY345" s="50"/>
      <c r="CRZ345" s="50"/>
      <c r="CSA345" s="50"/>
      <c r="CSB345" s="50"/>
      <c r="CSC345" s="50"/>
      <c r="CSD345" s="50"/>
      <c r="CSE345" s="50"/>
      <c r="CSF345" s="50"/>
      <c r="CSG345" s="50"/>
      <c r="CSH345" s="50"/>
      <c r="CSI345" s="50"/>
      <c r="CSJ345" s="50"/>
      <c r="CSK345" s="50"/>
      <c r="CSL345" s="50"/>
      <c r="CSM345" s="50"/>
      <c r="CSN345" s="50"/>
      <c r="CSO345" s="50"/>
      <c r="CSP345" s="50"/>
      <c r="CSQ345" s="50"/>
      <c r="CSR345" s="50"/>
      <c r="CSS345" s="50"/>
      <c r="CST345" s="50"/>
      <c r="CSU345" s="50"/>
      <c r="CSV345" s="50"/>
      <c r="CSW345" s="50"/>
      <c r="CSX345" s="50"/>
      <c r="CSY345" s="50"/>
      <c r="CSZ345" s="50"/>
      <c r="CTA345" s="50"/>
      <c r="CTB345" s="50"/>
      <c r="CTC345" s="50"/>
      <c r="CTD345" s="50"/>
      <c r="CTE345" s="50"/>
      <c r="CTF345" s="50"/>
      <c r="CTG345" s="50"/>
      <c r="CTH345" s="50"/>
      <c r="CTI345" s="50"/>
      <c r="CTJ345" s="50"/>
      <c r="CTK345" s="50"/>
      <c r="CTL345" s="50"/>
      <c r="CTM345" s="50"/>
      <c r="CTN345" s="50"/>
      <c r="CTO345" s="50"/>
      <c r="CTP345" s="50"/>
      <c r="CTQ345" s="50"/>
      <c r="CTR345" s="50"/>
      <c r="CTS345" s="50"/>
      <c r="CTT345" s="50"/>
      <c r="CTU345" s="50"/>
      <c r="CTV345" s="50"/>
      <c r="CTW345" s="50"/>
      <c r="CTX345" s="50"/>
      <c r="CTY345" s="50"/>
      <c r="CTZ345" s="50"/>
      <c r="CUA345" s="50"/>
      <c r="CUB345" s="50"/>
      <c r="CUC345" s="50"/>
      <c r="CUD345" s="50"/>
      <c r="CUE345" s="50"/>
      <c r="CUF345" s="50"/>
      <c r="CUG345" s="50"/>
      <c r="CUH345" s="50"/>
      <c r="CUI345" s="50"/>
      <c r="CUJ345" s="50"/>
      <c r="CUK345" s="50"/>
      <c r="CUL345" s="50"/>
      <c r="CUM345" s="50"/>
      <c r="CUN345" s="50"/>
      <c r="CUO345" s="50"/>
      <c r="CUP345" s="50"/>
      <c r="CUQ345" s="50"/>
      <c r="CUR345" s="50"/>
      <c r="CUS345" s="50"/>
      <c r="CUT345" s="50"/>
      <c r="CUU345" s="50"/>
      <c r="CUV345" s="50"/>
      <c r="CUW345" s="50"/>
      <c r="CUX345" s="50"/>
      <c r="CUY345" s="50"/>
      <c r="CUZ345" s="50"/>
      <c r="CVA345" s="50"/>
      <c r="CVB345" s="50"/>
      <c r="CVC345" s="50"/>
      <c r="CVD345" s="50"/>
      <c r="CVE345" s="50"/>
      <c r="CVF345" s="50"/>
      <c r="CVG345" s="50"/>
      <c r="CVH345" s="50"/>
      <c r="CVI345" s="50"/>
      <c r="CVJ345" s="50"/>
      <c r="CVK345" s="50"/>
      <c r="CVL345" s="50"/>
      <c r="CVM345" s="50"/>
      <c r="CVN345" s="50"/>
      <c r="CVO345" s="50"/>
      <c r="CVP345" s="50"/>
      <c r="CVQ345" s="50"/>
      <c r="CVR345" s="50"/>
      <c r="CVS345" s="50"/>
      <c r="CVT345" s="50"/>
      <c r="CVU345" s="50"/>
      <c r="CVV345" s="50"/>
      <c r="CVW345" s="50"/>
      <c r="CVX345" s="50"/>
      <c r="CVY345" s="50"/>
      <c r="CVZ345" s="50"/>
      <c r="CWA345" s="50"/>
      <c r="CWB345" s="50"/>
      <c r="CWC345" s="50"/>
      <c r="CWD345" s="50"/>
      <c r="CWE345" s="50"/>
      <c r="CWF345" s="50"/>
      <c r="CWG345" s="50"/>
      <c r="CWH345" s="50"/>
      <c r="CWI345" s="50"/>
      <c r="CWJ345" s="50"/>
      <c r="CWK345" s="50"/>
      <c r="CWL345" s="50"/>
      <c r="CWM345" s="50"/>
      <c r="CWN345" s="50"/>
      <c r="CWO345" s="50"/>
      <c r="CWP345" s="50"/>
      <c r="CWQ345" s="50"/>
      <c r="CWR345" s="50"/>
      <c r="CWS345" s="50"/>
      <c r="CWT345" s="50"/>
      <c r="CWU345" s="50"/>
      <c r="CWV345" s="50"/>
      <c r="CWW345" s="50"/>
      <c r="CWX345" s="50"/>
      <c r="CWY345" s="50"/>
      <c r="CWZ345" s="50"/>
      <c r="CXA345" s="50"/>
      <c r="CXB345" s="50"/>
      <c r="CXC345" s="50"/>
      <c r="CXD345" s="50"/>
      <c r="CXE345" s="50"/>
      <c r="CXF345" s="50"/>
      <c r="CXG345" s="50"/>
      <c r="CXH345" s="50"/>
      <c r="CXI345" s="50"/>
      <c r="CXJ345" s="50"/>
      <c r="CXK345" s="50"/>
      <c r="CXL345" s="50"/>
      <c r="CXM345" s="50"/>
      <c r="CXN345" s="50"/>
      <c r="CXO345" s="50"/>
      <c r="CXP345" s="50"/>
      <c r="CXQ345" s="50"/>
      <c r="CXR345" s="50"/>
      <c r="CXS345" s="50"/>
      <c r="CXT345" s="50"/>
      <c r="CXU345" s="50"/>
      <c r="CXV345" s="50"/>
      <c r="CXW345" s="50"/>
      <c r="CXX345" s="50"/>
      <c r="CXY345" s="50"/>
      <c r="CXZ345" s="50"/>
      <c r="CYA345" s="50"/>
      <c r="CYB345" s="50"/>
      <c r="CYC345" s="50"/>
      <c r="CYD345" s="50"/>
      <c r="CYE345" s="50"/>
      <c r="CYF345" s="50"/>
      <c r="CYG345" s="50"/>
      <c r="CYH345" s="50"/>
      <c r="CYI345" s="50"/>
      <c r="CYJ345" s="50"/>
      <c r="CYK345" s="50"/>
      <c r="CYL345" s="50"/>
      <c r="CYM345" s="50"/>
      <c r="CYN345" s="50"/>
      <c r="CYO345" s="50"/>
      <c r="CYP345" s="50"/>
      <c r="CYQ345" s="50"/>
      <c r="CYR345" s="50"/>
      <c r="CYS345" s="50"/>
      <c r="CYT345" s="50"/>
      <c r="CYU345" s="50"/>
      <c r="CYV345" s="50"/>
      <c r="CYW345" s="50"/>
      <c r="CYX345" s="50"/>
      <c r="CYY345" s="50"/>
      <c r="CYZ345" s="50"/>
      <c r="CZA345" s="50"/>
      <c r="CZB345" s="50"/>
      <c r="CZC345" s="50"/>
      <c r="CZD345" s="50"/>
      <c r="CZE345" s="50"/>
      <c r="CZF345" s="50"/>
      <c r="CZG345" s="50"/>
      <c r="CZH345" s="50"/>
      <c r="CZI345" s="50"/>
      <c r="CZJ345" s="50"/>
      <c r="CZK345" s="50"/>
      <c r="CZL345" s="50"/>
      <c r="CZM345" s="50"/>
      <c r="CZN345" s="50"/>
      <c r="CZO345" s="50"/>
      <c r="CZP345" s="50"/>
      <c r="CZQ345" s="50"/>
      <c r="CZR345" s="50"/>
      <c r="CZS345" s="50"/>
      <c r="CZT345" s="50"/>
      <c r="CZU345" s="50"/>
      <c r="CZV345" s="50"/>
      <c r="CZW345" s="50"/>
      <c r="CZX345" s="50"/>
      <c r="CZY345" s="50"/>
      <c r="CZZ345" s="50"/>
      <c r="DAA345" s="50"/>
      <c r="DAB345" s="50"/>
      <c r="DAC345" s="50"/>
      <c r="DAD345" s="50"/>
      <c r="DAE345" s="50"/>
      <c r="DAF345" s="50"/>
      <c r="DAG345" s="50"/>
      <c r="DAH345" s="50"/>
      <c r="DAI345" s="50"/>
      <c r="DAJ345" s="50"/>
      <c r="DAK345" s="50"/>
      <c r="DAL345" s="50"/>
      <c r="DAM345" s="50"/>
      <c r="DAN345" s="50"/>
      <c r="DAO345" s="50"/>
      <c r="DAP345" s="50"/>
      <c r="DAQ345" s="50"/>
      <c r="DAR345" s="50"/>
      <c r="DAS345" s="50"/>
      <c r="DAT345" s="50"/>
      <c r="DAU345" s="50"/>
      <c r="DAV345" s="50"/>
      <c r="DAW345" s="50"/>
      <c r="DAX345" s="50"/>
      <c r="DAY345" s="50"/>
      <c r="DAZ345" s="50"/>
      <c r="DBA345" s="50"/>
      <c r="DBB345" s="50"/>
      <c r="DBC345" s="50"/>
      <c r="DBD345" s="50"/>
      <c r="DBE345" s="50"/>
      <c r="DBF345" s="50"/>
      <c r="DBG345" s="50"/>
      <c r="DBH345" s="50"/>
      <c r="DBI345" s="50"/>
      <c r="DBJ345" s="50"/>
      <c r="DBK345" s="50"/>
      <c r="DBL345" s="50"/>
      <c r="DBM345" s="50"/>
      <c r="DBN345" s="50"/>
      <c r="DBO345" s="50"/>
      <c r="DBP345" s="50"/>
      <c r="DBQ345" s="50"/>
      <c r="DBR345" s="50"/>
      <c r="DBS345" s="50"/>
      <c r="DBT345" s="50"/>
      <c r="DBU345" s="50"/>
      <c r="DBV345" s="50"/>
      <c r="DBW345" s="50"/>
      <c r="DBX345" s="50"/>
      <c r="DBY345" s="50"/>
      <c r="DBZ345" s="50"/>
      <c r="DCA345" s="50"/>
      <c r="DCB345" s="50"/>
      <c r="DCC345" s="50"/>
      <c r="DCD345" s="50"/>
      <c r="DCE345" s="50"/>
      <c r="DCF345" s="50"/>
      <c r="DCG345" s="50"/>
      <c r="DCH345" s="50"/>
      <c r="DCI345" s="50"/>
      <c r="DCJ345" s="50"/>
      <c r="DCK345" s="50"/>
      <c r="DCL345" s="50"/>
      <c r="DCM345" s="50"/>
      <c r="DCN345" s="50"/>
      <c r="DCO345" s="50"/>
      <c r="DCP345" s="50"/>
      <c r="DCQ345" s="50"/>
      <c r="DCR345" s="50"/>
      <c r="DCS345" s="50"/>
      <c r="DCT345" s="50"/>
      <c r="DCU345" s="50"/>
      <c r="DCV345" s="50"/>
      <c r="DCW345" s="50"/>
      <c r="DCX345" s="50"/>
      <c r="DCY345" s="50"/>
      <c r="DCZ345" s="50"/>
      <c r="DDA345" s="50"/>
      <c r="DDB345" s="50"/>
      <c r="DDC345" s="50"/>
      <c r="DDD345" s="50"/>
      <c r="DDE345" s="50"/>
      <c r="DDF345" s="50"/>
      <c r="DDG345" s="50"/>
      <c r="DDH345" s="50"/>
      <c r="DDI345" s="50"/>
      <c r="DDJ345" s="50"/>
      <c r="DDK345" s="50"/>
      <c r="DDL345" s="50"/>
      <c r="DDM345" s="50"/>
      <c r="DDN345" s="50"/>
      <c r="DDO345" s="50"/>
      <c r="DDP345" s="50"/>
      <c r="DDQ345" s="50"/>
      <c r="DDR345" s="50"/>
      <c r="DDS345" s="50"/>
      <c r="DDT345" s="50"/>
      <c r="DDU345" s="50"/>
      <c r="DDV345" s="50"/>
      <c r="DDW345" s="50"/>
      <c r="DDX345" s="50"/>
      <c r="DDY345" s="50"/>
      <c r="DDZ345" s="50"/>
      <c r="DEA345" s="50"/>
      <c r="DEB345" s="50"/>
      <c r="DEC345" s="50"/>
      <c r="DED345" s="50"/>
      <c r="DEE345" s="50"/>
      <c r="DEF345" s="50"/>
      <c r="DEG345" s="50"/>
      <c r="DEH345" s="50"/>
      <c r="DEI345" s="50"/>
      <c r="DEJ345" s="50"/>
      <c r="DEK345" s="50"/>
      <c r="DEL345" s="50"/>
      <c r="DEM345" s="50"/>
      <c r="DEN345" s="50"/>
      <c r="DEO345" s="50"/>
      <c r="DEP345" s="50"/>
      <c r="DEQ345" s="50"/>
      <c r="DER345" s="50"/>
      <c r="DES345" s="50"/>
      <c r="DET345" s="50"/>
      <c r="DEU345" s="50"/>
      <c r="DEV345" s="50"/>
      <c r="DEW345" s="50"/>
      <c r="DEX345" s="50"/>
      <c r="DEY345" s="50"/>
      <c r="DEZ345" s="50"/>
      <c r="DFA345" s="50"/>
      <c r="DFB345" s="50"/>
      <c r="DFC345" s="50"/>
      <c r="DFD345" s="50"/>
      <c r="DFE345" s="50"/>
      <c r="DFF345" s="50"/>
      <c r="DFG345" s="50"/>
      <c r="DFH345" s="50"/>
      <c r="DFI345" s="50"/>
      <c r="DFJ345" s="50"/>
      <c r="DFK345" s="50"/>
      <c r="DFL345" s="50"/>
      <c r="DFM345" s="50"/>
      <c r="DFN345" s="50"/>
      <c r="DFO345" s="50"/>
      <c r="DFP345" s="50"/>
      <c r="DFQ345" s="50"/>
      <c r="DFR345" s="50"/>
      <c r="DFS345" s="50"/>
      <c r="DFT345" s="50"/>
      <c r="DFU345" s="50"/>
      <c r="DFV345" s="50"/>
      <c r="DFW345" s="50"/>
      <c r="DFX345" s="50"/>
      <c r="DFY345" s="50"/>
      <c r="DFZ345" s="50"/>
      <c r="DGA345" s="50"/>
      <c r="DGB345" s="50"/>
      <c r="DGC345" s="50"/>
      <c r="DGD345" s="50"/>
      <c r="DGE345" s="50"/>
      <c r="DGF345" s="50"/>
      <c r="DGG345" s="50"/>
      <c r="DGH345" s="50"/>
      <c r="DGI345" s="50"/>
      <c r="DGJ345" s="50"/>
      <c r="DGK345" s="50"/>
      <c r="DGL345" s="50"/>
      <c r="DGM345" s="50"/>
      <c r="DGN345" s="50"/>
      <c r="DGO345" s="50"/>
      <c r="DGP345" s="50"/>
      <c r="DGQ345" s="50"/>
      <c r="DGR345" s="50"/>
      <c r="DGS345" s="50"/>
      <c r="DGT345" s="50"/>
      <c r="DGU345" s="50"/>
      <c r="DGV345" s="50"/>
      <c r="DGW345" s="50"/>
      <c r="DGX345" s="50"/>
      <c r="DGY345" s="50"/>
      <c r="DGZ345" s="50"/>
      <c r="DHA345" s="50"/>
      <c r="DHB345" s="50"/>
      <c r="DHC345" s="50"/>
      <c r="DHD345" s="50"/>
      <c r="DHE345" s="50"/>
      <c r="DHF345" s="50"/>
      <c r="DHG345" s="50"/>
      <c r="DHH345" s="50"/>
      <c r="DHI345" s="50"/>
      <c r="DHJ345" s="50"/>
      <c r="DHK345" s="50"/>
      <c r="DHL345" s="50"/>
      <c r="DHM345" s="50"/>
      <c r="DHN345" s="50"/>
      <c r="DHO345" s="50"/>
      <c r="DHP345" s="50"/>
      <c r="DHQ345" s="50"/>
      <c r="DHR345" s="50"/>
      <c r="DHS345" s="50"/>
      <c r="DHT345" s="50"/>
      <c r="DHU345" s="50"/>
      <c r="DHV345" s="50"/>
      <c r="DHW345" s="50"/>
      <c r="DHX345" s="50"/>
      <c r="DHY345" s="50"/>
      <c r="DHZ345" s="50"/>
      <c r="DIA345" s="50"/>
      <c r="DIB345" s="50"/>
      <c r="DIC345" s="50"/>
      <c r="DID345" s="50"/>
      <c r="DIE345" s="50"/>
      <c r="DIF345" s="50"/>
      <c r="DIG345" s="50"/>
      <c r="DIH345" s="50"/>
      <c r="DII345" s="50"/>
      <c r="DIJ345" s="50"/>
      <c r="DIK345" s="50"/>
      <c r="DIL345" s="50"/>
      <c r="DIM345" s="50"/>
      <c r="DIN345" s="50"/>
      <c r="DIO345" s="50"/>
      <c r="DIP345" s="50"/>
      <c r="DIQ345" s="50"/>
      <c r="DIR345" s="50"/>
      <c r="DIS345" s="50"/>
      <c r="DIT345" s="50"/>
      <c r="DIU345" s="50"/>
      <c r="DIV345" s="50"/>
      <c r="DIW345" s="50"/>
      <c r="DIX345" s="50"/>
      <c r="DIY345" s="50"/>
      <c r="DIZ345" s="50"/>
      <c r="DJA345" s="50"/>
      <c r="DJB345" s="50"/>
      <c r="DJC345" s="50"/>
      <c r="DJD345" s="50"/>
      <c r="DJE345" s="50"/>
      <c r="DJF345" s="50"/>
      <c r="DJG345" s="50"/>
      <c r="DJH345" s="50"/>
      <c r="DJI345" s="50"/>
      <c r="DJJ345" s="50"/>
      <c r="DJK345" s="50"/>
      <c r="DJL345" s="50"/>
      <c r="DJM345" s="50"/>
      <c r="DJN345" s="50"/>
      <c r="DJO345" s="50"/>
      <c r="DJP345" s="50"/>
      <c r="DJQ345" s="50"/>
      <c r="DJR345" s="50"/>
      <c r="DJS345" s="50"/>
      <c r="DJT345" s="50"/>
      <c r="DJU345" s="50"/>
      <c r="DJV345" s="50"/>
      <c r="DJW345" s="50"/>
      <c r="DJX345" s="50"/>
      <c r="DJY345" s="50"/>
      <c r="DJZ345" s="50"/>
      <c r="DKA345" s="50"/>
      <c r="DKB345" s="50"/>
      <c r="DKC345" s="50"/>
      <c r="DKD345" s="50"/>
      <c r="DKE345" s="50"/>
      <c r="DKF345" s="50"/>
      <c r="DKG345" s="50"/>
      <c r="DKH345" s="50"/>
      <c r="DKI345" s="50"/>
      <c r="DKJ345" s="50"/>
      <c r="DKK345" s="50"/>
      <c r="DKL345" s="50"/>
      <c r="DKM345" s="50"/>
      <c r="DKN345" s="50"/>
      <c r="DKO345" s="50"/>
      <c r="DKP345" s="50"/>
      <c r="DKQ345" s="50"/>
      <c r="DKR345" s="50"/>
      <c r="DKS345" s="50"/>
      <c r="DKT345" s="50"/>
      <c r="DKU345" s="50"/>
      <c r="DKV345" s="50"/>
      <c r="DKW345" s="50"/>
      <c r="DKX345" s="50"/>
      <c r="DKY345" s="50"/>
      <c r="DKZ345" s="50"/>
      <c r="DLA345" s="50"/>
      <c r="DLB345" s="50"/>
      <c r="DLC345" s="50"/>
      <c r="DLD345" s="50"/>
      <c r="DLE345" s="50"/>
      <c r="DLF345" s="50"/>
      <c r="DLG345" s="50"/>
      <c r="DLH345" s="50"/>
      <c r="DLI345" s="50"/>
      <c r="DLJ345" s="50"/>
      <c r="DLK345" s="50"/>
      <c r="DLL345" s="50"/>
      <c r="DLM345" s="50"/>
      <c r="DLN345" s="50"/>
      <c r="DLO345" s="50"/>
      <c r="DLP345" s="50"/>
      <c r="DLQ345" s="50"/>
      <c r="DLR345" s="50"/>
      <c r="DLS345" s="50"/>
      <c r="DLT345" s="50"/>
      <c r="DLU345" s="50"/>
      <c r="DLV345" s="50"/>
      <c r="DLW345" s="50"/>
      <c r="DLX345" s="50"/>
      <c r="DLY345" s="50"/>
      <c r="DLZ345" s="50"/>
      <c r="DMA345" s="50"/>
      <c r="DMB345" s="50"/>
      <c r="DMC345" s="50"/>
      <c r="DMD345" s="50"/>
      <c r="DME345" s="50"/>
      <c r="DMF345" s="50"/>
      <c r="DMG345" s="50"/>
      <c r="DMH345" s="50"/>
      <c r="DMI345" s="50"/>
      <c r="DMJ345" s="50"/>
      <c r="DMK345" s="50"/>
      <c r="DML345" s="50"/>
      <c r="DMM345" s="50"/>
      <c r="DMN345" s="50"/>
      <c r="DMO345" s="50"/>
      <c r="DMP345" s="50"/>
      <c r="DMQ345" s="50"/>
      <c r="DMR345" s="50"/>
      <c r="DMS345" s="50"/>
      <c r="DMT345" s="50"/>
      <c r="DMU345" s="50"/>
      <c r="DMV345" s="50"/>
      <c r="DMW345" s="50"/>
      <c r="DMX345" s="50"/>
      <c r="DMY345" s="50"/>
      <c r="DMZ345" s="50"/>
      <c r="DNA345" s="50"/>
      <c r="DNB345" s="50"/>
      <c r="DNC345" s="50"/>
      <c r="DND345" s="50"/>
      <c r="DNE345" s="50"/>
      <c r="DNF345" s="50"/>
      <c r="DNG345" s="50"/>
      <c r="DNH345" s="50"/>
      <c r="DNI345" s="50"/>
      <c r="DNJ345" s="50"/>
      <c r="DNK345" s="50"/>
      <c r="DNL345" s="50"/>
      <c r="DNM345" s="50"/>
      <c r="DNN345" s="50"/>
      <c r="DNO345" s="50"/>
      <c r="DNP345" s="50"/>
      <c r="DNQ345" s="50"/>
      <c r="DNR345" s="50"/>
      <c r="DNS345" s="50"/>
      <c r="DNT345" s="50"/>
      <c r="DNU345" s="50"/>
      <c r="DNV345" s="50"/>
      <c r="DNW345" s="50"/>
      <c r="DNX345" s="50"/>
      <c r="DNY345" s="50"/>
      <c r="DNZ345" s="50"/>
      <c r="DOA345" s="50"/>
      <c r="DOB345" s="50"/>
      <c r="DOC345" s="50"/>
      <c r="DOD345" s="50"/>
      <c r="DOE345" s="50"/>
      <c r="DOF345" s="50"/>
      <c r="DOG345" s="50"/>
      <c r="DOH345" s="50"/>
      <c r="DOI345" s="50"/>
      <c r="DOJ345" s="50"/>
      <c r="DOK345" s="50"/>
      <c r="DOL345" s="50"/>
      <c r="DOM345" s="50"/>
      <c r="DON345" s="50"/>
      <c r="DOO345" s="50"/>
      <c r="DOP345" s="50"/>
      <c r="DOQ345" s="50"/>
      <c r="DOR345" s="50"/>
      <c r="DOS345" s="50"/>
      <c r="DOT345" s="50"/>
      <c r="DOU345" s="50"/>
      <c r="DOV345" s="50"/>
      <c r="DOW345" s="50"/>
      <c r="DOX345" s="50"/>
      <c r="DOY345" s="50"/>
      <c r="DOZ345" s="50"/>
      <c r="DPA345" s="50"/>
      <c r="DPB345" s="50"/>
      <c r="DPC345" s="50"/>
      <c r="DPD345" s="50"/>
      <c r="DPE345" s="50"/>
      <c r="DPF345" s="50"/>
      <c r="DPG345" s="50"/>
      <c r="DPH345" s="50"/>
      <c r="DPI345" s="50"/>
      <c r="DPJ345" s="50"/>
      <c r="DPK345" s="50"/>
      <c r="DPL345" s="50"/>
      <c r="DPM345" s="50"/>
      <c r="DPN345" s="50"/>
      <c r="DPO345" s="50"/>
      <c r="DPP345" s="50"/>
      <c r="DPQ345" s="50"/>
      <c r="DPR345" s="50"/>
      <c r="DPS345" s="50"/>
      <c r="DPT345" s="50"/>
      <c r="DPU345" s="50"/>
      <c r="DPV345" s="50"/>
      <c r="DPW345" s="50"/>
      <c r="DPX345" s="50"/>
      <c r="DPY345" s="50"/>
      <c r="DPZ345" s="50"/>
      <c r="DQA345" s="50"/>
      <c r="DQB345" s="50"/>
      <c r="DQC345" s="50"/>
      <c r="DQD345" s="50"/>
      <c r="DQE345" s="50"/>
      <c r="DQF345" s="50"/>
      <c r="DQG345" s="50"/>
      <c r="DQH345" s="50"/>
      <c r="DQI345" s="50"/>
      <c r="DQJ345" s="50"/>
      <c r="DQK345" s="50"/>
      <c r="DQL345" s="50"/>
      <c r="DQM345" s="50"/>
      <c r="DQN345" s="50"/>
      <c r="DQO345" s="50"/>
      <c r="DQP345" s="50"/>
      <c r="DQQ345" s="50"/>
      <c r="DQR345" s="50"/>
      <c r="DQS345" s="50"/>
      <c r="DQT345" s="50"/>
      <c r="DQU345" s="50"/>
      <c r="DQV345" s="50"/>
      <c r="DQW345" s="50"/>
      <c r="DQX345" s="50"/>
      <c r="DQY345" s="50"/>
      <c r="DQZ345" s="50"/>
      <c r="DRA345" s="50"/>
      <c r="DRB345" s="50"/>
      <c r="DRC345" s="50"/>
      <c r="DRD345" s="50"/>
      <c r="DRE345" s="50"/>
      <c r="DRF345" s="50"/>
      <c r="DRG345" s="50"/>
      <c r="DRH345" s="50"/>
      <c r="DRI345" s="50"/>
      <c r="DRJ345" s="50"/>
      <c r="DRK345" s="50"/>
      <c r="DRL345" s="50"/>
      <c r="DRM345" s="50"/>
      <c r="DRN345" s="50"/>
      <c r="DRO345" s="50"/>
      <c r="DRP345" s="50"/>
      <c r="DRQ345" s="50"/>
      <c r="DRR345" s="50"/>
      <c r="DRS345" s="50"/>
      <c r="DRT345" s="50"/>
      <c r="DRU345" s="50"/>
      <c r="DRV345" s="50"/>
      <c r="DRW345" s="50"/>
      <c r="DRX345" s="50"/>
      <c r="DRY345" s="50"/>
      <c r="DRZ345" s="50"/>
      <c r="DSA345" s="50"/>
      <c r="DSB345" s="50"/>
      <c r="DSC345" s="50"/>
      <c r="DSD345" s="50"/>
      <c r="DSE345" s="50"/>
      <c r="DSF345" s="50"/>
      <c r="DSG345" s="50"/>
      <c r="DSH345" s="50"/>
      <c r="DSI345" s="50"/>
      <c r="DSJ345" s="50"/>
      <c r="DSK345" s="50"/>
      <c r="DSL345" s="50"/>
      <c r="DSM345" s="50"/>
      <c r="DSN345" s="50"/>
      <c r="DSO345" s="50"/>
      <c r="DSP345" s="50"/>
      <c r="DSQ345" s="50"/>
      <c r="DSR345" s="50"/>
      <c r="DSS345" s="50"/>
      <c r="DST345" s="50"/>
      <c r="DSU345" s="50"/>
      <c r="DSV345" s="50"/>
      <c r="DSW345" s="50"/>
      <c r="DSX345" s="50"/>
      <c r="DSY345" s="50"/>
      <c r="DSZ345" s="50"/>
      <c r="DTA345" s="50"/>
      <c r="DTB345" s="50"/>
      <c r="DTC345" s="50"/>
      <c r="DTD345" s="50"/>
      <c r="DTE345" s="50"/>
      <c r="DTF345" s="50"/>
      <c r="DTG345" s="50"/>
      <c r="DTH345" s="50"/>
      <c r="DTI345" s="50"/>
      <c r="DTJ345" s="50"/>
      <c r="DTK345" s="50"/>
      <c r="DTL345" s="50"/>
      <c r="DTM345" s="50"/>
      <c r="DTN345" s="50"/>
      <c r="DTO345" s="50"/>
      <c r="DTP345" s="50"/>
      <c r="DTQ345" s="50"/>
      <c r="DTR345" s="50"/>
      <c r="DTS345" s="50"/>
      <c r="DTT345" s="50"/>
      <c r="DTU345" s="50"/>
      <c r="DTV345" s="50"/>
      <c r="DTW345" s="50"/>
      <c r="DTX345" s="50"/>
      <c r="DTY345" s="50"/>
      <c r="DTZ345" s="50"/>
      <c r="DUA345" s="50"/>
      <c r="DUB345" s="50"/>
      <c r="DUC345" s="50"/>
      <c r="DUD345" s="50"/>
      <c r="DUE345" s="50"/>
      <c r="DUF345" s="50"/>
      <c r="DUG345" s="50"/>
      <c r="DUH345" s="50"/>
      <c r="DUI345" s="50"/>
      <c r="DUJ345" s="50"/>
      <c r="DUK345" s="50"/>
      <c r="DUL345" s="50"/>
      <c r="DUM345" s="50"/>
      <c r="DUN345" s="50"/>
      <c r="DUO345" s="50"/>
      <c r="DUP345" s="50"/>
      <c r="DUQ345" s="50"/>
      <c r="DUR345" s="50"/>
      <c r="DUS345" s="50"/>
      <c r="DUT345" s="50"/>
      <c r="DUU345" s="50"/>
      <c r="DUV345" s="50"/>
      <c r="DUW345" s="50"/>
      <c r="DUX345" s="50"/>
      <c r="DUY345" s="50"/>
      <c r="DUZ345" s="50"/>
      <c r="DVA345" s="50"/>
      <c r="DVB345" s="50"/>
      <c r="DVC345" s="50"/>
      <c r="DVD345" s="50"/>
      <c r="DVE345" s="50"/>
      <c r="DVF345" s="50"/>
      <c r="DVG345" s="50"/>
      <c r="DVH345" s="50"/>
      <c r="DVI345" s="50"/>
      <c r="DVJ345" s="50"/>
      <c r="DVK345" s="50"/>
      <c r="DVL345" s="50"/>
      <c r="DVM345" s="50"/>
      <c r="DVN345" s="50"/>
      <c r="DVO345" s="50"/>
      <c r="DVP345" s="50"/>
      <c r="DVQ345" s="50"/>
      <c r="DVR345" s="50"/>
      <c r="DVS345" s="50"/>
      <c r="DVT345" s="50"/>
      <c r="DVU345" s="50"/>
      <c r="DVV345" s="50"/>
      <c r="DVW345" s="50"/>
      <c r="DVX345" s="50"/>
      <c r="DVY345" s="50"/>
      <c r="DVZ345" s="50"/>
      <c r="DWA345" s="50"/>
      <c r="DWB345" s="50"/>
      <c r="DWC345" s="50"/>
      <c r="DWD345" s="50"/>
      <c r="DWE345" s="50"/>
      <c r="DWF345" s="50"/>
      <c r="DWG345" s="50"/>
      <c r="DWH345" s="50"/>
      <c r="DWI345" s="50"/>
      <c r="DWJ345" s="50"/>
      <c r="DWK345" s="50"/>
      <c r="DWL345" s="50"/>
      <c r="DWM345" s="50"/>
      <c r="DWN345" s="50"/>
      <c r="DWO345" s="50"/>
      <c r="DWP345" s="50"/>
      <c r="DWQ345" s="50"/>
      <c r="DWR345" s="50"/>
      <c r="DWS345" s="50"/>
      <c r="DWT345" s="50"/>
      <c r="DWU345" s="50"/>
      <c r="DWV345" s="50"/>
      <c r="DWW345" s="50"/>
      <c r="DWX345" s="50"/>
      <c r="DWY345" s="50"/>
      <c r="DWZ345" s="50"/>
      <c r="DXA345" s="50"/>
      <c r="DXB345" s="50"/>
      <c r="DXC345" s="50"/>
      <c r="DXD345" s="50"/>
      <c r="DXE345" s="50"/>
      <c r="DXF345" s="50"/>
      <c r="DXG345" s="50"/>
      <c r="DXH345" s="50"/>
      <c r="DXI345" s="50"/>
      <c r="DXJ345" s="50"/>
      <c r="DXK345" s="50"/>
      <c r="DXL345" s="50"/>
      <c r="DXM345" s="50"/>
      <c r="DXN345" s="50"/>
      <c r="DXO345" s="50"/>
      <c r="DXP345" s="50"/>
      <c r="DXQ345" s="50"/>
      <c r="DXR345" s="50"/>
      <c r="DXS345" s="50"/>
      <c r="DXT345" s="50"/>
      <c r="DXU345" s="50"/>
      <c r="DXV345" s="50"/>
      <c r="DXW345" s="50"/>
      <c r="DXX345" s="50"/>
      <c r="DXY345" s="50"/>
      <c r="DXZ345" s="50"/>
      <c r="DYA345" s="50"/>
      <c r="DYB345" s="50"/>
      <c r="DYC345" s="50"/>
      <c r="DYD345" s="50"/>
      <c r="DYE345" s="50"/>
      <c r="DYF345" s="50"/>
      <c r="DYG345" s="50"/>
      <c r="DYH345" s="50"/>
      <c r="DYI345" s="50"/>
      <c r="DYJ345" s="50"/>
      <c r="DYK345" s="50"/>
      <c r="DYL345" s="50"/>
      <c r="DYM345" s="50"/>
      <c r="DYN345" s="50"/>
      <c r="DYO345" s="50"/>
      <c r="DYP345" s="50"/>
      <c r="DYQ345" s="50"/>
      <c r="DYR345" s="50"/>
      <c r="DYS345" s="50"/>
      <c r="DYT345" s="50"/>
      <c r="DYU345" s="50"/>
      <c r="DYV345" s="50"/>
      <c r="DYW345" s="50"/>
      <c r="DYX345" s="50"/>
      <c r="DYY345" s="50"/>
      <c r="DYZ345" s="50"/>
      <c r="DZA345" s="50"/>
      <c r="DZB345" s="50"/>
      <c r="DZC345" s="50"/>
      <c r="DZD345" s="50"/>
      <c r="DZE345" s="50"/>
      <c r="DZF345" s="50"/>
      <c r="DZG345" s="50"/>
      <c r="DZH345" s="50"/>
      <c r="DZI345" s="50"/>
      <c r="DZJ345" s="50"/>
      <c r="DZK345" s="50"/>
      <c r="DZL345" s="50"/>
      <c r="DZM345" s="50"/>
      <c r="DZN345" s="50"/>
      <c r="DZO345" s="50"/>
      <c r="DZP345" s="50"/>
      <c r="DZQ345" s="50"/>
      <c r="DZR345" s="50"/>
      <c r="DZS345" s="50"/>
      <c r="DZT345" s="50"/>
      <c r="DZU345" s="50"/>
      <c r="DZV345" s="50"/>
      <c r="DZW345" s="50"/>
      <c r="DZX345" s="50"/>
      <c r="DZY345" s="50"/>
      <c r="DZZ345" s="50"/>
      <c r="EAA345" s="50"/>
      <c r="EAB345" s="50"/>
      <c r="EAC345" s="50"/>
      <c r="EAD345" s="50"/>
      <c r="EAE345" s="50"/>
      <c r="EAF345" s="50"/>
      <c r="EAG345" s="50"/>
      <c r="EAH345" s="50"/>
      <c r="EAI345" s="50"/>
      <c r="EAJ345" s="50"/>
      <c r="EAK345" s="50"/>
      <c r="EAL345" s="50"/>
      <c r="EAM345" s="50"/>
      <c r="EAN345" s="50"/>
      <c r="EAO345" s="50"/>
      <c r="EAP345" s="50"/>
      <c r="EAQ345" s="50"/>
      <c r="EAR345" s="50"/>
      <c r="EAS345" s="50"/>
      <c r="EAT345" s="50"/>
      <c r="EAU345" s="50"/>
      <c r="EAV345" s="50"/>
      <c r="EAW345" s="50"/>
      <c r="EAX345" s="50"/>
      <c r="EAY345" s="50"/>
      <c r="EAZ345" s="50"/>
      <c r="EBA345" s="50"/>
      <c r="EBB345" s="50"/>
      <c r="EBC345" s="50"/>
      <c r="EBD345" s="50"/>
      <c r="EBE345" s="50"/>
      <c r="EBF345" s="50"/>
      <c r="EBG345" s="50"/>
      <c r="EBH345" s="50"/>
      <c r="EBI345" s="50"/>
      <c r="EBJ345" s="50"/>
      <c r="EBK345" s="50"/>
      <c r="EBL345" s="50"/>
      <c r="EBM345" s="50"/>
      <c r="EBN345" s="50"/>
      <c r="EBO345" s="50"/>
      <c r="EBP345" s="50"/>
      <c r="EBQ345" s="50"/>
      <c r="EBR345" s="50"/>
      <c r="EBS345" s="50"/>
      <c r="EBT345" s="50"/>
      <c r="EBU345" s="50"/>
      <c r="EBV345" s="50"/>
      <c r="EBW345" s="50"/>
      <c r="EBX345" s="50"/>
      <c r="EBY345" s="50"/>
      <c r="EBZ345" s="50"/>
      <c r="ECA345" s="50"/>
      <c r="ECB345" s="50"/>
      <c r="ECC345" s="50"/>
      <c r="ECD345" s="50"/>
      <c r="ECE345" s="50"/>
      <c r="ECF345" s="50"/>
      <c r="ECG345" s="50"/>
      <c r="ECH345" s="50"/>
      <c r="ECI345" s="50"/>
      <c r="ECJ345" s="50"/>
      <c r="ECK345" s="50"/>
      <c r="ECL345" s="50"/>
      <c r="ECM345" s="50"/>
      <c r="ECN345" s="50"/>
      <c r="ECO345" s="50"/>
      <c r="ECP345" s="50"/>
      <c r="ECQ345" s="50"/>
      <c r="ECR345" s="50"/>
      <c r="ECS345" s="50"/>
      <c r="ECT345" s="50"/>
      <c r="ECU345" s="50"/>
      <c r="ECV345" s="50"/>
      <c r="ECW345" s="50"/>
      <c r="ECX345" s="50"/>
      <c r="ECY345" s="50"/>
      <c r="ECZ345" s="50"/>
      <c r="EDA345" s="50"/>
      <c r="EDB345" s="50"/>
      <c r="EDC345" s="50"/>
      <c r="EDD345" s="50"/>
      <c r="EDE345" s="50"/>
      <c r="EDF345" s="50"/>
      <c r="EDG345" s="50"/>
      <c r="EDH345" s="50"/>
      <c r="EDI345" s="50"/>
      <c r="EDJ345" s="50"/>
      <c r="EDK345" s="50"/>
      <c r="EDL345" s="50"/>
      <c r="EDM345" s="50"/>
      <c r="EDN345" s="50"/>
      <c r="EDO345" s="50"/>
      <c r="EDP345" s="50"/>
      <c r="EDQ345" s="50"/>
      <c r="EDR345" s="50"/>
      <c r="EDS345" s="50"/>
      <c r="EDT345" s="50"/>
      <c r="EDU345" s="50"/>
      <c r="EDV345" s="50"/>
      <c r="EDW345" s="50"/>
      <c r="EDX345" s="50"/>
      <c r="EDY345" s="50"/>
      <c r="EDZ345" s="50"/>
      <c r="EEA345" s="50"/>
      <c r="EEB345" s="50"/>
      <c r="EEC345" s="50"/>
      <c r="EED345" s="50"/>
      <c r="EEE345" s="50"/>
      <c r="EEF345" s="50"/>
      <c r="EEG345" s="50"/>
      <c r="EEH345" s="50"/>
      <c r="EEI345" s="50"/>
      <c r="EEJ345" s="50"/>
      <c r="EEK345" s="50"/>
      <c r="EEL345" s="50"/>
      <c r="EEM345" s="50"/>
      <c r="EEN345" s="50"/>
      <c r="EEO345" s="50"/>
      <c r="EEP345" s="50"/>
      <c r="EEQ345" s="50"/>
      <c r="EER345" s="50"/>
      <c r="EES345" s="50"/>
      <c r="EET345" s="50"/>
      <c r="EEU345" s="50"/>
      <c r="EEV345" s="50"/>
      <c r="EEW345" s="50"/>
      <c r="EEX345" s="50"/>
      <c r="EEY345" s="50"/>
      <c r="EEZ345" s="50"/>
      <c r="EFA345" s="50"/>
      <c r="EFB345" s="50"/>
      <c r="EFC345" s="50"/>
      <c r="EFD345" s="50"/>
      <c r="EFE345" s="50"/>
      <c r="EFF345" s="50"/>
      <c r="EFG345" s="50"/>
      <c r="EFH345" s="50"/>
      <c r="EFI345" s="50"/>
      <c r="EFJ345" s="50"/>
      <c r="EFK345" s="50"/>
      <c r="EFL345" s="50"/>
      <c r="EFM345" s="50"/>
      <c r="EFN345" s="50"/>
      <c r="EFO345" s="50"/>
      <c r="EFP345" s="50"/>
      <c r="EFQ345" s="50"/>
      <c r="EFR345" s="50"/>
      <c r="EFS345" s="50"/>
      <c r="EFT345" s="50"/>
      <c r="EFU345" s="50"/>
      <c r="EFV345" s="50"/>
      <c r="EFW345" s="50"/>
      <c r="EFX345" s="50"/>
      <c r="EFY345" s="50"/>
      <c r="EFZ345" s="50"/>
      <c r="EGA345" s="50"/>
      <c r="EGB345" s="50"/>
      <c r="EGC345" s="50"/>
      <c r="EGD345" s="50"/>
      <c r="EGE345" s="50"/>
      <c r="EGF345" s="50"/>
      <c r="EGG345" s="50"/>
      <c r="EGH345" s="50"/>
      <c r="EGI345" s="50"/>
      <c r="EGJ345" s="50"/>
      <c r="EGK345" s="50"/>
      <c r="EGL345" s="50"/>
      <c r="EGM345" s="50"/>
      <c r="EGN345" s="50"/>
      <c r="EGO345" s="50"/>
      <c r="EGP345" s="50"/>
      <c r="EGQ345" s="50"/>
      <c r="EGR345" s="50"/>
      <c r="EGS345" s="50"/>
      <c r="EGT345" s="50"/>
      <c r="EGU345" s="50"/>
      <c r="EGV345" s="50"/>
      <c r="EGW345" s="50"/>
      <c r="EGX345" s="50"/>
      <c r="EGY345" s="50"/>
      <c r="EGZ345" s="50"/>
      <c r="EHA345" s="50"/>
      <c r="EHB345" s="50"/>
      <c r="EHC345" s="50"/>
      <c r="EHD345" s="50"/>
      <c r="EHE345" s="50"/>
      <c r="EHF345" s="50"/>
      <c r="EHG345" s="50"/>
      <c r="EHH345" s="50"/>
      <c r="EHI345" s="50"/>
      <c r="EHJ345" s="50"/>
      <c r="EHK345" s="50"/>
      <c r="EHL345" s="50"/>
      <c r="EHM345" s="50"/>
      <c r="EHN345" s="50"/>
      <c r="EHO345" s="50"/>
      <c r="EHP345" s="50"/>
      <c r="EHQ345" s="50"/>
      <c r="EHR345" s="50"/>
      <c r="EHS345" s="50"/>
      <c r="EHT345" s="50"/>
      <c r="EHU345" s="50"/>
      <c r="EHV345" s="50"/>
      <c r="EHW345" s="50"/>
      <c r="EHX345" s="50"/>
      <c r="EHY345" s="50"/>
      <c r="EHZ345" s="50"/>
      <c r="EIA345" s="50"/>
      <c r="EIB345" s="50"/>
      <c r="EIC345" s="50"/>
      <c r="EID345" s="50"/>
      <c r="EIE345" s="50"/>
      <c r="EIF345" s="50"/>
      <c r="EIG345" s="50"/>
      <c r="EIH345" s="50"/>
      <c r="EII345" s="50"/>
      <c r="EIJ345" s="50"/>
      <c r="EIK345" s="50"/>
      <c r="EIL345" s="50"/>
      <c r="EIM345" s="50"/>
      <c r="EIN345" s="50"/>
      <c r="EIO345" s="50"/>
      <c r="EIP345" s="50"/>
      <c r="EIQ345" s="50"/>
      <c r="EIR345" s="50"/>
      <c r="EIS345" s="50"/>
      <c r="EIT345" s="50"/>
      <c r="EIU345" s="50"/>
      <c r="EIV345" s="50"/>
      <c r="EIW345" s="50"/>
      <c r="EIX345" s="50"/>
      <c r="EIY345" s="50"/>
      <c r="EIZ345" s="50"/>
      <c r="EJA345" s="50"/>
      <c r="EJB345" s="50"/>
      <c r="EJC345" s="50"/>
      <c r="EJD345" s="50"/>
      <c r="EJE345" s="50"/>
      <c r="EJF345" s="50"/>
      <c r="EJG345" s="50"/>
      <c r="EJH345" s="50"/>
      <c r="EJI345" s="50"/>
      <c r="EJJ345" s="50"/>
      <c r="EJK345" s="50"/>
      <c r="EJL345" s="50"/>
      <c r="EJM345" s="50"/>
      <c r="EJN345" s="50"/>
      <c r="EJO345" s="50"/>
      <c r="EJP345" s="50"/>
      <c r="EJQ345" s="50"/>
      <c r="EJR345" s="50"/>
      <c r="EJS345" s="50"/>
      <c r="EJT345" s="50"/>
      <c r="EJU345" s="50"/>
      <c r="EJV345" s="50"/>
      <c r="EJW345" s="50"/>
      <c r="EJX345" s="50"/>
      <c r="EJY345" s="50"/>
      <c r="EJZ345" s="50"/>
      <c r="EKA345" s="50"/>
      <c r="EKB345" s="50"/>
      <c r="EKC345" s="50"/>
      <c r="EKD345" s="50"/>
      <c r="EKE345" s="50"/>
      <c r="EKF345" s="50"/>
      <c r="EKG345" s="50"/>
      <c r="EKH345" s="50"/>
      <c r="EKI345" s="50"/>
      <c r="EKJ345" s="50"/>
      <c r="EKK345" s="50"/>
      <c r="EKL345" s="50"/>
      <c r="EKM345" s="50"/>
      <c r="EKN345" s="50"/>
      <c r="EKO345" s="50"/>
      <c r="EKP345" s="50"/>
      <c r="EKQ345" s="50"/>
      <c r="EKR345" s="50"/>
      <c r="EKS345" s="50"/>
      <c r="EKT345" s="50"/>
      <c r="EKU345" s="50"/>
      <c r="EKV345" s="50"/>
      <c r="EKW345" s="50"/>
      <c r="EKX345" s="50"/>
      <c r="EKY345" s="50"/>
      <c r="EKZ345" s="50"/>
      <c r="ELA345" s="50"/>
      <c r="ELB345" s="50"/>
      <c r="ELC345" s="50"/>
      <c r="ELD345" s="50"/>
      <c r="ELE345" s="50"/>
      <c r="ELF345" s="50"/>
      <c r="ELG345" s="50"/>
      <c r="ELH345" s="50"/>
      <c r="ELI345" s="50"/>
      <c r="ELJ345" s="50"/>
      <c r="ELK345" s="50"/>
      <c r="ELL345" s="50"/>
      <c r="ELM345" s="50"/>
      <c r="ELN345" s="50"/>
      <c r="ELO345" s="50"/>
      <c r="ELP345" s="50"/>
      <c r="ELQ345" s="50"/>
      <c r="ELR345" s="50"/>
      <c r="ELS345" s="50"/>
      <c r="ELT345" s="50"/>
      <c r="ELU345" s="50"/>
      <c r="ELV345" s="50"/>
      <c r="ELW345" s="50"/>
      <c r="ELX345" s="50"/>
      <c r="ELY345" s="50"/>
      <c r="ELZ345" s="50"/>
      <c r="EMA345" s="50"/>
      <c r="EMB345" s="50"/>
      <c r="EMC345" s="50"/>
      <c r="EMD345" s="50"/>
      <c r="EME345" s="50"/>
      <c r="EMF345" s="50"/>
      <c r="EMG345" s="50"/>
      <c r="EMH345" s="50"/>
      <c r="EMI345" s="50"/>
      <c r="EMJ345" s="50"/>
      <c r="EMK345" s="50"/>
      <c r="EML345" s="50"/>
      <c r="EMM345" s="50"/>
      <c r="EMN345" s="50"/>
      <c r="EMO345" s="50"/>
      <c r="EMP345" s="50"/>
      <c r="EMQ345" s="50"/>
      <c r="EMR345" s="50"/>
      <c r="EMS345" s="50"/>
      <c r="EMT345" s="50"/>
      <c r="EMU345" s="50"/>
      <c r="EMV345" s="50"/>
      <c r="EMW345" s="50"/>
      <c r="EMX345" s="50"/>
      <c r="EMY345" s="50"/>
      <c r="EMZ345" s="50"/>
      <c r="ENA345" s="50"/>
      <c r="ENB345" s="50"/>
      <c r="ENC345" s="50"/>
      <c r="END345" s="50"/>
      <c r="ENE345" s="50"/>
      <c r="ENF345" s="50"/>
      <c r="ENG345" s="50"/>
      <c r="ENH345" s="50"/>
      <c r="ENI345" s="50"/>
      <c r="ENJ345" s="50"/>
      <c r="ENK345" s="50"/>
      <c r="ENL345" s="50"/>
      <c r="ENM345" s="50"/>
      <c r="ENN345" s="50"/>
      <c r="ENO345" s="50"/>
      <c r="ENP345" s="50"/>
      <c r="ENQ345" s="50"/>
      <c r="ENR345" s="50"/>
      <c r="ENS345" s="50"/>
      <c r="ENT345" s="50"/>
      <c r="ENU345" s="50"/>
      <c r="ENV345" s="50"/>
      <c r="ENW345" s="50"/>
      <c r="ENX345" s="50"/>
      <c r="ENY345" s="50"/>
      <c r="ENZ345" s="50"/>
      <c r="EOA345" s="50"/>
      <c r="EOB345" s="50"/>
      <c r="EOC345" s="50"/>
      <c r="EOD345" s="50"/>
      <c r="EOE345" s="50"/>
      <c r="EOF345" s="50"/>
      <c r="EOG345" s="50"/>
      <c r="EOH345" s="50"/>
      <c r="EOI345" s="50"/>
      <c r="EOJ345" s="50"/>
      <c r="EOK345" s="50"/>
      <c r="EOL345" s="50"/>
      <c r="EOM345" s="50"/>
      <c r="EON345" s="50"/>
      <c r="EOO345" s="50"/>
      <c r="EOP345" s="50"/>
      <c r="EOQ345" s="50"/>
      <c r="EOR345" s="50"/>
      <c r="EOS345" s="50"/>
      <c r="EOT345" s="50"/>
      <c r="EOU345" s="50"/>
      <c r="EOV345" s="50"/>
      <c r="EOW345" s="50"/>
      <c r="EOX345" s="50"/>
      <c r="EOY345" s="50"/>
      <c r="EOZ345" s="50"/>
      <c r="EPA345" s="50"/>
      <c r="EPB345" s="50"/>
      <c r="EPC345" s="50"/>
      <c r="EPD345" s="50"/>
      <c r="EPE345" s="50"/>
      <c r="EPF345" s="50"/>
      <c r="EPG345" s="50"/>
      <c r="EPH345" s="50"/>
      <c r="EPI345" s="50"/>
      <c r="EPJ345" s="50"/>
      <c r="EPK345" s="50"/>
      <c r="EPL345" s="50"/>
      <c r="EPM345" s="50"/>
      <c r="EPN345" s="50"/>
      <c r="EPO345" s="50"/>
      <c r="EPP345" s="50"/>
      <c r="EPQ345" s="50"/>
      <c r="EPR345" s="50"/>
      <c r="EPS345" s="50"/>
      <c r="EPT345" s="50"/>
      <c r="EPU345" s="50"/>
      <c r="EPV345" s="50"/>
      <c r="EPW345" s="50"/>
      <c r="EPX345" s="50"/>
      <c r="EPY345" s="50"/>
      <c r="EPZ345" s="50"/>
      <c r="EQA345" s="50"/>
      <c r="EQB345" s="50"/>
      <c r="EQC345" s="50"/>
      <c r="EQD345" s="50"/>
      <c r="EQE345" s="50"/>
      <c r="EQF345" s="50"/>
      <c r="EQG345" s="50"/>
      <c r="EQH345" s="50"/>
      <c r="EQI345" s="50"/>
      <c r="EQJ345" s="50"/>
      <c r="EQK345" s="50"/>
      <c r="EQL345" s="50"/>
      <c r="EQM345" s="50"/>
      <c r="EQN345" s="50"/>
      <c r="EQO345" s="50"/>
      <c r="EQP345" s="50"/>
      <c r="EQQ345" s="50"/>
      <c r="EQR345" s="50"/>
      <c r="EQS345" s="50"/>
      <c r="EQT345" s="50"/>
      <c r="EQU345" s="50"/>
      <c r="EQV345" s="50"/>
      <c r="EQW345" s="50"/>
      <c r="EQX345" s="50"/>
      <c r="EQY345" s="50"/>
      <c r="EQZ345" s="50"/>
      <c r="ERA345" s="50"/>
      <c r="ERB345" s="50"/>
      <c r="ERC345" s="50"/>
      <c r="ERD345" s="50"/>
      <c r="ERE345" s="50"/>
      <c r="ERF345" s="50"/>
      <c r="ERG345" s="50"/>
      <c r="ERH345" s="50"/>
      <c r="ERI345" s="50"/>
      <c r="ERJ345" s="50"/>
      <c r="ERK345" s="50"/>
      <c r="ERL345" s="50"/>
      <c r="ERM345" s="50"/>
      <c r="ERN345" s="50"/>
      <c r="ERO345" s="50"/>
      <c r="ERP345" s="50"/>
      <c r="ERQ345" s="50"/>
      <c r="ERR345" s="50"/>
      <c r="ERS345" s="50"/>
      <c r="ERT345" s="50"/>
      <c r="ERU345" s="50"/>
      <c r="ERV345" s="50"/>
      <c r="ERW345" s="50"/>
      <c r="ERX345" s="50"/>
      <c r="ERY345" s="50"/>
      <c r="ERZ345" s="50"/>
      <c r="ESA345" s="50"/>
      <c r="ESB345" s="50"/>
      <c r="ESC345" s="50"/>
      <c r="ESD345" s="50"/>
      <c r="ESE345" s="50"/>
      <c r="ESF345" s="50"/>
      <c r="ESG345" s="50"/>
      <c r="ESH345" s="50"/>
      <c r="ESI345" s="50"/>
      <c r="ESJ345" s="50"/>
      <c r="ESK345" s="50"/>
      <c r="ESL345" s="50"/>
      <c r="ESM345" s="50"/>
      <c r="ESN345" s="50"/>
      <c r="ESO345" s="50"/>
      <c r="ESP345" s="50"/>
      <c r="ESQ345" s="50"/>
      <c r="ESR345" s="50"/>
      <c r="ESS345" s="50"/>
      <c r="EST345" s="50"/>
      <c r="ESU345" s="50"/>
      <c r="ESV345" s="50"/>
      <c r="ESW345" s="50"/>
      <c r="ESX345" s="50"/>
      <c r="ESY345" s="50"/>
      <c r="ESZ345" s="50"/>
      <c r="ETA345" s="50"/>
      <c r="ETB345" s="50"/>
      <c r="ETC345" s="50"/>
      <c r="ETD345" s="50"/>
      <c r="ETE345" s="50"/>
      <c r="ETF345" s="50"/>
      <c r="ETG345" s="50"/>
      <c r="ETH345" s="50"/>
      <c r="ETI345" s="50"/>
      <c r="ETJ345" s="50"/>
      <c r="ETK345" s="50"/>
      <c r="ETL345" s="50"/>
      <c r="ETM345" s="50"/>
      <c r="ETN345" s="50"/>
      <c r="ETO345" s="50"/>
      <c r="ETP345" s="50"/>
      <c r="ETQ345" s="50"/>
      <c r="ETR345" s="50"/>
      <c r="ETS345" s="50"/>
      <c r="ETT345" s="50"/>
      <c r="ETU345" s="50"/>
      <c r="ETV345" s="50"/>
      <c r="ETW345" s="50"/>
      <c r="ETX345" s="50"/>
      <c r="ETY345" s="50"/>
      <c r="ETZ345" s="50"/>
      <c r="EUA345" s="50"/>
      <c r="EUB345" s="50"/>
      <c r="EUC345" s="50"/>
      <c r="EUD345" s="50"/>
      <c r="EUE345" s="50"/>
      <c r="EUF345" s="50"/>
      <c r="EUG345" s="50"/>
      <c r="EUH345" s="50"/>
      <c r="EUI345" s="50"/>
      <c r="EUJ345" s="50"/>
      <c r="EUK345" s="50"/>
      <c r="EUL345" s="50"/>
      <c r="EUM345" s="50"/>
      <c r="EUN345" s="50"/>
      <c r="EUO345" s="50"/>
      <c r="EUP345" s="50"/>
      <c r="EUQ345" s="50"/>
      <c r="EUR345" s="50"/>
      <c r="EUS345" s="50"/>
      <c r="EUT345" s="50"/>
      <c r="EUU345" s="50"/>
      <c r="EUV345" s="50"/>
      <c r="EUW345" s="50"/>
      <c r="EUX345" s="50"/>
      <c r="EUY345" s="50"/>
      <c r="EUZ345" s="50"/>
      <c r="EVA345" s="50"/>
      <c r="EVB345" s="50"/>
      <c r="EVC345" s="50"/>
      <c r="EVD345" s="50"/>
      <c r="EVE345" s="50"/>
      <c r="EVF345" s="50"/>
      <c r="EVG345" s="50"/>
      <c r="EVH345" s="50"/>
      <c r="EVI345" s="50"/>
      <c r="EVJ345" s="50"/>
      <c r="EVK345" s="50"/>
      <c r="EVL345" s="50"/>
      <c r="EVM345" s="50"/>
      <c r="EVN345" s="50"/>
      <c r="EVO345" s="50"/>
      <c r="EVP345" s="50"/>
      <c r="EVQ345" s="50"/>
      <c r="EVR345" s="50"/>
      <c r="EVS345" s="50"/>
      <c r="EVT345" s="50"/>
      <c r="EVU345" s="50"/>
      <c r="EVV345" s="50"/>
      <c r="EVW345" s="50"/>
      <c r="EVX345" s="50"/>
      <c r="EVY345" s="50"/>
      <c r="EVZ345" s="50"/>
      <c r="EWA345" s="50"/>
      <c r="EWB345" s="50"/>
      <c r="EWC345" s="50"/>
      <c r="EWD345" s="50"/>
      <c r="EWE345" s="50"/>
      <c r="EWF345" s="50"/>
      <c r="EWG345" s="50"/>
      <c r="EWH345" s="50"/>
      <c r="EWI345" s="50"/>
      <c r="EWJ345" s="50"/>
      <c r="EWK345" s="50"/>
      <c r="EWL345" s="50"/>
      <c r="EWM345" s="50"/>
      <c r="EWN345" s="50"/>
      <c r="EWO345" s="50"/>
      <c r="EWP345" s="50"/>
      <c r="EWQ345" s="50"/>
      <c r="EWR345" s="50"/>
      <c r="EWS345" s="50"/>
      <c r="EWT345" s="50"/>
      <c r="EWU345" s="50"/>
      <c r="EWV345" s="50"/>
      <c r="EWW345" s="50"/>
      <c r="EWX345" s="50"/>
      <c r="EWY345" s="50"/>
      <c r="EWZ345" s="50"/>
      <c r="EXA345" s="50"/>
      <c r="EXB345" s="50"/>
      <c r="EXC345" s="50"/>
      <c r="EXD345" s="50"/>
      <c r="EXE345" s="50"/>
      <c r="EXF345" s="50"/>
      <c r="EXG345" s="50"/>
      <c r="EXH345" s="50"/>
      <c r="EXI345" s="50"/>
      <c r="EXJ345" s="50"/>
      <c r="EXK345" s="50"/>
      <c r="EXL345" s="50"/>
      <c r="EXM345" s="50"/>
      <c r="EXN345" s="50"/>
      <c r="EXO345" s="50"/>
      <c r="EXP345" s="50"/>
      <c r="EXQ345" s="50"/>
      <c r="EXR345" s="50"/>
      <c r="EXS345" s="50"/>
      <c r="EXT345" s="50"/>
      <c r="EXU345" s="50"/>
      <c r="EXV345" s="50"/>
      <c r="EXW345" s="50"/>
      <c r="EXX345" s="50"/>
      <c r="EXY345" s="50"/>
      <c r="EXZ345" s="50"/>
      <c r="EYA345" s="50"/>
      <c r="EYB345" s="50"/>
      <c r="EYC345" s="50"/>
      <c r="EYD345" s="50"/>
      <c r="EYE345" s="50"/>
      <c r="EYF345" s="50"/>
      <c r="EYG345" s="50"/>
      <c r="EYH345" s="50"/>
      <c r="EYI345" s="50"/>
      <c r="EYJ345" s="50"/>
      <c r="EYK345" s="50"/>
      <c r="EYL345" s="50"/>
      <c r="EYM345" s="50"/>
      <c r="EYN345" s="50"/>
      <c r="EYO345" s="50"/>
      <c r="EYP345" s="50"/>
      <c r="EYQ345" s="50"/>
      <c r="EYR345" s="50"/>
      <c r="EYS345" s="50"/>
      <c r="EYT345" s="50"/>
      <c r="EYU345" s="50"/>
      <c r="EYV345" s="50"/>
      <c r="EYW345" s="50"/>
      <c r="EYX345" s="50"/>
      <c r="EYY345" s="50"/>
      <c r="EYZ345" s="50"/>
      <c r="EZA345" s="50"/>
      <c r="EZB345" s="50"/>
      <c r="EZC345" s="50"/>
      <c r="EZD345" s="50"/>
      <c r="EZE345" s="50"/>
      <c r="EZF345" s="50"/>
      <c r="EZG345" s="50"/>
      <c r="EZH345" s="50"/>
      <c r="EZI345" s="50"/>
      <c r="EZJ345" s="50"/>
      <c r="EZK345" s="50"/>
      <c r="EZL345" s="50"/>
      <c r="EZM345" s="50"/>
      <c r="EZN345" s="50"/>
      <c r="EZO345" s="50"/>
      <c r="EZP345" s="50"/>
      <c r="EZQ345" s="50"/>
      <c r="EZR345" s="50"/>
      <c r="EZS345" s="50"/>
      <c r="EZT345" s="50"/>
      <c r="EZU345" s="50"/>
      <c r="EZV345" s="50"/>
      <c r="EZW345" s="50"/>
      <c r="EZX345" s="50"/>
      <c r="EZY345" s="50"/>
      <c r="EZZ345" s="50"/>
      <c r="FAA345" s="50"/>
      <c r="FAB345" s="50"/>
      <c r="FAC345" s="50"/>
      <c r="FAD345" s="50"/>
      <c r="FAE345" s="50"/>
      <c r="FAF345" s="50"/>
      <c r="FAG345" s="50"/>
      <c r="FAH345" s="50"/>
      <c r="FAI345" s="50"/>
      <c r="FAJ345" s="50"/>
      <c r="FAK345" s="50"/>
      <c r="FAL345" s="50"/>
      <c r="FAM345" s="50"/>
      <c r="FAN345" s="50"/>
      <c r="FAO345" s="50"/>
      <c r="FAP345" s="50"/>
      <c r="FAQ345" s="50"/>
      <c r="FAR345" s="50"/>
      <c r="FAS345" s="50"/>
      <c r="FAT345" s="50"/>
      <c r="FAU345" s="50"/>
      <c r="FAV345" s="50"/>
      <c r="FAW345" s="50"/>
      <c r="FAX345" s="50"/>
      <c r="FAY345" s="50"/>
      <c r="FAZ345" s="50"/>
      <c r="FBA345" s="50"/>
      <c r="FBB345" s="50"/>
      <c r="FBC345" s="50"/>
      <c r="FBD345" s="50"/>
      <c r="FBE345" s="50"/>
      <c r="FBF345" s="50"/>
      <c r="FBG345" s="50"/>
      <c r="FBH345" s="50"/>
      <c r="FBI345" s="50"/>
      <c r="FBJ345" s="50"/>
      <c r="FBK345" s="50"/>
      <c r="FBL345" s="50"/>
      <c r="FBM345" s="50"/>
      <c r="FBN345" s="50"/>
      <c r="FBO345" s="50"/>
      <c r="FBP345" s="50"/>
      <c r="FBQ345" s="50"/>
      <c r="FBR345" s="50"/>
      <c r="FBS345" s="50"/>
      <c r="FBT345" s="50"/>
      <c r="FBU345" s="50"/>
      <c r="FBV345" s="50"/>
      <c r="FBW345" s="50"/>
      <c r="FBX345" s="50"/>
      <c r="FBY345" s="50"/>
      <c r="FBZ345" s="50"/>
      <c r="FCA345" s="50"/>
      <c r="FCB345" s="50"/>
      <c r="FCC345" s="50"/>
      <c r="FCD345" s="50"/>
      <c r="FCE345" s="50"/>
      <c r="FCF345" s="50"/>
      <c r="FCG345" s="50"/>
      <c r="FCH345" s="50"/>
      <c r="FCI345" s="50"/>
      <c r="FCJ345" s="50"/>
      <c r="FCK345" s="50"/>
      <c r="FCL345" s="50"/>
      <c r="FCM345" s="50"/>
      <c r="FCN345" s="50"/>
      <c r="FCO345" s="50"/>
      <c r="FCP345" s="50"/>
      <c r="FCQ345" s="50"/>
      <c r="FCR345" s="50"/>
      <c r="FCS345" s="50"/>
      <c r="FCT345" s="50"/>
      <c r="FCU345" s="50"/>
      <c r="FCV345" s="50"/>
      <c r="FCW345" s="50"/>
      <c r="FCX345" s="50"/>
      <c r="FCY345" s="50"/>
      <c r="FCZ345" s="50"/>
      <c r="FDA345" s="50"/>
      <c r="FDB345" s="50"/>
      <c r="FDC345" s="50"/>
      <c r="FDD345" s="50"/>
      <c r="FDE345" s="50"/>
      <c r="FDF345" s="50"/>
      <c r="FDG345" s="50"/>
      <c r="FDH345" s="50"/>
      <c r="FDI345" s="50"/>
      <c r="FDJ345" s="50"/>
      <c r="FDK345" s="50"/>
      <c r="FDL345" s="50"/>
      <c r="FDM345" s="50"/>
      <c r="FDN345" s="50"/>
      <c r="FDO345" s="50"/>
      <c r="FDP345" s="50"/>
      <c r="FDQ345" s="50"/>
      <c r="FDR345" s="50"/>
      <c r="FDS345" s="50"/>
      <c r="FDT345" s="50"/>
      <c r="FDU345" s="50"/>
      <c r="FDV345" s="50"/>
      <c r="FDW345" s="50"/>
      <c r="FDX345" s="50"/>
      <c r="FDY345" s="50"/>
      <c r="FDZ345" s="50"/>
      <c r="FEA345" s="50"/>
      <c r="FEB345" s="50"/>
      <c r="FEC345" s="50"/>
      <c r="FED345" s="50"/>
      <c r="FEE345" s="50"/>
      <c r="FEF345" s="50"/>
      <c r="FEG345" s="50"/>
      <c r="FEH345" s="50"/>
      <c r="FEI345" s="50"/>
      <c r="FEJ345" s="50"/>
      <c r="FEK345" s="50"/>
      <c r="FEL345" s="50"/>
      <c r="FEM345" s="50"/>
      <c r="FEN345" s="50"/>
      <c r="FEO345" s="50"/>
      <c r="FEP345" s="50"/>
      <c r="FEQ345" s="50"/>
      <c r="FER345" s="50"/>
      <c r="FES345" s="50"/>
      <c r="FET345" s="50"/>
      <c r="FEU345" s="50"/>
      <c r="FEV345" s="50"/>
      <c r="FEW345" s="50"/>
      <c r="FEX345" s="50"/>
      <c r="FEY345" s="50"/>
      <c r="FEZ345" s="50"/>
      <c r="FFA345" s="50"/>
      <c r="FFB345" s="50"/>
      <c r="FFC345" s="50"/>
      <c r="FFD345" s="50"/>
      <c r="FFE345" s="50"/>
      <c r="FFF345" s="50"/>
      <c r="FFG345" s="50"/>
      <c r="FFH345" s="50"/>
      <c r="FFI345" s="50"/>
      <c r="FFJ345" s="50"/>
      <c r="FFK345" s="50"/>
      <c r="FFL345" s="50"/>
      <c r="FFM345" s="50"/>
      <c r="FFN345" s="50"/>
      <c r="FFO345" s="50"/>
      <c r="FFP345" s="50"/>
      <c r="FFQ345" s="50"/>
      <c r="FFR345" s="50"/>
      <c r="FFS345" s="50"/>
      <c r="FFT345" s="50"/>
      <c r="FFU345" s="50"/>
      <c r="FFV345" s="50"/>
      <c r="FFW345" s="50"/>
      <c r="FFX345" s="50"/>
      <c r="FFY345" s="50"/>
      <c r="FFZ345" s="50"/>
      <c r="FGA345" s="50"/>
      <c r="FGB345" s="50"/>
      <c r="FGC345" s="50"/>
      <c r="FGD345" s="50"/>
      <c r="FGE345" s="50"/>
      <c r="FGF345" s="50"/>
      <c r="FGG345" s="50"/>
      <c r="FGH345" s="50"/>
      <c r="FGI345" s="50"/>
      <c r="FGJ345" s="50"/>
      <c r="FGK345" s="50"/>
      <c r="FGL345" s="50"/>
      <c r="FGM345" s="50"/>
      <c r="FGN345" s="50"/>
      <c r="FGO345" s="50"/>
      <c r="FGP345" s="50"/>
      <c r="FGQ345" s="50"/>
      <c r="FGR345" s="50"/>
      <c r="FGS345" s="50"/>
      <c r="FGT345" s="50"/>
      <c r="FGU345" s="50"/>
      <c r="FGV345" s="50"/>
      <c r="FGW345" s="50"/>
      <c r="FGX345" s="50"/>
      <c r="FGY345" s="50"/>
      <c r="FGZ345" s="50"/>
      <c r="FHA345" s="50"/>
      <c r="FHB345" s="50"/>
      <c r="FHC345" s="50"/>
      <c r="FHD345" s="50"/>
      <c r="FHE345" s="50"/>
      <c r="FHF345" s="50"/>
      <c r="FHG345" s="50"/>
      <c r="FHH345" s="50"/>
      <c r="FHI345" s="50"/>
      <c r="FHJ345" s="50"/>
      <c r="FHK345" s="50"/>
      <c r="FHL345" s="50"/>
      <c r="FHM345" s="50"/>
      <c r="FHN345" s="50"/>
      <c r="FHO345" s="50"/>
      <c r="FHP345" s="50"/>
      <c r="FHQ345" s="50"/>
      <c r="FHR345" s="50"/>
      <c r="FHS345" s="50"/>
      <c r="FHT345" s="50"/>
      <c r="FHU345" s="50"/>
      <c r="FHV345" s="50"/>
      <c r="FHW345" s="50"/>
      <c r="FHX345" s="50"/>
      <c r="FHY345" s="50"/>
      <c r="FHZ345" s="50"/>
      <c r="FIA345" s="50"/>
      <c r="FIB345" s="50"/>
      <c r="FIC345" s="50"/>
      <c r="FID345" s="50"/>
      <c r="FIE345" s="50"/>
      <c r="FIF345" s="50"/>
      <c r="FIG345" s="50"/>
      <c r="FIH345" s="50"/>
      <c r="FII345" s="50"/>
      <c r="FIJ345" s="50"/>
      <c r="FIK345" s="50"/>
      <c r="FIL345" s="50"/>
      <c r="FIM345" s="50"/>
      <c r="FIN345" s="50"/>
      <c r="FIO345" s="50"/>
      <c r="FIP345" s="50"/>
      <c r="FIQ345" s="50"/>
      <c r="FIR345" s="50"/>
      <c r="FIS345" s="50"/>
      <c r="FIT345" s="50"/>
      <c r="FIU345" s="50"/>
      <c r="FIV345" s="50"/>
      <c r="FIW345" s="50"/>
      <c r="FIX345" s="50"/>
      <c r="FIY345" s="50"/>
      <c r="FIZ345" s="50"/>
      <c r="FJA345" s="50"/>
      <c r="FJB345" s="50"/>
      <c r="FJC345" s="50"/>
      <c r="FJD345" s="50"/>
      <c r="FJE345" s="50"/>
      <c r="FJF345" s="50"/>
      <c r="FJG345" s="50"/>
      <c r="FJH345" s="50"/>
      <c r="FJI345" s="50"/>
      <c r="FJJ345" s="50"/>
      <c r="FJK345" s="50"/>
      <c r="FJL345" s="50"/>
      <c r="FJM345" s="50"/>
      <c r="FJN345" s="50"/>
      <c r="FJO345" s="50"/>
      <c r="FJP345" s="50"/>
      <c r="FJQ345" s="50"/>
      <c r="FJR345" s="50"/>
      <c r="FJS345" s="50"/>
      <c r="FJT345" s="50"/>
      <c r="FJU345" s="50"/>
      <c r="FJV345" s="50"/>
      <c r="FJW345" s="50"/>
      <c r="FJX345" s="50"/>
      <c r="FJY345" s="50"/>
      <c r="FJZ345" s="50"/>
      <c r="FKA345" s="50"/>
      <c r="FKB345" s="50"/>
      <c r="FKC345" s="50"/>
      <c r="FKD345" s="50"/>
      <c r="FKE345" s="50"/>
      <c r="FKF345" s="50"/>
      <c r="FKG345" s="50"/>
      <c r="FKH345" s="50"/>
      <c r="FKI345" s="50"/>
      <c r="FKJ345" s="50"/>
      <c r="FKK345" s="50"/>
      <c r="FKL345" s="50"/>
      <c r="FKM345" s="50"/>
      <c r="FKN345" s="50"/>
      <c r="FKO345" s="50"/>
      <c r="FKP345" s="50"/>
      <c r="FKQ345" s="50"/>
      <c r="FKR345" s="50"/>
      <c r="FKS345" s="50"/>
      <c r="FKT345" s="50"/>
      <c r="FKU345" s="50"/>
      <c r="FKV345" s="50"/>
      <c r="FKW345" s="50"/>
      <c r="FKX345" s="50"/>
      <c r="FKY345" s="50"/>
      <c r="FKZ345" s="50"/>
      <c r="FLA345" s="50"/>
      <c r="FLB345" s="50"/>
      <c r="FLC345" s="50"/>
      <c r="FLD345" s="50"/>
      <c r="FLE345" s="50"/>
      <c r="FLF345" s="50"/>
      <c r="FLG345" s="50"/>
      <c r="FLH345" s="50"/>
      <c r="FLI345" s="50"/>
      <c r="FLJ345" s="50"/>
      <c r="FLK345" s="50"/>
      <c r="FLL345" s="50"/>
      <c r="FLM345" s="50"/>
      <c r="FLN345" s="50"/>
      <c r="FLO345" s="50"/>
      <c r="FLP345" s="50"/>
      <c r="FLQ345" s="50"/>
      <c r="FLR345" s="50"/>
      <c r="FLS345" s="50"/>
      <c r="FLT345" s="50"/>
      <c r="FLU345" s="50"/>
      <c r="FLV345" s="50"/>
      <c r="FLW345" s="50"/>
      <c r="FLX345" s="50"/>
      <c r="FLY345" s="50"/>
      <c r="FLZ345" s="50"/>
      <c r="FMA345" s="50"/>
      <c r="FMB345" s="50"/>
      <c r="FMC345" s="50"/>
      <c r="FMD345" s="50"/>
      <c r="FME345" s="50"/>
      <c r="FMF345" s="50"/>
      <c r="FMG345" s="50"/>
      <c r="FMH345" s="50"/>
      <c r="FMI345" s="50"/>
      <c r="FMJ345" s="50"/>
      <c r="FMK345" s="50"/>
      <c r="FML345" s="50"/>
      <c r="FMM345" s="50"/>
      <c r="FMN345" s="50"/>
      <c r="FMO345" s="50"/>
      <c r="FMP345" s="50"/>
      <c r="FMQ345" s="50"/>
      <c r="FMR345" s="50"/>
      <c r="FMS345" s="50"/>
      <c r="FMT345" s="50"/>
      <c r="FMU345" s="50"/>
      <c r="FMV345" s="50"/>
      <c r="FMW345" s="50"/>
      <c r="FMX345" s="50"/>
      <c r="FMY345" s="50"/>
      <c r="FMZ345" s="50"/>
      <c r="FNA345" s="50"/>
      <c r="FNB345" s="50"/>
      <c r="FNC345" s="50"/>
      <c r="FND345" s="50"/>
      <c r="FNE345" s="50"/>
      <c r="FNF345" s="50"/>
      <c r="FNG345" s="50"/>
      <c r="FNH345" s="50"/>
      <c r="FNI345" s="50"/>
      <c r="FNJ345" s="50"/>
      <c r="FNK345" s="50"/>
      <c r="FNL345" s="50"/>
      <c r="FNM345" s="50"/>
      <c r="FNN345" s="50"/>
      <c r="FNO345" s="50"/>
      <c r="FNP345" s="50"/>
      <c r="FNQ345" s="50"/>
      <c r="FNR345" s="50"/>
      <c r="FNS345" s="50"/>
      <c r="FNT345" s="50"/>
      <c r="FNU345" s="50"/>
      <c r="FNV345" s="50"/>
      <c r="FNW345" s="50"/>
      <c r="FNX345" s="50"/>
      <c r="FNY345" s="50"/>
      <c r="FNZ345" s="50"/>
      <c r="FOA345" s="50"/>
      <c r="FOB345" s="50"/>
      <c r="FOC345" s="50"/>
      <c r="FOD345" s="50"/>
      <c r="FOE345" s="50"/>
      <c r="FOF345" s="50"/>
      <c r="FOG345" s="50"/>
      <c r="FOH345" s="50"/>
      <c r="FOI345" s="50"/>
      <c r="FOJ345" s="50"/>
      <c r="FOK345" s="50"/>
      <c r="FOL345" s="50"/>
      <c r="FOM345" s="50"/>
      <c r="FON345" s="50"/>
      <c r="FOO345" s="50"/>
      <c r="FOP345" s="50"/>
      <c r="FOQ345" s="50"/>
      <c r="FOR345" s="50"/>
      <c r="FOS345" s="50"/>
      <c r="FOT345" s="50"/>
      <c r="FOU345" s="50"/>
      <c r="FOV345" s="50"/>
      <c r="FOW345" s="50"/>
      <c r="FOX345" s="50"/>
      <c r="FOY345" s="50"/>
      <c r="FOZ345" s="50"/>
      <c r="FPA345" s="50"/>
      <c r="FPB345" s="50"/>
      <c r="FPC345" s="50"/>
      <c r="FPD345" s="50"/>
      <c r="FPE345" s="50"/>
      <c r="FPF345" s="50"/>
      <c r="FPG345" s="50"/>
      <c r="FPH345" s="50"/>
      <c r="FPI345" s="50"/>
      <c r="FPJ345" s="50"/>
      <c r="FPK345" s="50"/>
      <c r="FPL345" s="50"/>
      <c r="FPM345" s="50"/>
      <c r="FPN345" s="50"/>
      <c r="FPO345" s="50"/>
      <c r="FPP345" s="50"/>
      <c r="FPQ345" s="50"/>
      <c r="FPR345" s="50"/>
      <c r="FPS345" s="50"/>
      <c r="FPT345" s="50"/>
      <c r="FPU345" s="50"/>
      <c r="FPV345" s="50"/>
      <c r="FPW345" s="50"/>
      <c r="FPX345" s="50"/>
      <c r="FPY345" s="50"/>
      <c r="FPZ345" s="50"/>
      <c r="FQA345" s="50"/>
      <c r="FQB345" s="50"/>
      <c r="FQC345" s="50"/>
      <c r="FQD345" s="50"/>
      <c r="FQE345" s="50"/>
      <c r="FQF345" s="50"/>
      <c r="FQG345" s="50"/>
      <c r="FQH345" s="50"/>
      <c r="FQI345" s="50"/>
      <c r="FQJ345" s="50"/>
      <c r="FQK345" s="50"/>
      <c r="FQL345" s="50"/>
      <c r="FQM345" s="50"/>
      <c r="FQN345" s="50"/>
      <c r="FQO345" s="50"/>
      <c r="FQP345" s="50"/>
      <c r="FQQ345" s="50"/>
      <c r="FQR345" s="50"/>
      <c r="FQS345" s="50"/>
      <c r="FQT345" s="50"/>
      <c r="FQU345" s="50"/>
      <c r="FQV345" s="50"/>
      <c r="FQW345" s="50"/>
      <c r="FQX345" s="50"/>
      <c r="FQY345" s="50"/>
      <c r="FQZ345" s="50"/>
      <c r="FRA345" s="50"/>
      <c r="FRB345" s="50"/>
      <c r="FRC345" s="50"/>
      <c r="FRD345" s="50"/>
      <c r="FRE345" s="50"/>
      <c r="FRF345" s="50"/>
      <c r="FRG345" s="50"/>
      <c r="FRH345" s="50"/>
      <c r="FRI345" s="50"/>
      <c r="FRJ345" s="50"/>
      <c r="FRK345" s="50"/>
      <c r="FRL345" s="50"/>
      <c r="FRM345" s="50"/>
      <c r="FRN345" s="50"/>
      <c r="FRO345" s="50"/>
      <c r="FRP345" s="50"/>
      <c r="FRQ345" s="50"/>
      <c r="FRR345" s="50"/>
      <c r="FRS345" s="50"/>
      <c r="FRT345" s="50"/>
      <c r="FRU345" s="50"/>
      <c r="FRV345" s="50"/>
      <c r="FRW345" s="50"/>
      <c r="FRX345" s="50"/>
      <c r="FRY345" s="50"/>
      <c r="FRZ345" s="50"/>
      <c r="FSA345" s="50"/>
      <c r="FSB345" s="50"/>
      <c r="FSC345" s="50"/>
      <c r="FSD345" s="50"/>
      <c r="FSE345" s="50"/>
      <c r="FSF345" s="50"/>
      <c r="FSG345" s="50"/>
      <c r="FSH345" s="50"/>
      <c r="FSI345" s="50"/>
      <c r="FSJ345" s="50"/>
      <c r="FSK345" s="50"/>
      <c r="FSL345" s="50"/>
      <c r="FSM345" s="50"/>
      <c r="FSN345" s="50"/>
      <c r="FSO345" s="50"/>
      <c r="FSP345" s="50"/>
      <c r="FSQ345" s="50"/>
      <c r="FSR345" s="50"/>
      <c r="FSS345" s="50"/>
      <c r="FST345" s="50"/>
      <c r="FSU345" s="50"/>
      <c r="FSV345" s="50"/>
      <c r="FSW345" s="50"/>
      <c r="FSX345" s="50"/>
      <c r="FSY345" s="50"/>
      <c r="FSZ345" s="50"/>
      <c r="FTA345" s="50"/>
      <c r="FTB345" s="50"/>
      <c r="FTC345" s="50"/>
      <c r="FTD345" s="50"/>
      <c r="FTE345" s="50"/>
      <c r="FTF345" s="50"/>
      <c r="FTG345" s="50"/>
      <c r="FTH345" s="50"/>
      <c r="FTI345" s="50"/>
      <c r="FTJ345" s="50"/>
      <c r="FTK345" s="50"/>
      <c r="FTL345" s="50"/>
      <c r="FTM345" s="50"/>
      <c r="FTN345" s="50"/>
      <c r="FTO345" s="50"/>
      <c r="FTP345" s="50"/>
      <c r="FTQ345" s="50"/>
      <c r="FTR345" s="50"/>
      <c r="FTS345" s="50"/>
      <c r="FTT345" s="50"/>
      <c r="FTU345" s="50"/>
      <c r="FTV345" s="50"/>
      <c r="FTW345" s="50"/>
      <c r="FTX345" s="50"/>
      <c r="FTY345" s="50"/>
      <c r="FTZ345" s="50"/>
      <c r="FUA345" s="50"/>
      <c r="FUB345" s="50"/>
      <c r="FUC345" s="50"/>
      <c r="FUD345" s="50"/>
      <c r="FUE345" s="50"/>
      <c r="FUF345" s="50"/>
      <c r="FUG345" s="50"/>
      <c r="FUH345" s="50"/>
      <c r="FUI345" s="50"/>
      <c r="FUJ345" s="50"/>
      <c r="FUK345" s="50"/>
      <c r="FUL345" s="50"/>
      <c r="FUM345" s="50"/>
      <c r="FUN345" s="50"/>
      <c r="FUO345" s="50"/>
      <c r="FUP345" s="50"/>
      <c r="FUQ345" s="50"/>
      <c r="FUR345" s="50"/>
      <c r="FUS345" s="50"/>
      <c r="FUT345" s="50"/>
      <c r="FUU345" s="50"/>
      <c r="FUV345" s="50"/>
      <c r="FUW345" s="50"/>
      <c r="FUX345" s="50"/>
      <c r="FUY345" s="50"/>
      <c r="FUZ345" s="50"/>
      <c r="FVA345" s="50"/>
      <c r="FVB345" s="50"/>
      <c r="FVC345" s="50"/>
      <c r="FVD345" s="50"/>
      <c r="FVE345" s="50"/>
      <c r="FVF345" s="50"/>
      <c r="FVG345" s="50"/>
      <c r="FVH345" s="50"/>
      <c r="FVI345" s="50"/>
      <c r="FVJ345" s="50"/>
      <c r="FVK345" s="50"/>
      <c r="FVL345" s="50"/>
      <c r="FVM345" s="50"/>
      <c r="FVN345" s="50"/>
      <c r="FVO345" s="50"/>
      <c r="FVP345" s="50"/>
      <c r="FVQ345" s="50"/>
      <c r="FVR345" s="50"/>
      <c r="FVS345" s="50"/>
      <c r="FVT345" s="50"/>
      <c r="FVU345" s="50"/>
      <c r="FVV345" s="50"/>
      <c r="FVW345" s="50"/>
      <c r="FVX345" s="50"/>
      <c r="FVY345" s="50"/>
      <c r="FVZ345" s="50"/>
      <c r="FWA345" s="50"/>
      <c r="FWB345" s="50"/>
      <c r="FWC345" s="50"/>
      <c r="FWD345" s="50"/>
      <c r="FWE345" s="50"/>
      <c r="FWF345" s="50"/>
      <c r="FWG345" s="50"/>
      <c r="FWH345" s="50"/>
      <c r="FWI345" s="50"/>
      <c r="FWJ345" s="50"/>
      <c r="FWK345" s="50"/>
      <c r="FWL345" s="50"/>
      <c r="FWM345" s="50"/>
      <c r="FWN345" s="50"/>
      <c r="FWO345" s="50"/>
      <c r="FWP345" s="50"/>
      <c r="FWQ345" s="50"/>
      <c r="FWR345" s="50"/>
      <c r="FWS345" s="50"/>
      <c r="FWT345" s="50"/>
      <c r="FWU345" s="50"/>
      <c r="FWV345" s="50"/>
      <c r="FWW345" s="50"/>
      <c r="FWX345" s="50"/>
      <c r="FWY345" s="50"/>
      <c r="FWZ345" s="50"/>
      <c r="FXA345" s="50"/>
      <c r="FXB345" s="50"/>
      <c r="FXC345" s="50"/>
      <c r="FXD345" s="50"/>
      <c r="FXE345" s="50"/>
      <c r="FXF345" s="50"/>
      <c r="FXG345" s="50"/>
      <c r="FXH345" s="50"/>
      <c r="FXI345" s="50"/>
      <c r="FXJ345" s="50"/>
      <c r="FXK345" s="50"/>
      <c r="FXL345" s="50"/>
      <c r="FXM345" s="50"/>
      <c r="FXN345" s="50"/>
      <c r="FXO345" s="50"/>
      <c r="FXP345" s="50"/>
      <c r="FXQ345" s="50"/>
      <c r="FXR345" s="50"/>
      <c r="FXS345" s="50"/>
      <c r="FXT345" s="50"/>
      <c r="FXU345" s="50"/>
      <c r="FXV345" s="50"/>
      <c r="FXW345" s="50"/>
      <c r="FXX345" s="50"/>
      <c r="FXY345" s="50"/>
      <c r="FXZ345" s="50"/>
      <c r="FYA345" s="50"/>
      <c r="FYB345" s="50"/>
      <c r="FYC345" s="50"/>
      <c r="FYD345" s="50"/>
      <c r="FYE345" s="50"/>
      <c r="FYF345" s="50"/>
      <c r="FYG345" s="50"/>
      <c r="FYH345" s="50"/>
      <c r="FYI345" s="50"/>
      <c r="FYJ345" s="50"/>
      <c r="FYK345" s="50"/>
      <c r="FYL345" s="50"/>
      <c r="FYM345" s="50"/>
      <c r="FYN345" s="50"/>
      <c r="FYO345" s="50"/>
      <c r="FYP345" s="50"/>
      <c r="FYQ345" s="50"/>
      <c r="FYR345" s="50"/>
      <c r="FYS345" s="50"/>
      <c r="FYT345" s="50"/>
      <c r="FYU345" s="50"/>
      <c r="FYV345" s="50"/>
      <c r="FYW345" s="50"/>
      <c r="FYX345" s="50"/>
      <c r="FYY345" s="50"/>
      <c r="FYZ345" s="50"/>
      <c r="FZA345" s="50"/>
      <c r="FZB345" s="50"/>
      <c r="FZC345" s="50"/>
      <c r="FZD345" s="50"/>
      <c r="FZE345" s="50"/>
      <c r="FZF345" s="50"/>
      <c r="FZG345" s="50"/>
      <c r="FZH345" s="50"/>
      <c r="FZI345" s="50"/>
      <c r="FZJ345" s="50"/>
      <c r="FZK345" s="50"/>
      <c r="FZL345" s="50"/>
      <c r="FZM345" s="50"/>
      <c r="FZN345" s="50"/>
      <c r="FZO345" s="50"/>
      <c r="FZP345" s="50"/>
      <c r="FZQ345" s="50"/>
      <c r="FZR345" s="50"/>
      <c r="FZS345" s="50"/>
      <c r="FZT345" s="50"/>
      <c r="FZU345" s="50"/>
      <c r="FZV345" s="50"/>
      <c r="FZW345" s="50"/>
      <c r="FZX345" s="50"/>
      <c r="FZY345" s="50"/>
      <c r="FZZ345" s="50"/>
      <c r="GAA345" s="50"/>
      <c r="GAB345" s="50"/>
      <c r="GAC345" s="50"/>
      <c r="GAD345" s="50"/>
      <c r="GAE345" s="50"/>
      <c r="GAF345" s="50"/>
      <c r="GAG345" s="50"/>
      <c r="GAH345" s="50"/>
      <c r="GAI345" s="50"/>
      <c r="GAJ345" s="50"/>
      <c r="GAK345" s="50"/>
      <c r="GAL345" s="50"/>
      <c r="GAM345" s="50"/>
      <c r="GAN345" s="50"/>
      <c r="GAO345" s="50"/>
      <c r="GAP345" s="50"/>
      <c r="GAQ345" s="50"/>
      <c r="GAR345" s="50"/>
      <c r="GAS345" s="50"/>
      <c r="GAT345" s="50"/>
      <c r="GAU345" s="50"/>
      <c r="GAV345" s="50"/>
      <c r="GAW345" s="50"/>
      <c r="GAX345" s="50"/>
      <c r="GAY345" s="50"/>
      <c r="GAZ345" s="50"/>
      <c r="GBA345" s="50"/>
      <c r="GBB345" s="50"/>
      <c r="GBC345" s="50"/>
      <c r="GBD345" s="50"/>
      <c r="GBE345" s="50"/>
      <c r="GBF345" s="50"/>
      <c r="GBG345" s="50"/>
      <c r="GBH345" s="50"/>
      <c r="GBI345" s="50"/>
      <c r="GBJ345" s="50"/>
      <c r="GBK345" s="50"/>
      <c r="GBL345" s="50"/>
      <c r="GBM345" s="50"/>
      <c r="GBN345" s="50"/>
      <c r="GBO345" s="50"/>
      <c r="GBP345" s="50"/>
      <c r="GBQ345" s="50"/>
      <c r="GBR345" s="50"/>
      <c r="GBS345" s="50"/>
      <c r="GBT345" s="50"/>
      <c r="GBU345" s="50"/>
      <c r="GBV345" s="50"/>
      <c r="GBW345" s="50"/>
      <c r="GBX345" s="50"/>
      <c r="GBY345" s="50"/>
      <c r="GBZ345" s="50"/>
      <c r="GCA345" s="50"/>
      <c r="GCB345" s="50"/>
      <c r="GCC345" s="50"/>
      <c r="GCD345" s="50"/>
      <c r="GCE345" s="50"/>
      <c r="GCF345" s="50"/>
      <c r="GCG345" s="50"/>
      <c r="GCH345" s="50"/>
      <c r="GCI345" s="50"/>
      <c r="GCJ345" s="50"/>
      <c r="GCK345" s="50"/>
      <c r="GCL345" s="50"/>
      <c r="GCM345" s="50"/>
      <c r="GCN345" s="50"/>
      <c r="GCO345" s="50"/>
      <c r="GCP345" s="50"/>
      <c r="GCQ345" s="50"/>
      <c r="GCR345" s="50"/>
      <c r="GCS345" s="50"/>
      <c r="GCT345" s="50"/>
      <c r="GCU345" s="50"/>
      <c r="GCV345" s="50"/>
      <c r="GCW345" s="50"/>
      <c r="GCX345" s="50"/>
      <c r="GCY345" s="50"/>
      <c r="GCZ345" s="50"/>
      <c r="GDA345" s="50"/>
      <c r="GDB345" s="50"/>
      <c r="GDC345" s="50"/>
      <c r="GDD345" s="50"/>
      <c r="GDE345" s="50"/>
      <c r="GDF345" s="50"/>
      <c r="GDG345" s="50"/>
      <c r="GDH345" s="50"/>
      <c r="GDI345" s="50"/>
      <c r="GDJ345" s="50"/>
      <c r="GDK345" s="50"/>
      <c r="GDL345" s="50"/>
      <c r="GDM345" s="50"/>
      <c r="GDN345" s="50"/>
      <c r="GDO345" s="50"/>
      <c r="GDP345" s="50"/>
      <c r="GDQ345" s="50"/>
      <c r="GDR345" s="50"/>
      <c r="GDS345" s="50"/>
      <c r="GDT345" s="50"/>
      <c r="GDU345" s="50"/>
      <c r="GDV345" s="50"/>
      <c r="GDW345" s="50"/>
      <c r="GDX345" s="50"/>
      <c r="GDY345" s="50"/>
      <c r="GDZ345" s="50"/>
      <c r="GEA345" s="50"/>
      <c r="GEB345" s="50"/>
      <c r="GEC345" s="50"/>
      <c r="GED345" s="50"/>
      <c r="GEE345" s="50"/>
      <c r="GEF345" s="50"/>
      <c r="GEG345" s="50"/>
      <c r="GEH345" s="50"/>
      <c r="GEI345" s="50"/>
      <c r="GEJ345" s="50"/>
      <c r="GEK345" s="50"/>
      <c r="GEL345" s="50"/>
      <c r="GEM345" s="50"/>
      <c r="GEN345" s="50"/>
      <c r="GEO345" s="50"/>
      <c r="GEP345" s="50"/>
      <c r="GEQ345" s="50"/>
      <c r="GER345" s="50"/>
      <c r="GES345" s="50"/>
      <c r="GET345" s="50"/>
      <c r="GEU345" s="50"/>
      <c r="GEV345" s="50"/>
      <c r="GEW345" s="50"/>
      <c r="GEX345" s="50"/>
      <c r="GEY345" s="50"/>
      <c r="GEZ345" s="50"/>
      <c r="GFA345" s="50"/>
      <c r="GFB345" s="50"/>
      <c r="GFC345" s="50"/>
      <c r="GFD345" s="50"/>
      <c r="GFE345" s="50"/>
      <c r="GFF345" s="50"/>
      <c r="GFG345" s="50"/>
      <c r="GFH345" s="50"/>
      <c r="GFI345" s="50"/>
      <c r="GFJ345" s="50"/>
      <c r="GFK345" s="50"/>
      <c r="GFL345" s="50"/>
      <c r="GFM345" s="50"/>
      <c r="GFN345" s="50"/>
      <c r="GFO345" s="50"/>
      <c r="GFP345" s="50"/>
      <c r="GFQ345" s="50"/>
      <c r="GFR345" s="50"/>
      <c r="GFS345" s="50"/>
      <c r="GFT345" s="50"/>
      <c r="GFU345" s="50"/>
      <c r="GFV345" s="50"/>
      <c r="GFW345" s="50"/>
      <c r="GFX345" s="50"/>
      <c r="GFY345" s="50"/>
      <c r="GFZ345" s="50"/>
      <c r="GGA345" s="50"/>
      <c r="GGB345" s="50"/>
      <c r="GGC345" s="50"/>
      <c r="GGD345" s="50"/>
      <c r="GGE345" s="50"/>
      <c r="GGF345" s="50"/>
      <c r="GGG345" s="50"/>
      <c r="GGH345" s="50"/>
      <c r="GGI345" s="50"/>
      <c r="GGJ345" s="50"/>
      <c r="GGK345" s="50"/>
      <c r="GGL345" s="50"/>
      <c r="GGM345" s="50"/>
      <c r="GGN345" s="50"/>
      <c r="GGO345" s="50"/>
      <c r="GGP345" s="50"/>
      <c r="GGQ345" s="50"/>
      <c r="GGR345" s="50"/>
      <c r="GGS345" s="50"/>
      <c r="GGT345" s="50"/>
      <c r="GGU345" s="50"/>
      <c r="GGV345" s="50"/>
      <c r="GGW345" s="50"/>
      <c r="GGX345" s="50"/>
      <c r="GGY345" s="50"/>
      <c r="GGZ345" s="50"/>
      <c r="GHA345" s="50"/>
      <c r="GHB345" s="50"/>
      <c r="GHC345" s="50"/>
      <c r="GHD345" s="50"/>
      <c r="GHE345" s="50"/>
      <c r="GHF345" s="50"/>
      <c r="GHG345" s="50"/>
      <c r="GHH345" s="50"/>
      <c r="GHI345" s="50"/>
      <c r="GHJ345" s="50"/>
      <c r="GHK345" s="50"/>
      <c r="GHL345" s="50"/>
      <c r="GHM345" s="50"/>
      <c r="GHN345" s="50"/>
      <c r="GHO345" s="50"/>
      <c r="GHP345" s="50"/>
      <c r="GHQ345" s="50"/>
      <c r="GHR345" s="50"/>
      <c r="GHS345" s="50"/>
      <c r="GHT345" s="50"/>
      <c r="GHU345" s="50"/>
      <c r="GHV345" s="50"/>
      <c r="GHW345" s="50"/>
      <c r="GHX345" s="50"/>
      <c r="GHY345" s="50"/>
      <c r="GHZ345" s="50"/>
      <c r="GIA345" s="50"/>
      <c r="GIB345" s="50"/>
      <c r="GIC345" s="50"/>
      <c r="GID345" s="50"/>
      <c r="GIE345" s="50"/>
      <c r="GIF345" s="50"/>
      <c r="GIG345" s="50"/>
      <c r="GIH345" s="50"/>
      <c r="GII345" s="50"/>
      <c r="GIJ345" s="50"/>
      <c r="GIK345" s="50"/>
      <c r="GIL345" s="50"/>
      <c r="GIM345" s="50"/>
      <c r="GIN345" s="50"/>
      <c r="GIO345" s="50"/>
      <c r="GIP345" s="50"/>
      <c r="GIQ345" s="50"/>
      <c r="GIR345" s="50"/>
      <c r="GIS345" s="50"/>
      <c r="GIT345" s="50"/>
      <c r="GIU345" s="50"/>
      <c r="GIV345" s="50"/>
      <c r="GIW345" s="50"/>
      <c r="GIX345" s="50"/>
      <c r="GIY345" s="50"/>
      <c r="GIZ345" s="50"/>
      <c r="GJA345" s="50"/>
      <c r="GJB345" s="50"/>
      <c r="GJC345" s="50"/>
      <c r="GJD345" s="50"/>
      <c r="GJE345" s="50"/>
      <c r="GJF345" s="50"/>
      <c r="GJG345" s="50"/>
      <c r="GJH345" s="50"/>
      <c r="GJI345" s="50"/>
      <c r="GJJ345" s="50"/>
      <c r="GJK345" s="50"/>
      <c r="GJL345" s="50"/>
      <c r="GJM345" s="50"/>
      <c r="GJN345" s="50"/>
      <c r="GJO345" s="50"/>
      <c r="GJP345" s="50"/>
      <c r="GJQ345" s="50"/>
      <c r="GJR345" s="50"/>
      <c r="GJS345" s="50"/>
      <c r="GJT345" s="50"/>
      <c r="GJU345" s="50"/>
      <c r="GJV345" s="50"/>
      <c r="GJW345" s="50"/>
      <c r="GJX345" s="50"/>
      <c r="GJY345" s="50"/>
      <c r="GJZ345" s="50"/>
      <c r="GKA345" s="50"/>
      <c r="GKB345" s="50"/>
      <c r="GKC345" s="50"/>
      <c r="GKD345" s="50"/>
      <c r="GKE345" s="50"/>
      <c r="GKF345" s="50"/>
      <c r="GKG345" s="50"/>
      <c r="GKH345" s="50"/>
      <c r="GKI345" s="50"/>
      <c r="GKJ345" s="50"/>
      <c r="GKK345" s="50"/>
      <c r="GKL345" s="50"/>
      <c r="GKM345" s="50"/>
      <c r="GKN345" s="50"/>
      <c r="GKO345" s="50"/>
      <c r="GKP345" s="50"/>
      <c r="GKQ345" s="50"/>
      <c r="GKR345" s="50"/>
      <c r="GKS345" s="50"/>
      <c r="GKT345" s="50"/>
      <c r="GKU345" s="50"/>
      <c r="GKV345" s="50"/>
      <c r="GKW345" s="50"/>
      <c r="GKX345" s="50"/>
      <c r="GKY345" s="50"/>
      <c r="GKZ345" s="50"/>
      <c r="GLA345" s="50"/>
      <c r="GLB345" s="50"/>
      <c r="GLC345" s="50"/>
      <c r="GLD345" s="50"/>
      <c r="GLE345" s="50"/>
      <c r="GLF345" s="50"/>
      <c r="GLG345" s="50"/>
      <c r="GLH345" s="50"/>
      <c r="GLI345" s="50"/>
      <c r="GLJ345" s="50"/>
      <c r="GLK345" s="50"/>
      <c r="GLL345" s="50"/>
      <c r="GLM345" s="50"/>
      <c r="GLN345" s="50"/>
      <c r="GLO345" s="50"/>
      <c r="GLP345" s="50"/>
      <c r="GLQ345" s="50"/>
      <c r="GLR345" s="50"/>
      <c r="GLS345" s="50"/>
      <c r="GLT345" s="50"/>
      <c r="GLU345" s="50"/>
      <c r="GLV345" s="50"/>
      <c r="GLW345" s="50"/>
      <c r="GLX345" s="50"/>
      <c r="GLY345" s="50"/>
      <c r="GLZ345" s="50"/>
      <c r="GMA345" s="50"/>
      <c r="GMB345" s="50"/>
      <c r="GMC345" s="50"/>
      <c r="GMD345" s="50"/>
      <c r="GME345" s="50"/>
      <c r="GMF345" s="50"/>
      <c r="GMG345" s="50"/>
      <c r="GMH345" s="50"/>
      <c r="GMI345" s="50"/>
      <c r="GMJ345" s="50"/>
      <c r="GMK345" s="50"/>
      <c r="GML345" s="50"/>
      <c r="GMM345" s="50"/>
      <c r="GMN345" s="50"/>
      <c r="GMO345" s="50"/>
      <c r="GMP345" s="50"/>
      <c r="GMQ345" s="50"/>
      <c r="GMR345" s="50"/>
      <c r="GMS345" s="50"/>
      <c r="GMT345" s="50"/>
      <c r="GMU345" s="50"/>
      <c r="GMV345" s="50"/>
      <c r="GMW345" s="50"/>
      <c r="GMX345" s="50"/>
      <c r="GMY345" s="50"/>
      <c r="GMZ345" s="50"/>
      <c r="GNA345" s="50"/>
      <c r="GNB345" s="50"/>
      <c r="GNC345" s="50"/>
      <c r="GND345" s="50"/>
      <c r="GNE345" s="50"/>
      <c r="GNF345" s="50"/>
      <c r="GNG345" s="50"/>
      <c r="GNH345" s="50"/>
      <c r="GNI345" s="50"/>
      <c r="GNJ345" s="50"/>
      <c r="GNK345" s="50"/>
      <c r="GNL345" s="50"/>
      <c r="GNM345" s="50"/>
      <c r="GNN345" s="50"/>
      <c r="GNO345" s="50"/>
      <c r="GNP345" s="50"/>
      <c r="GNQ345" s="50"/>
      <c r="GNR345" s="50"/>
      <c r="GNS345" s="50"/>
      <c r="GNT345" s="50"/>
      <c r="GNU345" s="50"/>
      <c r="GNV345" s="50"/>
      <c r="GNW345" s="50"/>
      <c r="GNX345" s="50"/>
      <c r="GNY345" s="50"/>
      <c r="GNZ345" s="50"/>
      <c r="GOA345" s="50"/>
      <c r="GOB345" s="50"/>
      <c r="GOC345" s="50"/>
      <c r="GOD345" s="50"/>
      <c r="GOE345" s="50"/>
      <c r="GOF345" s="50"/>
      <c r="GOG345" s="50"/>
      <c r="GOH345" s="50"/>
      <c r="GOI345" s="50"/>
      <c r="GOJ345" s="50"/>
      <c r="GOK345" s="50"/>
      <c r="GOL345" s="50"/>
      <c r="GOM345" s="50"/>
      <c r="GON345" s="50"/>
      <c r="GOO345" s="50"/>
      <c r="GOP345" s="50"/>
      <c r="GOQ345" s="50"/>
      <c r="GOR345" s="50"/>
      <c r="GOS345" s="50"/>
      <c r="GOT345" s="50"/>
      <c r="GOU345" s="50"/>
      <c r="GOV345" s="50"/>
      <c r="GOW345" s="50"/>
      <c r="GOX345" s="50"/>
      <c r="GOY345" s="50"/>
      <c r="GOZ345" s="50"/>
      <c r="GPA345" s="50"/>
      <c r="GPB345" s="50"/>
      <c r="GPC345" s="50"/>
      <c r="GPD345" s="50"/>
      <c r="GPE345" s="50"/>
      <c r="GPF345" s="50"/>
      <c r="GPG345" s="50"/>
      <c r="GPH345" s="50"/>
      <c r="GPI345" s="50"/>
      <c r="GPJ345" s="50"/>
      <c r="GPK345" s="50"/>
      <c r="GPL345" s="50"/>
      <c r="GPM345" s="50"/>
      <c r="GPN345" s="50"/>
      <c r="GPO345" s="50"/>
      <c r="GPP345" s="50"/>
      <c r="GPQ345" s="50"/>
      <c r="GPR345" s="50"/>
      <c r="GPS345" s="50"/>
      <c r="GPT345" s="50"/>
      <c r="GPU345" s="50"/>
      <c r="GPV345" s="50"/>
      <c r="GPW345" s="50"/>
      <c r="GPX345" s="50"/>
      <c r="GPY345" s="50"/>
      <c r="GPZ345" s="50"/>
      <c r="GQA345" s="50"/>
      <c r="GQB345" s="50"/>
      <c r="GQC345" s="50"/>
      <c r="GQD345" s="50"/>
      <c r="GQE345" s="50"/>
      <c r="GQF345" s="50"/>
      <c r="GQG345" s="50"/>
      <c r="GQH345" s="50"/>
      <c r="GQI345" s="50"/>
      <c r="GQJ345" s="50"/>
      <c r="GQK345" s="50"/>
      <c r="GQL345" s="50"/>
      <c r="GQM345" s="50"/>
      <c r="GQN345" s="50"/>
      <c r="GQO345" s="50"/>
      <c r="GQP345" s="50"/>
      <c r="GQQ345" s="50"/>
      <c r="GQR345" s="50"/>
      <c r="GQS345" s="50"/>
      <c r="GQT345" s="50"/>
      <c r="GQU345" s="50"/>
      <c r="GQV345" s="50"/>
      <c r="GQW345" s="50"/>
      <c r="GQX345" s="50"/>
      <c r="GQY345" s="50"/>
      <c r="GQZ345" s="50"/>
      <c r="GRA345" s="50"/>
      <c r="GRB345" s="50"/>
      <c r="GRC345" s="50"/>
      <c r="GRD345" s="50"/>
      <c r="GRE345" s="50"/>
      <c r="GRF345" s="50"/>
      <c r="GRG345" s="50"/>
      <c r="GRH345" s="50"/>
      <c r="GRI345" s="50"/>
      <c r="GRJ345" s="50"/>
      <c r="GRK345" s="50"/>
      <c r="GRL345" s="50"/>
      <c r="GRM345" s="50"/>
      <c r="GRN345" s="50"/>
      <c r="GRO345" s="50"/>
      <c r="GRP345" s="50"/>
      <c r="GRQ345" s="50"/>
      <c r="GRR345" s="50"/>
      <c r="GRS345" s="50"/>
      <c r="GRT345" s="50"/>
      <c r="GRU345" s="50"/>
      <c r="GRV345" s="50"/>
      <c r="GRW345" s="50"/>
      <c r="GRX345" s="50"/>
      <c r="GRY345" s="50"/>
      <c r="GRZ345" s="50"/>
      <c r="GSA345" s="50"/>
      <c r="GSB345" s="50"/>
      <c r="GSC345" s="50"/>
      <c r="GSD345" s="50"/>
      <c r="GSE345" s="50"/>
      <c r="GSF345" s="50"/>
      <c r="GSG345" s="50"/>
      <c r="GSH345" s="50"/>
      <c r="GSI345" s="50"/>
      <c r="GSJ345" s="50"/>
      <c r="GSK345" s="50"/>
      <c r="GSL345" s="50"/>
      <c r="GSM345" s="50"/>
      <c r="GSN345" s="50"/>
      <c r="GSO345" s="50"/>
      <c r="GSP345" s="50"/>
      <c r="GSQ345" s="50"/>
      <c r="GSR345" s="50"/>
      <c r="GSS345" s="50"/>
      <c r="GST345" s="50"/>
      <c r="GSU345" s="50"/>
      <c r="GSV345" s="50"/>
      <c r="GSW345" s="50"/>
      <c r="GSX345" s="50"/>
      <c r="GSY345" s="50"/>
      <c r="GSZ345" s="50"/>
      <c r="GTA345" s="50"/>
      <c r="GTB345" s="50"/>
      <c r="GTC345" s="50"/>
      <c r="GTD345" s="50"/>
      <c r="GTE345" s="50"/>
      <c r="GTF345" s="50"/>
      <c r="GTG345" s="50"/>
      <c r="GTH345" s="50"/>
      <c r="GTI345" s="50"/>
      <c r="GTJ345" s="50"/>
      <c r="GTK345" s="50"/>
      <c r="GTL345" s="50"/>
      <c r="GTM345" s="50"/>
      <c r="GTN345" s="50"/>
      <c r="GTO345" s="50"/>
      <c r="GTP345" s="50"/>
      <c r="GTQ345" s="50"/>
      <c r="GTR345" s="50"/>
      <c r="GTS345" s="50"/>
      <c r="GTT345" s="50"/>
      <c r="GTU345" s="50"/>
      <c r="GTV345" s="50"/>
      <c r="GTW345" s="50"/>
      <c r="GTX345" s="50"/>
      <c r="GTY345" s="50"/>
      <c r="GTZ345" s="50"/>
      <c r="GUA345" s="50"/>
      <c r="GUB345" s="50"/>
      <c r="GUC345" s="50"/>
      <c r="GUD345" s="50"/>
      <c r="GUE345" s="50"/>
      <c r="GUF345" s="50"/>
      <c r="GUG345" s="50"/>
      <c r="GUH345" s="50"/>
      <c r="GUI345" s="50"/>
      <c r="GUJ345" s="50"/>
      <c r="GUK345" s="50"/>
      <c r="GUL345" s="50"/>
      <c r="GUM345" s="50"/>
      <c r="GUN345" s="50"/>
      <c r="GUO345" s="50"/>
      <c r="GUP345" s="50"/>
      <c r="GUQ345" s="50"/>
      <c r="GUR345" s="50"/>
      <c r="GUS345" s="50"/>
      <c r="GUT345" s="50"/>
      <c r="GUU345" s="50"/>
      <c r="GUV345" s="50"/>
      <c r="GUW345" s="50"/>
      <c r="GUX345" s="50"/>
      <c r="GUY345" s="50"/>
      <c r="GUZ345" s="50"/>
      <c r="GVA345" s="50"/>
      <c r="GVB345" s="50"/>
      <c r="GVC345" s="50"/>
      <c r="GVD345" s="50"/>
      <c r="GVE345" s="50"/>
      <c r="GVF345" s="50"/>
      <c r="GVG345" s="50"/>
      <c r="GVH345" s="50"/>
      <c r="GVI345" s="50"/>
      <c r="GVJ345" s="50"/>
      <c r="GVK345" s="50"/>
      <c r="GVL345" s="50"/>
      <c r="GVM345" s="50"/>
      <c r="GVN345" s="50"/>
      <c r="GVO345" s="50"/>
      <c r="GVP345" s="50"/>
      <c r="GVQ345" s="50"/>
      <c r="GVR345" s="50"/>
      <c r="GVS345" s="50"/>
      <c r="GVT345" s="50"/>
      <c r="GVU345" s="50"/>
      <c r="GVV345" s="50"/>
      <c r="GVW345" s="50"/>
      <c r="GVX345" s="50"/>
      <c r="GVY345" s="50"/>
      <c r="GVZ345" s="50"/>
      <c r="GWA345" s="50"/>
      <c r="GWB345" s="50"/>
      <c r="GWC345" s="50"/>
      <c r="GWD345" s="50"/>
      <c r="GWE345" s="50"/>
      <c r="GWF345" s="50"/>
      <c r="GWG345" s="50"/>
      <c r="GWH345" s="50"/>
      <c r="GWI345" s="50"/>
      <c r="GWJ345" s="50"/>
      <c r="GWK345" s="50"/>
      <c r="GWL345" s="50"/>
      <c r="GWM345" s="50"/>
      <c r="GWN345" s="50"/>
      <c r="GWO345" s="50"/>
      <c r="GWP345" s="50"/>
      <c r="GWQ345" s="50"/>
      <c r="GWR345" s="50"/>
      <c r="GWS345" s="50"/>
      <c r="GWT345" s="50"/>
      <c r="GWU345" s="50"/>
      <c r="GWV345" s="50"/>
      <c r="GWW345" s="50"/>
      <c r="GWX345" s="50"/>
      <c r="GWY345" s="50"/>
      <c r="GWZ345" s="50"/>
      <c r="GXA345" s="50"/>
      <c r="GXB345" s="50"/>
      <c r="GXC345" s="50"/>
      <c r="GXD345" s="50"/>
      <c r="GXE345" s="50"/>
      <c r="GXF345" s="50"/>
      <c r="GXG345" s="50"/>
      <c r="GXH345" s="50"/>
      <c r="GXI345" s="50"/>
      <c r="GXJ345" s="50"/>
      <c r="GXK345" s="50"/>
      <c r="GXL345" s="50"/>
      <c r="GXM345" s="50"/>
      <c r="GXN345" s="50"/>
      <c r="GXO345" s="50"/>
      <c r="GXP345" s="50"/>
      <c r="GXQ345" s="50"/>
      <c r="GXR345" s="50"/>
      <c r="GXS345" s="50"/>
      <c r="GXT345" s="50"/>
      <c r="GXU345" s="50"/>
      <c r="GXV345" s="50"/>
      <c r="GXW345" s="50"/>
      <c r="GXX345" s="50"/>
      <c r="GXY345" s="50"/>
      <c r="GXZ345" s="50"/>
      <c r="GYA345" s="50"/>
      <c r="GYB345" s="50"/>
      <c r="GYC345" s="50"/>
      <c r="GYD345" s="50"/>
      <c r="GYE345" s="50"/>
      <c r="GYF345" s="50"/>
      <c r="GYG345" s="50"/>
      <c r="GYH345" s="50"/>
      <c r="GYI345" s="50"/>
      <c r="GYJ345" s="50"/>
      <c r="GYK345" s="50"/>
      <c r="GYL345" s="50"/>
      <c r="GYM345" s="50"/>
      <c r="GYN345" s="50"/>
      <c r="GYO345" s="50"/>
      <c r="GYP345" s="50"/>
      <c r="GYQ345" s="50"/>
      <c r="GYR345" s="50"/>
      <c r="GYS345" s="50"/>
      <c r="GYT345" s="50"/>
      <c r="GYU345" s="50"/>
      <c r="GYV345" s="50"/>
      <c r="GYW345" s="50"/>
      <c r="GYX345" s="50"/>
      <c r="GYY345" s="50"/>
      <c r="GYZ345" s="50"/>
      <c r="GZA345" s="50"/>
      <c r="GZB345" s="50"/>
      <c r="GZC345" s="50"/>
      <c r="GZD345" s="50"/>
      <c r="GZE345" s="50"/>
      <c r="GZF345" s="50"/>
      <c r="GZG345" s="50"/>
      <c r="GZH345" s="50"/>
      <c r="GZI345" s="50"/>
      <c r="GZJ345" s="50"/>
      <c r="GZK345" s="50"/>
      <c r="GZL345" s="50"/>
      <c r="GZM345" s="50"/>
      <c r="GZN345" s="50"/>
      <c r="GZO345" s="50"/>
      <c r="GZP345" s="50"/>
      <c r="GZQ345" s="50"/>
      <c r="GZR345" s="50"/>
      <c r="GZS345" s="50"/>
      <c r="GZT345" s="50"/>
      <c r="GZU345" s="50"/>
      <c r="GZV345" s="50"/>
      <c r="GZW345" s="50"/>
      <c r="GZX345" s="50"/>
      <c r="GZY345" s="50"/>
      <c r="GZZ345" s="50"/>
      <c r="HAA345" s="50"/>
      <c r="HAB345" s="50"/>
      <c r="HAC345" s="50"/>
      <c r="HAD345" s="50"/>
      <c r="HAE345" s="50"/>
      <c r="HAF345" s="50"/>
      <c r="HAG345" s="50"/>
      <c r="HAH345" s="50"/>
      <c r="HAI345" s="50"/>
      <c r="HAJ345" s="50"/>
      <c r="HAK345" s="50"/>
      <c r="HAL345" s="50"/>
      <c r="HAM345" s="50"/>
      <c r="HAN345" s="50"/>
      <c r="HAO345" s="50"/>
      <c r="HAP345" s="50"/>
      <c r="HAQ345" s="50"/>
      <c r="HAR345" s="50"/>
      <c r="HAS345" s="50"/>
      <c r="HAT345" s="50"/>
      <c r="HAU345" s="50"/>
      <c r="HAV345" s="50"/>
      <c r="HAW345" s="50"/>
      <c r="HAX345" s="50"/>
      <c r="HAY345" s="50"/>
      <c r="HAZ345" s="50"/>
      <c r="HBA345" s="50"/>
      <c r="HBB345" s="50"/>
      <c r="HBC345" s="50"/>
      <c r="HBD345" s="50"/>
      <c r="HBE345" s="50"/>
      <c r="HBF345" s="50"/>
      <c r="HBG345" s="50"/>
      <c r="HBH345" s="50"/>
      <c r="HBI345" s="50"/>
      <c r="HBJ345" s="50"/>
      <c r="HBK345" s="50"/>
      <c r="HBL345" s="50"/>
      <c r="HBM345" s="50"/>
      <c r="HBN345" s="50"/>
      <c r="HBO345" s="50"/>
      <c r="HBP345" s="50"/>
      <c r="HBQ345" s="50"/>
      <c r="HBR345" s="50"/>
      <c r="HBS345" s="50"/>
      <c r="HBT345" s="50"/>
      <c r="HBU345" s="50"/>
      <c r="HBV345" s="50"/>
      <c r="HBW345" s="50"/>
      <c r="HBX345" s="50"/>
      <c r="HBY345" s="50"/>
      <c r="HBZ345" s="50"/>
      <c r="HCA345" s="50"/>
      <c r="HCB345" s="50"/>
      <c r="HCC345" s="50"/>
      <c r="HCD345" s="50"/>
      <c r="HCE345" s="50"/>
      <c r="HCF345" s="50"/>
      <c r="HCG345" s="50"/>
      <c r="HCH345" s="50"/>
      <c r="HCI345" s="50"/>
      <c r="HCJ345" s="50"/>
      <c r="HCK345" s="50"/>
      <c r="HCL345" s="50"/>
      <c r="HCM345" s="50"/>
      <c r="HCN345" s="50"/>
      <c r="HCO345" s="50"/>
      <c r="HCP345" s="50"/>
      <c r="HCQ345" s="50"/>
      <c r="HCR345" s="50"/>
      <c r="HCS345" s="50"/>
      <c r="HCT345" s="50"/>
      <c r="HCU345" s="50"/>
      <c r="HCV345" s="50"/>
      <c r="HCW345" s="50"/>
      <c r="HCX345" s="50"/>
      <c r="HCY345" s="50"/>
      <c r="HCZ345" s="50"/>
      <c r="HDA345" s="50"/>
      <c r="HDB345" s="50"/>
      <c r="HDC345" s="50"/>
      <c r="HDD345" s="50"/>
      <c r="HDE345" s="50"/>
      <c r="HDF345" s="50"/>
      <c r="HDG345" s="50"/>
      <c r="HDH345" s="50"/>
      <c r="HDI345" s="50"/>
      <c r="HDJ345" s="50"/>
      <c r="HDK345" s="50"/>
      <c r="HDL345" s="50"/>
      <c r="HDM345" s="50"/>
      <c r="HDN345" s="50"/>
      <c r="HDO345" s="50"/>
      <c r="HDP345" s="50"/>
      <c r="HDQ345" s="50"/>
      <c r="HDR345" s="50"/>
      <c r="HDS345" s="50"/>
      <c r="HDT345" s="50"/>
      <c r="HDU345" s="50"/>
      <c r="HDV345" s="50"/>
      <c r="HDW345" s="50"/>
      <c r="HDX345" s="50"/>
      <c r="HDY345" s="50"/>
      <c r="HDZ345" s="50"/>
      <c r="HEA345" s="50"/>
      <c r="HEB345" s="50"/>
      <c r="HEC345" s="50"/>
      <c r="HED345" s="50"/>
      <c r="HEE345" s="50"/>
      <c r="HEF345" s="50"/>
      <c r="HEG345" s="50"/>
      <c r="HEH345" s="50"/>
      <c r="HEI345" s="50"/>
      <c r="HEJ345" s="50"/>
      <c r="HEK345" s="50"/>
      <c r="HEL345" s="50"/>
      <c r="HEM345" s="50"/>
      <c r="HEN345" s="50"/>
      <c r="HEO345" s="50"/>
      <c r="HEP345" s="50"/>
      <c r="HEQ345" s="50"/>
      <c r="HER345" s="50"/>
      <c r="HES345" s="50"/>
      <c r="HET345" s="50"/>
      <c r="HEU345" s="50"/>
      <c r="HEV345" s="50"/>
      <c r="HEW345" s="50"/>
      <c r="HEX345" s="50"/>
      <c r="HEY345" s="50"/>
      <c r="HEZ345" s="50"/>
      <c r="HFA345" s="50"/>
      <c r="HFB345" s="50"/>
      <c r="HFC345" s="50"/>
      <c r="HFD345" s="50"/>
      <c r="HFE345" s="50"/>
      <c r="HFF345" s="50"/>
      <c r="HFG345" s="50"/>
      <c r="HFH345" s="50"/>
      <c r="HFI345" s="50"/>
      <c r="HFJ345" s="50"/>
      <c r="HFK345" s="50"/>
      <c r="HFL345" s="50"/>
      <c r="HFM345" s="50"/>
      <c r="HFN345" s="50"/>
      <c r="HFO345" s="50"/>
      <c r="HFP345" s="50"/>
      <c r="HFQ345" s="50"/>
      <c r="HFR345" s="50"/>
      <c r="HFS345" s="50"/>
      <c r="HFT345" s="50"/>
      <c r="HFU345" s="50"/>
      <c r="HFV345" s="50"/>
      <c r="HFW345" s="50"/>
      <c r="HFX345" s="50"/>
      <c r="HFY345" s="50"/>
      <c r="HFZ345" s="50"/>
      <c r="HGA345" s="50"/>
      <c r="HGB345" s="50"/>
      <c r="HGC345" s="50"/>
      <c r="HGD345" s="50"/>
      <c r="HGE345" s="50"/>
      <c r="HGF345" s="50"/>
      <c r="HGG345" s="50"/>
      <c r="HGH345" s="50"/>
      <c r="HGI345" s="50"/>
      <c r="HGJ345" s="50"/>
      <c r="HGK345" s="50"/>
      <c r="HGL345" s="50"/>
      <c r="HGM345" s="50"/>
      <c r="HGN345" s="50"/>
      <c r="HGO345" s="50"/>
      <c r="HGP345" s="50"/>
      <c r="HGQ345" s="50"/>
      <c r="HGR345" s="50"/>
      <c r="HGS345" s="50"/>
      <c r="HGT345" s="50"/>
      <c r="HGU345" s="50"/>
      <c r="HGV345" s="50"/>
      <c r="HGW345" s="50"/>
      <c r="HGX345" s="50"/>
      <c r="HGY345" s="50"/>
      <c r="HGZ345" s="50"/>
      <c r="HHA345" s="50"/>
      <c r="HHB345" s="50"/>
      <c r="HHC345" s="50"/>
      <c r="HHD345" s="50"/>
      <c r="HHE345" s="50"/>
      <c r="HHF345" s="50"/>
      <c r="HHG345" s="50"/>
      <c r="HHH345" s="50"/>
      <c r="HHI345" s="50"/>
      <c r="HHJ345" s="50"/>
      <c r="HHK345" s="50"/>
      <c r="HHL345" s="50"/>
      <c r="HHM345" s="50"/>
      <c r="HHN345" s="50"/>
      <c r="HHO345" s="50"/>
      <c r="HHP345" s="50"/>
      <c r="HHQ345" s="50"/>
      <c r="HHR345" s="50"/>
      <c r="HHS345" s="50"/>
      <c r="HHT345" s="50"/>
      <c r="HHU345" s="50"/>
      <c r="HHV345" s="50"/>
      <c r="HHW345" s="50"/>
      <c r="HHX345" s="50"/>
      <c r="HHY345" s="50"/>
      <c r="HHZ345" s="50"/>
      <c r="HIA345" s="50"/>
      <c r="HIB345" s="50"/>
      <c r="HIC345" s="50"/>
      <c r="HID345" s="50"/>
      <c r="HIE345" s="50"/>
      <c r="HIF345" s="50"/>
      <c r="HIG345" s="50"/>
      <c r="HIH345" s="50"/>
      <c r="HII345" s="50"/>
      <c r="HIJ345" s="50"/>
      <c r="HIK345" s="50"/>
      <c r="HIL345" s="50"/>
      <c r="HIM345" s="50"/>
      <c r="HIN345" s="50"/>
      <c r="HIO345" s="50"/>
      <c r="HIP345" s="50"/>
      <c r="HIQ345" s="50"/>
      <c r="HIR345" s="50"/>
      <c r="HIS345" s="50"/>
      <c r="HIT345" s="50"/>
      <c r="HIU345" s="50"/>
      <c r="HIV345" s="50"/>
      <c r="HIW345" s="50"/>
      <c r="HIX345" s="50"/>
      <c r="HIY345" s="50"/>
      <c r="HIZ345" s="50"/>
      <c r="HJA345" s="50"/>
      <c r="HJB345" s="50"/>
      <c r="HJC345" s="50"/>
      <c r="HJD345" s="50"/>
      <c r="HJE345" s="50"/>
      <c r="HJF345" s="50"/>
      <c r="HJG345" s="50"/>
      <c r="HJH345" s="50"/>
      <c r="HJI345" s="50"/>
      <c r="HJJ345" s="50"/>
      <c r="HJK345" s="50"/>
      <c r="HJL345" s="50"/>
      <c r="HJM345" s="50"/>
      <c r="HJN345" s="50"/>
      <c r="HJO345" s="50"/>
      <c r="HJP345" s="50"/>
      <c r="HJQ345" s="50"/>
      <c r="HJR345" s="50"/>
      <c r="HJS345" s="50"/>
      <c r="HJT345" s="50"/>
      <c r="HJU345" s="50"/>
      <c r="HJV345" s="50"/>
      <c r="HJW345" s="50"/>
      <c r="HJX345" s="50"/>
      <c r="HJY345" s="50"/>
      <c r="HJZ345" s="50"/>
      <c r="HKA345" s="50"/>
      <c r="HKB345" s="50"/>
      <c r="HKC345" s="50"/>
      <c r="HKD345" s="50"/>
      <c r="HKE345" s="50"/>
      <c r="HKF345" s="50"/>
      <c r="HKG345" s="50"/>
      <c r="HKH345" s="50"/>
      <c r="HKI345" s="50"/>
      <c r="HKJ345" s="50"/>
      <c r="HKK345" s="50"/>
      <c r="HKL345" s="50"/>
      <c r="HKM345" s="50"/>
      <c r="HKN345" s="50"/>
      <c r="HKO345" s="50"/>
      <c r="HKP345" s="50"/>
      <c r="HKQ345" s="50"/>
      <c r="HKR345" s="50"/>
      <c r="HKS345" s="50"/>
      <c r="HKT345" s="50"/>
      <c r="HKU345" s="50"/>
      <c r="HKV345" s="50"/>
      <c r="HKW345" s="50"/>
      <c r="HKX345" s="50"/>
      <c r="HKY345" s="50"/>
      <c r="HKZ345" s="50"/>
      <c r="HLA345" s="50"/>
      <c r="HLB345" s="50"/>
      <c r="HLC345" s="50"/>
      <c r="HLD345" s="50"/>
      <c r="HLE345" s="50"/>
      <c r="HLF345" s="50"/>
      <c r="HLG345" s="50"/>
      <c r="HLH345" s="50"/>
      <c r="HLI345" s="50"/>
      <c r="HLJ345" s="50"/>
      <c r="HLK345" s="50"/>
      <c r="HLL345" s="50"/>
      <c r="HLM345" s="50"/>
      <c r="HLN345" s="50"/>
      <c r="HLO345" s="50"/>
      <c r="HLP345" s="50"/>
      <c r="HLQ345" s="50"/>
      <c r="HLR345" s="50"/>
      <c r="HLS345" s="50"/>
      <c r="HLT345" s="50"/>
      <c r="HLU345" s="50"/>
      <c r="HLV345" s="50"/>
      <c r="HLW345" s="50"/>
      <c r="HLX345" s="50"/>
      <c r="HLY345" s="50"/>
      <c r="HLZ345" s="50"/>
      <c r="HMA345" s="50"/>
      <c r="HMB345" s="50"/>
      <c r="HMC345" s="50"/>
      <c r="HMD345" s="50"/>
      <c r="HME345" s="50"/>
      <c r="HMF345" s="50"/>
      <c r="HMG345" s="50"/>
      <c r="HMH345" s="50"/>
      <c r="HMI345" s="50"/>
      <c r="HMJ345" s="50"/>
      <c r="HMK345" s="50"/>
      <c r="HML345" s="50"/>
      <c r="HMM345" s="50"/>
      <c r="HMN345" s="50"/>
      <c r="HMO345" s="50"/>
      <c r="HMP345" s="50"/>
      <c r="HMQ345" s="50"/>
      <c r="HMR345" s="50"/>
      <c r="HMS345" s="50"/>
      <c r="HMT345" s="50"/>
      <c r="HMU345" s="50"/>
      <c r="HMV345" s="50"/>
      <c r="HMW345" s="50"/>
      <c r="HMX345" s="50"/>
      <c r="HMY345" s="50"/>
      <c r="HMZ345" s="50"/>
      <c r="HNA345" s="50"/>
      <c r="HNB345" s="50"/>
      <c r="HNC345" s="50"/>
      <c r="HND345" s="50"/>
      <c r="HNE345" s="50"/>
      <c r="HNF345" s="50"/>
      <c r="HNG345" s="50"/>
      <c r="HNH345" s="50"/>
      <c r="HNI345" s="50"/>
      <c r="HNJ345" s="50"/>
      <c r="HNK345" s="50"/>
      <c r="HNL345" s="50"/>
      <c r="HNM345" s="50"/>
      <c r="HNN345" s="50"/>
      <c r="HNO345" s="50"/>
      <c r="HNP345" s="50"/>
      <c r="HNQ345" s="50"/>
      <c r="HNR345" s="50"/>
      <c r="HNS345" s="50"/>
      <c r="HNT345" s="50"/>
      <c r="HNU345" s="50"/>
      <c r="HNV345" s="50"/>
      <c r="HNW345" s="50"/>
      <c r="HNX345" s="50"/>
      <c r="HNY345" s="50"/>
      <c r="HNZ345" s="50"/>
      <c r="HOA345" s="50"/>
      <c r="HOB345" s="50"/>
      <c r="HOC345" s="50"/>
      <c r="HOD345" s="50"/>
      <c r="HOE345" s="50"/>
      <c r="HOF345" s="50"/>
      <c r="HOG345" s="50"/>
      <c r="HOH345" s="50"/>
      <c r="HOI345" s="50"/>
      <c r="HOJ345" s="50"/>
      <c r="HOK345" s="50"/>
      <c r="HOL345" s="50"/>
      <c r="HOM345" s="50"/>
      <c r="HON345" s="50"/>
      <c r="HOO345" s="50"/>
      <c r="HOP345" s="50"/>
      <c r="HOQ345" s="50"/>
      <c r="HOR345" s="50"/>
      <c r="HOS345" s="50"/>
      <c r="HOT345" s="50"/>
      <c r="HOU345" s="50"/>
      <c r="HOV345" s="50"/>
      <c r="HOW345" s="50"/>
      <c r="HOX345" s="50"/>
      <c r="HOY345" s="50"/>
      <c r="HOZ345" s="50"/>
      <c r="HPA345" s="50"/>
      <c r="HPB345" s="50"/>
      <c r="HPC345" s="50"/>
      <c r="HPD345" s="50"/>
      <c r="HPE345" s="50"/>
      <c r="HPF345" s="50"/>
      <c r="HPG345" s="50"/>
      <c r="HPH345" s="50"/>
      <c r="HPI345" s="50"/>
      <c r="HPJ345" s="50"/>
      <c r="HPK345" s="50"/>
      <c r="HPL345" s="50"/>
      <c r="HPM345" s="50"/>
      <c r="HPN345" s="50"/>
      <c r="HPO345" s="50"/>
      <c r="HPP345" s="50"/>
      <c r="HPQ345" s="50"/>
      <c r="HPR345" s="50"/>
      <c r="HPS345" s="50"/>
      <c r="HPT345" s="50"/>
      <c r="HPU345" s="50"/>
      <c r="HPV345" s="50"/>
      <c r="HPW345" s="50"/>
      <c r="HPX345" s="50"/>
      <c r="HPY345" s="50"/>
      <c r="HPZ345" s="50"/>
      <c r="HQA345" s="50"/>
      <c r="HQB345" s="50"/>
      <c r="HQC345" s="50"/>
      <c r="HQD345" s="50"/>
      <c r="HQE345" s="50"/>
      <c r="HQF345" s="50"/>
      <c r="HQG345" s="50"/>
      <c r="HQH345" s="50"/>
      <c r="HQI345" s="50"/>
      <c r="HQJ345" s="50"/>
      <c r="HQK345" s="50"/>
      <c r="HQL345" s="50"/>
      <c r="HQM345" s="50"/>
      <c r="HQN345" s="50"/>
      <c r="HQO345" s="50"/>
      <c r="HQP345" s="50"/>
      <c r="HQQ345" s="50"/>
      <c r="HQR345" s="50"/>
      <c r="HQS345" s="50"/>
      <c r="HQT345" s="50"/>
      <c r="HQU345" s="50"/>
      <c r="HQV345" s="50"/>
      <c r="HQW345" s="50"/>
      <c r="HQX345" s="50"/>
      <c r="HQY345" s="50"/>
      <c r="HQZ345" s="50"/>
      <c r="HRA345" s="50"/>
      <c r="HRB345" s="50"/>
      <c r="HRC345" s="50"/>
      <c r="HRD345" s="50"/>
      <c r="HRE345" s="50"/>
      <c r="HRF345" s="50"/>
      <c r="HRG345" s="50"/>
      <c r="HRH345" s="50"/>
      <c r="HRI345" s="50"/>
      <c r="HRJ345" s="50"/>
      <c r="HRK345" s="50"/>
      <c r="HRL345" s="50"/>
      <c r="HRM345" s="50"/>
      <c r="HRN345" s="50"/>
      <c r="HRO345" s="50"/>
      <c r="HRP345" s="50"/>
      <c r="HRQ345" s="50"/>
      <c r="HRR345" s="50"/>
      <c r="HRS345" s="50"/>
      <c r="HRT345" s="50"/>
      <c r="HRU345" s="50"/>
      <c r="HRV345" s="50"/>
      <c r="HRW345" s="50"/>
      <c r="HRX345" s="50"/>
      <c r="HRY345" s="50"/>
      <c r="HRZ345" s="50"/>
      <c r="HSA345" s="50"/>
      <c r="HSB345" s="50"/>
      <c r="HSC345" s="50"/>
      <c r="HSD345" s="50"/>
      <c r="HSE345" s="50"/>
      <c r="HSF345" s="50"/>
      <c r="HSG345" s="50"/>
      <c r="HSH345" s="50"/>
      <c r="HSI345" s="50"/>
      <c r="HSJ345" s="50"/>
      <c r="HSK345" s="50"/>
      <c r="HSL345" s="50"/>
      <c r="HSM345" s="50"/>
      <c r="HSN345" s="50"/>
      <c r="HSO345" s="50"/>
      <c r="HSP345" s="50"/>
      <c r="HSQ345" s="50"/>
      <c r="HSR345" s="50"/>
      <c r="HSS345" s="50"/>
      <c r="HST345" s="50"/>
      <c r="HSU345" s="50"/>
      <c r="HSV345" s="50"/>
      <c r="HSW345" s="50"/>
      <c r="HSX345" s="50"/>
      <c r="HSY345" s="50"/>
      <c r="HSZ345" s="50"/>
      <c r="HTA345" s="50"/>
      <c r="HTB345" s="50"/>
      <c r="HTC345" s="50"/>
      <c r="HTD345" s="50"/>
      <c r="HTE345" s="50"/>
      <c r="HTF345" s="50"/>
      <c r="HTG345" s="50"/>
      <c r="HTH345" s="50"/>
      <c r="HTI345" s="50"/>
      <c r="HTJ345" s="50"/>
      <c r="HTK345" s="50"/>
      <c r="HTL345" s="50"/>
      <c r="HTM345" s="50"/>
      <c r="HTN345" s="50"/>
      <c r="HTO345" s="50"/>
      <c r="HTP345" s="50"/>
      <c r="HTQ345" s="50"/>
      <c r="HTR345" s="50"/>
      <c r="HTS345" s="50"/>
      <c r="HTT345" s="50"/>
      <c r="HTU345" s="50"/>
      <c r="HTV345" s="50"/>
      <c r="HTW345" s="50"/>
      <c r="HTX345" s="50"/>
      <c r="HTY345" s="50"/>
      <c r="HTZ345" s="50"/>
      <c r="HUA345" s="50"/>
      <c r="HUB345" s="50"/>
      <c r="HUC345" s="50"/>
      <c r="HUD345" s="50"/>
      <c r="HUE345" s="50"/>
      <c r="HUF345" s="50"/>
      <c r="HUG345" s="50"/>
      <c r="HUH345" s="50"/>
      <c r="HUI345" s="50"/>
      <c r="HUJ345" s="50"/>
      <c r="HUK345" s="50"/>
      <c r="HUL345" s="50"/>
      <c r="HUM345" s="50"/>
      <c r="HUN345" s="50"/>
      <c r="HUO345" s="50"/>
      <c r="HUP345" s="50"/>
      <c r="HUQ345" s="50"/>
      <c r="HUR345" s="50"/>
      <c r="HUS345" s="50"/>
      <c r="HUT345" s="50"/>
      <c r="HUU345" s="50"/>
      <c r="HUV345" s="50"/>
      <c r="HUW345" s="50"/>
      <c r="HUX345" s="50"/>
      <c r="HUY345" s="50"/>
      <c r="HUZ345" s="50"/>
      <c r="HVA345" s="50"/>
      <c r="HVB345" s="50"/>
      <c r="HVC345" s="50"/>
      <c r="HVD345" s="50"/>
      <c r="HVE345" s="50"/>
      <c r="HVF345" s="50"/>
      <c r="HVG345" s="50"/>
      <c r="HVH345" s="50"/>
      <c r="HVI345" s="50"/>
      <c r="HVJ345" s="50"/>
      <c r="HVK345" s="50"/>
      <c r="HVL345" s="50"/>
      <c r="HVM345" s="50"/>
      <c r="HVN345" s="50"/>
      <c r="HVO345" s="50"/>
      <c r="HVP345" s="50"/>
      <c r="HVQ345" s="50"/>
      <c r="HVR345" s="50"/>
      <c r="HVS345" s="50"/>
      <c r="HVT345" s="50"/>
      <c r="HVU345" s="50"/>
      <c r="HVV345" s="50"/>
      <c r="HVW345" s="50"/>
      <c r="HVX345" s="50"/>
      <c r="HVY345" s="50"/>
      <c r="HVZ345" s="50"/>
      <c r="HWA345" s="50"/>
      <c r="HWB345" s="50"/>
      <c r="HWC345" s="50"/>
      <c r="HWD345" s="50"/>
      <c r="HWE345" s="50"/>
      <c r="HWF345" s="50"/>
      <c r="HWG345" s="50"/>
      <c r="HWH345" s="50"/>
      <c r="HWI345" s="50"/>
      <c r="HWJ345" s="50"/>
      <c r="HWK345" s="50"/>
      <c r="HWL345" s="50"/>
      <c r="HWM345" s="50"/>
      <c r="HWN345" s="50"/>
      <c r="HWO345" s="50"/>
      <c r="HWP345" s="50"/>
      <c r="HWQ345" s="50"/>
      <c r="HWR345" s="50"/>
      <c r="HWS345" s="50"/>
      <c r="HWT345" s="50"/>
      <c r="HWU345" s="50"/>
      <c r="HWV345" s="50"/>
      <c r="HWW345" s="50"/>
      <c r="HWX345" s="50"/>
      <c r="HWY345" s="50"/>
      <c r="HWZ345" s="50"/>
      <c r="HXA345" s="50"/>
      <c r="HXB345" s="50"/>
      <c r="HXC345" s="50"/>
      <c r="HXD345" s="50"/>
      <c r="HXE345" s="50"/>
      <c r="HXF345" s="50"/>
      <c r="HXG345" s="50"/>
      <c r="HXH345" s="50"/>
      <c r="HXI345" s="50"/>
      <c r="HXJ345" s="50"/>
      <c r="HXK345" s="50"/>
      <c r="HXL345" s="50"/>
      <c r="HXM345" s="50"/>
      <c r="HXN345" s="50"/>
      <c r="HXO345" s="50"/>
      <c r="HXP345" s="50"/>
      <c r="HXQ345" s="50"/>
      <c r="HXR345" s="50"/>
      <c r="HXS345" s="50"/>
      <c r="HXT345" s="50"/>
      <c r="HXU345" s="50"/>
      <c r="HXV345" s="50"/>
      <c r="HXW345" s="50"/>
      <c r="HXX345" s="50"/>
      <c r="HXY345" s="50"/>
      <c r="HXZ345" s="50"/>
      <c r="HYA345" s="50"/>
      <c r="HYB345" s="50"/>
      <c r="HYC345" s="50"/>
      <c r="HYD345" s="50"/>
      <c r="HYE345" s="50"/>
      <c r="HYF345" s="50"/>
      <c r="HYG345" s="50"/>
      <c r="HYH345" s="50"/>
      <c r="HYI345" s="50"/>
      <c r="HYJ345" s="50"/>
      <c r="HYK345" s="50"/>
      <c r="HYL345" s="50"/>
      <c r="HYM345" s="50"/>
      <c r="HYN345" s="50"/>
      <c r="HYO345" s="50"/>
      <c r="HYP345" s="50"/>
      <c r="HYQ345" s="50"/>
      <c r="HYR345" s="50"/>
      <c r="HYS345" s="50"/>
      <c r="HYT345" s="50"/>
      <c r="HYU345" s="50"/>
      <c r="HYV345" s="50"/>
      <c r="HYW345" s="50"/>
      <c r="HYX345" s="50"/>
      <c r="HYY345" s="50"/>
      <c r="HYZ345" s="50"/>
      <c r="HZA345" s="50"/>
      <c r="HZB345" s="50"/>
      <c r="HZC345" s="50"/>
      <c r="HZD345" s="50"/>
      <c r="HZE345" s="50"/>
      <c r="HZF345" s="50"/>
      <c r="HZG345" s="50"/>
      <c r="HZH345" s="50"/>
      <c r="HZI345" s="50"/>
      <c r="HZJ345" s="50"/>
      <c r="HZK345" s="50"/>
      <c r="HZL345" s="50"/>
      <c r="HZM345" s="50"/>
      <c r="HZN345" s="50"/>
      <c r="HZO345" s="50"/>
      <c r="HZP345" s="50"/>
      <c r="HZQ345" s="50"/>
      <c r="HZR345" s="50"/>
      <c r="HZS345" s="50"/>
      <c r="HZT345" s="50"/>
      <c r="HZU345" s="50"/>
      <c r="HZV345" s="50"/>
      <c r="HZW345" s="50"/>
      <c r="HZX345" s="50"/>
      <c r="HZY345" s="50"/>
      <c r="HZZ345" s="50"/>
      <c r="IAA345" s="50"/>
      <c r="IAB345" s="50"/>
      <c r="IAC345" s="50"/>
      <c r="IAD345" s="50"/>
      <c r="IAE345" s="50"/>
      <c r="IAF345" s="50"/>
      <c r="IAG345" s="50"/>
      <c r="IAH345" s="50"/>
      <c r="IAI345" s="50"/>
      <c r="IAJ345" s="50"/>
      <c r="IAK345" s="50"/>
      <c r="IAL345" s="50"/>
      <c r="IAM345" s="50"/>
      <c r="IAN345" s="50"/>
      <c r="IAO345" s="50"/>
      <c r="IAP345" s="50"/>
      <c r="IAQ345" s="50"/>
      <c r="IAR345" s="50"/>
      <c r="IAS345" s="50"/>
      <c r="IAT345" s="50"/>
      <c r="IAU345" s="50"/>
      <c r="IAV345" s="50"/>
      <c r="IAW345" s="50"/>
      <c r="IAX345" s="50"/>
      <c r="IAY345" s="50"/>
      <c r="IAZ345" s="50"/>
      <c r="IBA345" s="50"/>
      <c r="IBB345" s="50"/>
      <c r="IBC345" s="50"/>
      <c r="IBD345" s="50"/>
      <c r="IBE345" s="50"/>
      <c r="IBF345" s="50"/>
      <c r="IBG345" s="50"/>
      <c r="IBH345" s="50"/>
      <c r="IBI345" s="50"/>
      <c r="IBJ345" s="50"/>
      <c r="IBK345" s="50"/>
      <c r="IBL345" s="50"/>
      <c r="IBM345" s="50"/>
      <c r="IBN345" s="50"/>
      <c r="IBO345" s="50"/>
      <c r="IBP345" s="50"/>
      <c r="IBQ345" s="50"/>
      <c r="IBR345" s="50"/>
      <c r="IBS345" s="50"/>
      <c r="IBT345" s="50"/>
      <c r="IBU345" s="50"/>
      <c r="IBV345" s="50"/>
      <c r="IBW345" s="50"/>
      <c r="IBX345" s="50"/>
      <c r="IBY345" s="50"/>
      <c r="IBZ345" s="50"/>
      <c r="ICA345" s="50"/>
      <c r="ICB345" s="50"/>
      <c r="ICC345" s="50"/>
      <c r="ICD345" s="50"/>
      <c r="ICE345" s="50"/>
      <c r="ICF345" s="50"/>
      <c r="ICG345" s="50"/>
      <c r="ICH345" s="50"/>
      <c r="ICI345" s="50"/>
      <c r="ICJ345" s="50"/>
      <c r="ICK345" s="50"/>
      <c r="ICL345" s="50"/>
      <c r="ICM345" s="50"/>
      <c r="ICN345" s="50"/>
      <c r="ICO345" s="50"/>
      <c r="ICP345" s="50"/>
      <c r="ICQ345" s="50"/>
      <c r="ICR345" s="50"/>
      <c r="ICS345" s="50"/>
      <c r="ICT345" s="50"/>
      <c r="ICU345" s="50"/>
      <c r="ICV345" s="50"/>
      <c r="ICW345" s="50"/>
      <c r="ICX345" s="50"/>
      <c r="ICY345" s="50"/>
      <c r="ICZ345" s="50"/>
      <c r="IDA345" s="50"/>
      <c r="IDB345" s="50"/>
      <c r="IDC345" s="50"/>
      <c r="IDD345" s="50"/>
      <c r="IDE345" s="50"/>
      <c r="IDF345" s="50"/>
      <c r="IDG345" s="50"/>
      <c r="IDH345" s="50"/>
      <c r="IDI345" s="50"/>
      <c r="IDJ345" s="50"/>
      <c r="IDK345" s="50"/>
      <c r="IDL345" s="50"/>
      <c r="IDM345" s="50"/>
      <c r="IDN345" s="50"/>
      <c r="IDO345" s="50"/>
      <c r="IDP345" s="50"/>
      <c r="IDQ345" s="50"/>
      <c r="IDR345" s="50"/>
      <c r="IDS345" s="50"/>
      <c r="IDT345" s="50"/>
      <c r="IDU345" s="50"/>
      <c r="IDV345" s="50"/>
      <c r="IDW345" s="50"/>
      <c r="IDX345" s="50"/>
      <c r="IDY345" s="50"/>
      <c r="IDZ345" s="50"/>
      <c r="IEA345" s="50"/>
      <c r="IEB345" s="50"/>
      <c r="IEC345" s="50"/>
      <c r="IED345" s="50"/>
      <c r="IEE345" s="50"/>
      <c r="IEF345" s="50"/>
      <c r="IEG345" s="50"/>
      <c r="IEH345" s="50"/>
      <c r="IEI345" s="50"/>
      <c r="IEJ345" s="50"/>
      <c r="IEK345" s="50"/>
      <c r="IEL345" s="50"/>
      <c r="IEM345" s="50"/>
      <c r="IEN345" s="50"/>
      <c r="IEO345" s="50"/>
      <c r="IEP345" s="50"/>
      <c r="IEQ345" s="50"/>
      <c r="IER345" s="50"/>
      <c r="IES345" s="50"/>
      <c r="IET345" s="50"/>
      <c r="IEU345" s="50"/>
      <c r="IEV345" s="50"/>
      <c r="IEW345" s="50"/>
      <c r="IEX345" s="50"/>
      <c r="IEY345" s="50"/>
      <c r="IEZ345" s="50"/>
      <c r="IFA345" s="50"/>
      <c r="IFB345" s="50"/>
      <c r="IFC345" s="50"/>
      <c r="IFD345" s="50"/>
      <c r="IFE345" s="50"/>
      <c r="IFF345" s="50"/>
      <c r="IFG345" s="50"/>
      <c r="IFH345" s="50"/>
      <c r="IFI345" s="50"/>
      <c r="IFJ345" s="50"/>
      <c r="IFK345" s="50"/>
      <c r="IFL345" s="50"/>
      <c r="IFM345" s="50"/>
      <c r="IFN345" s="50"/>
      <c r="IFO345" s="50"/>
      <c r="IFP345" s="50"/>
      <c r="IFQ345" s="50"/>
      <c r="IFR345" s="50"/>
      <c r="IFS345" s="50"/>
      <c r="IFT345" s="50"/>
      <c r="IFU345" s="50"/>
      <c r="IFV345" s="50"/>
      <c r="IFW345" s="50"/>
      <c r="IFX345" s="50"/>
      <c r="IFY345" s="50"/>
      <c r="IFZ345" s="50"/>
      <c r="IGA345" s="50"/>
      <c r="IGB345" s="50"/>
      <c r="IGC345" s="50"/>
      <c r="IGD345" s="50"/>
      <c r="IGE345" s="50"/>
      <c r="IGF345" s="50"/>
      <c r="IGG345" s="50"/>
      <c r="IGH345" s="50"/>
      <c r="IGI345" s="50"/>
      <c r="IGJ345" s="50"/>
      <c r="IGK345" s="50"/>
      <c r="IGL345" s="50"/>
      <c r="IGM345" s="50"/>
      <c r="IGN345" s="50"/>
      <c r="IGO345" s="50"/>
      <c r="IGP345" s="50"/>
      <c r="IGQ345" s="50"/>
      <c r="IGR345" s="50"/>
      <c r="IGS345" s="50"/>
      <c r="IGT345" s="50"/>
      <c r="IGU345" s="50"/>
      <c r="IGV345" s="50"/>
      <c r="IGW345" s="50"/>
      <c r="IGX345" s="50"/>
      <c r="IGY345" s="50"/>
      <c r="IGZ345" s="50"/>
      <c r="IHA345" s="50"/>
      <c r="IHB345" s="50"/>
      <c r="IHC345" s="50"/>
      <c r="IHD345" s="50"/>
      <c r="IHE345" s="50"/>
      <c r="IHF345" s="50"/>
      <c r="IHG345" s="50"/>
      <c r="IHH345" s="50"/>
      <c r="IHI345" s="50"/>
      <c r="IHJ345" s="50"/>
      <c r="IHK345" s="50"/>
      <c r="IHL345" s="50"/>
      <c r="IHM345" s="50"/>
      <c r="IHN345" s="50"/>
      <c r="IHO345" s="50"/>
      <c r="IHP345" s="50"/>
      <c r="IHQ345" s="50"/>
      <c r="IHR345" s="50"/>
      <c r="IHS345" s="50"/>
      <c r="IHT345" s="50"/>
      <c r="IHU345" s="50"/>
      <c r="IHV345" s="50"/>
      <c r="IHW345" s="50"/>
      <c r="IHX345" s="50"/>
      <c r="IHY345" s="50"/>
      <c r="IHZ345" s="50"/>
      <c r="IIA345" s="50"/>
      <c r="IIB345" s="50"/>
      <c r="IIC345" s="50"/>
      <c r="IID345" s="50"/>
      <c r="IIE345" s="50"/>
      <c r="IIF345" s="50"/>
      <c r="IIG345" s="50"/>
      <c r="IIH345" s="50"/>
      <c r="III345" s="50"/>
      <c r="IIJ345" s="50"/>
      <c r="IIK345" s="50"/>
      <c r="IIL345" s="50"/>
      <c r="IIM345" s="50"/>
      <c r="IIN345" s="50"/>
      <c r="IIO345" s="50"/>
      <c r="IIP345" s="50"/>
      <c r="IIQ345" s="50"/>
      <c r="IIR345" s="50"/>
      <c r="IIS345" s="50"/>
      <c r="IIT345" s="50"/>
      <c r="IIU345" s="50"/>
      <c r="IIV345" s="50"/>
      <c r="IIW345" s="50"/>
      <c r="IIX345" s="50"/>
      <c r="IIY345" s="50"/>
      <c r="IIZ345" s="50"/>
      <c r="IJA345" s="50"/>
      <c r="IJB345" s="50"/>
      <c r="IJC345" s="50"/>
      <c r="IJD345" s="50"/>
      <c r="IJE345" s="50"/>
      <c r="IJF345" s="50"/>
      <c r="IJG345" s="50"/>
      <c r="IJH345" s="50"/>
      <c r="IJI345" s="50"/>
      <c r="IJJ345" s="50"/>
      <c r="IJK345" s="50"/>
      <c r="IJL345" s="50"/>
      <c r="IJM345" s="50"/>
      <c r="IJN345" s="50"/>
      <c r="IJO345" s="50"/>
      <c r="IJP345" s="50"/>
      <c r="IJQ345" s="50"/>
      <c r="IJR345" s="50"/>
      <c r="IJS345" s="50"/>
      <c r="IJT345" s="50"/>
      <c r="IJU345" s="50"/>
      <c r="IJV345" s="50"/>
      <c r="IJW345" s="50"/>
      <c r="IJX345" s="50"/>
      <c r="IJY345" s="50"/>
      <c r="IJZ345" s="50"/>
      <c r="IKA345" s="50"/>
      <c r="IKB345" s="50"/>
      <c r="IKC345" s="50"/>
      <c r="IKD345" s="50"/>
      <c r="IKE345" s="50"/>
      <c r="IKF345" s="50"/>
      <c r="IKG345" s="50"/>
      <c r="IKH345" s="50"/>
      <c r="IKI345" s="50"/>
      <c r="IKJ345" s="50"/>
      <c r="IKK345" s="50"/>
      <c r="IKL345" s="50"/>
      <c r="IKM345" s="50"/>
      <c r="IKN345" s="50"/>
      <c r="IKO345" s="50"/>
      <c r="IKP345" s="50"/>
      <c r="IKQ345" s="50"/>
      <c r="IKR345" s="50"/>
      <c r="IKS345" s="50"/>
      <c r="IKT345" s="50"/>
      <c r="IKU345" s="50"/>
      <c r="IKV345" s="50"/>
      <c r="IKW345" s="50"/>
      <c r="IKX345" s="50"/>
      <c r="IKY345" s="50"/>
      <c r="IKZ345" s="50"/>
      <c r="ILA345" s="50"/>
      <c r="ILB345" s="50"/>
      <c r="ILC345" s="50"/>
      <c r="ILD345" s="50"/>
      <c r="ILE345" s="50"/>
      <c r="ILF345" s="50"/>
      <c r="ILG345" s="50"/>
      <c r="ILH345" s="50"/>
      <c r="ILI345" s="50"/>
      <c r="ILJ345" s="50"/>
      <c r="ILK345" s="50"/>
      <c r="ILL345" s="50"/>
      <c r="ILM345" s="50"/>
      <c r="ILN345" s="50"/>
      <c r="ILO345" s="50"/>
      <c r="ILP345" s="50"/>
      <c r="ILQ345" s="50"/>
      <c r="ILR345" s="50"/>
      <c r="ILS345" s="50"/>
      <c r="ILT345" s="50"/>
      <c r="ILU345" s="50"/>
      <c r="ILV345" s="50"/>
      <c r="ILW345" s="50"/>
      <c r="ILX345" s="50"/>
      <c r="ILY345" s="50"/>
      <c r="ILZ345" s="50"/>
      <c r="IMA345" s="50"/>
      <c r="IMB345" s="50"/>
      <c r="IMC345" s="50"/>
      <c r="IMD345" s="50"/>
      <c r="IME345" s="50"/>
      <c r="IMF345" s="50"/>
      <c r="IMG345" s="50"/>
      <c r="IMH345" s="50"/>
      <c r="IMI345" s="50"/>
      <c r="IMJ345" s="50"/>
      <c r="IMK345" s="50"/>
      <c r="IML345" s="50"/>
      <c r="IMM345" s="50"/>
      <c r="IMN345" s="50"/>
      <c r="IMO345" s="50"/>
      <c r="IMP345" s="50"/>
      <c r="IMQ345" s="50"/>
      <c r="IMR345" s="50"/>
      <c r="IMS345" s="50"/>
      <c r="IMT345" s="50"/>
      <c r="IMU345" s="50"/>
      <c r="IMV345" s="50"/>
      <c r="IMW345" s="50"/>
      <c r="IMX345" s="50"/>
      <c r="IMY345" s="50"/>
      <c r="IMZ345" s="50"/>
      <c r="INA345" s="50"/>
      <c r="INB345" s="50"/>
      <c r="INC345" s="50"/>
      <c r="IND345" s="50"/>
      <c r="INE345" s="50"/>
      <c r="INF345" s="50"/>
      <c r="ING345" s="50"/>
      <c r="INH345" s="50"/>
      <c r="INI345" s="50"/>
      <c r="INJ345" s="50"/>
      <c r="INK345" s="50"/>
      <c r="INL345" s="50"/>
      <c r="INM345" s="50"/>
      <c r="INN345" s="50"/>
      <c r="INO345" s="50"/>
      <c r="INP345" s="50"/>
      <c r="INQ345" s="50"/>
      <c r="INR345" s="50"/>
      <c r="INS345" s="50"/>
      <c r="INT345" s="50"/>
      <c r="INU345" s="50"/>
      <c r="INV345" s="50"/>
      <c r="INW345" s="50"/>
      <c r="INX345" s="50"/>
      <c r="INY345" s="50"/>
      <c r="INZ345" s="50"/>
      <c r="IOA345" s="50"/>
      <c r="IOB345" s="50"/>
      <c r="IOC345" s="50"/>
      <c r="IOD345" s="50"/>
      <c r="IOE345" s="50"/>
      <c r="IOF345" s="50"/>
      <c r="IOG345" s="50"/>
      <c r="IOH345" s="50"/>
      <c r="IOI345" s="50"/>
      <c r="IOJ345" s="50"/>
      <c r="IOK345" s="50"/>
      <c r="IOL345" s="50"/>
      <c r="IOM345" s="50"/>
      <c r="ION345" s="50"/>
      <c r="IOO345" s="50"/>
      <c r="IOP345" s="50"/>
      <c r="IOQ345" s="50"/>
      <c r="IOR345" s="50"/>
      <c r="IOS345" s="50"/>
      <c r="IOT345" s="50"/>
      <c r="IOU345" s="50"/>
      <c r="IOV345" s="50"/>
      <c r="IOW345" s="50"/>
      <c r="IOX345" s="50"/>
      <c r="IOY345" s="50"/>
      <c r="IOZ345" s="50"/>
      <c r="IPA345" s="50"/>
      <c r="IPB345" s="50"/>
      <c r="IPC345" s="50"/>
      <c r="IPD345" s="50"/>
      <c r="IPE345" s="50"/>
      <c r="IPF345" s="50"/>
      <c r="IPG345" s="50"/>
      <c r="IPH345" s="50"/>
      <c r="IPI345" s="50"/>
      <c r="IPJ345" s="50"/>
      <c r="IPK345" s="50"/>
      <c r="IPL345" s="50"/>
      <c r="IPM345" s="50"/>
      <c r="IPN345" s="50"/>
      <c r="IPO345" s="50"/>
      <c r="IPP345" s="50"/>
      <c r="IPQ345" s="50"/>
      <c r="IPR345" s="50"/>
      <c r="IPS345" s="50"/>
      <c r="IPT345" s="50"/>
      <c r="IPU345" s="50"/>
      <c r="IPV345" s="50"/>
      <c r="IPW345" s="50"/>
      <c r="IPX345" s="50"/>
      <c r="IPY345" s="50"/>
      <c r="IPZ345" s="50"/>
      <c r="IQA345" s="50"/>
      <c r="IQB345" s="50"/>
      <c r="IQC345" s="50"/>
      <c r="IQD345" s="50"/>
      <c r="IQE345" s="50"/>
      <c r="IQF345" s="50"/>
      <c r="IQG345" s="50"/>
      <c r="IQH345" s="50"/>
      <c r="IQI345" s="50"/>
      <c r="IQJ345" s="50"/>
      <c r="IQK345" s="50"/>
      <c r="IQL345" s="50"/>
      <c r="IQM345" s="50"/>
      <c r="IQN345" s="50"/>
      <c r="IQO345" s="50"/>
      <c r="IQP345" s="50"/>
      <c r="IQQ345" s="50"/>
      <c r="IQR345" s="50"/>
      <c r="IQS345" s="50"/>
      <c r="IQT345" s="50"/>
      <c r="IQU345" s="50"/>
      <c r="IQV345" s="50"/>
      <c r="IQW345" s="50"/>
      <c r="IQX345" s="50"/>
      <c r="IQY345" s="50"/>
      <c r="IQZ345" s="50"/>
      <c r="IRA345" s="50"/>
      <c r="IRB345" s="50"/>
      <c r="IRC345" s="50"/>
      <c r="IRD345" s="50"/>
      <c r="IRE345" s="50"/>
      <c r="IRF345" s="50"/>
      <c r="IRG345" s="50"/>
      <c r="IRH345" s="50"/>
      <c r="IRI345" s="50"/>
      <c r="IRJ345" s="50"/>
      <c r="IRK345" s="50"/>
      <c r="IRL345" s="50"/>
      <c r="IRM345" s="50"/>
      <c r="IRN345" s="50"/>
      <c r="IRO345" s="50"/>
      <c r="IRP345" s="50"/>
      <c r="IRQ345" s="50"/>
      <c r="IRR345" s="50"/>
      <c r="IRS345" s="50"/>
      <c r="IRT345" s="50"/>
      <c r="IRU345" s="50"/>
      <c r="IRV345" s="50"/>
      <c r="IRW345" s="50"/>
      <c r="IRX345" s="50"/>
      <c r="IRY345" s="50"/>
      <c r="IRZ345" s="50"/>
      <c r="ISA345" s="50"/>
      <c r="ISB345" s="50"/>
      <c r="ISC345" s="50"/>
      <c r="ISD345" s="50"/>
      <c r="ISE345" s="50"/>
      <c r="ISF345" s="50"/>
      <c r="ISG345" s="50"/>
      <c r="ISH345" s="50"/>
      <c r="ISI345" s="50"/>
      <c r="ISJ345" s="50"/>
      <c r="ISK345" s="50"/>
      <c r="ISL345" s="50"/>
      <c r="ISM345" s="50"/>
      <c r="ISN345" s="50"/>
      <c r="ISO345" s="50"/>
      <c r="ISP345" s="50"/>
      <c r="ISQ345" s="50"/>
      <c r="ISR345" s="50"/>
      <c r="ISS345" s="50"/>
      <c r="IST345" s="50"/>
      <c r="ISU345" s="50"/>
      <c r="ISV345" s="50"/>
      <c r="ISW345" s="50"/>
      <c r="ISX345" s="50"/>
      <c r="ISY345" s="50"/>
      <c r="ISZ345" s="50"/>
      <c r="ITA345" s="50"/>
      <c r="ITB345" s="50"/>
      <c r="ITC345" s="50"/>
      <c r="ITD345" s="50"/>
      <c r="ITE345" s="50"/>
      <c r="ITF345" s="50"/>
      <c r="ITG345" s="50"/>
      <c r="ITH345" s="50"/>
      <c r="ITI345" s="50"/>
      <c r="ITJ345" s="50"/>
      <c r="ITK345" s="50"/>
      <c r="ITL345" s="50"/>
      <c r="ITM345" s="50"/>
      <c r="ITN345" s="50"/>
      <c r="ITO345" s="50"/>
      <c r="ITP345" s="50"/>
      <c r="ITQ345" s="50"/>
      <c r="ITR345" s="50"/>
      <c r="ITS345" s="50"/>
      <c r="ITT345" s="50"/>
      <c r="ITU345" s="50"/>
      <c r="ITV345" s="50"/>
      <c r="ITW345" s="50"/>
      <c r="ITX345" s="50"/>
      <c r="ITY345" s="50"/>
      <c r="ITZ345" s="50"/>
      <c r="IUA345" s="50"/>
      <c r="IUB345" s="50"/>
      <c r="IUC345" s="50"/>
      <c r="IUD345" s="50"/>
      <c r="IUE345" s="50"/>
      <c r="IUF345" s="50"/>
      <c r="IUG345" s="50"/>
      <c r="IUH345" s="50"/>
      <c r="IUI345" s="50"/>
      <c r="IUJ345" s="50"/>
      <c r="IUK345" s="50"/>
      <c r="IUL345" s="50"/>
      <c r="IUM345" s="50"/>
      <c r="IUN345" s="50"/>
      <c r="IUO345" s="50"/>
      <c r="IUP345" s="50"/>
      <c r="IUQ345" s="50"/>
      <c r="IUR345" s="50"/>
      <c r="IUS345" s="50"/>
      <c r="IUT345" s="50"/>
      <c r="IUU345" s="50"/>
      <c r="IUV345" s="50"/>
      <c r="IUW345" s="50"/>
      <c r="IUX345" s="50"/>
      <c r="IUY345" s="50"/>
      <c r="IUZ345" s="50"/>
      <c r="IVA345" s="50"/>
      <c r="IVB345" s="50"/>
      <c r="IVC345" s="50"/>
      <c r="IVD345" s="50"/>
      <c r="IVE345" s="50"/>
      <c r="IVF345" s="50"/>
      <c r="IVG345" s="50"/>
      <c r="IVH345" s="50"/>
      <c r="IVI345" s="50"/>
      <c r="IVJ345" s="50"/>
      <c r="IVK345" s="50"/>
      <c r="IVL345" s="50"/>
      <c r="IVM345" s="50"/>
      <c r="IVN345" s="50"/>
      <c r="IVO345" s="50"/>
      <c r="IVP345" s="50"/>
      <c r="IVQ345" s="50"/>
      <c r="IVR345" s="50"/>
      <c r="IVS345" s="50"/>
      <c r="IVT345" s="50"/>
      <c r="IVU345" s="50"/>
      <c r="IVV345" s="50"/>
      <c r="IVW345" s="50"/>
      <c r="IVX345" s="50"/>
      <c r="IVY345" s="50"/>
      <c r="IVZ345" s="50"/>
      <c r="IWA345" s="50"/>
      <c r="IWB345" s="50"/>
      <c r="IWC345" s="50"/>
      <c r="IWD345" s="50"/>
      <c r="IWE345" s="50"/>
      <c r="IWF345" s="50"/>
      <c r="IWG345" s="50"/>
      <c r="IWH345" s="50"/>
      <c r="IWI345" s="50"/>
      <c r="IWJ345" s="50"/>
      <c r="IWK345" s="50"/>
      <c r="IWL345" s="50"/>
      <c r="IWM345" s="50"/>
      <c r="IWN345" s="50"/>
      <c r="IWO345" s="50"/>
      <c r="IWP345" s="50"/>
      <c r="IWQ345" s="50"/>
      <c r="IWR345" s="50"/>
      <c r="IWS345" s="50"/>
      <c r="IWT345" s="50"/>
      <c r="IWU345" s="50"/>
      <c r="IWV345" s="50"/>
      <c r="IWW345" s="50"/>
      <c r="IWX345" s="50"/>
      <c r="IWY345" s="50"/>
      <c r="IWZ345" s="50"/>
      <c r="IXA345" s="50"/>
      <c r="IXB345" s="50"/>
      <c r="IXC345" s="50"/>
      <c r="IXD345" s="50"/>
      <c r="IXE345" s="50"/>
      <c r="IXF345" s="50"/>
      <c r="IXG345" s="50"/>
      <c r="IXH345" s="50"/>
      <c r="IXI345" s="50"/>
      <c r="IXJ345" s="50"/>
      <c r="IXK345" s="50"/>
      <c r="IXL345" s="50"/>
      <c r="IXM345" s="50"/>
      <c r="IXN345" s="50"/>
      <c r="IXO345" s="50"/>
      <c r="IXP345" s="50"/>
      <c r="IXQ345" s="50"/>
      <c r="IXR345" s="50"/>
      <c r="IXS345" s="50"/>
      <c r="IXT345" s="50"/>
      <c r="IXU345" s="50"/>
      <c r="IXV345" s="50"/>
      <c r="IXW345" s="50"/>
      <c r="IXX345" s="50"/>
      <c r="IXY345" s="50"/>
      <c r="IXZ345" s="50"/>
      <c r="IYA345" s="50"/>
      <c r="IYB345" s="50"/>
      <c r="IYC345" s="50"/>
      <c r="IYD345" s="50"/>
      <c r="IYE345" s="50"/>
      <c r="IYF345" s="50"/>
      <c r="IYG345" s="50"/>
      <c r="IYH345" s="50"/>
      <c r="IYI345" s="50"/>
      <c r="IYJ345" s="50"/>
      <c r="IYK345" s="50"/>
      <c r="IYL345" s="50"/>
      <c r="IYM345" s="50"/>
      <c r="IYN345" s="50"/>
      <c r="IYO345" s="50"/>
      <c r="IYP345" s="50"/>
      <c r="IYQ345" s="50"/>
      <c r="IYR345" s="50"/>
      <c r="IYS345" s="50"/>
      <c r="IYT345" s="50"/>
      <c r="IYU345" s="50"/>
      <c r="IYV345" s="50"/>
      <c r="IYW345" s="50"/>
      <c r="IYX345" s="50"/>
      <c r="IYY345" s="50"/>
      <c r="IYZ345" s="50"/>
      <c r="IZA345" s="50"/>
      <c r="IZB345" s="50"/>
      <c r="IZC345" s="50"/>
      <c r="IZD345" s="50"/>
      <c r="IZE345" s="50"/>
      <c r="IZF345" s="50"/>
      <c r="IZG345" s="50"/>
      <c r="IZH345" s="50"/>
      <c r="IZI345" s="50"/>
      <c r="IZJ345" s="50"/>
      <c r="IZK345" s="50"/>
      <c r="IZL345" s="50"/>
      <c r="IZM345" s="50"/>
      <c r="IZN345" s="50"/>
      <c r="IZO345" s="50"/>
      <c r="IZP345" s="50"/>
      <c r="IZQ345" s="50"/>
      <c r="IZR345" s="50"/>
      <c r="IZS345" s="50"/>
      <c r="IZT345" s="50"/>
      <c r="IZU345" s="50"/>
      <c r="IZV345" s="50"/>
      <c r="IZW345" s="50"/>
      <c r="IZX345" s="50"/>
      <c r="IZY345" s="50"/>
      <c r="IZZ345" s="50"/>
      <c r="JAA345" s="50"/>
      <c r="JAB345" s="50"/>
      <c r="JAC345" s="50"/>
      <c r="JAD345" s="50"/>
      <c r="JAE345" s="50"/>
      <c r="JAF345" s="50"/>
      <c r="JAG345" s="50"/>
      <c r="JAH345" s="50"/>
      <c r="JAI345" s="50"/>
      <c r="JAJ345" s="50"/>
      <c r="JAK345" s="50"/>
      <c r="JAL345" s="50"/>
      <c r="JAM345" s="50"/>
      <c r="JAN345" s="50"/>
      <c r="JAO345" s="50"/>
      <c r="JAP345" s="50"/>
      <c r="JAQ345" s="50"/>
      <c r="JAR345" s="50"/>
      <c r="JAS345" s="50"/>
      <c r="JAT345" s="50"/>
      <c r="JAU345" s="50"/>
      <c r="JAV345" s="50"/>
      <c r="JAW345" s="50"/>
      <c r="JAX345" s="50"/>
      <c r="JAY345" s="50"/>
      <c r="JAZ345" s="50"/>
      <c r="JBA345" s="50"/>
      <c r="JBB345" s="50"/>
      <c r="JBC345" s="50"/>
      <c r="JBD345" s="50"/>
      <c r="JBE345" s="50"/>
      <c r="JBF345" s="50"/>
      <c r="JBG345" s="50"/>
      <c r="JBH345" s="50"/>
      <c r="JBI345" s="50"/>
      <c r="JBJ345" s="50"/>
      <c r="JBK345" s="50"/>
      <c r="JBL345" s="50"/>
      <c r="JBM345" s="50"/>
      <c r="JBN345" s="50"/>
      <c r="JBO345" s="50"/>
      <c r="JBP345" s="50"/>
      <c r="JBQ345" s="50"/>
      <c r="JBR345" s="50"/>
      <c r="JBS345" s="50"/>
      <c r="JBT345" s="50"/>
      <c r="JBU345" s="50"/>
      <c r="JBV345" s="50"/>
      <c r="JBW345" s="50"/>
      <c r="JBX345" s="50"/>
      <c r="JBY345" s="50"/>
      <c r="JBZ345" s="50"/>
      <c r="JCA345" s="50"/>
      <c r="JCB345" s="50"/>
      <c r="JCC345" s="50"/>
      <c r="JCD345" s="50"/>
      <c r="JCE345" s="50"/>
      <c r="JCF345" s="50"/>
      <c r="JCG345" s="50"/>
      <c r="JCH345" s="50"/>
      <c r="JCI345" s="50"/>
      <c r="JCJ345" s="50"/>
      <c r="JCK345" s="50"/>
      <c r="JCL345" s="50"/>
      <c r="JCM345" s="50"/>
      <c r="JCN345" s="50"/>
      <c r="JCO345" s="50"/>
      <c r="JCP345" s="50"/>
      <c r="JCQ345" s="50"/>
      <c r="JCR345" s="50"/>
      <c r="JCS345" s="50"/>
      <c r="JCT345" s="50"/>
      <c r="JCU345" s="50"/>
      <c r="JCV345" s="50"/>
      <c r="JCW345" s="50"/>
      <c r="JCX345" s="50"/>
      <c r="JCY345" s="50"/>
      <c r="JCZ345" s="50"/>
      <c r="JDA345" s="50"/>
      <c r="JDB345" s="50"/>
      <c r="JDC345" s="50"/>
      <c r="JDD345" s="50"/>
      <c r="JDE345" s="50"/>
      <c r="JDF345" s="50"/>
      <c r="JDG345" s="50"/>
      <c r="JDH345" s="50"/>
      <c r="JDI345" s="50"/>
      <c r="JDJ345" s="50"/>
      <c r="JDK345" s="50"/>
      <c r="JDL345" s="50"/>
      <c r="JDM345" s="50"/>
      <c r="JDN345" s="50"/>
      <c r="JDO345" s="50"/>
      <c r="JDP345" s="50"/>
      <c r="JDQ345" s="50"/>
      <c r="JDR345" s="50"/>
      <c r="JDS345" s="50"/>
      <c r="JDT345" s="50"/>
      <c r="JDU345" s="50"/>
      <c r="JDV345" s="50"/>
      <c r="JDW345" s="50"/>
      <c r="JDX345" s="50"/>
      <c r="JDY345" s="50"/>
      <c r="JDZ345" s="50"/>
      <c r="JEA345" s="50"/>
      <c r="JEB345" s="50"/>
      <c r="JEC345" s="50"/>
      <c r="JED345" s="50"/>
      <c r="JEE345" s="50"/>
      <c r="JEF345" s="50"/>
      <c r="JEG345" s="50"/>
      <c r="JEH345" s="50"/>
      <c r="JEI345" s="50"/>
      <c r="JEJ345" s="50"/>
      <c r="JEK345" s="50"/>
      <c r="JEL345" s="50"/>
      <c r="JEM345" s="50"/>
      <c r="JEN345" s="50"/>
      <c r="JEO345" s="50"/>
      <c r="JEP345" s="50"/>
      <c r="JEQ345" s="50"/>
      <c r="JER345" s="50"/>
      <c r="JES345" s="50"/>
      <c r="JET345" s="50"/>
      <c r="JEU345" s="50"/>
      <c r="JEV345" s="50"/>
      <c r="JEW345" s="50"/>
      <c r="JEX345" s="50"/>
      <c r="JEY345" s="50"/>
      <c r="JEZ345" s="50"/>
      <c r="JFA345" s="50"/>
      <c r="JFB345" s="50"/>
      <c r="JFC345" s="50"/>
      <c r="JFD345" s="50"/>
      <c r="JFE345" s="50"/>
      <c r="JFF345" s="50"/>
      <c r="JFG345" s="50"/>
      <c r="JFH345" s="50"/>
      <c r="JFI345" s="50"/>
      <c r="JFJ345" s="50"/>
      <c r="JFK345" s="50"/>
      <c r="JFL345" s="50"/>
      <c r="JFM345" s="50"/>
      <c r="JFN345" s="50"/>
      <c r="JFO345" s="50"/>
      <c r="JFP345" s="50"/>
      <c r="JFQ345" s="50"/>
      <c r="JFR345" s="50"/>
      <c r="JFS345" s="50"/>
      <c r="JFT345" s="50"/>
      <c r="JFU345" s="50"/>
      <c r="JFV345" s="50"/>
      <c r="JFW345" s="50"/>
      <c r="JFX345" s="50"/>
      <c r="JFY345" s="50"/>
      <c r="JFZ345" s="50"/>
      <c r="JGA345" s="50"/>
      <c r="JGB345" s="50"/>
      <c r="JGC345" s="50"/>
      <c r="JGD345" s="50"/>
      <c r="JGE345" s="50"/>
      <c r="JGF345" s="50"/>
      <c r="JGG345" s="50"/>
      <c r="JGH345" s="50"/>
      <c r="JGI345" s="50"/>
      <c r="JGJ345" s="50"/>
      <c r="JGK345" s="50"/>
      <c r="JGL345" s="50"/>
      <c r="JGM345" s="50"/>
      <c r="JGN345" s="50"/>
      <c r="JGO345" s="50"/>
      <c r="JGP345" s="50"/>
      <c r="JGQ345" s="50"/>
      <c r="JGR345" s="50"/>
      <c r="JGS345" s="50"/>
      <c r="JGT345" s="50"/>
      <c r="JGU345" s="50"/>
      <c r="JGV345" s="50"/>
      <c r="JGW345" s="50"/>
      <c r="JGX345" s="50"/>
      <c r="JGY345" s="50"/>
      <c r="JGZ345" s="50"/>
      <c r="JHA345" s="50"/>
      <c r="JHB345" s="50"/>
      <c r="JHC345" s="50"/>
      <c r="JHD345" s="50"/>
      <c r="JHE345" s="50"/>
      <c r="JHF345" s="50"/>
      <c r="JHG345" s="50"/>
      <c r="JHH345" s="50"/>
      <c r="JHI345" s="50"/>
      <c r="JHJ345" s="50"/>
      <c r="JHK345" s="50"/>
      <c r="JHL345" s="50"/>
      <c r="JHM345" s="50"/>
      <c r="JHN345" s="50"/>
      <c r="JHO345" s="50"/>
      <c r="JHP345" s="50"/>
      <c r="JHQ345" s="50"/>
      <c r="JHR345" s="50"/>
      <c r="JHS345" s="50"/>
      <c r="JHT345" s="50"/>
      <c r="JHU345" s="50"/>
      <c r="JHV345" s="50"/>
      <c r="JHW345" s="50"/>
      <c r="JHX345" s="50"/>
      <c r="JHY345" s="50"/>
      <c r="JHZ345" s="50"/>
      <c r="JIA345" s="50"/>
      <c r="JIB345" s="50"/>
      <c r="JIC345" s="50"/>
      <c r="JID345" s="50"/>
      <c r="JIE345" s="50"/>
      <c r="JIF345" s="50"/>
      <c r="JIG345" s="50"/>
      <c r="JIH345" s="50"/>
      <c r="JII345" s="50"/>
      <c r="JIJ345" s="50"/>
      <c r="JIK345" s="50"/>
      <c r="JIL345" s="50"/>
      <c r="JIM345" s="50"/>
      <c r="JIN345" s="50"/>
      <c r="JIO345" s="50"/>
      <c r="JIP345" s="50"/>
      <c r="JIQ345" s="50"/>
      <c r="JIR345" s="50"/>
      <c r="JIS345" s="50"/>
      <c r="JIT345" s="50"/>
      <c r="JIU345" s="50"/>
      <c r="JIV345" s="50"/>
      <c r="JIW345" s="50"/>
      <c r="JIX345" s="50"/>
      <c r="JIY345" s="50"/>
      <c r="JIZ345" s="50"/>
      <c r="JJA345" s="50"/>
      <c r="JJB345" s="50"/>
      <c r="JJC345" s="50"/>
      <c r="JJD345" s="50"/>
      <c r="JJE345" s="50"/>
      <c r="JJF345" s="50"/>
      <c r="JJG345" s="50"/>
      <c r="JJH345" s="50"/>
      <c r="JJI345" s="50"/>
      <c r="JJJ345" s="50"/>
      <c r="JJK345" s="50"/>
      <c r="JJL345" s="50"/>
      <c r="JJM345" s="50"/>
      <c r="JJN345" s="50"/>
      <c r="JJO345" s="50"/>
      <c r="JJP345" s="50"/>
      <c r="JJQ345" s="50"/>
      <c r="JJR345" s="50"/>
      <c r="JJS345" s="50"/>
      <c r="JJT345" s="50"/>
      <c r="JJU345" s="50"/>
      <c r="JJV345" s="50"/>
      <c r="JJW345" s="50"/>
      <c r="JJX345" s="50"/>
      <c r="JJY345" s="50"/>
      <c r="JJZ345" s="50"/>
      <c r="JKA345" s="50"/>
      <c r="JKB345" s="50"/>
      <c r="JKC345" s="50"/>
      <c r="JKD345" s="50"/>
      <c r="JKE345" s="50"/>
      <c r="JKF345" s="50"/>
      <c r="JKG345" s="50"/>
      <c r="JKH345" s="50"/>
      <c r="JKI345" s="50"/>
      <c r="JKJ345" s="50"/>
      <c r="JKK345" s="50"/>
      <c r="JKL345" s="50"/>
      <c r="JKM345" s="50"/>
      <c r="JKN345" s="50"/>
      <c r="JKO345" s="50"/>
      <c r="JKP345" s="50"/>
      <c r="JKQ345" s="50"/>
      <c r="JKR345" s="50"/>
      <c r="JKS345" s="50"/>
      <c r="JKT345" s="50"/>
      <c r="JKU345" s="50"/>
      <c r="JKV345" s="50"/>
      <c r="JKW345" s="50"/>
      <c r="JKX345" s="50"/>
      <c r="JKY345" s="50"/>
      <c r="JKZ345" s="50"/>
      <c r="JLA345" s="50"/>
      <c r="JLB345" s="50"/>
      <c r="JLC345" s="50"/>
      <c r="JLD345" s="50"/>
      <c r="JLE345" s="50"/>
      <c r="JLF345" s="50"/>
      <c r="JLG345" s="50"/>
      <c r="JLH345" s="50"/>
      <c r="JLI345" s="50"/>
      <c r="JLJ345" s="50"/>
      <c r="JLK345" s="50"/>
      <c r="JLL345" s="50"/>
      <c r="JLM345" s="50"/>
      <c r="JLN345" s="50"/>
      <c r="JLO345" s="50"/>
      <c r="JLP345" s="50"/>
      <c r="JLQ345" s="50"/>
      <c r="JLR345" s="50"/>
      <c r="JLS345" s="50"/>
      <c r="JLT345" s="50"/>
      <c r="JLU345" s="50"/>
      <c r="JLV345" s="50"/>
      <c r="JLW345" s="50"/>
      <c r="JLX345" s="50"/>
      <c r="JLY345" s="50"/>
      <c r="JLZ345" s="50"/>
      <c r="JMA345" s="50"/>
      <c r="JMB345" s="50"/>
      <c r="JMC345" s="50"/>
      <c r="JMD345" s="50"/>
      <c r="JME345" s="50"/>
      <c r="JMF345" s="50"/>
      <c r="JMG345" s="50"/>
      <c r="JMH345" s="50"/>
      <c r="JMI345" s="50"/>
      <c r="JMJ345" s="50"/>
      <c r="JMK345" s="50"/>
      <c r="JML345" s="50"/>
      <c r="JMM345" s="50"/>
      <c r="JMN345" s="50"/>
      <c r="JMO345" s="50"/>
      <c r="JMP345" s="50"/>
      <c r="JMQ345" s="50"/>
      <c r="JMR345" s="50"/>
      <c r="JMS345" s="50"/>
      <c r="JMT345" s="50"/>
      <c r="JMU345" s="50"/>
      <c r="JMV345" s="50"/>
      <c r="JMW345" s="50"/>
      <c r="JMX345" s="50"/>
      <c r="JMY345" s="50"/>
      <c r="JMZ345" s="50"/>
      <c r="JNA345" s="50"/>
      <c r="JNB345" s="50"/>
      <c r="JNC345" s="50"/>
      <c r="JND345" s="50"/>
      <c r="JNE345" s="50"/>
      <c r="JNF345" s="50"/>
      <c r="JNG345" s="50"/>
      <c r="JNH345" s="50"/>
      <c r="JNI345" s="50"/>
      <c r="JNJ345" s="50"/>
      <c r="JNK345" s="50"/>
      <c r="JNL345" s="50"/>
      <c r="JNM345" s="50"/>
      <c r="JNN345" s="50"/>
      <c r="JNO345" s="50"/>
      <c r="JNP345" s="50"/>
      <c r="JNQ345" s="50"/>
      <c r="JNR345" s="50"/>
      <c r="JNS345" s="50"/>
      <c r="JNT345" s="50"/>
      <c r="JNU345" s="50"/>
      <c r="JNV345" s="50"/>
      <c r="JNW345" s="50"/>
      <c r="JNX345" s="50"/>
      <c r="JNY345" s="50"/>
      <c r="JNZ345" s="50"/>
      <c r="JOA345" s="50"/>
      <c r="JOB345" s="50"/>
      <c r="JOC345" s="50"/>
      <c r="JOD345" s="50"/>
      <c r="JOE345" s="50"/>
      <c r="JOF345" s="50"/>
      <c r="JOG345" s="50"/>
      <c r="JOH345" s="50"/>
      <c r="JOI345" s="50"/>
      <c r="JOJ345" s="50"/>
      <c r="JOK345" s="50"/>
      <c r="JOL345" s="50"/>
      <c r="JOM345" s="50"/>
      <c r="JON345" s="50"/>
      <c r="JOO345" s="50"/>
      <c r="JOP345" s="50"/>
      <c r="JOQ345" s="50"/>
      <c r="JOR345" s="50"/>
      <c r="JOS345" s="50"/>
      <c r="JOT345" s="50"/>
      <c r="JOU345" s="50"/>
      <c r="JOV345" s="50"/>
      <c r="JOW345" s="50"/>
      <c r="JOX345" s="50"/>
      <c r="JOY345" s="50"/>
      <c r="JOZ345" s="50"/>
      <c r="JPA345" s="50"/>
      <c r="JPB345" s="50"/>
      <c r="JPC345" s="50"/>
      <c r="JPD345" s="50"/>
      <c r="JPE345" s="50"/>
      <c r="JPF345" s="50"/>
      <c r="JPG345" s="50"/>
      <c r="JPH345" s="50"/>
      <c r="JPI345" s="50"/>
      <c r="JPJ345" s="50"/>
      <c r="JPK345" s="50"/>
      <c r="JPL345" s="50"/>
      <c r="JPM345" s="50"/>
      <c r="JPN345" s="50"/>
      <c r="JPO345" s="50"/>
      <c r="JPP345" s="50"/>
      <c r="JPQ345" s="50"/>
      <c r="JPR345" s="50"/>
      <c r="JPS345" s="50"/>
      <c r="JPT345" s="50"/>
      <c r="JPU345" s="50"/>
      <c r="JPV345" s="50"/>
      <c r="JPW345" s="50"/>
      <c r="JPX345" s="50"/>
      <c r="JPY345" s="50"/>
      <c r="JPZ345" s="50"/>
      <c r="JQA345" s="50"/>
      <c r="JQB345" s="50"/>
      <c r="JQC345" s="50"/>
      <c r="JQD345" s="50"/>
      <c r="JQE345" s="50"/>
      <c r="JQF345" s="50"/>
      <c r="JQG345" s="50"/>
      <c r="JQH345" s="50"/>
      <c r="JQI345" s="50"/>
      <c r="JQJ345" s="50"/>
      <c r="JQK345" s="50"/>
      <c r="JQL345" s="50"/>
      <c r="JQM345" s="50"/>
      <c r="JQN345" s="50"/>
      <c r="JQO345" s="50"/>
      <c r="JQP345" s="50"/>
      <c r="JQQ345" s="50"/>
      <c r="JQR345" s="50"/>
      <c r="JQS345" s="50"/>
      <c r="JQT345" s="50"/>
      <c r="JQU345" s="50"/>
      <c r="JQV345" s="50"/>
      <c r="JQW345" s="50"/>
      <c r="JQX345" s="50"/>
      <c r="JQY345" s="50"/>
      <c r="JQZ345" s="50"/>
      <c r="JRA345" s="50"/>
      <c r="JRB345" s="50"/>
      <c r="JRC345" s="50"/>
      <c r="JRD345" s="50"/>
      <c r="JRE345" s="50"/>
      <c r="JRF345" s="50"/>
      <c r="JRG345" s="50"/>
      <c r="JRH345" s="50"/>
      <c r="JRI345" s="50"/>
      <c r="JRJ345" s="50"/>
      <c r="JRK345" s="50"/>
      <c r="JRL345" s="50"/>
      <c r="JRM345" s="50"/>
      <c r="JRN345" s="50"/>
      <c r="JRO345" s="50"/>
      <c r="JRP345" s="50"/>
      <c r="JRQ345" s="50"/>
      <c r="JRR345" s="50"/>
      <c r="JRS345" s="50"/>
      <c r="JRT345" s="50"/>
      <c r="JRU345" s="50"/>
      <c r="JRV345" s="50"/>
      <c r="JRW345" s="50"/>
      <c r="JRX345" s="50"/>
      <c r="JRY345" s="50"/>
      <c r="JRZ345" s="50"/>
      <c r="JSA345" s="50"/>
      <c r="JSB345" s="50"/>
      <c r="JSC345" s="50"/>
      <c r="JSD345" s="50"/>
      <c r="JSE345" s="50"/>
      <c r="JSF345" s="50"/>
      <c r="JSG345" s="50"/>
      <c r="JSH345" s="50"/>
      <c r="JSI345" s="50"/>
      <c r="JSJ345" s="50"/>
      <c r="JSK345" s="50"/>
      <c r="JSL345" s="50"/>
      <c r="JSM345" s="50"/>
      <c r="JSN345" s="50"/>
      <c r="JSO345" s="50"/>
      <c r="JSP345" s="50"/>
      <c r="JSQ345" s="50"/>
      <c r="JSR345" s="50"/>
      <c r="JSS345" s="50"/>
      <c r="JST345" s="50"/>
      <c r="JSU345" s="50"/>
      <c r="JSV345" s="50"/>
      <c r="JSW345" s="50"/>
      <c r="JSX345" s="50"/>
      <c r="JSY345" s="50"/>
      <c r="JSZ345" s="50"/>
      <c r="JTA345" s="50"/>
      <c r="JTB345" s="50"/>
      <c r="JTC345" s="50"/>
      <c r="JTD345" s="50"/>
      <c r="JTE345" s="50"/>
      <c r="JTF345" s="50"/>
      <c r="JTG345" s="50"/>
      <c r="JTH345" s="50"/>
      <c r="JTI345" s="50"/>
      <c r="JTJ345" s="50"/>
      <c r="JTK345" s="50"/>
      <c r="JTL345" s="50"/>
      <c r="JTM345" s="50"/>
      <c r="JTN345" s="50"/>
      <c r="JTO345" s="50"/>
      <c r="JTP345" s="50"/>
      <c r="JTQ345" s="50"/>
      <c r="JTR345" s="50"/>
      <c r="JTS345" s="50"/>
      <c r="JTT345" s="50"/>
      <c r="JTU345" s="50"/>
      <c r="JTV345" s="50"/>
      <c r="JTW345" s="50"/>
      <c r="JTX345" s="50"/>
      <c r="JTY345" s="50"/>
      <c r="JTZ345" s="50"/>
      <c r="JUA345" s="50"/>
      <c r="JUB345" s="50"/>
      <c r="JUC345" s="50"/>
      <c r="JUD345" s="50"/>
      <c r="JUE345" s="50"/>
      <c r="JUF345" s="50"/>
      <c r="JUG345" s="50"/>
      <c r="JUH345" s="50"/>
      <c r="JUI345" s="50"/>
      <c r="JUJ345" s="50"/>
      <c r="JUK345" s="50"/>
      <c r="JUL345" s="50"/>
      <c r="JUM345" s="50"/>
      <c r="JUN345" s="50"/>
      <c r="JUO345" s="50"/>
      <c r="JUP345" s="50"/>
      <c r="JUQ345" s="50"/>
      <c r="JUR345" s="50"/>
      <c r="JUS345" s="50"/>
      <c r="JUT345" s="50"/>
      <c r="JUU345" s="50"/>
      <c r="JUV345" s="50"/>
      <c r="JUW345" s="50"/>
      <c r="JUX345" s="50"/>
      <c r="JUY345" s="50"/>
      <c r="JUZ345" s="50"/>
      <c r="JVA345" s="50"/>
      <c r="JVB345" s="50"/>
      <c r="JVC345" s="50"/>
      <c r="JVD345" s="50"/>
      <c r="JVE345" s="50"/>
      <c r="JVF345" s="50"/>
      <c r="JVG345" s="50"/>
      <c r="JVH345" s="50"/>
      <c r="JVI345" s="50"/>
      <c r="JVJ345" s="50"/>
      <c r="JVK345" s="50"/>
      <c r="JVL345" s="50"/>
      <c r="JVM345" s="50"/>
      <c r="JVN345" s="50"/>
      <c r="JVO345" s="50"/>
      <c r="JVP345" s="50"/>
      <c r="JVQ345" s="50"/>
      <c r="JVR345" s="50"/>
      <c r="JVS345" s="50"/>
      <c r="JVT345" s="50"/>
      <c r="JVU345" s="50"/>
      <c r="JVV345" s="50"/>
      <c r="JVW345" s="50"/>
      <c r="JVX345" s="50"/>
      <c r="JVY345" s="50"/>
      <c r="JVZ345" s="50"/>
      <c r="JWA345" s="50"/>
      <c r="JWB345" s="50"/>
      <c r="JWC345" s="50"/>
      <c r="JWD345" s="50"/>
      <c r="JWE345" s="50"/>
      <c r="JWF345" s="50"/>
      <c r="JWG345" s="50"/>
      <c r="JWH345" s="50"/>
      <c r="JWI345" s="50"/>
      <c r="JWJ345" s="50"/>
      <c r="JWK345" s="50"/>
      <c r="JWL345" s="50"/>
      <c r="JWM345" s="50"/>
      <c r="JWN345" s="50"/>
      <c r="JWO345" s="50"/>
      <c r="JWP345" s="50"/>
      <c r="JWQ345" s="50"/>
      <c r="JWR345" s="50"/>
      <c r="JWS345" s="50"/>
      <c r="JWT345" s="50"/>
      <c r="JWU345" s="50"/>
      <c r="JWV345" s="50"/>
      <c r="JWW345" s="50"/>
      <c r="JWX345" s="50"/>
      <c r="JWY345" s="50"/>
      <c r="JWZ345" s="50"/>
      <c r="JXA345" s="50"/>
      <c r="JXB345" s="50"/>
      <c r="JXC345" s="50"/>
      <c r="JXD345" s="50"/>
      <c r="JXE345" s="50"/>
      <c r="JXF345" s="50"/>
      <c r="JXG345" s="50"/>
      <c r="JXH345" s="50"/>
      <c r="JXI345" s="50"/>
      <c r="JXJ345" s="50"/>
      <c r="JXK345" s="50"/>
      <c r="JXL345" s="50"/>
      <c r="JXM345" s="50"/>
      <c r="JXN345" s="50"/>
      <c r="JXO345" s="50"/>
      <c r="JXP345" s="50"/>
      <c r="JXQ345" s="50"/>
      <c r="JXR345" s="50"/>
      <c r="JXS345" s="50"/>
      <c r="JXT345" s="50"/>
      <c r="JXU345" s="50"/>
      <c r="JXV345" s="50"/>
      <c r="JXW345" s="50"/>
      <c r="JXX345" s="50"/>
      <c r="JXY345" s="50"/>
      <c r="JXZ345" s="50"/>
      <c r="JYA345" s="50"/>
      <c r="JYB345" s="50"/>
      <c r="JYC345" s="50"/>
      <c r="JYD345" s="50"/>
      <c r="JYE345" s="50"/>
      <c r="JYF345" s="50"/>
      <c r="JYG345" s="50"/>
      <c r="JYH345" s="50"/>
      <c r="JYI345" s="50"/>
      <c r="JYJ345" s="50"/>
      <c r="JYK345" s="50"/>
      <c r="JYL345" s="50"/>
      <c r="JYM345" s="50"/>
      <c r="JYN345" s="50"/>
      <c r="JYO345" s="50"/>
      <c r="JYP345" s="50"/>
      <c r="JYQ345" s="50"/>
      <c r="JYR345" s="50"/>
      <c r="JYS345" s="50"/>
      <c r="JYT345" s="50"/>
      <c r="JYU345" s="50"/>
      <c r="JYV345" s="50"/>
      <c r="JYW345" s="50"/>
      <c r="JYX345" s="50"/>
      <c r="JYY345" s="50"/>
      <c r="JYZ345" s="50"/>
      <c r="JZA345" s="50"/>
      <c r="JZB345" s="50"/>
      <c r="JZC345" s="50"/>
      <c r="JZD345" s="50"/>
      <c r="JZE345" s="50"/>
      <c r="JZF345" s="50"/>
      <c r="JZG345" s="50"/>
      <c r="JZH345" s="50"/>
      <c r="JZI345" s="50"/>
      <c r="JZJ345" s="50"/>
      <c r="JZK345" s="50"/>
      <c r="JZL345" s="50"/>
      <c r="JZM345" s="50"/>
      <c r="JZN345" s="50"/>
      <c r="JZO345" s="50"/>
      <c r="JZP345" s="50"/>
      <c r="JZQ345" s="50"/>
      <c r="JZR345" s="50"/>
      <c r="JZS345" s="50"/>
      <c r="JZT345" s="50"/>
      <c r="JZU345" s="50"/>
      <c r="JZV345" s="50"/>
      <c r="JZW345" s="50"/>
      <c r="JZX345" s="50"/>
      <c r="JZY345" s="50"/>
      <c r="JZZ345" s="50"/>
      <c r="KAA345" s="50"/>
      <c r="KAB345" s="50"/>
      <c r="KAC345" s="50"/>
      <c r="KAD345" s="50"/>
      <c r="KAE345" s="50"/>
      <c r="KAF345" s="50"/>
      <c r="KAG345" s="50"/>
      <c r="KAH345" s="50"/>
      <c r="KAI345" s="50"/>
      <c r="KAJ345" s="50"/>
      <c r="KAK345" s="50"/>
      <c r="KAL345" s="50"/>
      <c r="KAM345" s="50"/>
      <c r="KAN345" s="50"/>
      <c r="KAO345" s="50"/>
      <c r="KAP345" s="50"/>
      <c r="KAQ345" s="50"/>
      <c r="KAR345" s="50"/>
      <c r="KAS345" s="50"/>
      <c r="KAT345" s="50"/>
      <c r="KAU345" s="50"/>
      <c r="KAV345" s="50"/>
      <c r="KAW345" s="50"/>
      <c r="KAX345" s="50"/>
      <c r="KAY345" s="50"/>
      <c r="KAZ345" s="50"/>
      <c r="KBA345" s="50"/>
      <c r="KBB345" s="50"/>
      <c r="KBC345" s="50"/>
      <c r="KBD345" s="50"/>
      <c r="KBE345" s="50"/>
      <c r="KBF345" s="50"/>
      <c r="KBG345" s="50"/>
      <c r="KBH345" s="50"/>
      <c r="KBI345" s="50"/>
      <c r="KBJ345" s="50"/>
      <c r="KBK345" s="50"/>
      <c r="KBL345" s="50"/>
      <c r="KBM345" s="50"/>
      <c r="KBN345" s="50"/>
      <c r="KBO345" s="50"/>
      <c r="KBP345" s="50"/>
      <c r="KBQ345" s="50"/>
      <c r="KBR345" s="50"/>
      <c r="KBS345" s="50"/>
      <c r="KBT345" s="50"/>
      <c r="KBU345" s="50"/>
      <c r="KBV345" s="50"/>
      <c r="KBW345" s="50"/>
      <c r="KBX345" s="50"/>
      <c r="KBY345" s="50"/>
      <c r="KBZ345" s="50"/>
      <c r="KCA345" s="50"/>
      <c r="KCB345" s="50"/>
      <c r="KCC345" s="50"/>
      <c r="KCD345" s="50"/>
      <c r="KCE345" s="50"/>
      <c r="KCF345" s="50"/>
      <c r="KCG345" s="50"/>
      <c r="KCH345" s="50"/>
      <c r="KCI345" s="50"/>
      <c r="KCJ345" s="50"/>
      <c r="KCK345" s="50"/>
      <c r="KCL345" s="50"/>
      <c r="KCM345" s="50"/>
      <c r="KCN345" s="50"/>
      <c r="KCO345" s="50"/>
      <c r="KCP345" s="50"/>
      <c r="KCQ345" s="50"/>
      <c r="KCR345" s="50"/>
      <c r="KCS345" s="50"/>
      <c r="KCT345" s="50"/>
      <c r="KCU345" s="50"/>
      <c r="KCV345" s="50"/>
      <c r="KCW345" s="50"/>
      <c r="KCX345" s="50"/>
      <c r="KCY345" s="50"/>
      <c r="KCZ345" s="50"/>
      <c r="KDA345" s="50"/>
      <c r="KDB345" s="50"/>
      <c r="KDC345" s="50"/>
      <c r="KDD345" s="50"/>
      <c r="KDE345" s="50"/>
      <c r="KDF345" s="50"/>
      <c r="KDG345" s="50"/>
      <c r="KDH345" s="50"/>
      <c r="KDI345" s="50"/>
      <c r="KDJ345" s="50"/>
      <c r="KDK345" s="50"/>
      <c r="KDL345" s="50"/>
      <c r="KDM345" s="50"/>
      <c r="KDN345" s="50"/>
      <c r="KDO345" s="50"/>
      <c r="KDP345" s="50"/>
      <c r="KDQ345" s="50"/>
      <c r="KDR345" s="50"/>
      <c r="KDS345" s="50"/>
      <c r="KDT345" s="50"/>
      <c r="KDU345" s="50"/>
      <c r="KDV345" s="50"/>
      <c r="KDW345" s="50"/>
      <c r="KDX345" s="50"/>
      <c r="KDY345" s="50"/>
      <c r="KDZ345" s="50"/>
      <c r="KEA345" s="50"/>
      <c r="KEB345" s="50"/>
      <c r="KEC345" s="50"/>
      <c r="KED345" s="50"/>
      <c r="KEE345" s="50"/>
      <c r="KEF345" s="50"/>
      <c r="KEG345" s="50"/>
      <c r="KEH345" s="50"/>
      <c r="KEI345" s="50"/>
      <c r="KEJ345" s="50"/>
      <c r="KEK345" s="50"/>
      <c r="KEL345" s="50"/>
      <c r="KEM345" s="50"/>
      <c r="KEN345" s="50"/>
      <c r="KEO345" s="50"/>
      <c r="KEP345" s="50"/>
      <c r="KEQ345" s="50"/>
      <c r="KER345" s="50"/>
      <c r="KES345" s="50"/>
      <c r="KET345" s="50"/>
      <c r="KEU345" s="50"/>
      <c r="KEV345" s="50"/>
      <c r="KEW345" s="50"/>
      <c r="KEX345" s="50"/>
      <c r="KEY345" s="50"/>
      <c r="KEZ345" s="50"/>
      <c r="KFA345" s="50"/>
      <c r="KFB345" s="50"/>
      <c r="KFC345" s="50"/>
      <c r="KFD345" s="50"/>
      <c r="KFE345" s="50"/>
      <c r="KFF345" s="50"/>
      <c r="KFG345" s="50"/>
      <c r="KFH345" s="50"/>
      <c r="KFI345" s="50"/>
      <c r="KFJ345" s="50"/>
      <c r="KFK345" s="50"/>
      <c r="KFL345" s="50"/>
      <c r="KFM345" s="50"/>
      <c r="KFN345" s="50"/>
      <c r="KFO345" s="50"/>
      <c r="KFP345" s="50"/>
      <c r="KFQ345" s="50"/>
      <c r="KFR345" s="50"/>
      <c r="KFS345" s="50"/>
      <c r="KFT345" s="50"/>
      <c r="KFU345" s="50"/>
      <c r="KFV345" s="50"/>
      <c r="KFW345" s="50"/>
      <c r="KFX345" s="50"/>
      <c r="KFY345" s="50"/>
      <c r="KFZ345" s="50"/>
      <c r="KGA345" s="50"/>
      <c r="KGB345" s="50"/>
      <c r="KGC345" s="50"/>
      <c r="KGD345" s="50"/>
      <c r="KGE345" s="50"/>
      <c r="KGF345" s="50"/>
      <c r="KGG345" s="50"/>
      <c r="KGH345" s="50"/>
      <c r="KGI345" s="50"/>
      <c r="KGJ345" s="50"/>
      <c r="KGK345" s="50"/>
      <c r="KGL345" s="50"/>
      <c r="KGM345" s="50"/>
      <c r="KGN345" s="50"/>
      <c r="KGO345" s="50"/>
      <c r="KGP345" s="50"/>
      <c r="KGQ345" s="50"/>
      <c r="KGR345" s="50"/>
      <c r="KGS345" s="50"/>
      <c r="KGT345" s="50"/>
      <c r="KGU345" s="50"/>
      <c r="KGV345" s="50"/>
      <c r="KGW345" s="50"/>
      <c r="KGX345" s="50"/>
      <c r="KGY345" s="50"/>
      <c r="KGZ345" s="50"/>
      <c r="KHA345" s="50"/>
      <c r="KHB345" s="50"/>
      <c r="KHC345" s="50"/>
      <c r="KHD345" s="50"/>
      <c r="KHE345" s="50"/>
      <c r="KHF345" s="50"/>
      <c r="KHG345" s="50"/>
      <c r="KHH345" s="50"/>
      <c r="KHI345" s="50"/>
      <c r="KHJ345" s="50"/>
      <c r="KHK345" s="50"/>
      <c r="KHL345" s="50"/>
      <c r="KHM345" s="50"/>
      <c r="KHN345" s="50"/>
      <c r="KHO345" s="50"/>
      <c r="KHP345" s="50"/>
      <c r="KHQ345" s="50"/>
      <c r="KHR345" s="50"/>
      <c r="KHS345" s="50"/>
      <c r="KHT345" s="50"/>
      <c r="KHU345" s="50"/>
      <c r="KHV345" s="50"/>
      <c r="KHW345" s="50"/>
      <c r="KHX345" s="50"/>
      <c r="KHY345" s="50"/>
      <c r="KHZ345" s="50"/>
      <c r="KIA345" s="50"/>
      <c r="KIB345" s="50"/>
      <c r="KIC345" s="50"/>
      <c r="KID345" s="50"/>
      <c r="KIE345" s="50"/>
      <c r="KIF345" s="50"/>
      <c r="KIG345" s="50"/>
      <c r="KIH345" s="50"/>
      <c r="KII345" s="50"/>
      <c r="KIJ345" s="50"/>
      <c r="KIK345" s="50"/>
      <c r="KIL345" s="50"/>
      <c r="KIM345" s="50"/>
      <c r="KIN345" s="50"/>
      <c r="KIO345" s="50"/>
      <c r="KIP345" s="50"/>
      <c r="KIQ345" s="50"/>
      <c r="KIR345" s="50"/>
      <c r="KIS345" s="50"/>
      <c r="KIT345" s="50"/>
      <c r="KIU345" s="50"/>
      <c r="KIV345" s="50"/>
      <c r="KIW345" s="50"/>
      <c r="KIX345" s="50"/>
      <c r="KIY345" s="50"/>
      <c r="KIZ345" s="50"/>
      <c r="KJA345" s="50"/>
      <c r="KJB345" s="50"/>
      <c r="KJC345" s="50"/>
      <c r="KJD345" s="50"/>
      <c r="KJE345" s="50"/>
      <c r="KJF345" s="50"/>
      <c r="KJG345" s="50"/>
      <c r="KJH345" s="50"/>
      <c r="KJI345" s="50"/>
      <c r="KJJ345" s="50"/>
      <c r="KJK345" s="50"/>
      <c r="KJL345" s="50"/>
      <c r="KJM345" s="50"/>
      <c r="KJN345" s="50"/>
      <c r="KJO345" s="50"/>
      <c r="KJP345" s="50"/>
      <c r="KJQ345" s="50"/>
      <c r="KJR345" s="50"/>
      <c r="KJS345" s="50"/>
      <c r="KJT345" s="50"/>
      <c r="KJU345" s="50"/>
      <c r="KJV345" s="50"/>
      <c r="KJW345" s="50"/>
      <c r="KJX345" s="50"/>
      <c r="KJY345" s="50"/>
      <c r="KJZ345" s="50"/>
      <c r="KKA345" s="50"/>
      <c r="KKB345" s="50"/>
      <c r="KKC345" s="50"/>
      <c r="KKD345" s="50"/>
      <c r="KKE345" s="50"/>
      <c r="KKF345" s="50"/>
      <c r="KKG345" s="50"/>
      <c r="KKH345" s="50"/>
      <c r="KKI345" s="50"/>
      <c r="KKJ345" s="50"/>
      <c r="KKK345" s="50"/>
      <c r="KKL345" s="50"/>
      <c r="KKM345" s="50"/>
      <c r="KKN345" s="50"/>
      <c r="KKO345" s="50"/>
      <c r="KKP345" s="50"/>
      <c r="KKQ345" s="50"/>
      <c r="KKR345" s="50"/>
      <c r="KKS345" s="50"/>
      <c r="KKT345" s="50"/>
      <c r="KKU345" s="50"/>
      <c r="KKV345" s="50"/>
      <c r="KKW345" s="50"/>
      <c r="KKX345" s="50"/>
      <c r="KKY345" s="50"/>
      <c r="KKZ345" s="50"/>
      <c r="KLA345" s="50"/>
      <c r="KLB345" s="50"/>
      <c r="KLC345" s="50"/>
      <c r="KLD345" s="50"/>
      <c r="KLE345" s="50"/>
      <c r="KLF345" s="50"/>
      <c r="KLG345" s="50"/>
      <c r="KLH345" s="50"/>
      <c r="KLI345" s="50"/>
      <c r="KLJ345" s="50"/>
      <c r="KLK345" s="50"/>
      <c r="KLL345" s="50"/>
      <c r="KLM345" s="50"/>
      <c r="KLN345" s="50"/>
      <c r="KLO345" s="50"/>
      <c r="KLP345" s="50"/>
      <c r="KLQ345" s="50"/>
      <c r="KLR345" s="50"/>
      <c r="KLS345" s="50"/>
      <c r="KLT345" s="50"/>
      <c r="KLU345" s="50"/>
      <c r="KLV345" s="50"/>
      <c r="KLW345" s="50"/>
      <c r="KLX345" s="50"/>
      <c r="KLY345" s="50"/>
      <c r="KLZ345" s="50"/>
      <c r="KMA345" s="50"/>
      <c r="KMB345" s="50"/>
      <c r="KMC345" s="50"/>
      <c r="KMD345" s="50"/>
      <c r="KME345" s="50"/>
      <c r="KMF345" s="50"/>
      <c r="KMG345" s="50"/>
      <c r="KMH345" s="50"/>
      <c r="KMI345" s="50"/>
      <c r="KMJ345" s="50"/>
      <c r="KMK345" s="50"/>
      <c r="KML345" s="50"/>
      <c r="KMM345" s="50"/>
      <c r="KMN345" s="50"/>
      <c r="KMO345" s="50"/>
      <c r="KMP345" s="50"/>
      <c r="KMQ345" s="50"/>
      <c r="KMR345" s="50"/>
      <c r="KMS345" s="50"/>
      <c r="KMT345" s="50"/>
      <c r="KMU345" s="50"/>
      <c r="KMV345" s="50"/>
      <c r="KMW345" s="50"/>
      <c r="KMX345" s="50"/>
      <c r="KMY345" s="50"/>
      <c r="KMZ345" s="50"/>
      <c r="KNA345" s="50"/>
      <c r="KNB345" s="50"/>
      <c r="KNC345" s="50"/>
      <c r="KND345" s="50"/>
      <c r="KNE345" s="50"/>
      <c r="KNF345" s="50"/>
      <c r="KNG345" s="50"/>
      <c r="KNH345" s="50"/>
      <c r="KNI345" s="50"/>
      <c r="KNJ345" s="50"/>
      <c r="KNK345" s="50"/>
      <c r="KNL345" s="50"/>
      <c r="KNM345" s="50"/>
      <c r="KNN345" s="50"/>
      <c r="KNO345" s="50"/>
      <c r="KNP345" s="50"/>
      <c r="KNQ345" s="50"/>
      <c r="KNR345" s="50"/>
      <c r="KNS345" s="50"/>
      <c r="KNT345" s="50"/>
      <c r="KNU345" s="50"/>
      <c r="KNV345" s="50"/>
      <c r="KNW345" s="50"/>
      <c r="KNX345" s="50"/>
      <c r="KNY345" s="50"/>
      <c r="KNZ345" s="50"/>
      <c r="KOA345" s="50"/>
      <c r="KOB345" s="50"/>
      <c r="KOC345" s="50"/>
      <c r="KOD345" s="50"/>
      <c r="KOE345" s="50"/>
      <c r="KOF345" s="50"/>
      <c r="KOG345" s="50"/>
      <c r="KOH345" s="50"/>
      <c r="KOI345" s="50"/>
      <c r="KOJ345" s="50"/>
      <c r="KOK345" s="50"/>
      <c r="KOL345" s="50"/>
      <c r="KOM345" s="50"/>
      <c r="KON345" s="50"/>
      <c r="KOO345" s="50"/>
      <c r="KOP345" s="50"/>
      <c r="KOQ345" s="50"/>
      <c r="KOR345" s="50"/>
      <c r="KOS345" s="50"/>
      <c r="KOT345" s="50"/>
      <c r="KOU345" s="50"/>
      <c r="KOV345" s="50"/>
      <c r="KOW345" s="50"/>
      <c r="KOX345" s="50"/>
      <c r="KOY345" s="50"/>
      <c r="KOZ345" s="50"/>
      <c r="KPA345" s="50"/>
      <c r="KPB345" s="50"/>
      <c r="KPC345" s="50"/>
      <c r="KPD345" s="50"/>
      <c r="KPE345" s="50"/>
      <c r="KPF345" s="50"/>
      <c r="KPG345" s="50"/>
      <c r="KPH345" s="50"/>
      <c r="KPI345" s="50"/>
      <c r="KPJ345" s="50"/>
      <c r="KPK345" s="50"/>
      <c r="KPL345" s="50"/>
      <c r="KPM345" s="50"/>
      <c r="KPN345" s="50"/>
      <c r="KPO345" s="50"/>
      <c r="KPP345" s="50"/>
      <c r="KPQ345" s="50"/>
      <c r="KPR345" s="50"/>
      <c r="KPS345" s="50"/>
      <c r="KPT345" s="50"/>
      <c r="KPU345" s="50"/>
      <c r="KPV345" s="50"/>
      <c r="KPW345" s="50"/>
      <c r="KPX345" s="50"/>
      <c r="KPY345" s="50"/>
      <c r="KPZ345" s="50"/>
      <c r="KQA345" s="50"/>
      <c r="KQB345" s="50"/>
      <c r="KQC345" s="50"/>
      <c r="KQD345" s="50"/>
      <c r="KQE345" s="50"/>
      <c r="KQF345" s="50"/>
      <c r="KQG345" s="50"/>
      <c r="KQH345" s="50"/>
      <c r="KQI345" s="50"/>
      <c r="KQJ345" s="50"/>
      <c r="KQK345" s="50"/>
      <c r="KQL345" s="50"/>
      <c r="KQM345" s="50"/>
      <c r="KQN345" s="50"/>
      <c r="KQO345" s="50"/>
      <c r="KQP345" s="50"/>
      <c r="KQQ345" s="50"/>
      <c r="KQR345" s="50"/>
      <c r="KQS345" s="50"/>
      <c r="KQT345" s="50"/>
      <c r="KQU345" s="50"/>
      <c r="KQV345" s="50"/>
      <c r="KQW345" s="50"/>
      <c r="KQX345" s="50"/>
      <c r="KQY345" s="50"/>
      <c r="KQZ345" s="50"/>
      <c r="KRA345" s="50"/>
      <c r="KRB345" s="50"/>
      <c r="KRC345" s="50"/>
      <c r="KRD345" s="50"/>
      <c r="KRE345" s="50"/>
      <c r="KRF345" s="50"/>
      <c r="KRG345" s="50"/>
      <c r="KRH345" s="50"/>
      <c r="KRI345" s="50"/>
      <c r="KRJ345" s="50"/>
      <c r="KRK345" s="50"/>
      <c r="KRL345" s="50"/>
      <c r="KRM345" s="50"/>
      <c r="KRN345" s="50"/>
      <c r="KRO345" s="50"/>
      <c r="KRP345" s="50"/>
      <c r="KRQ345" s="50"/>
      <c r="KRR345" s="50"/>
      <c r="KRS345" s="50"/>
      <c r="KRT345" s="50"/>
      <c r="KRU345" s="50"/>
      <c r="KRV345" s="50"/>
      <c r="KRW345" s="50"/>
      <c r="KRX345" s="50"/>
      <c r="KRY345" s="50"/>
      <c r="KRZ345" s="50"/>
      <c r="KSA345" s="50"/>
      <c r="KSB345" s="50"/>
      <c r="KSC345" s="50"/>
      <c r="KSD345" s="50"/>
      <c r="KSE345" s="50"/>
      <c r="KSF345" s="50"/>
      <c r="KSG345" s="50"/>
      <c r="KSH345" s="50"/>
      <c r="KSI345" s="50"/>
      <c r="KSJ345" s="50"/>
      <c r="KSK345" s="50"/>
      <c r="KSL345" s="50"/>
      <c r="KSM345" s="50"/>
      <c r="KSN345" s="50"/>
      <c r="KSO345" s="50"/>
      <c r="KSP345" s="50"/>
      <c r="KSQ345" s="50"/>
      <c r="KSR345" s="50"/>
      <c r="KSS345" s="50"/>
      <c r="KST345" s="50"/>
      <c r="KSU345" s="50"/>
      <c r="KSV345" s="50"/>
      <c r="KSW345" s="50"/>
      <c r="KSX345" s="50"/>
      <c r="KSY345" s="50"/>
      <c r="KSZ345" s="50"/>
      <c r="KTA345" s="50"/>
      <c r="KTB345" s="50"/>
      <c r="KTC345" s="50"/>
      <c r="KTD345" s="50"/>
      <c r="KTE345" s="50"/>
      <c r="KTF345" s="50"/>
      <c r="KTG345" s="50"/>
      <c r="KTH345" s="50"/>
      <c r="KTI345" s="50"/>
      <c r="KTJ345" s="50"/>
      <c r="KTK345" s="50"/>
      <c r="KTL345" s="50"/>
      <c r="KTM345" s="50"/>
      <c r="KTN345" s="50"/>
      <c r="KTO345" s="50"/>
      <c r="KTP345" s="50"/>
      <c r="KTQ345" s="50"/>
      <c r="KTR345" s="50"/>
      <c r="KTS345" s="50"/>
      <c r="KTT345" s="50"/>
      <c r="KTU345" s="50"/>
      <c r="KTV345" s="50"/>
      <c r="KTW345" s="50"/>
      <c r="KTX345" s="50"/>
      <c r="KTY345" s="50"/>
      <c r="KTZ345" s="50"/>
      <c r="KUA345" s="50"/>
      <c r="KUB345" s="50"/>
      <c r="KUC345" s="50"/>
      <c r="KUD345" s="50"/>
      <c r="KUE345" s="50"/>
      <c r="KUF345" s="50"/>
      <c r="KUG345" s="50"/>
      <c r="KUH345" s="50"/>
      <c r="KUI345" s="50"/>
      <c r="KUJ345" s="50"/>
      <c r="KUK345" s="50"/>
      <c r="KUL345" s="50"/>
      <c r="KUM345" s="50"/>
      <c r="KUN345" s="50"/>
      <c r="KUO345" s="50"/>
      <c r="KUP345" s="50"/>
      <c r="KUQ345" s="50"/>
      <c r="KUR345" s="50"/>
      <c r="KUS345" s="50"/>
      <c r="KUT345" s="50"/>
      <c r="KUU345" s="50"/>
      <c r="KUV345" s="50"/>
      <c r="KUW345" s="50"/>
      <c r="KUX345" s="50"/>
      <c r="KUY345" s="50"/>
      <c r="KUZ345" s="50"/>
      <c r="KVA345" s="50"/>
      <c r="KVB345" s="50"/>
      <c r="KVC345" s="50"/>
      <c r="KVD345" s="50"/>
      <c r="KVE345" s="50"/>
      <c r="KVF345" s="50"/>
      <c r="KVG345" s="50"/>
      <c r="KVH345" s="50"/>
      <c r="KVI345" s="50"/>
      <c r="KVJ345" s="50"/>
      <c r="KVK345" s="50"/>
      <c r="KVL345" s="50"/>
      <c r="KVM345" s="50"/>
      <c r="KVN345" s="50"/>
      <c r="KVO345" s="50"/>
      <c r="KVP345" s="50"/>
      <c r="KVQ345" s="50"/>
      <c r="KVR345" s="50"/>
      <c r="KVS345" s="50"/>
      <c r="KVT345" s="50"/>
      <c r="KVU345" s="50"/>
      <c r="KVV345" s="50"/>
      <c r="KVW345" s="50"/>
      <c r="KVX345" s="50"/>
      <c r="KVY345" s="50"/>
      <c r="KVZ345" s="50"/>
      <c r="KWA345" s="50"/>
      <c r="KWB345" s="50"/>
      <c r="KWC345" s="50"/>
      <c r="KWD345" s="50"/>
      <c r="KWE345" s="50"/>
      <c r="KWF345" s="50"/>
      <c r="KWG345" s="50"/>
      <c r="KWH345" s="50"/>
      <c r="KWI345" s="50"/>
      <c r="KWJ345" s="50"/>
      <c r="KWK345" s="50"/>
      <c r="KWL345" s="50"/>
      <c r="KWM345" s="50"/>
      <c r="KWN345" s="50"/>
      <c r="KWO345" s="50"/>
      <c r="KWP345" s="50"/>
      <c r="KWQ345" s="50"/>
      <c r="KWR345" s="50"/>
      <c r="KWS345" s="50"/>
      <c r="KWT345" s="50"/>
      <c r="KWU345" s="50"/>
      <c r="KWV345" s="50"/>
      <c r="KWW345" s="50"/>
      <c r="KWX345" s="50"/>
      <c r="KWY345" s="50"/>
      <c r="KWZ345" s="50"/>
      <c r="KXA345" s="50"/>
      <c r="KXB345" s="50"/>
      <c r="KXC345" s="50"/>
      <c r="KXD345" s="50"/>
      <c r="KXE345" s="50"/>
      <c r="KXF345" s="50"/>
      <c r="KXG345" s="50"/>
      <c r="KXH345" s="50"/>
      <c r="KXI345" s="50"/>
      <c r="KXJ345" s="50"/>
      <c r="KXK345" s="50"/>
      <c r="KXL345" s="50"/>
      <c r="KXM345" s="50"/>
      <c r="KXN345" s="50"/>
      <c r="KXO345" s="50"/>
      <c r="KXP345" s="50"/>
      <c r="KXQ345" s="50"/>
      <c r="KXR345" s="50"/>
      <c r="KXS345" s="50"/>
      <c r="KXT345" s="50"/>
      <c r="KXU345" s="50"/>
      <c r="KXV345" s="50"/>
      <c r="KXW345" s="50"/>
      <c r="KXX345" s="50"/>
      <c r="KXY345" s="50"/>
      <c r="KXZ345" s="50"/>
      <c r="KYA345" s="50"/>
      <c r="KYB345" s="50"/>
      <c r="KYC345" s="50"/>
      <c r="KYD345" s="50"/>
      <c r="KYE345" s="50"/>
      <c r="KYF345" s="50"/>
      <c r="KYG345" s="50"/>
      <c r="KYH345" s="50"/>
      <c r="KYI345" s="50"/>
      <c r="KYJ345" s="50"/>
      <c r="KYK345" s="50"/>
      <c r="KYL345" s="50"/>
      <c r="KYM345" s="50"/>
      <c r="KYN345" s="50"/>
      <c r="KYO345" s="50"/>
      <c r="KYP345" s="50"/>
      <c r="KYQ345" s="50"/>
      <c r="KYR345" s="50"/>
      <c r="KYS345" s="50"/>
      <c r="KYT345" s="50"/>
      <c r="KYU345" s="50"/>
      <c r="KYV345" s="50"/>
      <c r="KYW345" s="50"/>
      <c r="KYX345" s="50"/>
      <c r="KYY345" s="50"/>
      <c r="KYZ345" s="50"/>
      <c r="KZA345" s="50"/>
      <c r="KZB345" s="50"/>
      <c r="KZC345" s="50"/>
      <c r="KZD345" s="50"/>
      <c r="KZE345" s="50"/>
      <c r="KZF345" s="50"/>
      <c r="KZG345" s="50"/>
      <c r="KZH345" s="50"/>
      <c r="KZI345" s="50"/>
      <c r="KZJ345" s="50"/>
      <c r="KZK345" s="50"/>
      <c r="KZL345" s="50"/>
      <c r="KZM345" s="50"/>
      <c r="KZN345" s="50"/>
      <c r="KZO345" s="50"/>
      <c r="KZP345" s="50"/>
      <c r="KZQ345" s="50"/>
      <c r="KZR345" s="50"/>
      <c r="KZS345" s="50"/>
      <c r="KZT345" s="50"/>
      <c r="KZU345" s="50"/>
      <c r="KZV345" s="50"/>
      <c r="KZW345" s="50"/>
      <c r="KZX345" s="50"/>
      <c r="KZY345" s="50"/>
      <c r="KZZ345" s="50"/>
      <c r="LAA345" s="50"/>
      <c r="LAB345" s="50"/>
      <c r="LAC345" s="50"/>
      <c r="LAD345" s="50"/>
      <c r="LAE345" s="50"/>
      <c r="LAF345" s="50"/>
      <c r="LAG345" s="50"/>
      <c r="LAH345" s="50"/>
      <c r="LAI345" s="50"/>
      <c r="LAJ345" s="50"/>
      <c r="LAK345" s="50"/>
      <c r="LAL345" s="50"/>
      <c r="LAM345" s="50"/>
      <c r="LAN345" s="50"/>
      <c r="LAO345" s="50"/>
      <c r="LAP345" s="50"/>
      <c r="LAQ345" s="50"/>
      <c r="LAR345" s="50"/>
      <c r="LAS345" s="50"/>
      <c r="LAT345" s="50"/>
      <c r="LAU345" s="50"/>
      <c r="LAV345" s="50"/>
      <c r="LAW345" s="50"/>
      <c r="LAX345" s="50"/>
      <c r="LAY345" s="50"/>
      <c r="LAZ345" s="50"/>
      <c r="LBA345" s="50"/>
      <c r="LBB345" s="50"/>
      <c r="LBC345" s="50"/>
      <c r="LBD345" s="50"/>
      <c r="LBE345" s="50"/>
      <c r="LBF345" s="50"/>
      <c r="LBG345" s="50"/>
      <c r="LBH345" s="50"/>
      <c r="LBI345" s="50"/>
      <c r="LBJ345" s="50"/>
      <c r="LBK345" s="50"/>
      <c r="LBL345" s="50"/>
      <c r="LBM345" s="50"/>
      <c r="LBN345" s="50"/>
      <c r="LBO345" s="50"/>
      <c r="LBP345" s="50"/>
      <c r="LBQ345" s="50"/>
      <c r="LBR345" s="50"/>
      <c r="LBS345" s="50"/>
      <c r="LBT345" s="50"/>
      <c r="LBU345" s="50"/>
      <c r="LBV345" s="50"/>
      <c r="LBW345" s="50"/>
      <c r="LBX345" s="50"/>
      <c r="LBY345" s="50"/>
      <c r="LBZ345" s="50"/>
      <c r="LCA345" s="50"/>
      <c r="LCB345" s="50"/>
      <c r="LCC345" s="50"/>
      <c r="LCD345" s="50"/>
      <c r="LCE345" s="50"/>
      <c r="LCF345" s="50"/>
      <c r="LCG345" s="50"/>
      <c r="LCH345" s="50"/>
      <c r="LCI345" s="50"/>
      <c r="LCJ345" s="50"/>
      <c r="LCK345" s="50"/>
      <c r="LCL345" s="50"/>
      <c r="LCM345" s="50"/>
      <c r="LCN345" s="50"/>
      <c r="LCO345" s="50"/>
      <c r="LCP345" s="50"/>
      <c r="LCQ345" s="50"/>
      <c r="LCR345" s="50"/>
      <c r="LCS345" s="50"/>
      <c r="LCT345" s="50"/>
      <c r="LCU345" s="50"/>
      <c r="LCV345" s="50"/>
      <c r="LCW345" s="50"/>
      <c r="LCX345" s="50"/>
      <c r="LCY345" s="50"/>
      <c r="LCZ345" s="50"/>
      <c r="LDA345" s="50"/>
      <c r="LDB345" s="50"/>
      <c r="LDC345" s="50"/>
      <c r="LDD345" s="50"/>
      <c r="LDE345" s="50"/>
      <c r="LDF345" s="50"/>
      <c r="LDG345" s="50"/>
      <c r="LDH345" s="50"/>
      <c r="LDI345" s="50"/>
      <c r="LDJ345" s="50"/>
      <c r="LDK345" s="50"/>
      <c r="LDL345" s="50"/>
      <c r="LDM345" s="50"/>
      <c r="LDN345" s="50"/>
      <c r="LDO345" s="50"/>
      <c r="LDP345" s="50"/>
      <c r="LDQ345" s="50"/>
      <c r="LDR345" s="50"/>
      <c r="LDS345" s="50"/>
      <c r="LDT345" s="50"/>
      <c r="LDU345" s="50"/>
      <c r="LDV345" s="50"/>
      <c r="LDW345" s="50"/>
      <c r="LDX345" s="50"/>
      <c r="LDY345" s="50"/>
      <c r="LDZ345" s="50"/>
      <c r="LEA345" s="50"/>
      <c r="LEB345" s="50"/>
      <c r="LEC345" s="50"/>
      <c r="LED345" s="50"/>
      <c r="LEE345" s="50"/>
      <c r="LEF345" s="50"/>
      <c r="LEG345" s="50"/>
      <c r="LEH345" s="50"/>
      <c r="LEI345" s="50"/>
      <c r="LEJ345" s="50"/>
      <c r="LEK345" s="50"/>
      <c r="LEL345" s="50"/>
      <c r="LEM345" s="50"/>
      <c r="LEN345" s="50"/>
      <c r="LEO345" s="50"/>
      <c r="LEP345" s="50"/>
      <c r="LEQ345" s="50"/>
      <c r="LER345" s="50"/>
      <c r="LES345" s="50"/>
      <c r="LET345" s="50"/>
      <c r="LEU345" s="50"/>
      <c r="LEV345" s="50"/>
      <c r="LEW345" s="50"/>
      <c r="LEX345" s="50"/>
      <c r="LEY345" s="50"/>
      <c r="LEZ345" s="50"/>
      <c r="LFA345" s="50"/>
      <c r="LFB345" s="50"/>
      <c r="LFC345" s="50"/>
      <c r="LFD345" s="50"/>
      <c r="LFE345" s="50"/>
      <c r="LFF345" s="50"/>
      <c r="LFG345" s="50"/>
      <c r="LFH345" s="50"/>
      <c r="LFI345" s="50"/>
      <c r="LFJ345" s="50"/>
      <c r="LFK345" s="50"/>
      <c r="LFL345" s="50"/>
      <c r="LFM345" s="50"/>
      <c r="LFN345" s="50"/>
      <c r="LFO345" s="50"/>
      <c r="LFP345" s="50"/>
      <c r="LFQ345" s="50"/>
      <c r="LFR345" s="50"/>
      <c r="LFS345" s="50"/>
      <c r="LFT345" s="50"/>
      <c r="LFU345" s="50"/>
      <c r="LFV345" s="50"/>
      <c r="LFW345" s="50"/>
      <c r="LFX345" s="50"/>
      <c r="LFY345" s="50"/>
      <c r="LFZ345" s="50"/>
      <c r="LGA345" s="50"/>
      <c r="LGB345" s="50"/>
      <c r="LGC345" s="50"/>
      <c r="LGD345" s="50"/>
      <c r="LGE345" s="50"/>
      <c r="LGF345" s="50"/>
      <c r="LGG345" s="50"/>
      <c r="LGH345" s="50"/>
      <c r="LGI345" s="50"/>
      <c r="LGJ345" s="50"/>
      <c r="LGK345" s="50"/>
      <c r="LGL345" s="50"/>
      <c r="LGM345" s="50"/>
      <c r="LGN345" s="50"/>
      <c r="LGO345" s="50"/>
      <c r="LGP345" s="50"/>
      <c r="LGQ345" s="50"/>
      <c r="LGR345" s="50"/>
      <c r="LGS345" s="50"/>
      <c r="LGT345" s="50"/>
      <c r="LGU345" s="50"/>
      <c r="LGV345" s="50"/>
      <c r="LGW345" s="50"/>
      <c r="LGX345" s="50"/>
      <c r="LGY345" s="50"/>
      <c r="LGZ345" s="50"/>
      <c r="LHA345" s="50"/>
      <c r="LHB345" s="50"/>
      <c r="LHC345" s="50"/>
      <c r="LHD345" s="50"/>
      <c r="LHE345" s="50"/>
      <c r="LHF345" s="50"/>
      <c r="LHG345" s="50"/>
      <c r="LHH345" s="50"/>
      <c r="LHI345" s="50"/>
      <c r="LHJ345" s="50"/>
      <c r="LHK345" s="50"/>
      <c r="LHL345" s="50"/>
      <c r="LHM345" s="50"/>
      <c r="LHN345" s="50"/>
      <c r="LHO345" s="50"/>
      <c r="LHP345" s="50"/>
      <c r="LHQ345" s="50"/>
      <c r="LHR345" s="50"/>
      <c r="LHS345" s="50"/>
      <c r="LHT345" s="50"/>
      <c r="LHU345" s="50"/>
      <c r="LHV345" s="50"/>
      <c r="LHW345" s="50"/>
      <c r="LHX345" s="50"/>
      <c r="LHY345" s="50"/>
      <c r="LHZ345" s="50"/>
      <c r="LIA345" s="50"/>
      <c r="LIB345" s="50"/>
      <c r="LIC345" s="50"/>
      <c r="LID345" s="50"/>
      <c r="LIE345" s="50"/>
      <c r="LIF345" s="50"/>
      <c r="LIG345" s="50"/>
      <c r="LIH345" s="50"/>
      <c r="LII345" s="50"/>
      <c r="LIJ345" s="50"/>
      <c r="LIK345" s="50"/>
      <c r="LIL345" s="50"/>
      <c r="LIM345" s="50"/>
      <c r="LIN345" s="50"/>
      <c r="LIO345" s="50"/>
      <c r="LIP345" s="50"/>
      <c r="LIQ345" s="50"/>
      <c r="LIR345" s="50"/>
      <c r="LIS345" s="50"/>
      <c r="LIT345" s="50"/>
      <c r="LIU345" s="50"/>
      <c r="LIV345" s="50"/>
      <c r="LIW345" s="50"/>
      <c r="LIX345" s="50"/>
      <c r="LIY345" s="50"/>
      <c r="LIZ345" s="50"/>
      <c r="LJA345" s="50"/>
      <c r="LJB345" s="50"/>
      <c r="LJC345" s="50"/>
      <c r="LJD345" s="50"/>
      <c r="LJE345" s="50"/>
      <c r="LJF345" s="50"/>
      <c r="LJG345" s="50"/>
      <c r="LJH345" s="50"/>
      <c r="LJI345" s="50"/>
      <c r="LJJ345" s="50"/>
      <c r="LJK345" s="50"/>
      <c r="LJL345" s="50"/>
      <c r="LJM345" s="50"/>
      <c r="LJN345" s="50"/>
      <c r="LJO345" s="50"/>
      <c r="LJP345" s="50"/>
      <c r="LJQ345" s="50"/>
      <c r="LJR345" s="50"/>
      <c r="LJS345" s="50"/>
      <c r="LJT345" s="50"/>
      <c r="LJU345" s="50"/>
      <c r="LJV345" s="50"/>
      <c r="LJW345" s="50"/>
      <c r="LJX345" s="50"/>
      <c r="LJY345" s="50"/>
      <c r="LJZ345" s="50"/>
      <c r="LKA345" s="50"/>
      <c r="LKB345" s="50"/>
      <c r="LKC345" s="50"/>
      <c r="LKD345" s="50"/>
      <c r="LKE345" s="50"/>
      <c r="LKF345" s="50"/>
      <c r="LKG345" s="50"/>
      <c r="LKH345" s="50"/>
      <c r="LKI345" s="50"/>
      <c r="LKJ345" s="50"/>
      <c r="LKK345" s="50"/>
      <c r="LKL345" s="50"/>
      <c r="LKM345" s="50"/>
      <c r="LKN345" s="50"/>
      <c r="LKO345" s="50"/>
      <c r="LKP345" s="50"/>
      <c r="LKQ345" s="50"/>
      <c r="LKR345" s="50"/>
      <c r="LKS345" s="50"/>
      <c r="LKT345" s="50"/>
      <c r="LKU345" s="50"/>
      <c r="LKV345" s="50"/>
      <c r="LKW345" s="50"/>
      <c r="LKX345" s="50"/>
      <c r="LKY345" s="50"/>
      <c r="LKZ345" s="50"/>
      <c r="LLA345" s="50"/>
      <c r="LLB345" s="50"/>
      <c r="LLC345" s="50"/>
      <c r="LLD345" s="50"/>
      <c r="LLE345" s="50"/>
      <c r="LLF345" s="50"/>
      <c r="LLG345" s="50"/>
      <c r="LLH345" s="50"/>
      <c r="LLI345" s="50"/>
      <c r="LLJ345" s="50"/>
      <c r="LLK345" s="50"/>
      <c r="LLL345" s="50"/>
      <c r="LLM345" s="50"/>
      <c r="LLN345" s="50"/>
      <c r="LLO345" s="50"/>
      <c r="LLP345" s="50"/>
      <c r="LLQ345" s="50"/>
      <c r="LLR345" s="50"/>
      <c r="LLS345" s="50"/>
      <c r="LLT345" s="50"/>
      <c r="LLU345" s="50"/>
      <c r="LLV345" s="50"/>
      <c r="LLW345" s="50"/>
      <c r="LLX345" s="50"/>
      <c r="LLY345" s="50"/>
      <c r="LLZ345" s="50"/>
      <c r="LMA345" s="50"/>
      <c r="LMB345" s="50"/>
      <c r="LMC345" s="50"/>
      <c r="LMD345" s="50"/>
      <c r="LME345" s="50"/>
      <c r="LMF345" s="50"/>
      <c r="LMG345" s="50"/>
      <c r="LMH345" s="50"/>
      <c r="LMI345" s="50"/>
      <c r="LMJ345" s="50"/>
      <c r="LMK345" s="50"/>
      <c r="LML345" s="50"/>
      <c r="LMM345" s="50"/>
      <c r="LMN345" s="50"/>
      <c r="LMO345" s="50"/>
      <c r="LMP345" s="50"/>
      <c r="LMQ345" s="50"/>
      <c r="LMR345" s="50"/>
      <c r="LMS345" s="50"/>
      <c r="LMT345" s="50"/>
      <c r="LMU345" s="50"/>
      <c r="LMV345" s="50"/>
      <c r="LMW345" s="50"/>
      <c r="LMX345" s="50"/>
      <c r="LMY345" s="50"/>
      <c r="LMZ345" s="50"/>
      <c r="LNA345" s="50"/>
      <c r="LNB345" s="50"/>
      <c r="LNC345" s="50"/>
      <c r="LND345" s="50"/>
      <c r="LNE345" s="50"/>
      <c r="LNF345" s="50"/>
      <c r="LNG345" s="50"/>
      <c r="LNH345" s="50"/>
      <c r="LNI345" s="50"/>
      <c r="LNJ345" s="50"/>
      <c r="LNK345" s="50"/>
      <c r="LNL345" s="50"/>
      <c r="LNM345" s="50"/>
      <c r="LNN345" s="50"/>
      <c r="LNO345" s="50"/>
      <c r="LNP345" s="50"/>
      <c r="LNQ345" s="50"/>
      <c r="LNR345" s="50"/>
      <c r="LNS345" s="50"/>
      <c r="LNT345" s="50"/>
      <c r="LNU345" s="50"/>
      <c r="LNV345" s="50"/>
      <c r="LNW345" s="50"/>
      <c r="LNX345" s="50"/>
      <c r="LNY345" s="50"/>
      <c r="LNZ345" s="50"/>
      <c r="LOA345" s="50"/>
      <c r="LOB345" s="50"/>
      <c r="LOC345" s="50"/>
      <c r="LOD345" s="50"/>
      <c r="LOE345" s="50"/>
      <c r="LOF345" s="50"/>
      <c r="LOG345" s="50"/>
      <c r="LOH345" s="50"/>
      <c r="LOI345" s="50"/>
      <c r="LOJ345" s="50"/>
      <c r="LOK345" s="50"/>
      <c r="LOL345" s="50"/>
      <c r="LOM345" s="50"/>
      <c r="LON345" s="50"/>
      <c r="LOO345" s="50"/>
      <c r="LOP345" s="50"/>
      <c r="LOQ345" s="50"/>
      <c r="LOR345" s="50"/>
      <c r="LOS345" s="50"/>
      <c r="LOT345" s="50"/>
      <c r="LOU345" s="50"/>
      <c r="LOV345" s="50"/>
      <c r="LOW345" s="50"/>
      <c r="LOX345" s="50"/>
      <c r="LOY345" s="50"/>
      <c r="LOZ345" s="50"/>
      <c r="LPA345" s="50"/>
      <c r="LPB345" s="50"/>
      <c r="LPC345" s="50"/>
      <c r="LPD345" s="50"/>
      <c r="LPE345" s="50"/>
      <c r="LPF345" s="50"/>
      <c r="LPG345" s="50"/>
      <c r="LPH345" s="50"/>
      <c r="LPI345" s="50"/>
      <c r="LPJ345" s="50"/>
      <c r="LPK345" s="50"/>
      <c r="LPL345" s="50"/>
      <c r="LPM345" s="50"/>
      <c r="LPN345" s="50"/>
      <c r="LPO345" s="50"/>
      <c r="LPP345" s="50"/>
      <c r="LPQ345" s="50"/>
      <c r="LPR345" s="50"/>
      <c r="LPS345" s="50"/>
      <c r="LPT345" s="50"/>
      <c r="LPU345" s="50"/>
      <c r="LPV345" s="50"/>
      <c r="LPW345" s="50"/>
      <c r="LPX345" s="50"/>
      <c r="LPY345" s="50"/>
      <c r="LPZ345" s="50"/>
      <c r="LQA345" s="50"/>
      <c r="LQB345" s="50"/>
      <c r="LQC345" s="50"/>
      <c r="LQD345" s="50"/>
      <c r="LQE345" s="50"/>
      <c r="LQF345" s="50"/>
      <c r="LQG345" s="50"/>
      <c r="LQH345" s="50"/>
      <c r="LQI345" s="50"/>
      <c r="LQJ345" s="50"/>
      <c r="LQK345" s="50"/>
      <c r="LQL345" s="50"/>
      <c r="LQM345" s="50"/>
      <c r="LQN345" s="50"/>
      <c r="LQO345" s="50"/>
      <c r="LQP345" s="50"/>
      <c r="LQQ345" s="50"/>
      <c r="LQR345" s="50"/>
      <c r="LQS345" s="50"/>
      <c r="LQT345" s="50"/>
      <c r="LQU345" s="50"/>
      <c r="LQV345" s="50"/>
      <c r="LQW345" s="50"/>
      <c r="LQX345" s="50"/>
      <c r="LQY345" s="50"/>
      <c r="LQZ345" s="50"/>
      <c r="LRA345" s="50"/>
      <c r="LRB345" s="50"/>
      <c r="LRC345" s="50"/>
      <c r="LRD345" s="50"/>
      <c r="LRE345" s="50"/>
      <c r="LRF345" s="50"/>
      <c r="LRG345" s="50"/>
      <c r="LRH345" s="50"/>
      <c r="LRI345" s="50"/>
      <c r="LRJ345" s="50"/>
      <c r="LRK345" s="50"/>
      <c r="LRL345" s="50"/>
      <c r="LRM345" s="50"/>
      <c r="LRN345" s="50"/>
      <c r="LRO345" s="50"/>
      <c r="LRP345" s="50"/>
      <c r="LRQ345" s="50"/>
      <c r="LRR345" s="50"/>
      <c r="LRS345" s="50"/>
      <c r="LRT345" s="50"/>
      <c r="LRU345" s="50"/>
      <c r="LRV345" s="50"/>
      <c r="LRW345" s="50"/>
      <c r="LRX345" s="50"/>
      <c r="LRY345" s="50"/>
      <c r="LRZ345" s="50"/>
      <c r="LSA345" s="50"/>
      <c r="LSB345" s="50"/>
      <c r="LSC345" s="50"/>
      <c r="LSD345" s="50"/>
      <c r="LSE345" s="50"/>
      <c r="LSF345" s="50"/>
      <c r="LSG345" s="50"/>
      <c r="LSH345" s="50"/>
      <c r="LSI345" s="50"/>
      <c r="LSJ345" s="50"/>
      <c r="LSK345" s="50"/>
      <c r="LSL345" s="50"/>
      <c r="LSM345" s="50"/>
      <c r="LSN345" s="50"/>
      <c r="LSO345" s="50"/>
      <c r="LSP345" s="50"/>
      <c r="LSQ345" s="50"/>
      <c r="LSR345" s="50"/>
      <c r="LSS345" s="50"/>
      <c r="LST345" s="50"/>
      <c r="LSU345" s="50"/>
      <c r="LSV345" s="50"/>
      <c r="LSW345" s="50"/>
      <c r="LSX345" s="50"/>
      <c r="LSY345" s="50"/>
      <c r="LSZ345" s="50"/>
      <c r="LTA345" s="50"/>
      <c r="LTB345" s="50"/>
      <c r="LTC345" s="50"/>
      <c r="LTD345" s="50"/>
      <c r="LTE345" s="50"/>
      <c r="LTF345" s="50"/>
      <c r="LTG345" s="50"/>
      <c r="LTH345" s="50"/>
      <c r="LTI345" s="50"/>
      <c r="LTJ345" s="50"/>
      <c r="LTK345" s="50"/>
      <c r="LTL345" s="50"/>
      <c r="LTM345" s="50"/>
      <c r="LTN345" s="50"/>
      <c r="LTO345" s="50"/>
      <c r="LTP345" s="50"/>
      <c r="LTQ345" s="50"/>
      <c r="LTR345" s="50"/>
      <c r="LTS345" s="50"/>
      <c r="LTT345" s="50"/>
      <c r="LTU345" s="50"/>
      <c r="LTV345" s="50"/>
      <c r="LTW345" s="50"/>
      <c r="LTX345" s="50"/>
      <c r="LTY345" s="50"/>
      <c r="LTZ345" s="50"/>
      <c r="LUA345" s="50"/>
      <c r="LUB345" s="50"/>
      <c r="LUC345" s="50"/>
      <c r="LUD345" s="50"/>
      <c r="LUE345" s="50"/>
      <c r="LUF345" s="50"/>
      <c r="LUG345" s="50"/>
      <c r="LUH345" s="50"/>
      <c r="LUI345" s="50"/>
      <c r="LUJ345" s="50"/>
      <c r="LUK345" s="50"/>
      <c r="LUL345" s="50"/>
      <c r="LUM345" s="50"/>
      <c r="LUN345" s="50"/>
      <c r="LUO345" s="50"/>
      <c r="LUP345" s="50"/>
      <c r="LUQ345" s="50"/>
      <c r="LUR345" s="50"/>
      <c r="LUS345" s="50"/>
      <c r="LUT345" s="50"/>
      <c r="LUU345" s="50"/>
      <c r="LUV345" s="50"/>
      <c r="LUW345" s="50"/>
      <c r="LUX345" s="50"/>
      <c r="LUY345" s="50"/>
      <c r="LUZ345" s="50"/>
      <c r="LVA345" s="50"/>
      <c r="LVB345" s="50"/>
      <c r="LVC345" s="50"/>
      <c r="LVD345" s="50"/>
      <c r="LVE345" s="50"/>
      <c r="LVF345" s="50"/>
      <c r="LVG345" s="50"/>
      <c r="LVH345" s="50"/>
      <c r="LVI345" s="50"/>
      <c r="LVJ345" s="50"/>
      <c r="LVK345" s="50"/>
      <c r="LVL345" s="50"/>
      <c r="LVM345" s="50"/>
      <c r="LVN345" s="50"/>
      <c r="LVO345" s="50"/>
      <c r="LVP345" s="50"/>
      <c r="LVQ345" s="50"/>
      <c r="LVR345" s="50"/>
      <c r="LVS345" s="50"/>
      <c r="LVT345" s="50"/>
      <c r="LVU345" s="50"/>
      <c r="LVV345" s="50"/>
      <c r="LVW345" s="50"/>
      <c r="LVX345" s="50"/>
      <c r="LVY345" s="50"/>
      <c r="LVZ345" s="50"/>
      <c r="LWA345" s="50"/>
      <c r="LWB345" s="50"/>
      <c r="LWC345" s="50"/>
      <c r="LWD345" s="50"/>
      <c r="LWE345" s="50"/>
      <c r="LWF345" s="50"/>
      <c r="LWG345" s="50"/>
      <c r="LWH345" s="50"/>
      <c r="LWI345" s="50"/>
      <c r="LWJ345" s="50"/>
      <c r="LWK345" s="50"/>
      <c r="LWL345" s="50"/>
      <c r="LWM345" s="50"/>
      <c r="LWN345" s="50"/>
      <c r="LWO345" s="50"/>
      <c r="LWP345" s="50"/>
      <c r="LWQ345" s="50"/>
      <c r="LWR345" s="50"/>
      <c r="LWS345" s="50"/>
      <c r="LWT345" s="50"/>
      <c r="LWU345" s="50"/>
      <c r="LWV345" s="50"/>
      <c r="LWW345" s="50"/>
      <c r="LWX345" s="50"/>
      <c r="LWY345" s="50"/>
      <c r="LWZ345" s="50"/>
      <c r="LXA345" s="50"/>
      <c r="LXB345" s="50"/>
      <c r="LXC345" s="50"/>
      <c r="LXD345" s="50"/>
      <c r="LXE345" s="50"/>
      <c r="LXF345" s="50"/>
      <c r="LXG345" s="50"/>
      <c r="LXH345" s="50"/>
      <c r="LXI345" s="50"/>
      <c r="LXJ345" s="50"/>
      <c r="LXK345" s="50"/>
      <c r="LXL345" s="50"/>
      <c r="LXM345" s="50"/>
      <c r="LXN345" s="50"/>
      <c r="LXO345" s="50"/>
      <c r="LXP345" s="50"/>
      <c r="LXQ345" s="50"/>
      <c r="LXR345" s="50"/>
      <c r="LXS345" s="50"/>
      <c r="LXT345" s="50"/>
      <c r="LXU345" s="50"/>
      <c r="LXV345" s="50"/>
      <c r="LXW345" s="50"/>
      <c r="LXX345" s="50"/>
      <c r="LXY345" s="50"/>
      <c r="LXZ345" s="50"/>
      <c r="LYA345" s="50"/>
      <c r="LYB345" s="50"/>
      <c r="LYC345" s="50"/>
      <c r="LYD345" s="50"/>
      <c r="LYE345" s="50"/>
      <c r="LYF345" s="50"/>
      <c r="LYG345" s="50"/>
      <c r="LYH345" s="50"/>
      <c r="LYI345" s="50"/>
      <c r="LYJ345" s="50"/>
      <c r="LYK345" s="50"/>
      <c r="LYL345" s="50"/>
      <c r="LYM345" s="50"/>
      <c r="LYN345" s="50"/>
      <c r="LYO345" s="50"/>
      <c r="LYP345" s="50"/>
      <c r="LYQ345" s="50"/>
      <c r="LYR345" s="50"/>
      <c r="LYS345" s="50"/>
      <c r="LYT345" s="50"/>
      <c r="LYU345" s="50"/>
      <c r="LYV345" s="50"/>
      <c r="LYW345" s="50"/>
      <c r="LYX345" s="50"/>
      <c r="LYY345" s="50"/>
      <c r="LYZ345" s="50"/>
      <c r="LZA345" s="50"/>
      <c r="LZB345" s="50"/>
      <c r="LZC345" s="50"/>
      <c r="LZD345" s="50"/>
      <c r="LZE345" s="50"/>
      <c r="LZF345" s="50"/>
      <c r="LZG345" s="50"/>
      <c r="LZH345" s="50"/>
      <c r="LZI345" s="50"/>
      <c r="LZJ345" s="50"/>
      <c r="LZK345" s="50"/>
      <c r="LZL345" s="50"/>
      <c r="LZM345" s="50"/>
      <c r="LZN345" s="50"/>
      <c r="LZO345" s="50"/>
      <c r="LZP345" s="50"/>
      <c r="LZQ345" s="50"/>
      <c r="LZR345" s="50"/>
      <c r="LZS345" s="50"/>
      <c r="LZT345" s="50"/>
      <c r="LZU345" s="50"/>
      <c r="LZV345" s="50"/>
      <c r="LZW345" s="50"/>
      <c r="LZX345" s="50"/>
      <c r="LZY345" s="50"/>
      <c r="LZZ345" s="50"/>
      <c r="MAA345" s="50"/>
      <c r="MAB345" s="50"/>
      <c r="MAC345" s="50"/>
      <c r="MAD345" s="50"/>
      <c r="MAE345" s="50"/>
      <c r="MAF345" s="50"/>
      <c r="MAG345" s="50"/>
      <c r="MAH345" s="50"/>
      <c r="MAI345" s="50"/>
      <c r="MAJ345" s="50"/>
      <c r="MAK345" s="50"/>
      <c r="MAL345" s="50"/>
      <c r="MAM345" s="50"/>
      <c r="MAN345" s="50"/>
      <c r="MAO345" s="50"/>
      <c r="MAP345" s="50"/>
      <c r="MAQ345" s="50"/>
      <c r="MAR345" s="50"/>
      <c r="MAS345" s="50"/>
      <c r="MAT345" s="50"/>
      <c r="MAU345" s="50"/>
      <c r="MAV345" s="50"/>
      <c r="MAW345" s="50"/>
      <c r="MAX345" s="50"/>
      <c r="MAY345" s="50"/>
      <c r="MAZ345" s="50"/>
      <c r="MBA345" s="50"/>
      <c r="MBB345" s="50"/>
      <c r="MBC345" s="50"/>
      <c r="MBD345" s="50"/>
      <c r="MBE345" s="50"/>
      <c r="MBF345" s="50"/>
      <c r="MBG345" s="50"/>
      <c r="MBH345" s="50"/>
      <c r="MBI345" s="50"/>
      <c r="MBJ345" s="50"/>
      <c r="MBK345" s="50"/>
      <c r="MBL345" s="50"/>
      <c r="MBM345" s="50"/>
      <c r="MBN345" s="50"/>
      <c r="MBO345" s="50"/>
      <c r="MBP345" s="50"/>
      <c r="MBQ345" s="50"/>
      <c r="MBR345" s="50"/>
      <c r="MBS345" s="50"/>
      <c r="MBT345" s="50"/>
      <c r="MBU345" s="50"/>
      <c r="MBV345" s="50"/>
      <c r="MBW345" s="50"/>
      <c r="MBX345" s="50"/>
      <c r="MBY345" s="50"/>
      <c r="MBZ345" s="50"/>
      <c r="MCA345" s="50"/>
      <c r="MCB345" s="50"/>
      <c r="MCC345" s="50"/>
      <c r="MCD345" s="50"/>
      <c r="MCE345" s="50"/>
      <c r="MCF345" s="50"/>
      <c r="MCG345" s="50"/>
      <c r="MCH345" s="50"/>
      <c r="MCI345" s="50"/>
      <c r="MCJ345" s="50"/>
      <c r="MCK345" s="50"/>
      <c r="MCL345" s="50"/>
      <c r="MCM345" s="50"/>
      <c r="MCN345" s="50"/>
      <c r="MCO345" s="50"/>
      <c r="MCP345" s="50"/>
      <c r="MCQ345" s="50"/>
      <c r="MCR345" s="50"/>
      <c r="MCS345" s="50"/>
      <c r="MCT345" s="50"/>
      <c r="MCU345" s="50"/>
      <c r="MCV345" s="50"/>
      <c r="MCW345" s="50"/>
      <c r="MCX345" s="50"/>
      <c r="MCY345" s="50"/>
      <c r="MCZ345" s="50"/>
      <c r="MDA345" s="50"/>
      <c r="MDB345" s="50"/>
      <c r="MDC345" s="50"/>
      <c r="MDD345" s="50"/>
      <c r="MDE345" s="50"/>
      <c r="MDF345" s="50"/>
      <c r="MDG345" s="50"/>
      <c r="MDH345" s="50"/>
      <c r="MDI345" s="50"/>
      <c r="MDJ345" s="50"/>
      <c r="MDK345" s="50"/>
      <c r="MDL345" s="50"/>
      <c r="MDM345" s="50"/>
      <c r="MDN345" s="50"/>
      <c r="MDO345" s="50"/>
      <c r="MDP345" s="50"/>
      <c r="MDQ345" s="50"/>
      <c r="MDR345" s="50"/>
      <c r="MDS345" s="50"/>
      <c r="MDT345" s="50"/>
      <c r="MDU345" s="50"/>
      <c r="MDV345" s="50"/>
      <c r="MDW345" s="50"/>
      <c r="MDX345" s="50"/>
      <c r="MDY345" s="50"/>
      <c r="MDZ345" s="50"/>
      <c r="MEA345" s="50"/>
      <c r="MEB345" s="50"/>
      <c r="MEC345" s="50"/>
      <c r="MED345" s="50"/>
      <c r="MEE345" s="50"/>
      <c r="MEF345" s="50"/>
      <c r="MEG345" s="50"/>
      <c r="MEH345" s="50"/>
      <c r="MEI345" s="50"/>
      <c r="MEJ345" s="50"/>
      <c r="MEK345" s="50"/>
      <c r="MEL345" s="50"/>
      <c r="MEM345" s="50"/>
      <c r="MEN345" s="50"/>
      <c r="MEO345" s="50"/>
      <c r="MEP345" s="50"/>
      <c r="MEQ345" s="50"/>
      <c r="MER345" s="50"/>
      <c r="MES345" s="50"/>
      <c r="MET345" s="50"/>
      <c r="MEU345" s="50"/>
      <c r="MEV345" s="50"/>
      <c r="MEW345" s="50"/>
      <c r="MEX345" s="50"/>
      <c r="MEY345" s="50"/>
      <c r="MEZ345" s="50"/>
      <c r="MFA345" s="50"/>
      <c r="MFB345" s="50"/>
      <c r="MFC345" s="50"/>
      <c r="MFD345" s="50"/>
      <c r="MFE345" s="50"/>
      <c r="MFF345" s="50"/>
      <c r="MFG345" s="50"/>
      <c r="MFH345" s="50"/>
      <c r="MFI345" s="50"/>
      <c r="MFJ345" s="50"/>
      <c r="MFK345" s="50"/>
      <c r="MFL345" s="50"/>
      <c r="MFM345" s="50"/>
      <c r="MFN345" s="50"/>
      <c r="MFO345" s="50"/>
      <c r="MFP345" s="50"/>
      <c r="MFQ345" s="50"/>
      <c r="MFR345" s="50"/>
      <c r="MFS345" s="50"/>
      <c r="MFT345" s="50"/>
      <c r="MFU345" s="50"/>
      <c r="MFV345" s="50"/>
      <c r="MFW345" s="50"/>
      <c r="MFX345" s="50"/>
      <c r="MFY345" s="50"/>
      <c r="MFZ345" s="50"/>
      <c r="MGA345" s="50"/>
      <c r="MGB345" s="50"/>
      <c r="MGC345" s="50"/>
      <c r="MGD345" s="50"/>
      <c r="MGE345" s="50"/>
      <c r="MGF345" s="50"/>
      <c r="MGG345" s="50"/>
      <c r="MGH345" s="50"/>
      <c r="MGI345" s="50"/>
      <c r="MGJ345" s="50"/>
      <c r="MGK345" s="50"/>
      <c r="MGL345" s="50"/>
      <c r="MGM345" s="50"/>
      <c r="MGN345" s="50"/>
      <c r="MGO345" s="50"/>
      <c r="MGP345" s="50"/>
      <c r="MGQ345" s="50"/>
      <c r="MGR345" s="50"/>
      <c r="MGS345" s="50"/>
      <c r="MGT345" s="50"/>
      <c r="MGU345" s="50"/>
      <c r="MGV345" s="50"/>
      <c r="MGW345" s="50"/>
      <c r="MGX345" s="50"/>
      <c r="MGY345" s="50"/>
      <c r="MGZ345" s="50"/>
      <c r="MHA345" s="50"/>
      <c r="MHB345" s="50"/>
      <c r="MHC345" s="50"/>
      <c r="MHD345" s="50"/>
      <c r="MHE345" s="50"/>
      <c r="MHF345" s="50"/>
      <c r="MHG345" s="50"/>
      <c r="MHH345" s="50"/>
      <c r="MHI345" s="50"/>
      <c r="MHJ345" s="50"/>
      <c r="MHK345" s="50"/>
      <c r="MHL345" s="50"/>
      <c r="MHM345" s="50"/>
      <c r="MHN345" s="50"/>
      <c r="MHO345" s="50"/>
      <c r="MHP345" s="50"/>
      <c r="MHQ345" s="50"/>
      <c r="MHR345" s="50"/>
      <c r="MHS345" s="50"/>
      <c r="MHT345" s="50"/>
      <c r="MHU345" s="50"/>
      <c r="MHV345" s="50"/>
      <c r="MHW345" s="50"/>
      <c r="MHX345" s="50"/>
      <c r="MHY345" s="50"/>
      <c r="MHZ345" s="50"/>
      <c r="MIA345" s="50"/>
      <c r="MIB345" s="50"/>
      <c r="MIC345" s="50"/>
      <c r="MID345" s="50"/>
      <c r="MIE345" s="50"/>
      <c r="MIF345" s="50"/>
      <c r="MIG345" s="50"/>
      <c r="MIH345" s="50"/>
      <c r="MII345" s="50"/>
      <c r="MIJ345" s="50"/>
      <c r="MIK345" s="50"/>
      <c r="MIL345" s="50"/>
      <c r="MIM345" s="50"/>
      <c r="MIN345" s="50"/>
      <c r="MIO345" s="50"/>
      <c r="MIP345" s="50"/>
      <c r="MIQ345" s="50"/>
      <c r="MIR345" s="50"/>
      <c r="MIS345" s="50"/>
      <c r="MIT345" s="50"/>
      <c r="MIU345" s="50"/>
      <c r="MIV345" s="50"/>
      <c r="MIW345" s="50"/>
      <c r="MIX345" s="50"/>
      <c r="MIY345" s="50"/>
      <c r="MIZ345" s="50"/>
      <c r="MJA345" s="50"/>
      <c r="MJB345" s="50"/>
      <c r="MJC345" s="50"/>
      <c r="MJD345" s="50"/>
      <c r="MJE345" s="50"/>
      <c r="MJF345" s="50"/>
      <c r="MJG345" s="50"/>
      <c r="MJH345" s="50"/>
      <c r="MJI345" s="50"/>
      <c r="MJJ345" s="50"/>
      <c r="MJK345" s="50"/>
      <c r="MJL345" s="50"/>
      <c r="MJM345" s="50"/>
      <c r="MJN345" s="50"/>
      <c r="MJO345" s="50"/>
      <c r="MJP345" s="50"/>
      <c r="MJQ345" s="50"/>
      <c r="MJR345" s="50"/>
      <c r="MJS345" s="50"/>
      <c r="MJT345" s="50"/>
      <c r="MJU345" s="50"/>
      <c r="MJV345" s="50"/>
      <c r="MJW345" s="50"/>
      <c r="MJX345" s="50"/>
      <c r="MJY345" s="50"/>
      <c r="MJZ345" s="50"/>
      <c r="MKA345" s="50"/>
      <c r="MKB345" s="50"/>
      <c r="MKC345" s="50"/>
      <c r="MKD345" s="50"/>
      <c r="MKE345" s="50"/>
      <c r="MKF345" s="50"/>
      <c r="MKG345" s="50"/>
      <c r="MKH345" s="50"/>
      <c r="MKI345" s="50"/>
      <c r="MKJ345" s="50"/>
      <c r="MKK345" s="50"/>
      <c r="MKL345" s="50"/>
      <c r="MKM345" s="50"/>
      <c r="MKN345" s="50"/>
      <c r="MKO345" s="50"/>
      <c r="MKP345" s="50"/>
      <c r="MKQ345" s="50"/>
      <c r="MKR345" s="50"/>
      <c r="MKS345" s="50"/>
      <c r="MKT345" s="50"/>
      <c r="MKU345" s="50"/>
      <c r="MKV345" s="50"/>
      <c r="MKW345" s="50"/>
      <c r="MKX345" s="50"/>
      <c r="MKY345" s="50"/>
      <c r="MKZ345" s="50"/>
      <c r="MLA345" s="50"/>
      <c r="MLB345" s="50"/>
      <c r="MLC345" s="50"/>
      <c r="MLD345" s="50"/>
      <c r="MLE345" s="50"/>
      <c r="MLF345" s="50"/>
      <c r="MLG345" s="50"/>
      <c r="MLH345" s="50"/>
      <c r="MLI345" s="50"/>
      <c r="MLJ345" s="50"/>
      <c r="MLK345" s="50"/>
      <c r="MLL345" s="50"/>
      <c r="MLM345" s="50"/>
      <c r="MLN345" s="50"/>
      <c r="MLO345" s="50"/>
      <c r="MLP345" s="50"/>
      <c r="MLQ345" s="50"/>
      <c r="MLR345" s="50"/>
      <c r="MLS345" s="50"/>
      <c r="MLT345" s="50"/>
      <c r="MLU345" s="50"/>
      <c r="MLV345" s="50"/>
      <c r="MLW345" s="50"/>
      <c r="MLX345" s="50"/>
      <c r="MLY345" s="50"/>
      <c r="MLZ345" s="50"/>
      <c r="MMA345" s="50"/>
      <c r="MMB345" s="50"/>
      <c r="MMC345" s="50"/>
      <c r="MMD345" s="50"/>
      <c r="MME345" s="50"/>
      <c r="MMF345" s="50"/>
      <c r="MMG345" s="50"/>
      <c r="MMH345" s="50"/>
      <c r="MMI345" s="50"/>
      <c r="MMJ345" s="50"/>
      <c r="MMK345" s="50"/>
      <c r="MML345" s="50"/>
      <c r="MMM345" s="50"/>
      <c r="MMN345" s="50"/>
      <c r="MMO345" s="50"/>
      <c r="MMP345" s="50"/>
      <c r="MMQ345" s="50"/>
      <c r="MMR345" s="50"/>
      <c r="MMS345" s="50"/>
      <c r="MMT345" s="50"/>
      <c r="MMU345" s="50"/>
      <c r="MMV345" s="50"/>
      <c r="MMW345" s="50"/>
      <c r="MMX345" s="50"/>
      <c r="MMY345" s="50"/>
      <c r="MMZ345" s="50"/>
      <c r="MNA345" s="50"/>
      <c r="MNB345" s="50"/>
      <c r="MNC345" s="50"/>
      <c r="MND345" s="50"/>
      <c r="MNE345" s="50"/>
      <c r="MNF345" s="50"/>
      <c r="MNG345" s="50"/>
      <c r="MNH345" s="50"/>
      <c r="MNI345" s="50"/>
      <c r="MNJ345" s="50"/>
      <c r="MNK345" s="50"/>
      <c r="MNL345" s="50"/>
      <c r="MNM345" s="50"/>
      <c r="MNN345" s="50"/>
      <c r="MNO345" s="50"/>
      <c r="MNP345" s="50"/>
      <c r="MNQ345" s="50"/>
      <c r="MNR345" s="50"/>
      <c r="MNS345" s="50"/>
      <c r="MNT345" s="50"/>
      <c r="MNU345" s="50"/>
      <c r="MNV345" s="50"/>
      <c r="MNW345" s="50"/>
      <c r="MNX345" s="50"/>
      <c r="MNY345" s="50"/>
      <c r="MNZ345" s="50"/>
      <c r="MOA345" s="50"/>
      <c r="MOB345" s="50"/>
      <c r="MOC345" s="50"/>
      <c r="MOD345" s="50"/>
      <c r="MOE345" s="50"/>
      <c r="MOF345" s="50"/>
      <c r="MOG345" s="50"/>
      <c r="MOH345" s="50"/>
      <c r="MOI345" s="50"/>
      <c r="MOJ345" s="50"/>
      <c r="MOK345" s="50"/>
      <c r="MOL345" s="50"/>
      <c r="MOM345" s="50"/>
      <c r="MON345" s="50"/>
      <c r="MOO345" s="50"/>
      <c r="MOP345" s="50"/>
      <c r="MOQ345" s="50"/>
      <c r="MOR345" s="50"/>
      <c r="MOS345" s="50"/>
      <c r="MOT345" s="50"/>
      <c r="MOU345" s="50"/>
      <c r="MOV345" s="50"/>
      <c r="MOW345" s="50"/>
      <c r="MOX345" s="50"/>
      <c r="MOY345" s="50"/>
      <c r="MOZ345" s="50"/>
      <c r="MPA345" s="50"/>
      <c r="MPB345" s="50"/>
      <c r="MPC345" s="50"/>
      <c r="MPD345" s="50"/>
      <c r="MPE345" s="50"/>
      <c r="MPF345" s="50"/>
      <c r="MPG345" s="50"/>
      <c r="MPH345" s="50"/>
      <c r="MPI345" s="50"/>
      <c r="MPJ345" s="50"/>
      <c r="MPK345" s="50"/>
      <c r="MPL345" s="50"/>
      <c r="MPM345" s="50"/>
      <c r="MPN345" s="50"/>
      <c r="MPO345" s="50"/>
      <c r="MPP345" s="50"/>
      <c r="MPQ345" s="50"/>
      <c r="MPR345" s="50"/>
      <c r="MPS345" s="50"/>
      <c r="MPT345" s="50"/>
      <c r="MPU345" s="50"/>
      <c r="MPV345" s="50"/>
      <c r="MPW345" s="50"/>
      <c r="MPX345" s="50"/>
      <c r="MPY345" s="50"/>
      <c r="MPZ345" s="50"/>
      <c r="MQA345" s="50"/>
      <c r="MQB345" s="50"/>
      <c r="MQC345" s="50"/>
      <c r="MQD345" s="50"/>
      <c r="MQE345" s="50"/>
      <c r="MQF345" s="50"/>
      <c r="MQG345" s="50"/>
      <c r="MQH345" s="50"/>
      <c r="MQI345" s="50"/>
      <c r="MQJ345" s="50"/>
      <c r="MQK345" s="50"/>
      <c r="MQL345" s="50"/>
      <c r="MQM345" s="50"/>
      <c r="MQN345" s="50"/>
      <c r="MQO345" s="50"/>
      <c r="MQP345" s="50"/>
      <c r="MQQ345" s="50"/>
      <c r="MQR345" s="50"/>
      <c r="MQS345" s="50"/>
      <c r="MQT345" s="50"/>
      <c r="MQU345" s="50"/>
      <c r="MQV345" s="50"/>
      <c r="MQW345" s="50"/>
      <c r="MQX345" s="50"/>
      <c r="MQY345" s="50"/>
      <c r="MQZ345" s="50"/>
      <c r="MRA345" s="50"/>
      <c r="MRB345" s="50"/>
      <c r="MRC345" s="50"/>
      <c r="MRD345" s="50"/>
      <c r="MRE345" s="50"/>
      <c r="MRF345" s="50"/>
      <c r="MRG345" s="50"/>
      <c r="MRH345" s="50"/>
      <c r="MRI345" s="50"/>
      <c r="MRJ345" s="50"/>
      <c r="MRK345" s="50"/>
      <c r="MRL345" s="50"/>
      <c r="MRM345" s="50"/>
      <c r="MRN345" s="50"/>
      <c r="MRO345" s="50"/>
      <c r="MRP345" s="50"/>
      <c r="MRQ345" s="50"/>
      <c r="MRR345" s="50"/>
      <c r="MRS345" s="50"/>
      <c r="MRT345" s="50"/>
      <c r="MRU345" s="50"/>
      <c r="MRV345" s="50"/>
      <c r="MRW345" s="50"/>
      <c r="MRX345" s="50"/>
      <c r="MRY345" s="50"/>
      <c r="MRZ345" s="50"/>
      <c r="MSA345" s="50"/>
      <c r="MSB345" s="50"/>
      <c r="MSC345" s="50"/>
      <c r="MSD345" s="50"/>
      <c r="MSE345" s="50"/>
      <c r="MSF345" s="50"/>
      <c r="MSG345" s="50"/>
      <c r="MSH345" s="50"/>
      <c r="MSI345" s="50"/>
      <c r="MSJ345" s="50"/>
      <c r="MSK345" s="50"/>
      <c r="MSL345" s="50"/>
      <c r="MSM345" s="50"/>
      <c r="MSN345" s="50"/>
      <c r="MSO345" s="50"/>
      <c r="MSP345" s="50"/>
      <c r="MSQ345" s="50"/>
      <c r="MSR345" s="50"/>
      <c r="MSS345" s="50"/>
      <c r="MST345" s="50"/>
      <c r="MSU345" s="50"/>
      <c r="MSV345" s="50"/>
      <c r="MSW345" s="50"/>
      <c r="MSX345" s="50"/>
      <c r="MSY345" s="50"/>
      <c r="MSZ345" s="50"/>
      <c r="MTA345" s="50"/>
      <c r="MTB345" s="50"/>
      <c r="MTC345" s="50"/>
      <c r="MTD345" s="50"/>
      <c r="MTE345" s="50"/>
      <c r="MTF345" s="50"/>
      <c r="MTG345" s="50"/>
      <c r="MTH345" s="50"/>
      <c r="MTI345" s="50"/>
      <c r="MTJ345" s="50"/>
      <c r="MTK345" s="50"/>
      <c r="MTL345" s="50"/>
      <c r="MTM345" s="50"/>
      <c r="MTN345" s="50"/>
      <c r="MTO345" s="50"/>
      <c r="MTP345" s="50"/>
      <c r="MTQ345" s="50"/>
      <c r="MTR345" s="50"/>
      <c r="MTS345" s="50"/>
      <c r="MTT345" s="50"/>
      <c r="MTU345" s="50"/>
      <c r="MTV345" s="50"/>
      <c r="MTW345" s="50"/>
      <c r="MTX345" s="50"/>
      <c r="MTY345" s="50"/>
      <c r="MTZ345" s="50"/>
      <c r="MUA345" s="50"/>
      <c r="MUB345" s="50"/>
      <c r="MUC345" s="50"/>
      <c r="MUD345" s="50"/>
      <c r="MUE345" s="50"/>
      <c r="MUF345" s="50"/>
      <c r="MUG345" s="50"/>
      <c r="MUH345" s="50"/>
      <c r="MUI345" s="50"/>
      <c r="MUJ345" s="50"/>
      <c r="MUK345" s="50"/>
      <c r="MUL345" s="50"/>
      <c r="MUM345" s="50"/>
      <c r="MUN345" s="50"/>
      <c r="MUO345" s="50"/>
      <c r="MUP345" s="50"/>
      <c r="MUQ345" s="50"/>
      <c r="MUR345" s="50"/>
      <c r="MUS345" s="50"/>
      <c r="MUT345" s="50"/>
      <c r="MUU345" s="50"/>
      <c r="MUV345" s="50"/>
      <c r="MUW345" s="50"/>
      <c r="MUX345" s="50"/>
      <c r="MUY345" s="50"/>
      <c r="MUZ345" s="50"/>
      <c r="MVA345" s="50"/>
      <c r="MVB345" s="50"/>
      <c r="MVC345" s="50"/>
      <c r="MVD345" s="50"/>
      <c r="MVE345" s="50"/>
      <c r="MVF345" s="50"/>
      <c r="MVG345" s="50"/>
      <c r="MVH345" s="50"/>
      <c r="MVI345" s="50"/>
      <c r="MVJ345" s="50"/>
      <c r="MVK345" s="50"/>
      <c r="MVL345" s="50"/>
      <c r="MVM345" s="50"/>
      <c r="MVN345" s="50"/>
      <c r="MVO345" s="50"/>
      <c r="MVP345" s="50"/>
      <c r="MVQ345" s="50"/>
      <c r="MVR345" s="50"/>
      <c r="MVS345" s="50"/>
      <c r="MVT345" s="50"/>
      <c r="MVU345" s="50"/>
      <c r="MVV345" s="50"/>
      <c r="MVW345" s="50"/>
      <c r="MVX345" s="50"/>
      <c r="MVY345" s="50"/>
      <c r="MVZ345" s="50"/>
      <c r="MWA345" s="50"/>
      <c r="MWB345" s="50"/>
      <c r="MWC345" s="50"/>
      <c r="MWD345" s="50"/>
      <c r="MWE345" s="50"/>
      <c r="MWF345" s="50"/>
      <c r="MWG345" s="50"/>
      <c r="MWH345" s="50"/>
      <c r="MWI345" s="50"/>
      <c r="MWJ345" s="50"/>
      <c r="MWK345" s="50"/>
      <c r="MWL345" s="50"/>
      <c r="MWM345" s="50"/>
      <c r="MWN345" s="50"/>
      <c r="MWO345" s="50"/>
      <c r="MWP345" s="50"/>
      <c r="MWQ345" s="50"/>
      <c r="MWR345" s="50"/>
      <c r="MWS345" s="50"/>
      <c r="MWT345" s="50"/>
      <c r="MWU345" s="50"/>
      <c r="MWV345" s="50"/>
      <c r="MWW345" s="50"/>
      <c r="MWX345" s="50"/>
      <c r="MWY345" s="50"/>
      <c r="MWZ345" s="50"/>
      <c r="MXA345" s="50"/>
      <c r="MXB345" s="50"/>
      <c r="MXC345" s="50"/>
      <c r="MXD345" s="50"/>
      <c r="MXE345" s="50"/>
      <c r="MXF345" s="50"/>
      <c r="MXG345" s="50"/>
      <c r="MXH345" s="50"/>
      <c r="MXI345" s="50"/>
      <c r="MXJ345" s="50"/>
      <c r="MXK345" s="50"/>
      <c r="MXL345" s="50"/>
      <c r="MXM345" s="50"/>
      <c r="MXN345" s="50"/>
      <c r="MXO345" s="50"/>
      <c r="MXP345" s="50"/>
      <c r="MXQ345" s="50"/>
      <c r="MXR345" s="50"/>
      <c r="MXS345" s="50"/>
      <c r="MXT345" s="50"/>
      <c r="MXU345" s="50"/>
      <c r="MXV345" s="50"/>
      <c r="MXW345" s="50"/>
      <c r="MXX345" s="50"/>
      <c r="MXY345" s="50"/>
      <c r="MXZ345" s="50"/>
      <c r="MYA345" s="50"/>
      <c r="MYB345" s="50"/>
      <c r="MYC345" s="50"/>
      <c r="MYD345" s="50"/>
      <c r="MYE345" s="50"/>
      <c r="MYF345" s="50"/>
      <c r="MYG345" s="50"/>
      <c r="MYH345" s="50"/>
      <c r="MYI345" s="50"/>
      <c r="MYJ345" s="50"/>
      <c r="MYK345" s="50"/>
      <c r="MYL345" s="50"/>
      <c r="MYM345" s="50"/>
      <c r="MYN345" s="50"/>
      <c r="MYO345" s="50"/>
      <c r="MYP345" s="50"/>
      <c r="MYQ345" s="50"/>
      <c r="MYR345" s="50"/>
      <c r="MYS345" s="50"/>
      <c r="MYT345" s="50"/>
      <c r="MYU345" s="50"/>
      <c r="MYV345" s="50"/>
      <c r="MYW345" s="50"/>
      <c r="MYX345" s="50"/>
      <c r="MYY345" s="50"/>
      <c r="MYZ345" s="50"/>
      <c r="MZA345" s="50"/>
      <c r="MZB345" s="50"/>
      <c r="MZC345" s="50"/>
      <c r="MZD345" s="50"/>
      <c r="MZE345" s="50"/>
      <c r="MZF345" s="50"/>
      <c r="MZG345" s="50"/>
      <c r="MZH345" s="50"/>
      <c r="MZI345" s="50"/>
      <c r="MZJ345" s="50"/>
      <c r="MZK345" s="50"/>
      <c r="MZL345" s="50"/>
      <c r="MZM345" s="50"/>
      <c r="MZN345" s="50"/>
      <c r="MZO345" s="50"/>
      <c r="MZP345" s="50"/>
      <c r="MZQ345" s="50"/>
      <c r="MZR345" s="50"/>
      <c r="MZS345" s="50"/>
      <c r="MZT345" s="50"/>
      <c r="MZU345" s="50"/>
      <c r="MZV345" s="50"/>
      <c r="MZW345" s="50"/>
      <c r="MZX345" s="50"/>
      <c r="MZY345" s="50"/>
      <c r="MZZ345" s="50"/>
      <c r="NAA345" s="50"/>
      <c r="NAB345" s="50"/>
      <c r="NAC345" s="50"/>
      <c r="NAD345" s="50"/>
      <c r="NAE345" s="50"/>
      <c r="NAF345" s="50"/>
      <c r="NAG345" s="50"/>
      <c r="NAH345" s="50"/>
      <c r="NAI345" s="50"/>
      <c r="NAJ345" s="50"/>
      <c r="NAK345" s="50"/>
      <c r="NAL345" s="50"/>
      <c r="NAM345" s="50"/>
      <c r="NAN345" s="50"/>
      <c r="NAO345" s="50"/>
      <c r="NAP345" s="50"/>
      <c r="NAQ345" s="50"/>
      <c r="NAR345" s="50"/>
      <c r="NAS345" s="50"/>
      <c r="NAT345" s="50"/>
      <c r="NAU345" s="50"/>
      <c r="NAV345" s="50"/>
      <c r="NAW345" s="50"/>
      <c r="NAX345" s="50"/>
      <c r="NAY345" s="50"/>
      <c r="NAZ345" s="50"/>
      <c r="NBA345" s="50"/>
      <c r="NBB345" s="50"/>
      <c r="NBC345" s="50"/>
      <c r="NBD345" s="50"/>
      <c r="NBE345" s="50"/>
      <c r="NBF345" s="50"/>
      <c r="NBG345" s="50"/>
      <c r="NBH345" s="50"/>
      <c r="NBI345" s="50"/>
      <c r="NBJ345" s="50"/>
      <c r="NBK345" s="50"/>
      <c r="NBL345" s="50"/>
      <c r="NBM345" s="50"/>
      <c r="NBN345" s="50"/>
      <c r="NBO345" s="50"/>
      <c r="NBP345" s="50"/>
      <c r="NBQ345" s="50"/>
      <c r="NBR345" s="50"/>
      <c r="NBS345" s="50"/>
      <c r="NBT345" s="50"/>
      <c r="NBU345" s="50"/>
      <c r="NBV345" s="50"/>
      <c r="NBW345" s="50"/>
      <c r="NBX345" s="50"/>
      <c r="NBY345" s="50"/>
      <c r="NBZ345" s="50"/>
      <c r="NCA345" s="50"/>
      <c r="NCB345" s="50"/>
      <c r="NCC345" s="50"/>
      <c r="NCD345" s="50"/>
      <c r="NCE345" s="50"/>
      <c r="NCF345" s="50"/>
      <c r="NCG345" s="50"/>
      <c r="NCH345" s="50"/>
      <c r="NCI345" s="50"/>
      <c r="NCJ345" s="50"/>
      <c r="NCK345" s="50"/>
      <c r="NCL345" s="50"/>
      <c r="NCM345" s="50"/>
      <c r="NCN345" s="50"/>
      <c r="NCO345" s="50"/>
      <c r="NCP345" s="50"/>
      <c r="NCQ345" s="50"/>
      <c r="NCR345" s="50"/>
      <c r="NCS345" s="50"/>
      <c r="NCT345" s="50"/>
      <c r="NCU345" s="50"/>
      <c r="NCV345" s="50"/>
      <c r="NCW345" s="50"/>
      <c r="NCX345" s="50"/>
      <c r="NCY345" s="50"/>
      <c r="NCZ345" s="50"/>
      <c r="NDA345" s="50"/>
      <c r="NDB345" s="50"/>
      <c r="NDC345" s="50"/>
      <c r="NDD345" s="50"/>
      <c r="NDE345" s="50"/>
      <c r="NDF345" s="50"/>
      <c r="NDG345" s="50"/>
      <c r="NDH345" s="50"/>
      <c r="NDI345" s="50"/>
      <c r="NDJ345" s="50"/>
      <c r="NDK345" s="50"/>
      <c r="NDL345" s="50"/>
      <c r="NDM345" s="50"/>
      <c r="NDN345" s="50"/>
      <c r="NDO345" s="50"/>
      <c r="NDP345" s="50"/>
      <c r="NDQ345" s="50"/>
      <c r="NDR345" s="50"/>
      <c r="NDS345" s="50"/>
      <c r="NDT345" s="50"/>
      <c r="NDU345" s="50"/>
      <c r="NDV345" s="50"/>
      <c r="NDW345" s="50"/>
      <c r="NDX345" s="50"/>
      <c r="NDY345" s="50"/>
      <c r="NDZ345" s="50"/>
      <c r="NEA345" s="50"/>
      <c r="NEB345" s="50"/>
      <c r="NEC345" s="50"/>
      <c r="NED345" s="50"/>
      <c r="NEE345" s="50"/>
      <c r="NEF345" s="50"/>
      <c r="NEG345" s="50"/>
      <c r="NEH345" s="50"/>
      <c r="NEI345" s="50"/>
      <c r="NEJ345" s="50"/>
      <c r="NEK345" s="50"/>
      <c r="NEL345" s="50"/>
      <c r="NEM345" s="50"/>
      <c r="NEN345" s="50"/>
      <c r="NEO345" s="50"/>
      <c r="NEP345" s="50"/>
      <c r="NEQ345" s="50"/>
      <c r="NER345" s="50"/>
      <c r="NES345" s="50"/>
      <c r="NET345" s="50"/>
      <c r="NEU345" s="50"/>
      <c r="NEV345" s="50"/>
      <c r="NEW345" s="50"/>
      <c r="NEX345" s="50"/>
      <c r="NEY345" s="50"/>
      <c r="NEZ345" s="50"/>
      <c r="NFA345" s="50"/>
      <c r="NFB345" s="50"/>
      <c r="NFC345" s="50"/>
      <c r="NFD345" s="50"/>
      <c r="NFE345" s="50"/>
      <c r="NFF345" s="50"/>
      <c r="NFG345" s="50"/>
      <c r="NFH345" s="50"/>
      <c r="NFI345" s="50"/>
      <c r="NFJ345" s="50"/>
      <c r="NFK345" s="50"/>
      <c r="NFL345" s="50"/>
      <c r="NFM345" s="50"/>
      <c r="NFN345" s="50"/>
      <c r="NFO345" s="50"/>
      <c r="NFP345" s="50"/>
      <c r="NFQ345" s="50"/>
      <c r="NFR345" s="50"/>
      <c r="NFS345" s="50"/>
      <c r="NFT345" s="50"/>
      <c r="NFU345" s="50"/>
      <c r="NFV345" s="50"/>
      <c r="NFW345" s="50"/>
      <c r="NFX345" s="50"/>
      <c r="NFY345" s="50"/>
      <c r="NFZ345" s="50"/>
      <c r="NGA345" s="50"/>
      <c r="NGB345" s="50"/>
      <c r="NGC345" s="50"/>
      <c r="NGD345" s="50"/>
      <c r="NGE345" s="50"/>
      <c r="NGF345" s="50"/>
      <c r="NGG345" s="50"/>
      <c r="NGH345" s="50"/>
      <c r="NGI345" s="50"/>
      <c r="NGJ345" s="50"/>
      <c r="NGK345" s="50"/>
      <c r="NGL345" s="50"/>
      <c r="NGM345" s="50"/>
      <c r="NGN345" s="50"/>
      <c r="NGO345" s="50"/>
      <c r="NGP345" s="50"/>
      <c r="NGQ345" s="50"/>
      <c r="NGR345" s="50"/>
      <c r="NGS345" s="50"/>
      <c r="NGT345" s="50"/>
      <c r="NGU345" s="50"/>
      <c r="NGV345" s="50"/>
      <c r="NGW345" s="50"/>
      <c r="NGX345" s="50"/>
      <c r="NGY345" s="50"/>
      <c r="NGZ345" s="50"/>
      <c r="NHA345" s="50"/>
      <c r="NHB345" s="50"/>
      <c r="NHC345" s="50"/>
      <c r="NHD345" s="50"/>
      <c r="NHE345" s="50"/>
      <c r="NHF345" s="50"/>
      <c r="NHG345" s="50"/>
      <c r="NHH345" s="50"/>
      <c r="NHI345" s="50"/>
      <c r="NHJ345" s="50"/>
      <c r="NHK345" s="50"/>
      <c r="NHL345" s="50"/>
      <c r="NHM345" s="50"/>
      <c r="NHN345" s="50"/>
      <c r="NHO345" s="50"/>
      <c r="NHP345" s="50"/>
      <c r="NHQ345" s="50"/>
      <c r="NHR345" s="50"/>
      <c r="NHS345" s="50"/>
      <c r="NHT345" s="50"/>
      <c r="NHU345" s="50"/>
      <c r="NHV345" s="50"/>
      <c r="NHW345" s="50"/>
      <c r="NHX345" s="50"/>
      <c r="NHY345" s="50"/>
      <c r="NHZ345" s="50"/>
      <c r="NIA345" s="50"/>
      <c r="NIB345" s="50"/>
      <c r="NIC345" s="50"/>
      <c r="NID345" s="50"/>
      <c r="NIE345" s="50"/>
      <c r="NIF345" s="50"/>
      <c r="NIG345" s="50"/>
      <c r="NIH345" s="50"/>
      <c r="NII345" s="50"/>
      <c r="NIJ345" s="50"/>
      <c r="NIK345" s="50"/>
      <c r="NIL345" s="50"/>
      <c r="NIM345" s="50"/>
      <c r="NIN345" s="50"/>
      <c r="NIO345" s="50"/>
      <c r="NIP345" s="50"/>
      <c r="NIQ345" s="50"/>
      <c r="NIR345" s="50"/>
      <c r="NIS345" s="50"/>
      <c r="NIT345" s="50"/>
      <c r="NIU345" s="50"/>
      <c r="NIV345" s="50"/>
      <c r="NIW345" s="50"/>
      <c r="NIX345" s="50"/>
      <c r="NIY345" s="50"/>
      <c r="NIZ345" s="50"/>
      <c r="NJA345" s="50"/>
      <c r="NJB345" s="50"/>
      <c r="NJC345" s="50"/>
      <c r="NJD345" s="50"/>
      <c r="NJE345" s="50"/>
      <c r="NJF345" s="50"/>
      <c r="NJG345" s="50"/>
      <c r="NJH345" s="50"/>
      <c r="NJI345" s="50"/>
      <c r="NJJ345" s="50"/>
      <c r="NJK345" s="50"/>
      <c r="NJL345" s="50"/>
      <c r="NJM345" s="50"/>
      <c r="NJN345" s="50"/>
      <c r="NJO345" s="50"/>
      <c r="NJP345" s="50"/>
      <c r="NJQ345" s="50"/>
      <c r="NJR345" s="50"/>
      <c r="NJS345" s="50"/>
      <c r="NJT345" s="50"/>
      <c r="NJU345" s="50"/>
      <c r="NJV345" s="50"/>
      <c r="NJW345" s="50"/>
      <c r="NJX345" s="50"/>
      <c r="NJY345" s="50"/>
      <c r="NJZ345" s="50"/>
      <c r="NKA345" s="50"/>
      <c r="NKB345" s="50"/>
      <c r="NKC345" s="50"/>
      <c r="NKD345" s="50"/>
      <c r="NKE345" s="50"/>
      <c r="NKF345" s="50"/>
      <c r="NKG345" s="50"/>
      <c r="NKH345" s="50"/>
      <c r="NKI345" s="50"/>
      <c r="NKJ345" s="50"/>
      <c r="NKK345" s="50"/>
      <c r="NKL345" s="50"/>
      <c r="NKM345" s="50"/>
      <c r="NKN345" s="50"/>
      <c r="NKO345" s="50"/>
      <c r="NKP345" s="50"/>
      <c r="NKQ345" s="50"/>
      <c r="NKR345" s="50"/>
      <c r="NKS345" s="50"/>
      <c r="NKT345" s="50"/>
      <c r="NKU345" s="50"/>
      <c r="NKV345" s="50"/>
      <c r="NKW345" s="50"/>
      <c r="NKX345" s="50"/>
      <c r="NKY345" s="50"/>
      <c r="NKZ345" s="50"/>
      <c r="NLA345" s="50"/>
      <c r="NLB345" s="50"/>
      <c r="NLC345" s="50"/>
      <c r="NLD345" s="50"/>
      <c r="NLE345" s="50"/>
      <c r="NLF345" s="50"/>
      <c r="NLG345" s="50"/>
      <c r="NLH345" s="50"/>
      <c r="NLI345" s="50"/>
      <c r="NLJ345" s="50"/>
      <c r="NLK345" s="50"/>
      <c r="NLL345" s="50"/>
      <c r="NLM345" s="50"/>
      <c r="NLN345" s="50"/>
      <c r="NLO345" s="50"/>
      <c r="NLP345" s="50"/>
      <c r="NLQ345" s="50"/>
      <c r="NLR345" s="50"/>
      <c r="NLS345" s="50"/>
      <c r="NLT345" s="50"/>
      <c r="NLU345" s="50"/>
      <c r="NLV345" s="50"/>
      <c r="NLW345" s="50"/>
      <c r="NLX345" s="50"/>
      <c r="NLY345" s="50"/>
      <c r="NLZ345" s="50"/>
      <c r="NMA345" s="50"/>
      <c r="NMB345" s="50"/>
      <c r="NMC345" s="50"/>
      <c r="NMD345" s="50"/>
      <c r="NME345" s="50"/>
      <c r="NMF345" s="50"/>
      <c r="NMG345" s="50"/>
      <c r="NMH345" s="50"/>
      <c r="NMI345" s="50"/>
      <c r="NMJ345" s="50"/>
      <c r="NMK345" s="50"/>
      <c r="NML345" s="50"/>
      <c r="NMM345" s="50"/>
      <c r="NMN345" s="50"/>
      <c r="NMO345" s="50"/>
      <c r="NMP345" s="50"/>
      <c r="NMQ345" s="50"/>
      <c r="NMR345" s="50"/>
      <c r="NMS345" s="50"/>
      <c r="NMT345" s="50"/>
      <c r="NMU345" s="50"/>
      <c r="NMV345" s="50"/>
      <c r="NMW345" s="50"/>
      <c r="NMX345" s="50"/>
      <c r="NMY345" s="50"/>
      <c r="NMZ345" s="50"/>
      <c r="NNA345" s="50"/>
      <c r="NNB345" s="50"/>
      <c r="NNC345" s="50"/>
      <c r="NND345" s="50"/>
      <c r="NNE345" s="50"/>
      <c r="NNF345" s="50"/>
      <c r="NNG345" s="50"/>
      <c r="NNH345" s="50"/>
      <c r="NNI345" s="50"/>
      <c r="NNJ345" s="50"/>
      <c r="NNK345" s="50"/>
      <c r="NNL345" s="50"/>
      <c r="NNM345" s="50"/>
      <c r="NNN345" s="50"/>
      <c r="NNO345" s="50"/>
      <c r="NNP345" s="50"/>
      <c r="NNQ345" s="50"/>
      <c r="NNR345" s="50"/>
      <c r="NNS345" s="50"/>
      <c r="NNT345" s="50"/>
      <c r="NNU345" s="50"/>
      <c r="NNV345" s="50"/>
      <c r="NNW345" s="50"/>
      <c r="NNX345" s="50"/>
      <c r="NNY345" s="50"/>
      <c r="NNZ345" s="50"/>
      <c r="NOA345" s="50"/>
      <c r="NOB345" s="50"/>
      <c r="NOC345" s="50"/>
      <c r="NOD345" s="50"/>
      <c r="NOE345" s="50"/>
      <c r="NOF345" s="50"/>
      <c r="NOG345" s="50"/>
      <c r="NOH345" s="50"/>
      <c r="NOI345" s="50"/>
      <c r="NOJ345" s="50"/>
      <c r="NOK345" s="50"/>
      <c r="NOL345" s="50"/>
      <c r="NOM345" s="50"/>
      <c r="NON345" s="50"/>
      <c r="NOO345" s="50"/>
      <c r="NOP345" s="50"/>
      <c r="NOQ345" s="50"/>
      <c r="NOR345" s="50"/>
      <c r="NOS345" s="50"/>
      <c r="NOT345" s="50"/>
      <c r="NOU345" s="50"/>
      <c r="NOV345" s="50"/>
      <c r="NOW345" s="50"/>
      <c r="NOX345" s="50"/>
      <c r="NOY345" s="50"/>
      <c r="NOZ345" s="50"/>
      <c r="NPA345" s="50"/>
      <c r="NPB345" s="50"/>
      <c r="NPC345" s="50"/>
      <c r="NPD345" s="50"/>
      <c r="NPE345" s="50"/>
      <c r="NPF345" s="50"/>
      <c r="NPG345" s="50"/>
      <c r="NPH345" s="50"/>
      <c r="NPI345" s="50"/>
      <c r="NPJ345" s="50"/>
      <c r="NPK345" s="50"/>
      <c r="NPL345" s="50"/>
      <c r="NPM345" s="50"/>
      <c r="NPN345" s="50"/>
      <c r="NPO345" s="50"/>
      <c r="NPP345" s="50"/>
      <c r="NPQ345" s="50"/>
      <c r="NPR345" s="50"/>
      <c r="NPS345" s="50"/>
      <c r="NPT345" s="50"/>
      <c r="NPU345" s="50"/>
      <c r="NPV345" s="50"/>
      <c r="NPW345" s="50"/>
      <c r="NPX345" s="50"/>
      <c r="NPY345" s="50"/>
      <c r="NPZ345" s="50"/>
      <c r="NQA345" s="50"/>
      <c r="NQB345" s="50"/>
      <c r="NQC345" s="50"/>
      <c r="NQD345" s="50"/>
      <c r="NQE345" s="50"/>
      <c r="NQF345" s="50"/>
      <c r="NQG345" s="50"/>
      <c r="NQH345" s="50"/>
      <c r="NQI345" s="50"/>
      <c r="NQJ345" s="50"/>
      <c r="NQK345" s="50"/>
      <c r="NQL345" s="50"/>
      <c r="NQM345" s="50"/>
      <c r="NQN345" s="50"/>
      <c r="NQO345" s="50"/>
      <c r="NQP345" s="50"/>
      <c r="NQQ345" s="50"/>
      <c r="NQR345" s="50"/>
      <c r="NQS345" s="50"/>
      <c r="NQT345" s="50"/>
      <c r="NQU345" s="50"/>
      <c r="NQV345" s="50"/>
      <c r="NQW345" s="50"/>
      <c r="NQX345" s="50"/>
      <c r="NQY345" s="50"/>
      <c r="NQZ345" s="50"/>
      <c r="NRA345" s="50"/>
      <c r="NRB345" s="50"/>
      <c r="NRC345" s="50"/>
      <c r="NRD345" s="50"/>
      <c r="NRE345" s="50"/>
      <c r="NRF345" s="50"/>
      <c r="NRG345" s="50"/>
      <c r="NRH345" s="50"/>
      <c r="NRI345" s="50"/>
      <c r="NRJ345" s="50"/>
      <c r="NRK345" s="50"/>
      <c r="NRL345" s="50"/>
      <c r="NRM345" s="50"/>
      <c r="NRN345" s="50"/>
      <c r="NRO345" s="50"/>
      <c r="NRP345" s="50"/>
      <c r="NRQ345" s="50"/>
      <c r="NRR345" s="50"/>
      <c r="NRS345" s="50"/>
      <c r="NRT345" s="50"/>
      <c r="NRU345" s="50"/>
      <c r="NRV345" s="50"/>
      <c r="NRW345" s="50"/>
      <c r="NRX345" s="50"/>
      <c r="NRY345" s="50"/>
      <c r="NRZ345" s="50"/>
      <c r="NSA345" s="50"/>
      <c r="NSB345" s="50"/>
      <c r="NSC345" s="50"/>
      <c r="NSD345" s="50"/>
      <c r="NSE345" s="50"/>
      <c r="NSF345" s="50"/>
      <c r="NSG345" s="50"/>
      <c r="NSH345" s="50"/>
      <c r="NSI345" s="50"/>
      <c r="NSJ345" s="50"/>
      <c r="NSK345" s="50"/>
      <c r="NSL345" s="50"/>
      <c r="NSM345" s="50"/>
      <c r="NSN345" s="50"/>
      <c r="NSO345" s="50"/>
      <c r="NSP345" s="50"/>
      <c r="NSQ345" s="50"/>
      <c r="NSR345" s="50"/>
      <c r="NSS345" s="50"/>
      <c r="NST345" s="50"/>
      <c r="NSU345" s="50"/>
      <c r="NSV345" s="50"/>
      <c r="NSW345" s="50"/>
      <c r="NSX345" s="50"/>
      <c r="NSY345" s="50"/>
      <c r="NSZ345" s="50"/>
      <c r="NTA345" s="50"/>
      <c r="NTB345" s="50"/>
      <c r="NTC345" s="50"/>
      <c r="NTD345" s="50"/>
      <c r="NTE345" s="50"/>
      <c r="NTF345" s="50"/>
      <c r="NTG345" s="50"/>
      <c r="NTH345" s="50"/>
      <c r="NTI345" s="50"/>
      <c r="NTJ345" s="50"/>
      <c r="NTK345" s="50"/>
      <c r="NTL345" s="50"/>
      <c r="NTM345" s="50"/>
      <c r="NTN345" s="50"/>
      <c r="NTO345" s="50"/>
      <c r="NTP345" s="50"/>
      <c r="NTQ345" s="50"/>
      <c r="NTR345" s="50"/>
      <c r="NTS345" s="50"/>
      <c r="NTT345" s="50"/>
      <c r="NTU345" s="50"/>
      <c r="NTV345" s="50"/>
      <c r="NTW345" s="50"/>
      <c r="NTX345" s="50"/>
      <c r="NTY345" s="50"/>
      <c r="NTZ345" s="50"/>
      <c r="NUA345" s="50"/>
      <c r="NUB345" s="50"/>
      <c r="NUC345" s="50"/>
      <c r="NUD345" s="50"/>
      <c r="NUE345" s="50"/>
      <c r="NUF345" s="50"/>
      <c r="NUG345" s="50"/>
      <c r="NUH345" s="50"/>
      <c r="NUI345" s="50"/>
      <c r="NUJ345" s="50"/>
      <c r="NUK345" s="50"/>
      <c r="NUL345" s="50"/>
      <c r="NUM345" s="50"/>
      <c r="NUN345" s="50"/>
      <c r="NUO345" s="50"/>
      <c r="NUP345" s="50"/>
      <c r="NUQ345" s="50"/>
      <c r="NUR345" s="50"/>
      <c r="NUS345" s="50"/>
      <c r="NUT345" s="50"/>
      <c r="NUU345" s="50"/>
      <c r="NUV345" s="50"/>
      <c r="NUW345" s="50"/>
      <c r="NUX345" s="50"/>
      <c r="NUY345" s="50"/>
      <c r="NUZ345" s="50"/>
      <c r="NVA345" s="50"/>
      <c r="NVB345" s="50"/>
      <c r="NVC345" s="50"/>
      <c r="NVD345" s="50"/>
      <c r="NVE345" s="50"/>
      <c r="NVF345" s="50"/>
      <c r="NVG345" s="50"/>
      <c r="NVH345" s="50"/>
      <c r="NVI345" s="50"/>
      <c r="NVJ345" s="50"/>
      <c r="NVK345" s="50"/>
      <c r="NVL345" s="50"/>
      <c r="NVM345" s="50"/>
      <c r="NVN345" s="50"/>
      <c r="NVO345" s="50"/>
      <c r="NVP345" s="50"/>
      <c r="NVQ345" s="50"/>
      <c r="NVR345" s="50"/>
      <c r="NVS345" s="50"/>
      <c r="NVT345" s="50"/>
      <c r="NVU345" s="50"/>
      <c r="NVV345" s="50"/>
      <c r="NVW345" s="50"/>
      <c r="NVX345" s="50"/>
      <c r="NVY345" s="50"/>
      <c r="NVZ345" s="50"/>
      <c r="NWA345" s="50"/>
      <c r="NWB345" s="50"/>
      <c r="NWC345" s="50"/>
      <c r="NWD345" s="50"/>
      <c r="NWE345" s="50"/>
      <c r="NWF345" s="50"/>
      <c r="NWG345" s="50"/>
      <c r="NWH345" s="50"/>
      <c r="NWI345" s="50"/>
      <c r="NWJ345" s="50"/>
      <c r="NWK345" s="50"/>
      <c r="NWL345" s="50"/>
      <c r="NWM345" s="50"/>
      <c r="NWN345" s="50"/>
      <c r="NWO345" s="50"/>
      <c r="NWP345" s="50"/>
      <c r="NWQ345" s="50"/>
      <c r="NWR345" s="50"/>
      <c r="NWS345" s="50"/>
      <c r="NWT345" s="50"/>
      <c r="NWU345" s="50"/>
      <c r="NWV345" s="50"/>
      <c r="NWW345" s="50"/>
      <c r="NWX345" s="50"/>
      <c r="NWY345" s="50"/>
      <c r="NWZ345" s="50"/>
      <c r="NXA345" s="50"/>
      <c r="NXB345" s="50"/>
      <c r="NXC345" s="50"/>
      <c r="NXD345" s="50"/>
      <c r="NXE345" s="50"/>
      <c r="NXF345" s="50"/>
      <c r="NXG345" s="50"/>
      <c r="NXH345" s="50"/>
      <c r="NXI345" s="50"/>
      <c r="NXJ345" s="50"/>
      <c r="NXK345" s="50"/>
      <c r="NXL345" s="50"/>
      <c r="NXM345" s="50"/>
      <c r="NXN345" s="50"/>
      <c r="NXO345" s="50"/>
      <c r="NXP345" s="50"/>
      <c r="NXQ345" s="50"/>
      <c r="NXR345" s="50"/>
      <c r="NXS345" s="50"/>
      <c r="NXT345" s="50"/>
      <c r="NXU345" s="50"/>
      <c r="NXV345" s="50"/>
      <c r="NXW345" s="50"/>
      <c r="NXX345" s="50"/>
      <c r="NXY345" s="50"/>
      <c r="NXZ345" s="50"/>
      <c r="NYA345" s="50"/>
      <c r="NYB345" s="50"/>
      <c r="NYC345" s="50"/>
      <c r="NYD345" s="50"/>
      <c r="NYE345" s="50"/>
      <c r="NYF345" s="50"/>
      <c r="NYG345" s="50"/>
      <c r="NYH345" s="50"/>
      <c r="NYI345" s="50"/>
      <c r="NYJ345" s="50"/>
      <c r="NYK345" s="50"/>
      <c r="NYL345" s="50"/>
      <c r="NYM345" s="50"/>
      <c r="NYN345" s="50"/>
      <c r="NYO345" s="50"/>
      <c r="NYP345" s="50"/>
      <c r="NYQ345" s="50"/>
      <c r="NYR345" s="50"/>
      <c r="NYS345" s="50"/>
      <c r="NYT345" s="50"/>
      <c r="NYU345" s="50"/>
      <c r="NYV345" s="50"/>
      <c r="NYW345" s="50"/>
      <c r="NYX345" s="50"/>
      <c r="NYY345" s="50"/>
      <c r="NYZ345" s="50"/>
      <c r="NZA345" s="50"/>
      <c r="NZB345" s="50"/>
      <c r="NZC345" s="50"/>
      <c r="NZD345" s="50"/>
      <c r="NZE345" s="50"/>
      <c r="NZF345" s="50"/>
      <c r="NZG345" s="50"/>
      <c r="NZH345" s="50"/>
      <c r="NZI345" s="50"/>
      <c r="NZJ345" s="50"/>
      <c r="NZK345" s="50"/>
      <c r="NZL345" s="50"/>
      <c r="NZM345" s="50"/>
      <c r="NZN345" s="50"/>
      <c r="NZO345" s="50"/>
      <c r="NZP345" s="50"/>
      <c r="NZQ345" s="50"/>
      <c r="NZR345" s="50"/>
      <c r="NZS345" s="50"/>
      <c r="NZT345" s="50"/>
      <c r="NZU345" s="50"/>
      <c r="NZV345" s="50"/>
      <c r="NZW345" s="50"/>
      <c r="NZX345" s="50"/>
      <c r="NZY345" s="50"/>
      <c r="NZZ345" s="50"/>
      <c r="OAA345" s="50"/>
      <c r="OAB345" s="50"/>
      <c r="OAC345" s="50"/>
      <c r="OAD345" s="50"/>
      <c r="OAE345" s="50"/>
      <c r="OAF345" s="50"/>
      <c r="OAG345" s="50"/>
      <c r="OAH345" s="50"/>
      <c r="OAI345" s="50"/>
      <c r="OAJ345" s="50"/>
      <c r="OAK345" s="50"/>
      <c r="OAL345" s="50"/>
      <c r="OAM345" s="50"/>
      <c r="OAN345" s="50"/>
      <c r="OAO345" s="50"/>
      <c r="OAP345" s="50"/>
      <c r="OAQ345" s="50"/>
      <c r="OAR345" s="50"/>
      <c r="OAS345" s="50"/>
      <c r="OAT345" s="50"/>
      <c r="OAU345" s="50"/>
      <c r="OAV345" s="50"/>
      <c r="OAW345" s="50"/>
      <c r="OAX345" s="50"/>
      <c r="OAY345" s="50"/>
      <c r="OAZ345" s="50"/>
      <c r="OBA345" s="50"/>
      <c r="OBB345" s="50"/>
      <c r="OBC345" s="50"/>
      <c r="OBD345" s="50"/>
      <c r="OBE345" s="50"/>
      <c r="OBF345" s="50"/>
      <c r="OBG345" s="50"/>
      <c r="OBH345" s="50"/>
      <c r="OBI345" s="50"/>
      <c r="OBJ345" s="50"/>
      <c r="OBK345" s="50"/>
      <c r="OBL345" s="50"/>
      <c r="OBM345" s="50"/>
      <c r="OBN345" s="50"/>
      <c r="OBO345" s="50"/>
      <c r="OBP345" s="50"/>
      <c r="OBQ345" s="50"/>
      <c r="OBR345" s="50"/>
      <c r="OBS345" s="50"/>
      <c r="OBT345" s="50"/>
      <c r="OBU345" s="50"/>
      <c r="OBV345" s="50"/>
      <c r="OBW345" s="50"/>
      <c r="OBX345" s="50"/>
      <c r="OBY345" s="50"/>
      <c r="OBZ345" s="50"/>
      <c r="OCA345" s="50"/>
      <c r="OCB345" s="50"/>
      <c r="OCC345" s="50"/>
      <c r="OCD345" s="50"/>
      <c r="OCE345" s="50"/>
      <c r="OCF345" s="50"/>
      <c r="OCG345" s="50"/>
      <c r="OCH345" s="50"/>
      <c r="OCI345" s="50"/>
      <c r="OCJ345" s="50"/>
      <c r="OCK345" s="50"/>
      <c r="OCL345" s="50"/>
      <c r="OCM345" s="50"/>
      <c r="OCN345" s="50"/>
      <c r="OCO345" s="50"/>
      <c r="OCP345" s="50"/>
      <c r="OCQ345" s="50"/>
      <c r="OCR345" s="50"/>
      <c r="OCS345" s="50"/>
      <c r="OCT345" s="50"/>
      <c r="OCU345" s="50"/>
      <c r="OCV345" s="50"/>
      <c r="OCW345" s="50"/>
      <c r="OCX345" s="50"/>
      <c r="OCY345" s="50"/>
      <c r="OCZ345" s="50"/>
      <c r="ODA345" s="50"/>
      <c r="ODB345" s="50"/>
      <c r="ODC345" s="50"/>
      <c r="ODD345" s="50"/>
      <c r="ODE345" s="50"/>
      <c r="ODF345" s="50"/>
      <c r="ODG345" s="50"/>
      <c r="ODH345" s="50"/>
      <c r="ODI345" s="50"/>
      <c r="ODJ345" s="50"/>
      <c r="ODK345" s="50"/>
      <c r="ODL345" s="50"/>
      <c r="ODM345" s="50"/>
      <c r="ODN345" s="50"/>
      <c r="ODO345" s="50"/>
      <c r="ODP345" s="50"/>
      <c r="ODQ345" s="50"/>
      <c r="ODR345" s="50"/>
      <c r="ODS345" s="50"/>
      <c r="ODT345" s="50"/>
      <c r="ODU345" s="50"/>
      <c r="ODV345" s="50"/>
      <c r="ODW345" s="50"/>
      <c r="ODX345" s="50"/>
      <c r="ODY345" s="50"/>
      <c r="ODZ345" s="50"/>
      <c r="OEA345" s="50"/>
      <c r="OEB345" s="50"/>
      <c r="OEC345" s="50"/>
      <c r="OED345" s="50"/>
      <c r="OEE345" s="50"/>
      <c r="OEF345" s="50"/>
      <c r="OEG345" s="50"/>
      <c r="OEH345" s="50"/>
      <c r="OEI345" s="50"/>
      <c r="OEJ345" s="50"/>
      <c r="OEK345" s="50"/>
      <c r="OEL345" s="50"/>
      <c r="OEM345" s="50"/>
      <c r="OEN345" s="50"/>
      <c r="OEO345" s="50"/>
      <c r="OEP345" s="50"/>
      <c r="OEQ345" s="50"/>
      <c r="OER345" s="50"/>
      <c r="OES345" s="50"/>
      <c r="OET345" s="50"/>
      <c r="OEU345" s="50"/>
      <c r="OEV345" s="50"/>
      <c r="OEW345" s="50"/>
      <c r="OEX345" s="50"/>
      <c r="OEY345" s="50"/>
      <c r="OEZ345" s="50"/>
      <c r="OFA345" s="50"/>
      <c r="OFB345" s="50"/>
      <c r="OFC345" s="50"/>
      <c r="OFD345" s="50"/>
      <c r="OFE345" s="50"/>
      <c r="OFF345" s="50"/>
      <c r="OFG345" s="50"/>
      <c r="OFH345" s="50"/>
      <c r="OFI345" s="50"/>
      <c r="OFJ345" s="50"/>
      <c r="OFK345" s="50"/>
      <c r="OFL345" s="50"/>
      <c r="OFM345" s="50"/>
      <c r="OFN345" s="50"/>
      <c r="OFO345" s="50"/>
      <c r="OFP345" s="50"/>
      <c r="OFQ345" s="50"/>
      <c r="OFR345" s="50"/>
      <c r="OFS345" s="50"/>
      <c r="OFT345" s="50"/>
      <c r="OFU345" s="50"/>
      <c r="OFV345" s="50"/>
      <c r="OFW345" s="50"/>
      <c r="OFX345" s="50"/>
      <c r="OFY345" s="50"/>
      <c r="OFZ345" s="50"/>
      <c r="OGA345" s="50"/>
      <c r="OGB345" s="50"/>
      <c r="OGC345" s="50"/>
      <c r="OGD345" s="50"/>
      <c r="OGE345" s="50"/>
      <c r="OGF345" s="50"/>
      <c r="OGG345" s="50"/>
      <c r="OGH345" s="50"/>
      <c r="OGI345" s="50"/>
      <c r="OGJ345" s="50"/>
      <c r="OGK345" s="50"/>
      <c r="OGL345" s="50"/>
      <c r="OGM345" s="50"/>
      <c r="OGN345" s="50"/>
      <c r="OGO345" s="50"/>
      <c r="OGP345" s="50"/>
      <c r="OGQ345" s="50"/>
      <c r="OGR345" s="50"/>
      <c r="OGS345" s="50"/>
      <c r="OGT345" s="50"/>
      <c r="OGU345" s="50"/>
      <c r="OGV345" s="50"/>
      <c r="OGW345" s="50"/>
      <c r="OGX345" s="50"/>
      <c r="OGY345" s="50"/>
      <c r="OGZ345" s="50"/>
      <c r="OHA345" s="50"/>
      <c r="OHB345" s="50"/>
      <c r="OHC345" s="50"/>
      <c r="OHD345" s="50"/>
      <c r="OHE345" s="50"/>
      <c r="OHF345" s="50"/>
      <c r="OHG345" s="50"/>
      <c r="OHH345" s="50"/>
      <c r="OHI345" s="50"/>
      <c r="OHJ345" s="50"/>
      <c r="OHK345" s="50"/>
      <c r="OHL345" s="50"/>
      <c r="OHM345" s="50"/>
      <c r="OHN345" s="50"/>
      <c r="OHO345" s="50"/>
      <c r="OHP345" s="50"/>
      <c r="OHQ345" s="50"/>
      <c r="OHR345" s="50"/>
      <c r="OHS345" s="50"/>
      <c r="OHT345" s="50"/>
      <c r="OHU345" s="50"/>
      <c r="OHV345" s="50"/>
      <c r="OHW345" s="50"/>
      <c r="OHX345" s="50"/>
      <c r="OHY345" s="50"/>
      <c r="OHZ345" s="50"/>
      <c r="OIA345" s="50"/>
      <c r="OIB345" s="50"/>
      <c r="OIC345" s="50"/>
      <c r="OID345" s="50"/>
      <c r="OIE345" s="50"/>
      <c r="OIF345" s="50"/>
      <c r="OIG345" s="50"/>
      <c r="OIH345" s="50"/>
      <c r="OII345" s="50"/>
      <c r="OIJ345" s="50"/>
      <c r="OIK345" s="50"/>
      <c r="OIL345" s="50"/>
      <c r="OIM345" s="50"/>
      <c r="OIN345" s="50"/>
      <c r="OIO345" s="50"/>
      <c r="OIP345" s="50"/>
      <c r="OIQ345" s="50"/>
      <c r="OIR345" s="50"/>
      <c r="OIS345" s="50"/>
      <c r="OIT345" s="50"/>
      <c r="OIU345" s="50"/>
      <c r="OIV345" s="50"/>
      <c r="OIW345" s="50"/>
      <c r="OIX345" s="50"/>
      <c r="OIY345" s="50"/>
      <c r="OIZ345" s="50"/>
      <c r="OJA345" s="50"/>
      <c r="OJB345" s="50"/>
      <c r="OJC345" s="50"/>
      <c r="OJD345" s="50"/>
      <c r="OJE345" s="50"/>
      <c r="OJF345" s="50"/>
      <c r="OJG345" s="50"/>
      <c r="OJH345" s="50"/>
      <c r="OJI345" s="50"/>
      <c r="OJJ345" s="50"/>
      <c r="OJK345" s="50"/>
      <c r="OJL345" s="50"/>
      <c r="OJM345" s="50"/>
      <c r="OJN345" s="50"/>
      <c r="OJO345" s="50"/>
      <c r="OJP345" s="50"/>
      <c r="OJQ345" s="50"/>
      <c r="OJR345" s="50"/>
      <c r="OJS345" s="50"/>
      <c r="OJT345" s="50"/>
      <c r="OJU345" s="50"/>
      <c r="OJV345" s="50"/>
      <c r="OJW345" s="50"/>
      <c r="OJX345" s="50"/>
      <c r="OJY345" s="50"/>
      <c r="OJZ345" s="50"/>
      <c r="OKA345" s="50"/>
      <c r="OKB345" s="50"/>
      <c r="OKC345" s="50"/>
      <c r="OKD345" s="50"/>
      <c r="OKE345" s="50"/>
      <c r="OKF345" s="50"/>
      <c r="OKG345" s="50"/>
      <c r="OKH345" s="50"/>
      <c r="OKI345" s="50"/>
      <c r="OKJ345" s="50"/>
      <c r="OKK345" s="50"/>
      <c r="OKL345" s="50"/>
      <c r="OKM345" s="50"/>
      <c r="OKN345" s="50"/>
      <c r="OKO345" s="50"/>
      <c r="OKP345" s="50"/>
      <c r="OKQ345" s="50"/>
      <c r="OKR345" s="50"/>
      <c r="OKS345" s="50"/>
      <c r="OKT345" s="50"/>
      <c r="OKU345" s="50"/>
      <c r="OKV345" s="50"/>
      <c r="OKW345" s="50"/>
      <c r="OKX345" s="50"/>
      <c r="OKY345" s="50"/>
      <c r="OKZ345" s="50"/>
      <c r="OLA345" s="50"/>
      <c r="OLB345" s="50"/>
      <c r="OLC345" s="50"/>
      <c r="OLD345" s="50"/>
      <c r="OLE345" s="50"/>
      <c r="OLF345" s="50"/>
      <c r="OLG345" s="50"/>
      <c r="OLH345" s="50"/>
      <c r="OLI345" s="50"/>
      <c r="OLJ345" s="50"/>
      <c r="OLK345" s="50"/>
      <c r="OLL345" s="50"/>
      <c r="OLM345" s="50"/>
      <c r="OLN345" s="50"/>
      <c r="OLO345" s="50"/>
      <c r="OLP345" s="50"/>
      <c r="OLQ345" s="50"/>
      <c r="OLR345" s="50"/>
      <c r="OLS345" s="50"/>
      <c r="OLT345" s="50"/>
      <c r="OLU345" s="50"/>
      <c r="OLV345" s="50"/>
      <c r="OLW345" s="50"/>
      <c r="OLX345" s="50"/>
      <c r="OLY345" s="50"/>
      <c r="OLZ345" s="50"/>
      <c r="OMA345" s="50"/>
      <c r="OMB345" s="50"/>
      <c r="OMC345" s="50"/>
      <c r="OMD345" s="50"/>
      <c r="OME345" s="50"/>
      <c r="OMF345" s="50"/>
      <c r="OMG345" s="50"/>
      <c r="OMH345" s="50"/>
      <c r="OMI345" s="50"/>
      <c r="OMJ345" s="50"/>
      <c r="OMK345" s="50"/>
      <c r="OML345" s="50"/>
      <c r="OMM345" s="50"/>
      <c r="OMN345" s="50"/>
      <c r="OMO345" s="50"/>
      <c r="OMP345" s="50"/>
      <c r="OMQ345" s="50"/>
      <c r="OMR345" s="50"/>
      <c r="OMS345" s="50"/>
      <c r="OMT345" s="50"/>
      <c r="OMU345" s="50"/>
      <c r="OMV345" s="50"/>
      <c r="OMW345" s="50"/>
      <c r="OMX345" s="50"/>
      <c r="OMY345" s="50"/>
      <c r="OMZ345" s="50"/>
      <c r="ONA345" s="50"/>
      <c r="ONB345" s="50"/>
      <c r="ONC345" s="50"/>
      <c r="OND345" s="50"/>
      <c r="ONE345" s="50"/>
      <c r="ONF345" s="50"/>
      <c r="ONG345" s="50"/>
      <c r="ONH345" s="50"/>
      <c r="ONI345" s="50"/>
      <c r="ONJ345" s="50"/>
      <c r="ONK345" s="50"/>
      <c r="ONL345" s="50"/>
      <c r="ONM345" s="50"/>
      <c r="ONN345" s="50"/>
      <c r="ONO345" s="50"/>
      <c r="ONP345" s="50"/>
      <c r="ONQ345" s="50"/>
      <c r="ONR345" s="50"/>
      <c r="ONS345" s="50"/>
      <c r="ONT345" s="50"/>
      <c r="ONU345" s="50"/>
      <c r="ONV345" s="50"/>
      <c r="ONW345" s="50"/>
      <c r="ONX345" s="50"/>
      <c r="ONY345" s="50"/>
      <c r="ONZ345" s="50"/>
      <c r="OOA345" s="50"/>
      <c r="OOB345" s="50"/>
      <c r="OOC345" s="50"/>
      <c r="OOD345" s="50"/>
      <c r="OOE345" s="50"/>
      <c r="OOF345" s="50"/>
      <c r="OOG345" s="50"/>
      <c r="OOH345" s="50"/>
      <c r="OOI345" s="50"/>
      <c r="OOJ345" s="50"/>
      <c r="OOK345" s="50"/>
      <c r="OOL345" s="50"/>
      <c r="OOM345" s="50"/>
      <c r="OON345" s="50"/>
      <c r="OOO345" s="50"/>
      <c r="OOP345" s="50"/>
      <c r="OOQ345" s="50"/>
      <c r="OOR345" s="50"/>
      <c r="OOS345" s="50"/>
      <c r="OOT345" s="50"/>
      <c r="OOU345" s="50"/>
      <c r="OOV345" s="50"/>
      <c r="OOW345" s="50"/>
      <c r="OOX345" s="50"/>
      <c r="OOY345" s="50"/>
      <c r="OOZ345" s="50"/>
      <c r="OPA345" s="50"/>
      <c r="OPB345" s="50"/>
      <c r="OPC345" s="50"/>
      <c r="OPD345" s="50"/>
      <c r="OPE345" s="50"/>
      <c r="OPF345" s="50"/>
      <c r="OPG345" s="50"/>
      <c r="OPH345" s="50"/>
      <c r="OPI345" s="50"/>
      <c r="OPJ345" s="50"/>
      <c r="OPK345" s="50"/>
      <c r="OPL345" s="50"/>
      <c r="OPM345" s="50"/>
      <c r="OPN345" s="50"/>
      <c r="OPO345" s="50"/>
      <c r="OPP345" s="50"/>
      <c r="OPQ345" s="50"/>
      <c r="OPR345" s="50"/>
      <c r="OPS345" s="50"/>
      <c r="OPT345" s="50"/>
      <c r="OPU345" s="50"/>
      <c r="OPV345" s="50"/>
      <c r="OPW345" s="50"/>
      <c r="OPX345" s="50"/>
      <c r="OPY345" s="50"/>
      <c r="OPZ345" s="50"/>
      <c r="OQA345" s="50"/>
      <c r="OQB345" s="50"/>
      <c r="OQC345" s="50"/>
      <c r="OQD345" s="50"/>
      <c r="OQE345" s="50"/>
      <c r="OQF345" s="50"/>
      <c r="OQG345" s="50"/>
      <c r="OQH345" s="50"/>
      <c r="OQI345" s="50"/>
      <c r="OQJ345" s="50"/>
      <c r="OQK345" s="50"/>
      <c r="OQL345" s="50"/>
      <c r="OQM345" s="50"/>
      <c r="OQN345" s="50"/>
      <c r="OQO345" s="50"/>
      <c r="OQP345" s="50"/>
      <c r="OQQ345" s="50"/>
      <c r="OQR345" s="50"/>
      <c r="OQS345" s="50"/>
      <c r="OQT345" s="50"/>
      <c r="OQU345" s="50"/>
      <c r="OQV345" s="50"/>
      <c r="OQW345" s="50"/>
      <c r="OQX345" s="50"/>
      <c r="OQY345" s="50"/>
      <c r="OQZ345" s="50"/>
      <c r="ORA345" s="50"/>
      <c r="ORB345" s="50"/>
      <c r="ORC345" s="50"/>
      <c r="ORD345" s="50"/>
      <c r="ORE345" s="50"/>
      <c r="ORF345" s="50"/>
      <c r="ORG345" s="50"/>
      <c r="ORH345" s="50"/>
      <c r="ORI345" s="50"/>
      <c r="ORJ345" s="50"/>
      <c r="ORK345" s="50"/>
      <c r="ORL345" s="50"/>
      <c r="ORM345" s="50"/>
      <c r="ORN345" s="50"/>
      <c r="ORO345" s="50"/>
      <c r="ORP345" s="50"/>
      <c r="ORQ345" s="50"/>
      <c r="ORR345" s="50"/>
      <c r="ORS345" s="50"/>
      <c r="ORT345" s="50"/>
      <c r="ORU345" s="50"/>
      <c r="ORV345" s="50"/>
      <c r="ORW345" s="50"/>
      <c r="ORX345" s="50"/>
      <c r="ORY345" s="50"/>
      <c r="ORZ345" s="50"/>
      <c r="OSA345" s="50"/>
      <c r="OSB345" s="50"/>
      <c r="OSC345" s="50"/>
      <c r="OSD345" s="50"/>
      <c r="OSE345" s="50"/>
      <c r="OSF345" s="50"/>
      <c r="OSG345" s="50"/>
      <c r="OSH345" s="50"/>
      <c r="OSI345" s="50"/>
      <c r="OSJ345" s="50"/>
      <c r="OSK345" s="50"/>
      <c r="OSL345" s="50"/>
      <c r="OSM345" s="50"/>
      <c r="OSN345" s="50"/>
      <c r="OSO345" s="50"/>
      <c r="OSP345" s="50"/>
      <c r="OSQ345" s="50"/>
      <c r="OSR345" s="50"/>
      <c r="OSS345" s="50"/>
      <c r="OST345" s="50"/>
      <c r="OSU345" s="50"/>
      <c r="OSV345" s="50"/>
      <c r="OSW345" s="50"/>
      <c r="OSX345" s="50"/>
      <c r="OSY345" s="50"/>
      <c r="OSZ345" s="50"/>
      <c r="OTA345" s="50"/>
      <c r="OTB345" s="50"/>
      <c r="OTC345" s="50"/>
      <c r="OTD345" s="50"/>
      <c r="OTE345" s="50"/>
      <c r="OTF345" s="50"/>
      <c r="OTG345" s="50"/>
      <c r="OTH345" s="50"/>
      <c r="OTI345" s="50"/>
      <c r="OTJ345" s="50"/>
      <c r="OTK345" s="50"/>
      <c r="OTL345" s="50"/>
      <c r="OTM345" s="50"/>
      <c r="OTN345" s="50"/>
      <c r="OTO345" s="50"/>
      <c r="OTP345" s="50"/>
      <c r="OTQ345" s="50"/>
      <c r="OTR345" s="50"/>
      <c r="OTS345" s="50"/>
      <c r="OTT345" s="50"/>
      <c r="OTU345" s="50"/>
      <c r="OTV345" s="50"/>
      <c r="OTW345" s="50"/>
      <c r="OTX345" s="50"/>
      <c r="OTY345" s="50"/>
      <c r="OTZ345" s="50"/>
      <c r="OUA345" s="50"/>
      <c r="OUB345" s="50"/>
      <c r="OUC345" s="50"/>
      <c r="OUD345" s="50"/>
      <c r="OUE345" s="50"/>
      <c r="OUF345" s="50"/>
      <c r="OUG345" s="50"/>
      <c r="OUH345" s="50"/>
      <c r="OUI345" s="50"/>
      <c r="OUJ345" s="50"/>
      <c r="OUK345" s="50"/>
      <c r="OUL345" s="50"/>
      <c r="OUM345" s="50"/>
      <c r="OUN345" s="50"/>
      <c r="OUO345" s="50"/>
      <c r="OUP345" s="50"/>
      <c r="OUQ345" s="50"/>
      <c r="OUR345" s="50"/>
      <c r="OUS345" s="50"/>
      <c r="OUT345" s="50"/>
      <c r="OUU345" s="50"/>
      <c r="OUV345" s="50"/>
      <c r="OUW345" s="50"/>
      <c r="OUX345" s="50"/>
      <c r="OUY345" s="50"/>
      <c r="OUZ345" s="50"/>
      <c r="OVA345" s="50"/>
      <c r="OVB345" s="50"/>
      <c r="OVC345" s="50"/>
      <c r="OVD345" s="50"/>
      <c r="OVE345" s="50"/>
      <c r="OVF345" s="50"/>
      <c r="OVG345" s="50"/>
      <c r="OVH345" s="50"/>
      <c r="OVI345" s="50"/>
      <c r="OVJ345" s="50"/>
      <c r="OVK345" s="50"/>
      <c r="OVL345" s="50"/>
      <c r="OVM345" s="50"/>
      <c r="OVN345" s="50"/>
      <c r="OVO345" s="50"/>
      <c r="OVP345" s="50"/>
      <c r="OVQ345" s="50"/>
      <c r="OVR345" s="50"/>
      <c r="OVS345" s="50"/>
      <c r="OVT345" s="50"/>
      <c r="OVU345" s="50"/>
      <c r="OVV345" s="50"/>
      <c r="OVW345" s="50"/>
      <c r="OVX345" s="50"/>
      <c r="OVY345" s="50"/>
      <c r="OVZ345" s="50"/>
      <c r="OWA345" s="50"/>
      <c r="OWB345" s="50"/>
      <c r="OWC345" s="50"/>
      <c r="OWD345" s="50"/>
      <c r="OWE345" s="50"/>
      <c r="OWF345" s="50"/>
      <c r="OWG345" s="50"/>
      <c r="OWH345" s="50"/>
      <c r="OWI345" s="50"/>
      <c r="OWJ345" s="50"/>
      <c r="OWK345" s="50"/>
      <c r="OWL345" s="50"/>
      <c r="OWM345" s="50"/>
      <c r="OWN345" s="50"/>
      <c r="OWO345" s="50"/>
      <c r="OWP345" s="50"/>
      <c r="OWQ345" s="50"/>
      <c r="OWR345" s="50"/>
      <c r="OWS345" s="50"/>
      <c r="OWT345" s="50"/>
      <c r="OWU345" s="50"/>
      <c r="OWV345" s="50"/>
      <c r="OWW345" s="50"/>
      <c r="OWX345" s="50"/>
      <c r="OWY345" s="50"/>
      <c r="OWZ345" s="50"/>
      <c r="OXA345" s="50"/>
      <c r="OXB345" s="50"/>
      <c r="OXC345" s="50"/>
      <c r="OXD345" s="50"/>
      <c r="OXE345" s="50"/>
      <c r="OXF345" s="50"/>
      <c r="OXG345" s="50"/>
      <c r="OXH345" s="50"/>
      <c r="OXI345" s="50"/>
      <c r="OXJ345" s="50"/>
      <c r="OXK345" s="50"/>
      <c r="OXL345" s="50"/>
      <c r="OXM345" s="50"/>
      <c r="OXN345" s="50"/>
      <c r="OXO345" s="50"/>
      <c r="OXP345" s="50"/>
      <c r="OXQ345" s="50"/>
      <c r="OXR345" s="50"/>
      <c r="OXS345" s="50"/>
      <c r="OXT345" s="50"/>
      <c r="OXU345" s="50"/>
      <c r="OXV345" s="50"/>
      <c r="OXW345" s="50"/>
      <c r="OXX345" s="50"/>
      <c r="OXY345" s="50"/>
      <c r="OXZ345" s="50"/>
      <c r="OYA345" s="50"/>
      <c r="OYB345" s="50"/>
      <c r="OYC345" s="50"/>
      <c r="OYD345" s="50"/>
      <c r="OYE345" s="50"/>
      <c r="OYF345" s="50"/>
      <c r="OYG345" s="50"/>
      <c r="OYH345" s="50"/>
      <c r="OYI345" s="50"/>
      <c r="OYJ345" s="50"/>
      <c r="OYK345" s="50"/>
      <c r="OYL345" s="50"/>
      <c r="OYM345" s="50"/>
      <c r="OYN345" s="50"/>
      <c r="OYO345" s="50"/>
      <c r="OYP345" s="50"/>
      <c r="OYQ345" s="50"/>
      <c r="OYR345" s="50"/>
      <c r="OYS345" s="50"/>
      <c r="OYT345" s="50"/>
      <c r="OYU345" s="50"/>
      <c r="OYV345" s="50"/>
      <c r="OYW345" s="50"/>
      <c r="OYX345" s="50"/>
      <c r="OYY345" s="50"/>
      <c r="OYZ345" s="50"/>
      <c r="OZA345" s="50"/>
      <c r="OZB345" s="50"/>
      <c r="OZC345" s="50"/>
      <c r="OZD345" s="50"/>
      <c r="OZE345" s="50"/>
      <c r="OZF345" s="50"/>
      <c r="OZG345" s="50"/>
      <c r="OZH345" s="50"/>
      <c r="OZI345" s="50"/>
      <c r="OZJ345" s="50"/>
      <c r="OZK345" s="50"/>
      <c r="OZL345" s="50"/>
      <c r="OZM345" s="50"/>
      <c r="OZN345" s="50"/>
      <c r="OZO345" s="50"/>
      <c r="OZP345" s="50"/>
      <c r="OZQ345" s="50"/>
      <c r="OZR345" s="50"/>
      <c r="OZS345" s="50"/>
      <c r="OZT345" s="50"/>
      <c r="OZU345" s="50"/>
      <c r="OZV345" s="50"/>
      <c r="OZW345" s="50"/>
      <c r="OZX345" s="50"/>
      <c r="OZY345" s="50"/>
      <c r="OZZ345" s="50"/>
      <c r="PAA345" s="50"/>
      <c r="PAB345" s="50"/>
      <c r="PAC345" s="50"/>
      <c r="PAD345" s="50"/>
      <c r="PAE345" s="50"/>
      <c r="PAF345" s="50"/>
      <c r="PAG345" s="50"/>
      <c r="PAH345" s="50"/>
      <c r="PAI345" s="50"/>
      <c r="PAJ345" s="50"/>
      <c r="PAK345" s="50"/>
      <c r="PAL345" s="50"/>
      <c r="PAM345" s="50"/>
      <c r="PAN345" s="50"/>
      <c r="PAO345" s="50"/>
      <c r="PAP345" s="50"/>
      <c r="PAQ345" s="50"/>
      <c r="PAR345" s="50"/>
      <c r="PAS345" s="50"/>
      <c r="PAT345" s="50"/>
      <c r="PAU345" s="50"/>
      <c r="PAV345" s="50"/>
      <c r="PAW345" s="50"/>
      <c r="PAX345" s="50"/>
      <c r="PAY345" s="50"/>
      <c r="PAZ345" s="50"/>
      <c r="PBA345" s="50"/>
      <c r="PBB345" s="50"/>
      <c r="PBC345" s="50"/>
      <c r="PBD345" s="50"/>
      <c r="PBE345" s="50"/>
      <c r="PBF345" s="50"/>
      <c r="PBG345" s="50"/>
      <c r="PBH345" s="50"/>
      <c r="PBI345" s="50"/>
      <c r="PBJ345" s="50"/>
      <c r="PBK345" s="50"/>
      <c r="PBL345" s="50"/>
      <c r="PBM345" s="50"/>
      <c r="PBN345" s="50"/>
      <c r="PBO345" s="50"/>
      <c r="PBP345" s="50"/>
      <c r="PBQ345" s="50"/>
      <c r="PBR345" s="50"/>
      <c r="PBS345" s="50"/>
      <c r="PBT345" s="50"/>
      <c r="PBU345" s="50"/>
      <c r="PBV345" s="50"/>
      <c r="PBW345" s="50"/>
      <c r="PBX345" s="50"/>
      <c r="PBY345" s="50"/>
      <c r="PBZ345" s="50"/>
      <c r="PCA345" s="50"/>
      <c r="PCB345" s="50"/>
      <c r="PCC345" s="50"/>
      <c r="PCD345" s="50"/>
      <c r="PCE345" s="50"/>
      <c r="PCF345" s="50"/>
      <c r="PCG345" s="50"/>
      <c r="PCH345" s="50"/>
      <c r="PCI345" s="50"/>
      <c r="PCJ345" s="50"/>
      <c r="PCK345" s="50"/>
      <c r="PCL345" s="50"/>
      <c r="PCM345" s="50"/>
      <c r="PCN345" s="50"/>
      <c r="PCO345" s="50"/>
      <c r="PCP345" s="50"/>
      <c r="PCQ345" s="50"/>
      <c r="PCR345" s="50"/>
      <c r="PCS345" s="50"/>
      <c r="PCT345" s="50"/>
      <c r="PCU345" s="50"/>
      <c r="PCV345" s="50"/>
      <c r="PCW345" s="50"/>
      <c r="PCX345" s="50"/>
      <c r="PCY345" s="50"/>
      <c r="PCZ345" s="50"/>
      <c r="PDA345" s="50"/>
      <c r="PDB345" s="50"/>
      <c r="PDC345" s="50"/>
      <c r="PDD345" s="50"/>
      <c r="PDE345" s="50"/>
      <c r="PDF345" s="50"/>
      <c r="PDG345" s="50"/>
      <c r="PDH345" s="50"/>
      <c r="PDI345" s="50"/>
      <c r="PDJ345" s="50"/>
      <c r="PDK345" s="50"/>
      <c r="PDL345" s="50"/>
      <c r="PDM345" s="50"/>
      <c r="PDN345" s="50"/>
      <c r="PDO345" s="50"/>
      <c r="PDP345" s="50"/>
      <c r="PDQ345" s="50"/>
      <c r="PDR345" s="50"/>
      <c r="PDS345" s="50"/>
      <c r="PDT345" s="50"/>
      <c r="PDU345" s="50"/>
      <c r="PDV345" s="50"/>
      <c r="PDW345" s="50"/>
      <c r="PDX345" s="50"/>
      <c r="PDY345" s="50"/>
      <c r="PDZ345" s="50"/>
      <c r="PEA345" s="50"/>
      <c r="PEB345" s="50"/>
      <c r="PEC345" s="50"/>
      <c r="PED345" s="50"/>
      <c r="PEE345" s="50"/>
      <c r="PEF345" s="50"/>
      <c r="PEG345" s="50"/>
      <c r="PEH345" s="50"/>
      <c r="PEI345" s="50"/>
      <c r="PEJ345" s="50"/>
      <c r="PEK345" s="50"/>
      <c r="PEL345" s="50"/>
      <c r="PEM345" s="50"/>
      <c r="PEN345" s="50"/>
      <c r="PEO345" s="50"/>
      <c r="PEP345" s="50"/>
      <c r="PEQ345" s="50"/>
      <c r="PER345" s="50"/>
      <c r="PES345" s="50"/>
      <c r="PET345" s="50"/>
      <c r="PEU345" s="50"/>
      <c r="PEV345" s="50"/>
      <c r="PEW345" s="50"/>
      <c r="PEX345" s="50"/>
      <c r="PEY345" s="50"/>
      <c r="PEZ345" s="50"/>
      <c r="PFA345" s="50"/>
      <c r="PFB345" s="50"/>
      <c r="PFC345" s="50"/>
      <c r="PFD345" s="50"/>
      <c r="PFE345" s="50"/>
      <c r="PFF345" s="50"/>
      <c r="PFG345" s="50"/>
      <c r="PFH345" s="50"/>
      <c r="PFI345" s="50"/>
      <c r="PFJ345" s="50"/>
      <c r="PFK345" s="50"/>
      <c r="PFL345" s="50"/>
      <c r="PFM345" s="50"/>
      <c r="PFN345" s="50"/>
      <c r="PFO345" s="50"/>
      <c r="PFP345" s="50"/>
      <c r="PFQ345" s="50"/>
      <c r="PFR345" s="50"/>
      <c r="PFS345" s="50"/>
      <c r="PFT345" s="50"/>
      <c r="PFU345" s="50"/>
      <c r="PFV345" s="50"/>
      <c r="PFW345" s="50"/>
      <c r="PFX345" s="50"/>
      <c r="PFY345" s="50"/>
      <c r="PFZ345" s="50"/>
      <c r="PGA345" s="50"/>
      <c r="PGB345" s="50"/>
      <c r="PGC345" s="50"/>
      <c r="PGD345" s="50"/>
      <c r="PGE345" s="50"/>
      <c r="PGF345" s="50"/>
      <c r="PGG345" s="50"/>
      <c r="PGH345" s="50"/>
      <c r="PGI345" s="50"/>
      <c r="PGJ345" s="50"/>
      <c r="PGK345" s="50"/>
      <c r="PGL345" s="50"/>
      <c r="PGM345" s="50"/>
      <c r="PGN345" s="50"/>
      <c r="PGO345" s="50"/>
      <c r="PGP345" s="50"/>
      <c r="PGQ345" s="50"/>
      <c r="PGR345" s="50"/>
      <c r="PGS345" s="50"/>
      <c r="PGT345" s="50"/>
      <c r="PGU345" s="50"/>
      <c r="PGV345" s="50"/>
      <c r="PGW345" s="50"/>
      <c r="PGX345" s="50"/>
      <c r="PGY345" s="50"/>
      <c r="PGZ345" s="50"/>
      <c r="PHA345" s="50"/>
      <c r="PHB345" s="50"/>
      <c r="PHC345" s="50"/>
      <c r="PHD345" s="50"/>
      <c r="PHE345" s="50"/>
      <c r="PHF345" s="50"/>
      <c r="PHG345" s="50"/>
      <c r="PHH345" s="50"/>
      <c r="PHI345" s="50"/>
      <c r="PHJ345" s="50"/>
      <c r="PHK345" s="50"/>
      <c r="PHL345" s="50"/>
      <c r="PHM345" s="50"/>
      <c r="PHN345" s="50"/>
      <c r="PHO345" s="50"/>
      <c r="PHP345" s="50"/>
      <c r="PHQ345" s="50"/>
      <c r="PHR345" s="50"/>
      <c r="PHS345" s="50"/>
      <c r="PHT345" s="50"/>
      <c r="PHU345" s="50"/>
      <c r="PHV345" s="50"/>
      <c r="PHW345" s="50"/>
      <c r="PHX345" s="50"/>
      <c r="PHY345" s="50"/>
      <c r="PHZ345" s="50"/>
      <c r="PIA345" s="50"/>
      <c r="PIB345" s="50"/>
      <c r="PIC345" s="50"/>
      <c r="PID345" s="50"/>
      <c r="PIE345" s="50"/>
      <c r="PIF345" s="50"/>
      <c r="PIG345" s="50"/>
      <c r="PIH345" s="50"/>
      <c r="PII345" s="50"/>
      <c r="PIJ345" s="50"/>
      <c r="PIK345" s="50"/>
      <c r="PIL345" s="50"/>
      <c r="PIM345" s="50"/>
      <c r="PIN345" s="50"/>
      <c r="PIO345" s="50"/>
      <c r="PIP345" s="50"/>
      <c r="PIQ345" s="50"/>
      <c r="PIR345" s="50"/>
      <c r="PIS345" s="50"/>
      <c r="PIT345" s="50"/>
      <c r="PIU345" s="50"/>
      <c r="PIV345" s="50"/>
      <c r="PIW345" s="50"/>
      <c r="PIX345" s="50"/>
      <c r="PIY345" s="50"/>
      <c r="PIZ345" s="50"/>
      <c r="PJA345" s="50"/>
      <c r="PJB345" s="50"/>
      <c r="PJC345" s="50"/>
      <c r="PJD345" s="50"/>
      <c r="PJE345" s="50"/>
      <c r="PJF345" s="50"/>
      <c r="PJG345" s="50"/>
      <c r="PJH345" s="50"/>
      <c r="PJI345" s="50"/>
      <c r="PJJ345" s="50"/>
      <c r="PJK345" s="50"/>
      <c r="PJL345" s="50"/>
      <c r="PJM345" s="50"/>
      <c r="PJN345" s="50"/>
      <c r="PJO345" s="50"/>
      <c r="PJP345" s="50"/>
      <c r="PJQ345" s="50"/>
      <c r="PJR345" s="50"/>
      <c r="PJS345" s="50"/>
      <c r="PJT345" s="50"/>
      <c r="PJU345" s="50"/>
      <c r="PJV345" s="50"/>
      <c r="PJW345" s="50"/>
      <c r="PJX345" s="50"/>
      <c r="PJY345" s="50"/>
      <c r="PJZ345" s="50"/>
      <c r="PKA345" s="50"/>
      <c r="PKB345" s="50"/>
      <c r="PKC345" s="50"/>
      <c r="PKD345" s="50"/>
      <c r="PKE345" s="50"/>
      <c r="PKF345" s="50"/>
      <c r="PKG345" s="50"/>
      <c r="PKH345" s="50"/>
      <c r="PKI345" s="50"/>
      <c r="PKJ345" s="50"/>
      <c r="PKK345" s="50"/>
      <c r="PKL345" s="50"/>
      <c r="PKM345" s="50"/>
      <c r="PKN345" s="50"/>
      <c r="PKO345" s="50"/>
      <c r="PKP345" s="50"/>
      <c r="PKQ345" s="50"/>
      <c r="PKR345" s="50"/>
      <c r="PKS345" s="50"/>
      <c r="PKT345" s="50"/>
      <c r="PKU345" s="50"/>
      <c r="PKV345" s="50"/>
      <c r="PKW345" s="50"/>
      <c r="PKX345" s="50"/>
      <c r="PKY345" s="50"/>
      <c r="PKZ345" s="50"/>
      <c r="PLA345" s="50"/>
      <c r="PLB345" s="50"/>
      <c r="PLC345" s="50"/>
      <c r="PLD345" s="50"/>
      <c r="PLE345" s="50"/>
      <c r="PLF345" s="50"/>
      <c r="PLG345" s="50"/>
      <c r="PLH345" s="50"/>
      <c r="PLI345" s="50"/>
      <c r="PLJ345" s="50"/>
      <c r="PLK345" s="50"/>
      <c r="PLL345" s="50"/>
      <c r="PLM345" s="50"/>
      <c r="PLN345" s="50"/>
      <c r="PLO345" s="50"/>
      <c r="PLP345" s="50"/>
      <c r="PLQ345" s="50"/>
      <c r="PLR345" s="50"/>
      <c r="PLS345" s="50"/>
      <c r="PLT345" s="50"/>
      <c r="PLU345" s="50"/>
      <c r="PLV345" s="50"/>
      <c r="PLW345" s="50"/>
      <c r="PLX345" s="50"/>
      <c r="PLY345" s="50"/>
      <c r="PLZ345" s="50"/>
      <c r="PMA345" s="50"/>
      <c r="PMB345" s="50"/>
      <c r="PMC345" s="50"/>
      <c r="PMD345" s="50"/>
      <c r="PME345" s="50"/>
      <c r="PMF345" s="50"/>
      <c r="PMG345" s="50"/>
      <c r="PMH345" s="50"/>
      <c r="PMI345" s="50"/>
      <c r="PMJ345" s="50"/>
      <c r="PMK345" s="50"/>
      <c r="PML345" s="50"/>
      <c r="PMM345" s="50"/>
      <c r="PMN345" s="50"/>
      <c r="PMO345" s="50"/>
      <c r="PMP345" s="50"/>
      <c r="PMQ345" s="50"/>
      <c r="PMR345" s="50"/>
      <c r="PMS345" s="50"/>
      <c r="PMT345" s="50"/>
      <c r="PMU345" s="50"/>
      <c r="PMV345" s="50"/>
      <c r="PMW345" s="50"/>
      <c r="PMX345" s="50"/>
      <c r="PMY345" s="50"/>
      <c r="PMZ345" s="50"/>
      <c r="PNA345" s="50"/>
      <c r="PNB345" s="50"/>
      <c r="PNC345" s="50"/>
      <c r="PND345" s="50"/>
      <c r="PNE345" s="50"/>
      <c r="PNF345" s="50"/>
      <c r="PNG345" s="50"/>
      <c r="PNH345" s="50"/>
      <c r="PNI345" s="50"/>
      <c r="PNJ345" s="50"/>
      <c r="PNK345" s="50"/>
      <c r="PNL345" s="50"/>
      <c r="PNM345" s="50"/>
      <c r="PNN345" s="50"/>
      <c r="PNO345" s="50"/>
      <c r="PNP345" s="50"/>
      <c r="PNQ345" s="50"/>
      <c r="PNR345" s="50"/>
      <c r="PNS345" s="50"/>
      <c r="PNT345" s="50"/>
      <c r="PNU345" s="50"/>
      <c r="PNV345" s="50"/>
      <c r="PNW345" s="50"/>
      <c r="PNX345" s="50"/>
      <c r="PNY345" s="50"/>
      <c r="PNZ345" s="50"/>
      <c r="POA345" s="50"/>
      <c r="POB345" s="50"/>
      <c r="POC345" s="50"/>
      <c r="POD345" s="50"/>
      <c r="POE345" s="50"/>
      <c r="POF345" s="50"/>
      <c r="POG345" s="50"/>
      <c r="POH345" s="50"/>
      <c r="POI345" s="50"/>
      <c r="POJ345" s="50"/>
      <c r="POK345" s="50"/>
      <c r="POL345" s="50"/>
      <c r="POM345" s="50"/>
      <c r="PON345" s="50"/>
      <c r="POO345" s="50"/>
      <c r="POP345" s="50"/>
      <c r="POQ345" s="50"/>
      <c r="POR345" s="50"/>
      <c r="POS345" s="50"/>
      <c r="POT345" s="50"/>
      <c r="POU345" s="50"/>
      <c r="POV345" s="50"/>
      <c r="POW345" s="50"/>
      <c r="POX345" s="50"/>
      <c r="POY345" s="50"/>
      <c r="POZ345" s="50"/>
      <c r="PPA345" s="50"/>
      <c r="PPB345" s="50"/>
      <c r="PPC345" s="50"/>
      <c r="PPD345" s="50"/>
      <c r="PPE345" s="50"/>
      <c r="PPF345" s="50"/>
      <c r="PPG345" s="50"/>
      <c r="PPH345" s="50"/>
      <c r="PPI345" s="50"/>
      <c r="PPJ345" s="50"/>
      <c r="PPK345" s="50"/>
      <c r="PPL345" s="50"/>
      <c r="PPM345" s="50"/>
      <c r="PPN345" s="50"/>
      <c r="PPO345" s="50"/>
      <c r="PPP345" s="50"/>
      <c r="PPQ345" s="50"/>
      <c r="PPR345" s="50"/>
      <c r="PPS345" s="50"/>
      <c r="PPT345" s="50"/>
      <c r="PPU345" s="50"/>
      <c r="PPV345" s="50"/>
      <c r="PPW345" s="50"/>
      <c r="PPX345" s="50"/>
      <c r="PPY345" s="50"/>
      <c r="PPZ345" s="50"/>
      <c r="PQA345" s="50"/>
      <c r="PQB345" s="50"/>
      <c r="PQC345" s="50"/>
      <c r="PQD345" s="50"/>
      <c r="PQE345" s="50"/>
      <c r="PQF345" s="50"/>
      <c r="PQG345" s="50"/>
      <c r="PQH345" s="50"/>
      <c r="PQI345" s="50"/>
      <c r="PQJ345" s="50"/>
      <c r="PQK345" s="50"/>
      <c r="PQL345" s="50"/>
      <c r="PQM345" s="50"/>
      <c r="PQN345" s="50"/>
      <c r="PQO345" s="50"/>
      <c r="PQP345" s="50"/>
      <c r="PQQ345" s="50"/>
      <c r="PQR345" s="50"/>
      <c r="PQS345" s="50"/>
      <c r="PQT345" s="50"/>
      <c r="PQU345" s="50"/>
      <c r="PQV345" s="50"/>
      <c r="PQW345" s="50"/>
      <c r="PQX345" s="50"/>
      <c r="PQY345" s="50"/>
      <c r="PQZ345" s="50"/>
      <c r="PRA345" s="50"/>
      <c r="PRB345" s="50"/>
      <c r="PRC345" s="50"/>
      <c r="PRD345" s="50"/>
      <c r="PRE345" s="50"/>
      <c r="PRF345" s="50"/>
      <c r="PRG345" s="50"/>
      <c r="PRH345" s="50"/>
      <c r="PRI345" s="50"/>
      <c r="PRJ345" s="50"/>
      <c r="PRK345" s="50"/>
      <c r="PRL345" s="50"/>
      <c r="PRM345" s="50"/>
      <c r="PRN345" s="50"/>
      <c r="PRO345" s="50"/>
      <c r="PRP345" s="50"/>
      <c r="PRQ345" s="50"/>
      <c r="PRR345" s="50"/>
      <c r="PRS345" s="50"/>
      <c r="PRT345" s="50"/>
      <c r="PRU345" s="50"/>
      <c r="PRV345" s="50"/>
      <c r="PRW345" s="50"/>
      <c r="PRX345" s="50"/>
      <c r="PRY345" s="50"/>
      <c r="PRZ345" s="50"/>
      <c r="PSA345" s="50"/>
      <c r="PSB345" s="50"/>
      <c r="PSC345" s="50"/>
      <c r="PSD345" s="50"/>
      <c r="PSE345" s="50"/>
      <c r="PSF345" s="50"/>
      <c r="PSG345" s="50"/>
      <c r="PSH345" s="50"/>
      <c r="PSI345" s="50"/>
      <c r="PSJ345" s="50"/>
      <c r="PSK345" s="50"/>
      <c r="PSL345" s="50"/>
      <c r="PSM345" s="50"/>
      <c r="PSN345" s="50"/>
      <c r="PSO345" s="50"/>
      <c r="PSP345" s="50"/>
      <c r="PSQ345" s="50"/>
      <c r="PSR345" s="50"/>
      <c r="PSS345" s="50"/>
      <c r="PST345" s="50"/>
      <c r="PSU345" s="50"/>
      <c r="PSV345" s="50"/>
      <c r="PSW345" s="50"/>
      <c r="PSX345" s="50"/>
      <c r="PSY345" s="50"/>
      <c r="PSZ345" s="50"/>
      <c r="PTA345" s="50"/>
      <c r="PTB345" s="50"/>
      <c r="PTC345" s="50"/>
      <c r="PTD345" s="50"/>
      <c r="PTE345" s="50"/>
      <c r="PTF345" s="50"/>
      <c r="PTG345" s="50"/>
      <c r="PTH345" s="50"/>
      <c r="PTI345" s="50"/>
      <c r="PTJ345" s="50"/>
      <c r="PTK345" s="50"/>
      <c r="PTL345" s="50"/>
      <c r="PTM345" s="50"/>
      <c r="PTN345" s="50"/>
      <c r="PTO345" s="50"/>
      <c r="PTP345" s="50"/>
      <c r="PTQ345" s="50"/>
      <c r="PTR345" s="50"/>
      <c r="PTS345" s="50"/>
      <c r="PTT345" s="50"/>
      <c r="PTU345" s="50"/>
      <c r="PTV345" s="50"/>
      <c r="PTW345" s="50"/>
      <c r="PTX345" s="50"/>
      <c r="PTY345" s="50"/>
      <c r="PTZ345" s="50"/>
      <c r="PUA345" s="50"/>
      <c r="PUB345" s="50"/>
      <c r="PUC345" s="50"/>
      <c r="PUD345" s="50"/>
      <c r="PUE345" s="50"/>
      <c r="PUF345" s="50"/>
      <c r="PUG345" s="50"/>
      <c r="PUH345" s="50"/>
      <c r="PUI345" s="50"/>
      <c r="PUJ345" s="50"/>
      <c r="PUK345" s="50"/>
      <c r="PUL345" s="50"/>
      <c r="PUM345" s="50"/>
      <c r="PUN345" s="50"/>
      <c r="PUO345" s="50"/>
      <c r="PUP345" s="50"/>
      <c r="PUQ345" s="50"/>
      <c r="PUR345" s="50"/>
      <c r="PUS345" s="50"/>
      <c r="PUT345" s="50"/>
      <c r="PUU345" s="50"/>
      <c r="PUV345" s="50"/>
      <c r="PUW345" s="50"/>
      <c r="PUX345" s="50"/>
      <c r="PUY345" s="50"/>
      <c r="PUZ345" s="50"/>
      <c r="PVA345" s="50"/>
      <c r="PVB345" s="50"/>
      <c r="PVC345" s="50"/>
      <c r="PVD345" s="50"/>
      <c r="PVE345" s="50"/>
      <c r="PVF345" s="50"/>
      <c r="PVG345" s="50"/>
      <c r="PVH345" s="50"/>
      <c r="PVI345" s="50"/>
      <c r="PVJ345" s="50"/>
      <c r="PVK345" s="50"/>
      <c r="PVL345" s="50"/>
      <c r="PVM345" s="50"/>
      <c r="PVN345" s="50"/>
      <c r="PVO345" s="50"/>
      <c r="PVP345" s="50"/>
      <c r="PVQ345" s="50"/>
      <c r="PVR345" s="50"/>
      <c r="PVS345" s="50"/>
      <c r="PVT345" s="50"/>
      <c r="PVU345" s="50"/>
      <c r="PVV345" s="50"/>
      <c r="PVW345" s="50"/>
      <c r="PVX345" s="50"/>
      <c r="PVY345" s="50"/>
      <c r="PVZ345" s="50"/>
      <c r="PWA345" s="50"/>
      <c r="PWB345" s="50"/>
      <c r="PWC345" s="50"/>
      <c r="PWD345" s="50"/>
      <c r="PWE345" s="50"/>
      <c r="PWF345" s="50"/>
      <c r="PWG345" s="50"/>
      <c r="PWH345" s="50"/>
      <c r="PWI345" s="50"/>
      <c r="PWJ345" s="50"/>
      <c r="PWK345" s="50"/>
      <c r="PWL345" s="50"/>
      <c r="PWM345" s="50"/>
      <c r="PWN345" s="50"/>
      <c r="PWO345" s="50"/>
      <c r="PWP345" s="50"/>
      <c r="PWQ345" s="50"/>
      <c r="PWR345" s="50"/>
      <c r="PWS345" s="50"/>
      <c r="PWT345" s="50"/>
      <c r="PWU345" s="50"/>
      <c r="PWV345" s="50"/>
      <c r="PWW345" s="50"/>
      <c r="PWX345" s="50"/>
      <c r="PWY345" s="50"/>
      <c r="PWZ345" s="50"/>
      <c r="PXA345" s="50"/>
      <c r="PXB345" s="50"/>
      <c r="PXC345" s="50"/>
      <c r="PXD345" s="50"/>
      <c r="PXE345" s="50"/>
      <c r="PXF345" s="50"/>
      <c r="PXG345" s="50"/>
      <c r="PXH345" s="50"/>
      <c r="PXI345" s="50"/>
      <c r="PXJ345" s="50"/>
      <c r="PXK345" s="50"/>
      <c r="PXL345" s="50"/>
      <c r="PXM345" s="50"/>
      <c r="PXN345" s="50"/>
      <c r="PXO345" s="50"/>
      <c r="PXP345" s="50"/>
      <c r="PXQ345" s="50"/>
      <c r="PXR345" s="50"/>
      <c r="PXS345" s="50"/>
      <c r="PXT345" s="50"/>
      <c r="PXU345" s="50"/>
      <c r="PXV345" s="50"/>
      <c r="PXW345" s="50"/>
      <c r="PXX345" s="50"/>
      <c r="PXY345" s="50"/>
      <c r="PXZ345" s="50"/>
      <c r="PYA345" s="50"/>
      <c r="PYB345" s="50"/>
      <c r="PYC345" s="50"/>
      <c r="PYD345" s="50"/>
      <c r="PYE345" s="50"/>
      <c r="PYF345" s="50"/>
      <c r="PYG345" s="50"/>
      <c r="PYH345" s="50"/>
      <c r="PYI345" s="50"/>
      <c r="PYJ345" s="50"/>
      <c r="PYK345" s="50"/>
      <c r="PYL345" s="50"/>
      <c r="PYM345" s="50"/>
      <c r="PYN345" s="50"/>
      <c r="PYO345" s="50"/>
      <c r="PYP345" s="50"/>
      <c r="PYQ345" s="50"/>
      <c r="PYR345" s="50"/>
      <c r="PYS345" s="50"/>
      <c r="PYT345" s="50"/>
      <c r="PYU345" s="50"/>
      <c r="PYV345" s="50"/>
      <c r="PYW345" s="50"/>
      <c r="PYX345" s="50"/>
      <c r="PYY345" s="50"/>
      <c r="PYZ345" s="50"/>
      <c r="PZA345" s="50"/>
      <c r="PZB345" s="50"/>
      <c r="PZC345" s="50"/>
      <c r="PZD345" s="50"/>
      <c r="PZE345" s="50"/>
      <c r="PZF345" s="50"/>
      <c r="PZG345" s="50"/>
      <c r="PZH345" s="50"/>
      <c r="PZI345" s="50"/>
      <c r="PZJ345" s="50"/>
      <c r="PZK345" s="50"/>
      <c r="PZL345" s="50"/>
      <c r="PZM345" s="50"/>
      <c r="PZN345" s="50"/>
      <c r="PZO345" s="50"/>
      <c r="PZP345" s="50"/>
      <c r="PZQ345" s="50"/>
      <c r="PZR345" s="50"/>
      <c r="PZS345" s="50"/>
      <c r="PZT345" s="50"/>
      <c r="PZU345" s="50"/>
      <c r="PZV345" s="50"/>
      <c r="PZW345" s="50"/>
      <c r="PZX345" s="50"/>
      <c r="PZY345" s="50"/>
      <c r="PZZ345" s="50"/>
      <c r="QAA345" s="50"/>
      <c r="QAB345" s="50"/>
      <c r="QAC345" s="50"/>
      <c r="QAD345" s="50"/>
      <c r="QAE345" s="50"/>
      <c r="QAF345" s="50"/>
      <c r="QAG345" s="50"/>
      <c r="QAH345" s="50"/>
      <c r="QAI345" s="50"/>
      <c r="QAJ345" s="50"/>
      <c r="QAK345" s="50"/>
      <c r="QAL345" s="50"/>
      <c r="QAM345" s="50"/>
      <c r="QAN345" s="50"/>
      <c r="QAO345" s="50"/>
      <c r="QAP345" s="50"/>
      <c r="QAQ345" s="50"/>
      <c r="QAR345" s="50"/>
      <c r="QAS345" s="50"/>
      <c r="QAT345" s="50"/>
      <c r="QAU345" s="50"/>
      <c r="QAV345" s="50"/>
      <c r="QAW345" s="50"/>
      <c r="QAX345" s="50"/>
      <c r="QAY345" s="50"/>
      <c r="QAZ345" s="50"/>
      <c r="QBA345" s="50"/>
      <c r="QBB345" s="50"/>
      <c r="QBC345" s="50"/>
      <c r="QBD345" s="50"/>
      <c r="QBE345" s="50"/>
      <c r="QBF345" s="50"/>
      <c r="QBG345" s="50"/>
      <c r="QBH345" s="50"/>
      <c r="QBI345" s="50"/>
      <c r="QBJ345" s="50"/>
      <c r="QBK345" s="50"/>
      <c r="QBL345" s="50"/>
      <c r="QBM345" s="50"/>
      <c r="QBN345" s="50"/>
      <c r="QBO345" s="50"/>
      <c r="QBP345" s="50"/>
      <c r="QBQ345" s="50"/>
      <c r="QBR345" s="50"/>
      <c r="QBS345" s="50"/>
      <c r="QBT345" s="50"/>
      <c r="QBU345" s="50"/>
      <c r="QBV345" s="50"/>
      <c r="QBW345" s="50"/>
      <c r="QBX345" s="50"/>
      <c r="QBY345" s="50"/>
      <c r="QBZ345" s="50"/>
      <c r="QCA345" s="50"/>
      <c r="QCB345" s="50"/>
      <c r="QCC345" s="50"/>
      <c r="QCD345" s="50"/>
      <c r="QCE345" s="50"/>
      <c r="QCF345" s="50"/>
      <c r="QCG345" s="50"/>
      <c r="QCH345" s="50"/>
      <c r="QCI345" s="50"/>
      <c r="QCJ345" s="50"/>
      <c r="QCK345" s="50"/>
      <c r="QCL345" s="50"/>
      <c r="QCM345" s="50"/>
      <c r="QCN345" s="50"/>
      <c r="QCO345" s="50"/>
      <c r="QCP345" s="50"/>
      <c r="QCQ345" s="50"/>
      <c r="QCR345" s="50"/>
      <c r="QCS345" s="50"/>
      <c r="QCT345" s="50"/>
      <c r="QCU345" s="50"/>
      <c r="QCV345" s="50"/>
      <c r="QCW345" s="50"/>
      <c r="QCX345" s="50"/>
      <c r="QCY345" s="50"/>
      <c r="QCZ345" s="50"/>
      <c r="QDA345" s="50"/>
      <c r="QDB345" s="50"/>
      <c r="QDC345" s="50"/>
      <c r="QDD345" s="50"/>
      <c r="QDE345" s="50"/>
      <c r="QDF345" s="50"/>
      <c r="QDG345" s="50"/>
      <c r="QDH345" s="50"/>
      <c r="QDI345" s="50"/>
      <c r="QDJ345" s="50"/>
      <c r="QDK345" s="50"/>
      <c r="QDL345" s="50"/>
      <c r="QDM345" s="50"/>
      <c r="QDN345" s="50"/>
      <c r="QDO345" s="50"/>
      <c r="QDP345" s="50"/>
      <c r="QDQ345" s="50"/>
      <c r="QDR345" s="50"/>
      <c r="QDS345" s="50"/>
      <c r="QDT345" s="50"/>
      <c r="QDU345" s="50"/>
      <c r="QDV345" s="50"/>
      <c r="QDW345" s="50"/>
      <c r="QDX345" s="50"/>
      <c r="QDY345" s="50"/>
      <c r="QDZ345" s="50"/>
      <c r="QEA345" s="50"/>
      <c r="QEB345" s="50"/>
      <c r="QEC345" s="50"/>
      <c r="QED345" s="50"/>
      <c r="QEE345" s="50"/>
      <c r="QEF345" s="50"/>
      <c r="QEG345" s="50"/>
      <c r="QEH345" s="50"/>
      <c r="QEI345" s="50"/>
      <c r="QEJ345" s="50"/>
      <c r="QEK345" s="50"/>
      <c r="QEL345" s="50"/>
      <c r="QEM345" s="50"/>
      <c r="QEN345" s="50"/>
      <c r="QEO345" s="50"/>
      <c r="QEP345" s="50"/>
      <c r="QEQ345" s="50"/>
      <c r="QER345" s="50"/>
      <c r="QES345" s="50"/>
      <c r="QET345" s="50"/>
      <c r="QEU345" s="50"/>
      <c r="QEV345" s="50"/>
      <c r="QEW345" s="50"/>
      <c r="QEX345" s="50"/>
      <c r="QEY345" s="50"/>
      <c r="QEZ345" s="50"/>
      <c r="QFA345" s="50"/>
      <c r="QFB345" s="50"/>
      <c r="QFC345" s="50"/>
      <c r="QFD345" s="50"/>
      <c r="QFE345" s="50"/>
      <c r="QFF345" s="50"/>
      <c r="QFG345" s="50"/>
      <c r="QFH345" s="50"/>
      <c r="QFI345" s="50"/>
      <c r="QFJ345" s="50"/>
      <c r="QFK345" s="50"/>
      <c r="QFL345" s="50"/>
      <c r="QFM345" s="50"/>
      <c r="QFN345" s="50"/>
      <c r="QFO345" s="50"/>
      <c r="QFP345" s="50"/>
      <c r="QFQ345" s="50"/>
      <c r="QFR345" s="50"/>
      <c r="QFS345" s="50"/>
      <c r="QFT345" s="50"/>
      <c r="QFU345" s="50"/>
      <c r="QFV345" s="50"/>
      <c r="QFW345" s="50"/>
      <c r="QFX345" s="50"/>
      <c r="QFY345" s="50"/>
      <c r="QFZ345" s="50"/>
      <c r="QGA345" s="50"/>
      <c r="QGB345" s="50"/>
      <c r="QGC345" s="50"/>
      <c r="QGD345" s="50"/>
      <c r="QGE345" s="50"/>
      <c r="QGF345" s="50"/>
      <c r="QGG345" s="50"/>
      <c r="QGH345" s="50"/>
      <c r="QGI345" s="50"/>
      <c r="QGJ345" s="50"/>
      <c r="QGK345" s="50"/>
      <c r="QGL345" s="50"/>
      <c r="QGM345" s="50"/>
      <c r="QGN345" s="50"/>
      <c r="QGO345" s="50"/>
      <c r="QGP345" s="50"/>
      <c r="QGQ345" s="50"/>
      <c r="QGR345" s="50"/>
      <c r="QGS345" s="50"/>
      <c r="QGT345" s="50"/>
      <c r="QGU345" s="50"/>
      <c r="QGV345" s="50"/>
      <c r="QGW345" s="50"/>
      <c r="QGX345" s="50"/>
      <c r="QGY345" s="50"/>
      <c r="QGZ345" s="50"/>
      <c r="QHA345" s="50"/>
      <c r="QHB345" s="50"/>
      <c r="QHC345" s="50"/>
      <c r="QHD345" s="50"/>
      <c r="QHE345" s="50"/>
      <c r="QHF345" s="50"/>
      <c r="QHG345" s="50"/>
      <c r="QHH345" s="50"/>
      <c r="QHI345" s="50"/>
      <c r="QHJ345" s="50"/>
      <c r="QHK345" s="50"/>
      <c r="QHL345" s="50"/>
      <c r="QHM345" s="50"/>
      <c r="QHN345" s="50"/>
      <c r="QHO345" s="50"/>
      <c r="QHP345" s="50"/>
      <c r="QHQ345" s="50"/>
      <c r="QHR345" s="50"/>
      <c r="QHS345" s="50"/>
      <c r="QHT345" s="50"/>
      <c r="QHU345" s="50"/>
      <c r="QHV345" s="50"/>
      <c r="QHW345" s="50"/>
      <c r="QHX345" s="50"/>
      <c r="QHY345" s="50"/>
      <c r="QHZ345" s="50"/>
      <c r="QIA345" s="50"/>
      <c r="QIB345" s="50"/>
      <c r="QIC345" s="50"/>
      <c r="QID345" s="50"/>
      <c r="QIE345" s="50"/>
      <c r="QIF345" s="50"/>
      <c r="QIG345" s="50"/>
      <c r="QIH345" s="50"/>
      <c r="QII345" s="50"/>
      <c r="QIJ345" s="50"/>
      <c r="QIK345" s="50"/>
      <c r="QIL345" s="50"/>
      <c r="QIM345" s="50"/>
      <c r="QIN345" s="50"/>
      <c r="QIO345" s="50"/>
      <c r="QIP345" s="50"/>
      <c r="QIQ345" s="50"/>
      <c r="QIR345" s="50"/>
      <c r="QIS345" s="50"/>
      <c r="QIT345" s="50"/>
      <c r="QIU345" s="50"/>
      <c r="QIV345" s="50"/>
      <c r="QIW345" s="50"/>
      <c r="QIX345" s="50"/>
      <c r="QIY345" s="50"/>
      <c r="QIZ345" s="50"/>
      <c r="QJA345" s="50"/>
      <c r="QJB345" s="50"/>
      <c r="QJC345" s="50"/>
      <c r="QJD345" s="50"/>
      <c r="QJE345" s="50"/>
      <c r="QJF345" s="50"/>
      <c r="QJG345" s="50"/>
      <c r="QJH345" s="50"/>
      <c r="QJI345" s="50"/>
      <c r="QJJ345" s="50"/>
      <c r="QJK345" s="50"/>
      <c r="QJL345" s="50"/>
      <c r="QJM345" s="50"/>
      <c r="QJN345" s="50"/>
      <c r="QJO345" s="50"/>
      <c r="QJP345" s="50"/>
      <c r="QJQ345" s="50"/>
      <c r="QJR345" s="50"/>
      <c r="QJS345" s="50"/>
      <c r="QJT345" s="50"/>
      <c r="QJU345" s="50"/>
      <c r="QJV345" s="50"/>
      <c r="QJW345" s="50"/>
      <c r="QJX345" s="50"/>
      <c r="QJY345" s="50"/>
      <c r="QJZ345" s="50"/>
      <c r="QKA345" s="50"/>
      <c r="QKB345" s="50"/>
      <c r="QKC345" s="50"/>
      <c r="QKD345" s="50"/>
      <c r="QKE345" s="50"/>
      <c r="QKF345" s="50"/>
      <c r="QKG345" s="50"/>
      <c r="QKH345" s="50"/>
      <c r="QKI345" s="50"/>
      <c r="QKJ345" s="50"/>
      <c r="QKK345" s="50"/>
      <c r="QKL345" s="50"/>
      <c r="QKM345" s="50"/>
      <c r="QKN345" s="50"/>
      <c r="QKO345" s="50"/>
      <c r="QKP345" s="50"/>
      <c r="QKQ345" s="50"/>
      <c r="QKR345" s="50"/>
      <c r="QKS345" s="50"/>
      <c r="QKT345" s="50"/>
      <c r="QKU345" s="50"/>
      <c r="QKV345" s="50"/>
      <c r="QKW345" s="50"/>
      <c r="QKX345" s="50"/>
      <c r="QKY345" s="50"/>
      <c r="QKZ345" s="50"/>
      <c r="QLA345" s="50"/>
      <c r="QLB345" s="50"/>
      <c r="QLC345" s="50"/>
      <c r="QLD345" s="50"/>
      <c r="QLE345" s="50"/>
      <c r="QLF345" s="50"/>
      <c r="QLG345" s="50"/>
      <c r="QLH345" s="50"/>
      <c r="QLI345" s="50"/>
      <c r="QLJ345" s="50"/>
      <c r="QLK345" s="50"/>
      <c r="QLL345" s="50"/>
      <c r="QLM345" s="50"/>
      <c r="QLN345" s="50"/>
      <c r="QLO345" s="50"/>
      <c r="QLP345" s="50"/>
      <c r="QLQ345" s="50"/>
      <c r="QLR345" s="50"/>
      <c r="QLS345" s="50"/>
      <c r="QLT345" s="50"/>
      <c r="QLU345" s="50"/>
      <c r="QLV345" s="50"/>
      <c r="QLW345" s="50"/>
      <c r="QLX345" s="50"/>
      <c r="QLY345" s="50"/>
      <c r="QLZ345" s="50"/>
      <c r="QMA345" s="50"/>
      <c r="QMB345" s="50"/>
      <c r="QMC345" s="50"/>
      <c r="QMD345" s="50"/>
      <c r="QME345" s="50"/>
      <c r="QMF345" s="50"/>
      <c r="QMG345" s="50"/>
      <c r="QMH345" s="50"/>
      <c r="QMI345" s="50"/>
      <c r="QMJ345" s="50"/>
      <c r="QMK345" s="50"/>
      <c r="QML345" s="50"/>
      <c r="QMM345" s="50"/>
      <c r="QMN345" s="50"/>
      <c r="QMO345" s="50"/>
      <c r="QMP345" s="50"/>
      <c r="QMQ345" s="50"/>
      <c r="QMR345" s="50"/>
      <c r="QMS345" s="50"/>
      <c r="QMT345" s="50"/>
      <c r="QMU345" s="50"/>
      <c r="QMV345" s="50"/>
      <c r="QMW345" s="50"/>
      <c r="QMX345" s="50"/>
      <c r="QMY345" s="50"/>
      <c r="QMZ345" s="50"/>
      <c r="QNA345" s="50"/>
      <c r="QNB345" s="50"/>
      <c r="QNC345" s="50"/>
      <c r="QND345" s="50"/>
      <c r="QNE345" s="50"/>
      <c r="QNF345" s="50"/>
      <c r="QNG345" s="50"/>
      <c r="QNH345" s="50"/>
      <c r="QNI345" s="50"/>
      <c r="QNJ345" s="50"/>
      <c r="QNK345" s="50"/>
      <c r="QNL345" s="50"/>
      <c r="QNM345" s="50"/>
      <c r="QNN345" s="50"/>
      <c r="QNO345" s="50"/>
      <c r="QNP345" s="50"/>
      <c r="QNQ345" s="50"/>
      <c r="QNR345" s="50"/>
      <c r="QNS345" s="50"/>
      <c r="QNT345" s="50"/>
      <c r="QNU345" s="50"/>
      <c r="QNV345" s="50"/>
      <c r="QNW345" s="50"/>
      <c r="QNX345" s="50"/>
      <c r="QNY345" s="50"/>
      <c r="QNZ345" s="50"/>
      <c r="QOA345" s="50"/>
      <c r="QOB345" s="50"/>
      <c r="QOC345" s="50"/>
      <c r="QOD345" s="50"/>
      <c r="QOE345" s="50"/>
      <c r="QOF345" s="50"/>
      <c r="QOG345" s="50"/>
      <c r="QOH345" s="50"/>
      <c r="QOI345" s="50"/>
      <c r="QOJ345" s="50"/>
      <c r="QOK345" s="50"/>
      <c r="QOL345" s="50"/>
      <c r="QOM345" s="50"/>
      <c r="QON345" s="50"/>
      <c r="QOO345" s="50"/>
      <c r="QOP345" s="50"/>
      <c r="QOQ345" s="50"/>
      <c r="QOR345" s="50"/>
      <c r="QOS345" s="50"/>
      <c r="QOT345" s="50"/>
      <c r="QOU345" s="50"/>
      <c r="QOV345" s="50"/>
      <c r="QOW345" s="50"/>
      <c r="QOX345" s="50"/>
      <c r="QOY345" s="50"/>
      <c r="QOZ345" s="50"/>
      <c r="QPA345" s="50"/>
      <c r="QPB345" s="50"/>
      <c r="QPC345" s="50"/>
      <c r="QPD345" s="50"/>
      <c r="QPE345" s="50"/>
      <c r="QPF345" s="50"/>
      <c r="QPG345" s="50"/>
      <c r="QPH345" s="50"/>
      <c r="QPI345" s="50"/>
      <c r="QPJ345" s="50"/>
      <c r="QPK345" s="50"/>
      <c r="QPL345" s="50"/>
      <c r="QPM345" s="50"/>
      <c r="QPN345" s="50"/>
      <c r="QPO345" s="50"/>
      <c r="QPP345" s="50"/>
      <c r="QPQ345" s="50"/>
      <c r="QPR345" s="50"/>
      <c r="QPS345" s="50"/>
      <c r="QPT345" s="50"/>
      <c r="QPU345" s="50"/>
      <c r="QPV345" s="50"/>
      <c r="QPW345" s="50"/>
      <c r="QPX345" s="50"/>
      <c r="QPY345" s="50"/>
      <c r="QPZ345" s="50"/>
      <c r="QQA345" s="50"/>
      <c r="QQB345" s="50"/>
      <c r="QQC345" s="50"/>
      <c r="QQD345" s="50"/>
      <c r="QQE345" s="50"/>
      <c r="QQF345" s="50"/>
      <c r="QQG345" s="50"/>
      <c r="QQH345" s="50"/>
      <c r="QQI345" s="50"/>
      <c r="QQJ345" s="50"/>
      <c r="QQK345" s="50"/>
      <c r="QQL345" s="50"/>
      <c r="QQM345" s="50"/>
      <c r="QQN345" s="50"/>
      <c r="QQO345" s="50"/>
      <c r="QQP345" s="50"/>
      <c r="QQQ345" s="50"/>
      <c r="QQR345" s="50"/>
      <c r="QQS345" s="50"/>
      <c r="QQT345" s="50"/>
      <c r="QQU345" s="50"/>
      <c r="QQV345" s="50"/>
      <c r="QQW345" s="50"/>
      <c r="QQX345" s="50"/>
      <c r="QQY345" s="50"/>
      <c r="QQZ345" s="50"/>
      <c r="QRA345" s="50"/>
      <c r="QRB345" s="50"/>
      <c r="QRC345" s="50"/>
      <c r="QRD345" s="50"/>
      <c r="QRE345" s="50"/>
      <c r="QRF345" s="50"/>
      <c r="QRG345" s="50"/>
      <c r="QRH345" s="50"/>
      <c r="QRI345" s="50"/>
      <c r="QRJ345" s="50"/>
      <c r="QRK345" s="50"/>
      <c r="QRL345" s="50"/>
      <c r="QRM345" s="50"/>
      <c r="QRN345" s="50"/>
      <c r="QRO345" s="50"/>
      <c r="QRP345" s="50"/>
      <c r="QRQ345" s="50"/>
      <c r="QRR345" s="50"/>
      <c r="QRS345" s="50"/>
      <c r="QRT345" s="50"/>
      <c r="QRU345" s="50"/>
      <c r="QRV345" s="50"/>
      <c r="QRW345" s="50"/>
      <c r="QRX345" s="50"/>
      <c r="QRY345" s="50"/>
      <c r="QRZ345" s="50"/>
      <c r="QSA345" s="50"/>
      <c r="QSB345" s="50"/>
      <c r="QSC345" s="50"/>
      <c r="QSD345" s="50"/>
      <c r="QSE345" s="50"/>
      <c r="QSF345" s="50"/>
      <c r="QSG345" s="50"/>
      <c r="QSH345" s="50"/>
      <c r="QSI345" s="50"/>
      <c r="QSJ345" s="50"/>
      <c r="QSK345" s="50"/>
      <c r="QSL345" s="50"/>
      <c r="QSM345" s="50"/>
      <c r="QSN345" s="50"/>
      <c r="QSO345" s="50"/>
      <c r="QSP345" s="50"/>
      <c r="QSQ345" s="50"/>
      <c r="QSR345" s="50"/>
      <c r="QSS345" s="50"/>
      <c r="QST345" s="50"/>
      <c r="QSU345" s="50"/>
      <c r="QSV345" s="50"/>
      <c r="QSW345" s="50"/>
      <c r="QSX345" s="50"/>
      <c r="QSY345" s="50"/>
      <c r="QSZ345" s="50"/>
      <c r="QTA345" s="50"/>
      <c r="QTB345" s="50"/>
      <c r="QTC345" s="50"/>
      <c r="QTD345" s="50"/>
      <c r="QTE345" s="50"/>
      <c r="QTF345" s="50"/>
      <c r="QTG345" s="50"/>
      <c r="QTH345" s="50"/>
      <c r="QTI345" s="50"/>
      <c r="QTJ345" s="50"/>
      <c r="QTK345" s="50"/>
      <c r="QTL345" s="50"/>
      <c r="QTM345" s="50"/>
      <c r="QTN345" s="50"/>
      <c r="QTO345" s="50"/>
      <c r="QTP345" s="50"/>
      <c r="QTQ345" s="50"/>
      <c r="QTR345" s="50"/>
      <c r="QTS345" s="50"/>
      <c r="QTT345" s="50"/>
      <c r="QTU345" s="50"/>
      <c r="QTV345" s="50"/>
      <c r="QTW345" s="50"/>
      <c r="QTX345" s="50"/>
      <c r="QTY345" s="50"/>
      <c r="QTZ345" s="50"/>
      <c r="QUA345" s="50"/>
      <c r="QUB345" s="50"/>
      <c r="QUC345" s="50"/>
      <c r="QUD345" s="50"/>
      <c r="QUE345" s="50"/>
      <c r="QUF345" s="50"/>
      <c r="QUG345" s="50"/>
      <c r="QUH345" s="50"/>
      <c r="QUI345" s="50"/>
      <c r="QUJ345" s="50"/>
      <c r="QUK345" s="50"/>
      <c r="QUL345" s="50"/>
      <c r="QUM345" s="50"/>
      <c r="QUN345" s="50"/>
      <c r="QUO345" s="50"/>
      <c r="QUP345" s="50"/>
      <c r="QUQ345" s="50"/>
      <c r="QUR345" s="50"/>
      <c r="QUS345" s="50"/>
      <c r="QUT345" s="50"/>
      <c r="QUU345" s="50"/>
      <c r="QUV345" s="50"/>
      <c r="QUW345" s="50"/>
      <c r="QUX345" s="50"/>
      <c r="QUY345" s="50"/>
      <c r="QUZ345" s="50"/>
      <c r="QVA345" s="50"/>
      <c r="QVB345" s="50"/>
      <c r="QVC345" s="50"/>
      <c r="QVD345" s="50"/>
      <c r="QVE345" s="50"/>
      <c r="QVF345" s="50"/>
      <c r="QVG345" s="50"/>
      <c r="QVH345" s="50"/>
      <c r="QVI345" s="50"/>
      <c r="QVJ345" s="50"/>
      <c r="QVK345" s="50"/>
      <c r="QVL345" s="50"/>
      <c r="QVM345" s="50"/>
      <c r="QVN345" s="50"/>
      <c r="QVO345" s="50"/>
      <c r="QVP345" s="50"/>
      <c r="QVQ345" s="50"/>
      <c r="QVR345" s="50"/>
      <c r="QVS345" s="50"/>
      <c r="QVT345" s="50"/>
      <c r="QVU345" s="50"/>
      <c r="QVV345" s="50"/>
      <c r="QVW345" s="50"/>
      <c r="QVX345" s="50"/>
      <c r="QVY345" s="50"/>
      <c r="QVZ345" s="50"/>
      <c r="QWA345" s="50"/>
      <c r="QWB345" s="50"/>
      <c r="QWC345" s="50"/>
      <c r="QWD345" s="50"/>
      <c r="QWE345" s="50"/>
      <c r="QWF345" s="50"/>
      <c r="QWG345" s="50"/>
      <c r="QWH345" s="50"/>
      <c r="QWI345" s="50"/>
      <c r="QWJ345" s="50"/>
      <c r="QWK345" s="50"/>
      <c r="QWL345" s="50"/>
      <c r="QWM345" s="50"/>
      <c r="QWN345" s="50"/>
      <c r="QWO345" s="50"/>
      <c r="QWP345" s="50"/>
      <c r="QWQ345" s="50"/>
      <c r="QWR345" s="50"/>
      <c r="QWS345" s="50"/>
      <c r="QWT345" s="50"/>
      <c r="QWU345" s="50"/>
      <c r="QWV345" s="50"/>
      <c r="QWW345" s="50"/>
      <c r="QWX345" s="50"/>
      <c r="QWY345" s="50"/>
      <c r="QWZ345" s="50"/>
      <c r="QXA345" s="50"/>
      <c r="QXB345" s="50"/>
      <c r="QXC345" s="50"/>
      <c r="QXD345" s="50"/>
      <c r="QXE345" s="50"/>
      <c r="QXF345" s="50"/>
      <c r="QXG345" s="50"/>
      <c r="QXH345" s="50"/>
      <c r="QXI345" s="50"/>
      <c r="QXJ345" s="50"/>
      <c r="QXK345" s="50"/>
      <c r="QXL345" s="50"/>
      <c r="QXM345" s="50"/>
      <c r="QXN345" s="50"/>
      <c r="QXO345" s="50"/>
      <c r="QXP345" s="50"/>
      <c r="QXQ345" s="50"/>
      <c r="QXR345" s="50"/>
      <c r="QXS345" s="50"/>
      <c r="QXT345" s="50"/>
      <c r="QXU345" s="50"/>
      <c r="QXV345" s="50"/>
      <c r="QXW345" s="50"/>
      <c r="QXX345" s="50"/>
      <c r="QXY345" s="50"/>
      <c r="QXZ345" s="50"/>
      <c r="QYA345" s="50"/>
      <c r="QYB345" s="50"/>
      <c r="QYC345" s="50"/>
      <c r="QYD345" s="50"/>
      <c r="QYE345" s="50"/>
      <c r="QYF345" s="50"/>
      <c r="QYG345" s="50"/>
      <c r="QYH345" s="50"/>
      <c r="QYI345" s="50"/>
      <c r="QYJ345" s="50"/>
      <c r="QYK345" s="50"/>
      <c r="QYL345" s="50"/>
      <c r="QYM345" s="50"/>
      <c r="QYN345" s="50"/>
      <c r="QYO345" s="50"/>
      <c r="QYP345" s="50"/>
      <c r="QYQ345" s="50"/>
      <c r="QYR345" s="50"/>
      <c r="QYS345" s="50"/>
      <c r="QYT345" s="50"/>
      <c r="QYU345" s="50"/>
      <c r="QYV345" s="50"/>
      <c r="QYW345" s="50"/>
      <c r="QYX345" s="50"/>
      <c r="QYY345" s="50"/>
      <c r="QYZ345" s="50"/>
      <c r="QZA345" s="50"/>
      <c r="QZB345" s="50"/>
      <c r="QZC345" s="50"/>
      <c r="QZD345" s="50"/>
      <c r="QZE345" s="50"/>
      <c r="QZF345" s="50"/>
      <c r="QZG345" s="50"/>
      <c r="QZH345" s="50"/>
      <c r="QZI345" s="50"/>
      <c r="QZJ345" s="50"/>
      <c r="QZK345" s="50"/>
      <c r="QZL345" s="50"/>
      <c r="QZM345" s="50"/>
      <c r="QZN345" s="50"/>
      <c r="QZO345" s="50"/>
      <c r="QZP345" s="50"/>
      <c r="QZQ345" s="50"/>
      <c r="QZR345" s="50"/>
      <c r="QZS345" s="50"/>
      <c r="QZT345" s="50"/>
      <c r="QZU345" s="50"/>
      <c r="QZV345" s="50"/>
      <c r="QZW345" s="50"/>
      <c r="QZX345" s="50"/>
      <c r="QZY345" s="50"/>
      <c r="QZZ345" s="50"/>
      <c r="RAA345" s="50"/>
      <c r="RAB345" s="50"/>
      <c r="RAC345" s="50"/>
      <c r="RAD345" s="50"/>
      <c r="RAE345" s="50"/>
      <c r="RAF345" s="50"/>
      <c r="RAG345" s="50"/>
      <c r="RAH345" s="50"/>
      <c r="RAI345" s="50"/>
      <c r="RAJ345" s="50"/>
      <c r="RAK345" s="50"/>
      <c r="RAL345" s="50"/>
      <c r="RAM345" s="50"/>
      <c r="RAN345" s="50"/>
      <c r="RAO345" s="50"/>
      <c r="RAP345" s="50"/>
      <c r="RAQ345" s="50"/>
      <c r="RAR345" s="50"/>
      <c r="RAS345" s="50"/>
      <c r="RAT345" s="50"/>
      <c r="RAU345" s="50"/>
      <c r="RAV345" s="50"/>
      <c r="RAW345" s="50"/>
      <c r="RAX345" s="50"/>
      <c r="RAY345" s="50"/>
      <c r="RAZ345" s="50"/>
      <c r="RBA345" s="50"/>
      <c r="RBB345" s="50"/>
      <c r="RBC345" s="50"/>
      <c r="RBD345" s="50"/>
      <c r="RBE345" s="50"/>
      <c r="RBF345" s="50"/>
      <c r="RBG345" s="50"/>
      <c r="RBH345" s="50"/>
      <c r="RBI345" s="50"/>
      <c r="RBJ345" s="50"/>
      <c r="RBK345" s="50"/>
      <c r="RBL345" s="50"/>
      <c r="RBM345" s="50"/>
      <c r="RBN345" s="50"/>
      <c r="RBO345" s="50"/>
      <c r="RBP345" s="50"/>
      <c r="RBQ345" s="50"/>
      <c r="RBR345" s="50"/>
      <c r="RBS345" s="50"/>
      <c r="RBT345" s="50"/>
      <c r="RBU345" s="50"/>
      <c r="RBV345" s="50"/>
      <c r="RBW345" s="50"/>
      <c r="RBX345" s="50"/>
      <c r="RBY345" s="50"/>
      <c r="RBZ345" s="50"/>
      <c r="RCA345" s="50"/>
      <c r="RCB345" s="50"/>
      <c r="RCC345" s="50"/>
      <c r="RCD345" s="50"/>
      <c r="RCE345" s="50"/>
      <c r="RCF345" s="50"/>
      <c r="RCG345" s="50"/>
      <c r="RCH345" s="50"/>
      <c r="RCI345" s="50"/>
      <c r="RCJ345" s="50"/>
      <c r="RCK345" s="50"/>
      <c r="RCL345" s="50"/>
      <c r="RCM345" s="50"/>
      <c r="RCN345" s="50"/>
      <c r="RCO345" s="50"/>
      <c r="RCP345" s="50"/>
      <c r="RCQ345" s="50"/>
      <c r="RCR345" s="50"/>
      <c r="RCS345" s="50"/>
      <c r="RCT345" s="50"/>
      <c r="RCU345" s="50"/>
      <c r="RCV345" s="50"/>
      <c r="RCW345" s="50"/>
      <c r="RCX345" s="50"/>
      <c r="RCY345" s="50"/>
      <c r="RCZ345" s="50"/>
      <c r="RDA345" s="50"/>
      <c r="RDB345" s="50"/>
      <c r="RDC345" s="50"/>
      <c r="RDD345" s="50"/>
      <c r="RDE345" s="50"/>
      <c r="RDF345" s="50"/>
      <c r="RDG345" s="50"/>
      <c r="RDH345" s="50"/>
      <c r="RDI345" s="50"/>
      <c r="RDJ345" s="50"/>
      <c r="RDK345" s="50"/>
      <c r="RDL345" s="50"/>
      <c r="RDM345" s="50"/>
      <c r="RDN345" s="50"/>
      <c r="RDO345" s="50"/>
      <c r="RDP345" s="50"/>
      <c r="RDQ345" s="50"/>
      <c r="RDR345" s="50"/>
      <c r="RDS345" s="50"/>
      <c r="RDT345" s="50"/>
      <c r="RDU345" s="50"/>
      <c r="RDV345" s="50"/>
      <c r="RDW345" s="50"/>
      <c r="RDX345" s="50"/>
      <c r="RDY345" s="50"/>
      <c r="RDZ345" s="50"/>
      <c r="REA345" s="50"/>
      <c r="REB345" s="50"/>
      <c r="REC345" s="50"/>
      <c r="RED345" s="50"/>
      <c r="REE345" s="50"/>
      <c r="REF345" s="50"/>
      <c r="REG345" s="50"/>
      <c r="REH345" s="50"/>
      <c r="REI345" s="50"/>
      <c r="REJ345" s="50"/>
      <c r="REK345" s="50"/>
      <c r="REL345" s="50"/>
      <c r="REM345" s="50"/>
      <c r="REN345" s="50"/>
      <c r="REO345" s="50"/>
      <c r="REP345" s="50"/>
      <c r="REQ345" s="50"/>
      <c r="RER345" s="50"/>
      <c r="RES345" s="50"/>
      <c r="RET345" s="50"/>
      <c r="REU345" s="50"/>
      <c r="REV345" s="50"/>
      <c r="REW345" s="50"/>
      <c r="REX345" s="50"/>
      <c r="REY345" s="50"/>
      <c r="REZ345" s="50"/>
      <c r="RFA345" s="50"/>
      <c r="RFB345" s="50"/>
      <c r="RFC345" s="50"/>
      <c r="RFD345" s="50"/>
      <c r="RFE345" s="50"/>
      <c r="RFF345" s="50"/>
      <c r="RFG345" s="50"/>
      <c r="RFH345" s="50"/>
      <c r="RFI345" s="50"/>
      <c r="RFJ345" s="50"/>
      <c r="RFK345" s="50"/>
      <c r="RFL345" s="50"/>
      <c r="RFM345" s="50"/>
      <c r="RFN345" s="50"/>
      <c r="RFO345" s="50"/>
      <c r="RFP345" s="50"/>
      <c r="RFQ345" s="50"/>
      <c r="RFR345" s="50"/>
      <c r="RFS345" s="50"/>
      <c r="RFT345" s="50"/>
      <c r="RFU345" s="50"/>
      <c r="RFV345" s="50"/>
      <c r="RFW345" s="50"/>
      <c r="RFX345" s="50"/>
      <c r="RFY345" s="50"/>
      <c r="RFZ345" s="50"/>
      <c r="RGA345" s="50"/>
      <c r="RGB345" s="50"/>
      <c r="RGC345" s="50"/>
      <c r="RGD345" s="50"/>
      <c r="RGE345" s="50"/>
      <c r="RGF345" s="50"/>
      <c r="RGG345" s="50"/>
      <c r="RGH345" s="50"/>
      <c r="RGI345" s="50"/>
      <c r="RGJ345" s="50"/>
      <c r="RGK345" s="50"/>
      <c r="RGL345" s="50"/>
      <c r="RGM345" s="50"/>
      <c r="RGN345" s="50"/>
      <c r="RGO345" s="50"/>
      <c r="RGP345" s="50"/>
      <c r="RGQ345" s="50"/>
      <c r="RGR345" s="50"/>
      <c r="RGS345" s="50"/>
      <c r="RGT345" s="50"/>
      <c r="RGU345" s="50"/>
      <c r="RGV345" s="50"/>
      <c r="RGW345" s="50"/>
      <c r="RGX345" s="50"/>
      <c r="RGY345" s="50"/>
      <c r="RGZ345" s="50"/>
      <c r="RHA345" s="50"/>
      <c r="RHB345" s="50"/>
      <c r="RHC345" s="50"/>
      <c r="RHD345" s="50"/>
      <c r="RHE345" s="50"/>
      <c r="RHF345" s="50"/>
      <c r="RHG345" s="50"/>
      <c r="RHH345" s="50"/>
      <c r="RHI345" s="50"/>
      <c r="RHJ345" s="50"/>
      <c r="RHK345" s="50"/>
      <c r="RHL345" s="50"/>
      <c r="RHM345" s="50"/>
      <c r="RHN345" s="50"/>
      <c r="RHO345" s="50"/>
      <c r="RHP345" s="50"/>
      <c r="RHQ345" s="50"/>
      <c r="RHR345" s="50"/>
      <c r="RHS345" s="50"/>
      <c r="RHT345" s="50"/>
      <c r="RHU345" s="50"/>
      <c r="RHV345" s="50"/>
      <c r="RHW345" s="50"/>
      <c r="RHX345" s="50"/>
      <c r="RHY345" s="50"/>
      <c r="RHZ345" s="50"/>
      <c r="RIA345" s="50"/>
      <c r="RIB345" s="50"/>
      <c r="RIC345" s="50"/>
      <c r="RID345" s="50"/>
      <c r="RIE345" s="50"/>
      <c r="RIF345" s="50"/>
      <c r="RIG345" s="50"/>
      <c r="RIH345" s="50"/>
      <c r="RII345" s="50"/>
      <c r="RIJ345" s="50"/>
      <c r="RIK345" s="50"/>
      <c r="RIL345" s="50"/>
      <c r="RIM345" s="50"/>
      <c r="RIN345" s="50"/>
      <c r="RIO345" s="50"/>
      <c r="RIP345" s="50"/>
      <c r="RIQ345" s="50"/>
      <c r="RIR345" s="50"/>
      <c r="RIS345" s="50"/>
      <c r="RIT345" s="50"/>
      <c r="RIU345" s="50"/>
      <c r="RIV345" s="50"/>
      <c r="RIW345" s="50"/>
      <c r="RIX345" s="50"/>
      <c r="RIY345" s="50"/>
      <c r="RIZ345" s="50"/>
      <c r="RJA345" s="50"/>
      <c r="RJB345" s="50"/>
      <c r="RJC345" s="50"/>
      <c r="RJD345" s="50"/>
      <c r="RJE345" s="50"/>
      <c r="RJF345" s="50"/>
      <c r="RJG345" s="50"/>
      <c r="RJH345" s="50"/>
      <c r="RJI345" s="50"/>
      <c r="RJJ345" s="50"/>
      <c r="RJK345" s="50"/>
      <c r="RJL345" s="50"/>
      <c r="RJM345" s="50"/>
      <c r="RJN345" s="50"/>
      <c r="RJO345" s="50"/>
      <c r="RJP345" s="50"/>
      <c r="RJQ345" s="50"/>
      <c r="RJR345" s="50"/>
      <c r="RJS345" s="50"/>
      <c r="RJT345" s="50"/>
      <c r="RJU345" s="50"/>
      <c r="RJV345" s="50"/>
      <c r="RJW345" s="50"/>
      <c r="RJX345" s="50"/>
      <c r="RJY345" s="50"/>
      <c r="RJZ345" s="50"/>
      <c r="RKA345" s="50"/>
      <c r="RKB345" s="50"/>
      <c r="RKC345" s="50"/>
      <c r="RKD345" s="50"/>
      <c r="RKE345" s="50"/>
      <c r="RKF345" s="50"/>
      <c r="RKG345" s="50"/>
      <c r="RKH345" s="50"/>
      <c r="RKI345" s="50"/>
      <c r="RKJ345" s="50"/>
      <c r="RKK345" s="50"/>
      <c r="RKL345" s="50"/>
      <c r="RKM345" s="50"/>
      <c r="RKN345" s="50"/>
      <c r="RKO345" s="50"/>
      <c r="RKP345" s="50"/>
      <c r="RKQ345" s="50"/>
      <c r="RKR345" s="50"/>
      <c r="RKS345" s="50"/>
      <c r="RKT345" s="50"/>
      <c r="RKU345" s="50"/>
      <c r="RKV345" s="50"/>
      <c r="RKW345" s="50"/>
      <c r="RKX345" s="50"/>
      <c r="RKY345" s="50"/>
      <c r="RKZ345" s="50"/>
      <c r="RLA345" s="50"/>
      <c r="RLB345" s="50"/>
      <c r="RLC345" s="50"/>
      <c r="RLD345" s="50"/>
      <c r="RLE345" s="50"/>
      <c r="RLF345" s="50"/>
      <c r="RLG345" s="50"/>
      <c r="RLH345" s="50"/>
      <c r="RLI345" s="50"/>
      <c r="RLJ345" s="50"/>
      <c r="RLK345" s="50"/>
      <c r="RLL345" s="50"/>
      <c r="RLM345" s="50"/>
      <c r="RLN345" s="50"/>
      <c r="RLO345" s="50"/>
      <c r="RLP345" s="50"/>
      <c r="RLQ345" s="50"/>
      <c r="RLR345" s="50"/>
      <c r="RLS345" s="50"/>
      <c r="RLT345" s="50"/>
      <c r="RLU345" s="50"/>
      <c r="RLV345" s="50"/>
      <c r="RLW345" s="50"/>
      <c r="RLX345" s="50"/>
      <c r="RLY345" s="50"/>
      <c r="RLZ345" s="50"/>
      <c r="RMA345" s="50"/>
      <c r="RMB345" s="50"/>
      <c r="RMC345" s="50"/>
      <c r="RMD345" s="50"/>
      <c r="RME345" s="50"/>
      <c r="RMF345" s="50"/>
      <c r="RMG345" s="50"/>
      <c r="RMH345" s="50"/>
      <c r="RMI345" s="50"/>
      <c r="RMJ345" s="50"/>
      <c r="RMK345" s="50"/>
      <c r="RML345" s="50"/>
      <c r="RMM345" s="50"/>
      <c r="RMN345" s="50"/>
      <c r="RMO345" s="50"/>
      <c r="RMP345" s="50"/>
      <c r="RMQ345" s="50"/>
      <c r="RMR345" s="50"/>
      <c r="RMS345" s="50"/>
      <c r="RMT345" s="50"/>
      <c r="RMU345" s="50"/>
      <c r="RMV345" s="50"/>
      <c r="RMW345" s="50"/>
      <c r="RMX345" s="50"/>
      <c r="RMY345" s="50"/>
      <c r="RMZ345" s="50"/>
      <c r="RNA345" s="50"/>
      <c r="RNB345" s="50"/>
      <c r="RNC345" s="50"/>
      <c r="RND345" s="50"/>
      <c r="RNE345" s="50"/>
      <c r="RNF345" s="50"/>
      <c r="RNG345" s="50"/>
      <c r="RNH345" s="50"/>
      <c r="RNI345" s="50"/>
      <c r="RNJ345" s="50"/>
      <c r="RNK345" s="50"/>
      <c r="RNL345" s="50"/>
      <c r="RNM345" s="50"/>
      <c r="RNN345" s="50"/>
      <c r="RNO345" s="50"/>
      <c r="RNP345" s="50"/>
      <c r="RNQ345" s="50"/>
      <c r="RNR345" s="50"/>
      <c r="RNS345" s="50"/>
      <c r="RNT345" s="50"/>
      <c r="RNU345" s="50"/>
      <c r="RNV345" s="50"/>
      <c r="RNW345" s="50"/>
      <c r="RNX345" s="50"/>
      <c r="RNY345" s="50"/>
      <c r="RNZ345" s="50"/>
      <c r="ROA345" s="50"/>
      <c r="ROB345" s="50"/>
      <c r="ROC345" s="50"/>
      <c r="ROD345" s="50"/>
      <c r="ROE345" s="50"/>
      <c r="ROF345" s="50"/>
      <c r="ROG345" s="50"/>
      <c r="ROH345" s="50"/>
      <c r="ROI345" s="50"/>
      <c r="ROJ345" s="50"/>
      <c r="ROK345" s="50"/>
      <c r="ROL345" s="50"/>
      <c r="ROM345" s="50"/>
      <c r="RON345" s="50"/>
      <c r="ROO345" s="50"/>
      <c r="ROP345" s="50"/>
      <c r="ROQ345" s="50"/>
      <c r="ROR345" s="50"/>
      <c r="ROS345" s="50"/>
      <c r="ROT345" s="50"/>
      <c r="ROU345" s="50"/>
      <c r="ROV345" s="50"/>
      <c r="ROW345" s="50"/>
      <c r="ROX345" s="50"/>
      <c r="ROY345" s="50"/>
      <c r="ROZ345" s="50"/>
      <c r="RPA345" s="50"/>
      <c r="RPB345" s="50"/>
      <c r="RPC345" s="50"/>
      <c r="RPD345" s="50"/>
      <c r="RPE345" s="50"/>
      <c r="RPF345" s="50"/>
      <c r="RPG345" s="50"/>
      <c r="RPH345" s="50"/>
      <c r="RPI345" s="50"/>
      <c r="RPJ345" s="50"/>
      <c r="RPK345" s="50"/>
      <c r="RPL345" s="50"/>
      <c r="RPM345" s="50"/>
      <c r="RPN345" s="50"/>
      <c r="RPO345" s="50"/>
      <c r="RPP345" s="50"/>
      <c r="RPQ345" s="50"/>
      <c r="RPR345" s="50"/>
      <c r="RPS345" s="50"/>
      <c r="RPT345" s="50"/>
      <c r="RPU345" s="50"/>
      <c r="RPV345" s="50"/>
      <c r="RPW345" s="50"/>
      <c r="RPX345" s="50"/>
      <c r="RPY345" s="50"/>
      <c r="RPZ345" s="50"/>
      <c r="RQA345" s="50"/>
      <c r="RQB345" s="50"/>
      <c r="RQC345" s="50"/>
      <c r="RQD345" s="50"/>
      <c r="RQE345" s="50"/>
      <c r="RQF345" s="50"/>
      <c r="RQG345" s="50"/>
      <c r="RQH345" s="50"/>
      <c r="RQI345" s="50"/>
      <c r="RQJ345" s="50"/>
      <c r="RQK345" s="50"/>
      <c r="RQL345" s="50"/>
      <c r="RQM345" s="50"/>
      <c r="RQN345" s="50"/>
      <c r="RQO345" s="50"/>
      <c r="RQP345" s="50"/>
      <c r="RQQ345" s="50"/>
      <c r="RQR345" s="50"/>
      <c r="RQS345" s="50"/>
      <c r="RQT345" s="50"/>
      <c r="RQU345" s="50"/>
      <c r="RQV345" s="50"/>
      <c r="RQW345" s="50"/>
      <c r="RQX345" s="50"/>
      <c r="RQY345" s="50"/>
      <c r="RQZ345" s="50"/>
      <c r="RRA345" s="50"/>
      <c r="RRB345" s="50"/>
      <c r="RRC345" s="50"/>
      <c r="RRD345" s="50"/>
      <c r="RRE345" s="50"/>
      <c r="RRF345" s="50"/>
      <c r="RRG345" s="50"/>
      <c r="RRH345" s="50"/>
      <c r="RRI345" s="50"/>
      <c r="RRJ345" s="50"/>
      <c r="RRK345" s="50"/>
      <c r="RRL345" s="50"/>
      <c r="RRM345" s="50"/>
      <c r="RRN345" s="50"/>
      <c r="RRO345" s="50"/>
      <c r="RRP345" s="50"/>
      <c r="RRQ345" s="50"/>
      <c r="RRR345" s="50"/>
      <c r="RRS345" s="50"/>
      <c r="RRT345" s="50"/>
      <c r="RRU345" s="50"/>
      <c r="RRV345" s="50"/>
      <c r="RRW345" s="50"/>
      <c r="RRX345" s="50"/>
      <c r="RRY345" s="50"/>
      <c r="RRZ345" s="50"/>
      <c r="RSA345" s="50"/>
      <c r="RSB345" s="50"/>
      <c r="RSC345" s="50"/>
      <c r="RSD345" s="50"/>
      <c r="RSE345" s="50"/>
      <c r="RSF345" s="50"/>
      <c r="RSG345" s="50"/>
      <c r="RSH345" s="50"/>
      <c r="RSI345" s="50"/>
      <c r="RSJ345" s="50"/>
      <c r="RSK345" s="50"/>
      <c r="RSL345" s="50"/>
      <c r="RSM345" s="50"/>
      <c r="RSN345" s="50"/>
      <c r="RSO345" s="50"/>
      <c r="RSP345" s="50"/>
      <c r="RSQ345" s="50"/>
      <c r="RSR345" s="50"/>
      <c r="RSS345" s="50"/>
      <c r="RST345" s="50"/>
      <c r="RSU345" s="50"/>
      <c r="RSV345" s="50"/>
      <c r="RSW345" s="50"/>
      <c r="RSX345" s="50"/>
      <c r="RSY345" s="50"/>
      <c r="RSZ345" s="50"/>
      <c r="RTA345" s="50"/>
      <c r="RTB345" s="50"/>
      <c r="RTC345" s="50"/>
      <c r="RTD345" s="50"/>
      <c r="RTE345" s="50"/>
      <c r="RTF345" s="50"/>
      <c r="RTG345" s="50"/>
      <c r="RTH345" s="50"/>
      <c r="RTI345" s="50"/>
      <c r="RTJ345" s="50"/>
      <c r="RTK345" s="50"/>
      <c r="RTL345" s="50"/>
      <c r="RTM345" s="50"/>
      <c r="RTN345" s="50"/>
      <c r="RTO345" s="50"/>
      <c r="RTP345" s="50"/>
      <c r="RTQ345" s="50"/>
      <c r="RTR345" s="50"/>
      <c r="RTS345" s="50"/>
      <c r="RTT345" s="50"/>
      <c r="RTU345" s="50"/>
      <c r="RTV345" s="50"/>
      <c r="RTW345" s="50"/>
      <c r="RTX345" s="50"/>
      <c r="RTY345" s="50"/>
      <c r="RTZ345" s="50"/>
      <c r="RUA345" s="50"/>
      <c r="RUB345" s="50"/>
      <c r="RUC345" s="50"/>
      <c r="RUD345" s="50"/>
      <c r="RUE345" s="50"/>
      <c r="RUF345" s="50"/>
      <c r="RUG345" s="50"/>
      <c r="RUH345" s="50"/>
      <c r="RUI345" s="50"/>
      <c r="RUJ345" s="50"/>
      <c r="RUK345" s="50"/>
      <c r="RUL345" s="50"/>
      <c r="RUM345" s="50"/>
      <c r="RUN345" s="50"/>
      <c r="RUO345" s="50"/>
      <c r="RUP345" s="50"/>
      <c r="RUQ345" s="50"/>
      <c r="RUR345" s="50"/>
      <c r="RUS345" s="50"/>
      <c r="RUT345" s="50"/>
      <c r="RUU345" s="50"/>
      <c r="RUV345" s="50"/>
      <c r="RUW345" s="50"/>
      <c r="RUX345" s="50"/>
      <c r="RUY345" s="50"/>
      <c r="RUZ345" s="50"/>
      <c r="RVA345" s="50"/>
      <c r="RVB345" s="50"/>
      <c r="RVC345" s="50"/>
      <c r="RVD345" s="50"/>
      <c r="RVE345" s="50"/>
      <c r="RVF345" s="50"/>
      <c r="RVG345" s="50"/>
      <c r="RVH345" s="50"/>
      <c r="RVI345" s="50"/>
      <c r="RVJ345" s="50"/>
      <c r="RVK345" s="50"/>
      <c r="RVL345" s="50"/>
      <c r="RVM345" s="50"/>
      <c r="RVN345" s="50"/>
      <c r="RVO345" s="50"/>
      <c r="RVP345" s="50"/>
      <c r="RVQ345" s="50"/>
      <c r="RVR345" s="50"/>
      <c r="RVS345" s="50"/>
      <c r="RVT345" s="50"/>
      <c r="RVU345" s="50"/>
      <c r="RVV345" s="50"/>
      <c r="RVW345" s="50"/>
      <c r="RVX345" s="50"/>
      <c r="RVY345" s="50"/>
      <c r="RVZ345" s="50"/>
      <c r="RWA345" s="50"/>
      <c r="RWB345" s="50"/>
      <c r="RWC345" s="50"/>
      <c r="RWD345" s="50"/>
      <c r="RWE345" s="50"/>
      <c r="RWF345" s="50"/>
      <c r="RWG345" s="50"/>
      <c r="RWH345" s="50"/>
      <c r="RWI345" s="50"/>
      <c r="RWJ345" s="50"/>
      <c r="RWK345" s="50"/>
      <c r="RWL345" s="50"/>
      <c r="RWM345" s="50"/>
      <c r="RWN345" s="50"/>
      <c r="RWO345" s="50"/>
      <c r="RWP345" s="50"/>
      <c r="RWQ345" s="50"/>
      <c r="RWR345" s="50"/>
      <c r="RWS345" s="50"/>
      <c r="RWT345" s="50"/>
      <c r="RWU345" s="50"/>
      <c r="RWV345" s="50"/>
      <c r="RWW345" s="50"/>
      <c r="RWX345" s="50"/>
      <c r="RWY345" s="50"/>
      <c r="RWZ345" s="50"/>
      <c r="RXA345" s="50"/>
      <c r="RXB345" s="50"/>
      <c r="RXC345" s="50"/>
      <c r="RXD345" s="50"/>
      <c r="RXE345" s="50"/>
      <c r="RXF345" s="50"/>
      <c r="RXG345" s="50"/>
      <c r="RXH345" s="50"/>
      <c r="RXI345" s="50"/>
      <c r="RXJ345" s="50"/>
      <c r="RXK345" s="50"/>
      <c r="RXL345" s="50"/>
      <c r="RXM345" s="50"/>
      <c r="RXN345" s="50"/>
      <c r="RXO345" s="50"/>
      <c r="RXP345" s="50"/>
      <c r="RXQ345" s="50"/>
      <c r="RXR345" s="50"/>
      <c r="RXS345" s="50"/>
      <c r="RXT345" s="50"/>
      <c r="RXU345" s="50"/>
      <c r="RXV345" s="50"/>
      <c r="RXW345" s="50"/>
      <c r="RXX345" s="50"/>
      <c r="RXY345" s="50"/>
      <c r="RXZ345" s="50"/>
      <c r="RYA345" s="50"/>
      <c r="RYB345" s="50"/>
      <c r="RYC345" s="50"/>
      <c r="RYD345" s="50"/>
      <c r="RYE345" s="50"/>
      <c r="RYF345" s="50"/>
      <c r="RYG345" s="50"/>
      <c r="RYH345" s="50"/>
      <c r="RYI345" s="50"/>
      <c r="RYJ345" s="50"/>
      <c r="RYK345" s="50"/>
      <c r="RYL345" s="50"/>
      <c r="RYM345" s="50"/>
      <c r="RYN345" s="50"/>
      <c r="RYO345" s="50"/>
      <c r="RYP345" s="50"/>
      <c r="RYQ345" s="50"/>
      <c r="RYR345" s="50"/>
      <c r="RYS345" s="50"/>
      <c r="RYT345" s="50"/>
      <c r="RYU345" s="50"/>
      <c r="RYV345" s="50"/>
      <c r="RYW345" s="50"/>
      <c r="RYX345" s="50"/>
      <c r="RYY345" s="50"/>
      <c r="RYZ345" s="50"/>
      <c r="RZA345" s="50"/>
      <c r="RZB345" s="50"/>
      <c r="RZC345" s="50"/>
      <c r="RZD345" s="50"/>
      <c r="RZE345" s="50"/>
      <c r="RZF345" s="50"/>
      <c r="RZG345" s="50"/>
      <c r="RZH345" s="50"/>
      <c r="RZI345" s="50"/>
      <c r="RZJ345" s="50"/>
      <c r="RZK345" s="50"/>
      <c r="RZL345" s="50"/>
      <c r="RZM345" s="50"/>
      <c r="RZN345" s="50"/>
      <c r="RZO345" s="50"/>
      <c r="RZP345" s="50"/>
      <c r="RZQ345" s="50"/>
      <c r="RZR345" s="50"/>
      <c r="RZS345" s="50"/>
      <c r="RZT345" s="50"/>
      <c r="RZU345" s="50"/>
      <c r="RZV345" s="50"/>
      <c r="RZW345" s="50"/>
      <c r="RZX345" s="50"/>
      <c r="RZY345" s="50"/>
      <c r="RZZ345" s="50"/>
      <c r="SAA345" s="50"/>
      <c r="SAB345" s="50"/>
      <c r="SAC345" s="50"/>
      <c r="SAD345" s="50"/>
      <c r="SAE345" s="50"/>
      <c r="SAF345" s="50"/>
      <c r="SAG345" s="50"/>
      <c r="SAH345" s="50"/>
      <c r="SAI345" s="50"/>
      <c r="SAJ345" s="50"/>
      <c r="SAK345" s="50"/>
      <c r="SAL345" s="50"/>
      <c r="SAM345" s="50"/>
      <c r="SAN345" s="50"/>
      <c r="SAO345" s="50"/>
      <c r="SAP345" s="50"/>
      <c r="SAQ345" s="50"/>
      <c r="SAR345" s="50"/>
      <c r="SAS345" s="50"/>
      <c r="SAT345" s="50"/>
      <c r="SAU345" s="50"/>
      <c r="SAV345" s="50"/>
      <c r="SAW345" s="50"/>
      <c r="SAX345" s="50"/>
      <c r="SAY345" s="50"/>
      <c r="SAZ345" s="50"/>
      <c r="SBA345" s="50"/>
      <c r="SBB345" s="50"/>
      <c r="SBC345" s="50"/>
      <c r="SBD345" s="50"/>
      <c r="SBE345" s="50"/>
      <c r="SBF345" s="50"/>
      <c r="SBG345" s="50"/>
      <c r="SBH345" s="50"/>
      <c r="SBI345" s="50"/>
      <c r="SBJ345" s="50"/>
      <c r="SBK345" s="50"/>
      <c r="SBL345" s="50"/>
      <c r="SBM345" s="50"/>
      <c r="SBN345" s="50"/>
      <c r="SBO345" s="50"/>
      <c r="SBP345" s="50"/>
      <c r="SBQ345" s="50"/>
      <c r="SBR345" s="50"/>
      <c r="SBS345" s="50"/>
      <c r="SBT345" s="50"/>
      <c r="SBU345" s="50"/>
      <c r="SBV345" s="50"/>
      <c r="SBW345" s="50"/>
      <c r="SBX345" s="50"/>
      <c r="SBY345" s="50"/>
      <c r="SBZ345" s="50"/>
      <c r="SCA345" s="50"/>
      <c r="SCB345" s="50"/>
      <c r="SCC345" s="50"/>
      <c r="SCD345" s="50"/>
      <c r="SCE345" s="50"/>
      <c r="SCF345" s="50"/>
      <c r="SCG345" s="50"/>
      <c r="SCH345" s="50"/>
      <c r="SCI345" s="50"/>
      <c r="SCJ345" s="50"/>
      <c r="SCK345" s="50"/>
      <c r="SCL345" s="50"/>
      <c r="SCM345" s="50"/>
      <c r="SCN345" s="50"/>
      <c r="SCO345" s="50"/>
      <c r="SCP345" s="50"/>
      <c r="SCQ345" s="50"/>
      <c r="SCR345" s="50"/>
      <c r="SCS345" s="50"/>
      <c r="SCT345" s="50"/>
      <c r="SCU345" s="50"/>
      <c r="SCV345" s="50"/>
      <c r="SCW345" s="50"/>
      <c r="SCX345" s="50"/>
      <c r="SCY345" s="50"/>
      <c r="SCZ345" s="50"/>
      <c r="SDA345" s="50"/>
      <c r="SDB345" s="50"/>
      <c r="SDC345" s="50"/>
      <c r="SDD345" s="50"/>
      <c r="SDE345" s="50"/>
      <c r="SDF345" s="50"/>
      <c r="SDG345" s="50"/>
      <c r="SDH345" s="50"/>
      <c r="SDI345" s="50"/>
      <c r="SDJ345" s="50"/>
      <c r="SDK345" s="50"/>
      <c r="SDL345" s="50"/>
      <c r="SDM345" s="50"/>
      <c r="SDN345" s="50"/>
      <c r="SDO345" s="50"/>
      <c r="SDP345" s="50"/>
      <c r="SDQ345" s="50"/>
      <c r="SDR345" s="50"/>
      <c r="SDS345" s="50"/>
      <c r="SDT345" s="50"/>
      <c r="SDU345" s="50"/>
      <c r="SDV345" s="50"/>
      <c r="SDW345" s="50"/>
      <c r="SDX345" s="50"/>
      <c r="SDY345" s="50"/>
      <c r="SDZ345" s="50"/>
      <c r="SEA345" s="50"/>
      <c r="SEB345" s="50"/>
      <c r="SEC345" s="50"/>
      <c r="SED345" s="50"/>
      <c r="SEE345" s="50"/>
      <c r="SEF345" s="50"/>
      <c r="SEG345" s="50"/>
      <c r="SEH345" s="50"/>
      <c r="SEI345" s="50"/>
      <c r="SEJ345" s="50"/>
      <c r="SEK345" s="50"/>
      <c r="SEL345" s="50"/>
      <c r="SEM345" s="50"/>
      <c r="SEN345" s="50"/>
      <c r="SEO345" s="50"/>
      <c r="SEP345" s="50"/>
      <c r="SEQ345" s="50"/>
      <c r="SER345" s="50"/>
      <c r="SES345" s="50"/>
      <c r="SET345" s="50"/>
      <c r="SEU345" s="50"/>
      <c r="SEV345" s="50"/>
      <c r="SEW345" s="50"/>
      <c r="SEX345" s="50"/>
      <c r="SEY345" s="50"/>
      <c r="SEZ345" s="50"/>
      <c r="SFA345" s="50"/>
      <c r="SFB345" s="50"/>
      <c r="SFC345" s="50"/>
      <c r="SFD345" s="50"/>
      <c r="SFE345" s="50"/>
      <c r="SFF345" s="50"/>
      <c r="SFG345" s="50"/>
      <c r="SFH345" s="50"/>
      <c r="SFI345" s="50"/>
      <c r="SFJ345" s="50"/>
      <c r="SFK345" s="50"/>
      <c r="SFL345" s="50"/>
      <c r="SFM345" s="50"/>
      <c r="SFN345" s="50"/>
      <c r="SFO345" s="50"/>
      <c r="SFP345" s="50"/>
      <c r="SFQ345" s="50"/>
      <c r="SFR345" s="50"/>
      <c r="SFS345" s="50"/>
      <c r="SFT345" s="50"/>
      <c r="SFU345" s="50"/>
      <c r="SFV345" s="50"/>
      <c r="SFW345" s="50"/>
      <c r="SFX345" s="50"/>
      <c r="SFY345" s="50"/>
      <c r="SFZ345" s="50"/>
      <c r="SGA345" s="50"/>
      <c r="SGB345" s="50"/>
      <c r="SGC345" s="50"/>
      <c r="SGD345" s="50"/>
      <c r="SGE345" s="50"/>
      <c r="SGF345" s="50"/>
      <c r="SGG345" s="50"/>
      <c r="SGH345" s="50"/>
      <c r="SGI345" s="50"/>
      <c r="SGJ345" s="50"/>
      <c r="SGK345" s="50"/>
      <c r="SGL345" s="50"/>
      <c r="SGM345" s="50"/>
      <c r="SGN345" s="50"/>
      <c r="SGO345" s="50"/>
      <c r="SGP345" s="50"/>
      <c r="SGQ345" s="50"/>
      <c r="SGR345" s="50"/>
      <c r="SGS345" s="50"/>
      <c r="SGT345" s="50"/>
      <c r="SGU345" s="50"/>
      <c r="SGV345" s="50"/>
      <c r="SGW345" s="50"/>
      <c r="SGX345" s="50"/>
      <c r="SGY345" s="50"/>
      <c r="SGZ345" s="50"/>
      <c r="SHA345" s="50"/>
      <c r="SHB345" s="50"/>
      <c r="SHC345" s="50"/>
      <c r="SHD345" s="50"/>
      <c r="SHE345" s="50"/>
      <c r="SHF345" s="50"/>
      <c r="SHG345" s="50"/>
      <c r="SHH345" s="50"/>
      <c r="SHI345" s="50"/>
      <c r="SHJ345" s="50"/>
      <c r="SHK345" s="50"/>
      <c r="SHL345" s="50"/>
      <c r="SHM345" s="50"/>
      <c r="SHN345" s="50"/>
      <c r="SHO345" s="50"/>
      <c r="SHP345" s="50"/>
      <c r="SHQ345" s="50"/>
      <c r="SHR345" s="50"/>
      <c r="SHS345" s="50"/>
      <c r="SHT345" s="50"/>
      <c r="SHU345" s="50"/>
      <c r="SHV345" s="50"/>
      <c r="SHW345" s="50"/>
      <c r="SHX345" s="50"/>
      <c r="SHY345" s="50"/>
      <c r="SHZ345" s="50"/>
      <c r="SIA345" s="50"/>
      <c r="SIB345" s="50"/>
      <c r="SIC345" s="50"/>
      <c r="SID345" s="50"/>
      <c r="SIE345" s="50"/>
      <c r="SIF345" s="50"/>
      <c r="SIG345" s="50"/>
      <c r="SIH345" s="50"/>
      <c r="SII345" s="50"/>
      <c r="SIJ345" s="50"/>
      <c r="SIK345" s="50"/>
      <c r="SIL345" s="50"/>
      <c r="SIM345" s="50"/>
      <c r="SIN345" s="50"/>
      <c r="SIO345" s="50"/>
      <c r="SIP345" s="50"/>
      <c r="SIQ345" s="50"/>
      <c r="SIR345" s="50"/>
      <c r="SIS345" s="50"/>
      <c r="SIT345" s="50"/>
      <c r="SIU345" s="50"/>
      <c r="SIV345" s="50"/>
      <c r="SIW345" s="50"/>
      <c r="SIX345" s="50"/>
      <c r="SIY345" s="50"/>
      <c r="SIZ345" s="50"/>
      <c r="SJA345" s="50"/>
      <c r="SJB345" s="50"/>
      <c r="SJC345" s="50"/>
      <c r="SJD345" s="50"/>
      <c r="SJE345" s="50"/>
      <c r="SJF345" s="50"/>
      <c r="SJG345" s="50"/>
      <c r="SJH345" s="50"/>
      <c r="SJI345" s="50"/>
      <c r="SJJ345" s="50"/>
      <c r="SJK345" s="50"/>
      <c r="SJL345" s="50"/>
      <c r="SJM345" s="50"/>
      <c r="SJN345" s="50"/>
      <c r="SJO345" s="50"/>
      <c r="SJP345" s="50"/>
      <c r="SJQ345" s="50"/>
      <c r="SJR345" s="50"/>
      <c r="SJS345" s="50"/>
      <c r="SJT345" s="50"/>
      <c r="SJU345" s="50"/>
      <c r="SJV345" s="50"/>
      <c r="SJW345" s="50"/>
      <c r="SJX345" s="50"/>
      <c r="SJY345" s="50"/>
      <c r="SJZ345" s="50"/>
      <c r="SKA345" s="50"/>
      <c r="SKB345" s="50"/>
      <c r="SKC345" s="50"/>
      <c r="SKD345" s="50"/>
      <c r="SKE345" s="50"/>
      <c r="SKF345" s="50"/>
      <c r="SKG345" s="50"/>
      <c r="SKH345" s="50"/>
      <c r="SKI345" s="50"/>
      <c r="SKJ345" s="50"/>
      <c r="SKK345" s="50"/>
      <c r="SKL345" s="50"/>
      <c r="SKM345" s="50"/>
      <c r="SKN345" s="50"/>
      <c r="SKO345" s="50"/>
      <c r="SKP345" s="50"/>
      <c r="SKQ345" s="50"/>
      <c r="SKR345" s="50"/>
      <c r="SKS345" s="50"/>
      <c r="SKT345" s="50"/>
      <c r="SKU345" s="50"/>
      <c r="SKV345" s="50"/>
      <c r="SKW345" s="50"/>
      <c r="SKX345" s="50"/>
      <c r="SKY345" s="50"/>
      <c r="SKZ345" s="50"/>
      <c r="SLA345" s="50"/>
      <c r="SLB345" s="50"/>
      <c r="SLC345" s="50"/>
      <c r="SLD345" s="50"/>
      <c r="SLE345" s="50"/>
      <c r="SLF345" s="50"/>
      <c r="SLG345" s="50"/>
      <c r="SLH345" s="50"/>
      <c r="SLI345" s="50"/>
      <c r="SLJ345" s="50"/>
      <c r="SLK345" s="50"/>
      <c r="SLL345" s="50"/>
      <c r="SLM345" s="50"/>
      <c r="SLN345" s="50"/>
      <c r="SLO345" s="50"/>
      <c r="SLP345" s="50"/>
      <c r="SLQ345" s="50"/>
      <c r="SLR345" s="50"/>
      <c r="SLS345" s="50"/>
      <c r="SLT345" s="50"/>
      <c r="SLU345" s="50"/>
      <c r="SLV345" s="50"/>
      <c r="SLW345" s="50"/>
      <c r="SLX345" s="50"/>
      <c r="SLY345" s="50"/>
      <c r="SLZ345" s="50"/>
      <c r="SMA345" s="50"/>
      <c r="SMB345" s="50"/>
      <c r="SMC345" s="50"/>
      <c r="SMD345" s="50"/>
      <c r="SME345" s="50"/>
      <c r="SMF345" s="50"/>
      <c r="SMG345" s="50"/>
      <c r="SMH345" s="50"/>
      <c r="SMI345" s="50"/>
      <c r="SMJ345" s="50"/>
      <c r="SMK345" s="50"/>
      <c r="SML345" s="50"/>
      <c r="SMM345" s="50"/>
      <c r="SMN345" s="50"/>
      <c r="SMO345" s="50"/>
      <c r="SMP345" s="50"/>
      <c r="SMQ345" s="50"/>
      <c r="SMR345" s="50"/>
      <c r="SMS345" s="50"/>
      <c r="SMT345" s="50"/>
      <c r="SMU345" s="50"/>
      <c r="SMV345" s="50"/>
      <c r="SMW345" s="50"/>
      <c r="SMX345" s="50"/>
      <c r="SMY345" s="50"/>
      <c r="SMZ345" s="50"/>
      <c r="SNA345" s="50"/>
      <c r="SNB345" s="50"/>
      <c r="SNC345" s="50"/>
      <c r="SND345" s="50"/>
      <c r="SNE345" s="50"/>
      <c r="SNF345" s="50"/>
      <c r="SNG345" s="50"/>
      <c r="SNH345" s="50"/>
      <c r="SNI345" s="50"/>
      <c r="SNJ345" s="50"/>
      <c r="SNK345" s="50"/>
      <c r="SNL345" s="50"/>
      <c r="SNM345" s="50"/>
      <c r="SNN345" s="50"/>
      <c r="SNO345" s="50"/>
      <c r="SNP345" s="50"/>
      <c r="SNQ345" s="50"/>
      <c r="SNR345" s="50"/>
      <c r="SNS345" s="50"/>
      <c r="SNT345" s="50"/>
      <c r="SNU345" s="50"/>
      <c r="SNV345" s="50"/>
      <c r="SNW345" s="50"/>
      <c r="SNX345" s="50"/>
      <c r="SNY345" s="50"/>
      <c r="SNZ345" s="50"/>
      <c r="SOA345" s="50"/>
      <c r="SOB345" s="50"/>
      <c r="SOC345" s="50"/>
      <c r="SOD345" s="50"/>
      <c r="SOE345" s="50"/>
      <c r="SOF345" s="50"/>
      <c r="SOG345" s="50"/>
      <c r="SOH345" s="50"/>
      <c r="SOI345" s="50"/>
      <c r="SOJ345" s="50"/>
      <c r="SOK345" s="50"/>
      <c r="SOL345" s="50"/>
      <c r="SOM345" s="50"/>
      <c r="SON345" s="50"/>
      <c r="SOO345" s="50"/>
      <c r="SOP345" s="50"/>
      <c r="SOQ345" s="50"/>
      <c r="SOR345" s="50"/>
      <c r="SOS345" s="50"/>
      <c r="SOT345" s="50"/>
      <c r="SOU345" s="50"/>
      <c r="SOV345" s="50"/>
      <c r="SOW345" s="50"/>
      <c r="SOX345" s="50"/>
      <c r="SOY345" s="50"/>
      <c r="SOZ345" s="50"/>
      <c r="SPA345" s="50"/>
      <c r="SPB345" s="50"/>
      <c r="SPC345" s="50"/>
      <c r="SPD345" s="50"/>
      <c r="SPE345" s="50"/>
      <c r="SPF345" s="50"/>
      <c r="SPG345" s="50"/>
      <c r="SPH345" s="50"/>
      <c r="SPI345" s="50"/>
      <c r="SPJ345" s="50"/>
      <c r="SPK345" s="50"/>
      <c r="SPL345" s="50"/>
      <c r="SPM345" s="50"/>
      <c r="SPN345" s="50"/>
      <c r="SPO345" s="50"/>
      <c r="SPP345" s="50"/>
      <c r="SPQ345" s="50"/>
      <c r="SPR345" s="50"/>
      <c r="SPS345" s="50"/>
      <c r="SPT345" s="50"/>
      <c r="SPU345" s="50"/>
      <c r="SPV345" s="50"/>
      <c r="SPW345" s="50"/>
      <c r="SPX345" s="50"/>
      <c r="SPY345" s="50"/>
      <c r="SPZ345" s="50"/>
      <c r="SQA345" s="50"/>
      <c r="SQB345" s="50"/>
      <c r="SQC345" s="50"/>
      <c r="SQD345" s="50"/>
      <c r="SQE345" s="50"/>
      <c r="SQF345" s="50"/>
      <c r="SQG345" s="50"/>
      <c r="SQH345" s="50"/>
      <c r="SQI345" s="50"/>
      <c r="SQJ345" s="50"/>
      <c r="SQK345" s="50"/>
      <c r="SQL345" s="50"/>
      <c r="SQM345" s="50"/>
      <c r="SQN345" s="50"/>
      <c r="SQO345" s="50"/>
      <c r="SQP345" s="50"/>
      <c r="SQQ345" s="50"/>
      <c r="SQR345" s="50"/>
      <c r="SQS345" s="50"/>
      <c r="SQT345" s="50"/>
      <c r="SQU345" s="50"/>
      <c r="SQV345" s="50"/>
      <c r="SQW345" s="50"/>
      <c r="SQX345" s="50"/>
      <c r="SQY345" s="50"/>
      <c r="SQZ345" s="50"/>
      <c r="SRA345" s="50"/>
      <c r="SRB345" s="50"/>
      <c r="SRC345" s="50"/>
      <c r="SRD345" s="50"/>
      <c r="SRE345" s="50"/>
      <c r="SRF345" s="50"/>
      <c r="SRG345" s="50"/>
      <c r="SRH345" s="50"/>
      <c r="SRI345" s="50"/>
      <c r="SRJ345" s="50"/>
      <c r="SRK345" s="50"/>
      <c r="SRL345" s="50"/>
      <c r="SRM345" s="50"/>
      <c r="SRN345" s="50"/>
      <c r="SRO345" s="50"/>
      <c r="SRP345" s="50"/>
      <c r="SRQ345" s="50"/>
      <c r="SRR345" s="50"/>
      <c r="SRS345" s="50"/>
      <c r="SRT345" s="50"/>
      <c r="SRU345" s="50"/>
      <c r="SRV345" s="50"/>
      <c r="SRW345" s="50"/>
      <c r="SRX345" s="50"/>
      <c r="SRY345" s="50"/>
      <c r="SRZ345" s="50"/>
      <c r="SSA345" s="50"/>
      <c r="SSB345" s="50"/>
      <c r="SSC345" s="50"/>
      <c r="SSD345" s="50"/>
      <c r="SSE345" s="50"/>
      <c r="SSF345" s="50"/>
      <c r="SSG345" s="50"/>
      <c r="SSH345" s="50"/>
      <c r="SSI345" s="50"/>
      <c r="SSJ345" s="50"/>
      <c r="SSK345" s="50"/>
      <c r="SSL345" s="50"/>
      <c r="SSM345" s="50"/>
      <c r="SSN345" s="50"/>
      <c r="SSO345" s="50"/>
      <c r="SSP345" s="50"/>
      <c r="SSQ345" s="50"/>
      <c r="SSR345" s="50"/>
      <c r="SSS345" s="50"/>
      <c r="SST345" s="50"/>
      <c r="SSU345" s="50"/>
      <c r="SSV345" s="50"/>
      <c r="SSW345" s="50"/>
      <c r="SSX345" s="50"/>
      <c r="SSY345" s="50"/>
      <c r="SSZ345" s="50"/>
      <c r="STA345" s="50"/>
      <c r="STB345" s="50"/>
      <c r="STC345" s="50"/>
      <c r="STD345" s="50"/>
      <c r="STE345" s="50"/>
      <c r="STF345" s="50"/>
      <c r="STG345" s="50"/>
      <c r="STH345" s="50"/>
      <c r="STI345" s="50"/>
      <c r="STJ345" s="50"/>
      <c r="STK345" s="50"/>
      <c r="STL345" s="50"/>
      <c r="STM345" s="50"/>
      <c r="STN345" s="50"/>
      <c r="STO345" s="50"/>
      <c r="STP345" s="50"/>
      <c r="STQ345" s="50"/>
      <c r="STR345" s="50"/>
      <c r="STS345" s="50"/>
      <c r="STT345" s="50"/>
      <c r="STU345" s="50"/>
      <c r="STV345" s="50"/>
      <c r="STW345" s="50"/>
      <c r="STX345" s="50"/>
      <c r="STY345" s="50"/>
      <c r="STZ345" s="50"/>
      <c r="SUA345" s="50"/>
      <c r="SUB345" s="50"/>
      <c r="SUC345" s="50"/>
      <c r="SUD345" s="50"/>
      <c r="SUE345" s="50"/>
      <c r="SUF345" s="50"/>
      <c r="SUG345" s="50"/>
      <c r="SUH345" s="50"/>
      <c r="SUI345" s="50"/>
      <c r="SUJ345" s="50"/>
      <c r="SUK345" s="50"/>
      <c r="SUL345" s="50"/>
      <c r="SUM345" s="50"/>
      <c r="SUN345" s="50"/>
      <c r="SUO345" s="50"/>
      <c r="SUP345" s="50"/>
      <c r="SUQ345" s="50"/>
      <c r="SUR345" s="50"/>
      <c r="SUS345" s="50"/>
      <c r="SUT345" s="50"/>
      <c r="SUU345" s="50"/>
      <c r="SUV345" s="50"/>
      <c r="SUW345" s="50"/>
      <c r="SUX345" s="50"/>
      <c r="SUY345" s="50"/>
      <c r="SUZ345" s="50"/>
      <c r="SVA345" s="50"/>
      <c r="SVB345" s="50"/>
      <c r="SVC345" s="50"/>
      <c r="SVD345" s="50"/>
      <c r="SVE345" s="50"/>
      <c r="SVF345" s="50"/>
      <c r="SVG345" s="50"/>
      <c r="SVH345" s="50"/>
      <c r="SVI345" s="50"/>
      <c r="SVJ345" s="50"/>
      <c r="SVK345" s="50"/>
      <c r="SVL345" s="50"/>
      <c r="SVM345" s="50"/>
      <c r="SVN345" s="50"/>
      <c r="SVO345" s="50"/>
      <c r="SVP345" s="50"/>
      <c r="SVQ345" s="50"/>
      <c r="SVR345" s="50"/>
      <c r="SVS345" s="50"/>
      <c r="SVT345" s="50"/>
      <c r="SVU345" s="50"/>
      <c r="SVV345" s="50"/>
      <c r="SVW345" s="50"/>
      <c r="SVX345" s="50"/>
      <c r="SVY345" s="50"/>
      <c r="SVZ345" s="50"/>
      <c r="SWA345" s="50"/>
      <c r="SWB345" s="50"/>
      <c r="SWC345" s="50"/>
      <c r="SWD345" s="50"/>
      <c r="SWE345" s="50"/>
      <c r="SWF345" s="50"/>
      <c r="SWG345" s="50"/>
      <c r="SWH345" s="50"/>
      <c r="SWI345" s="50"/>
      <c r="SWJ345" s="50"/>
      <c r="SWK345" s="50"/>
      <c r="SWL345" s="50"/>
      <c r="SWM345" s="50"/>
      <c r="SWN345" s="50"/>
      <c r="SWO345" s="50"/>
      <c r="SWP345" s="50"/>
      <c r="SWQ345" s="50"/>
      <c r="SWR345" s="50"/>
      <c r="SWS345" s="50"/>
      <c r="SWT345" s="50"/>
      <c r="SWU345" s="50"/>
      <c r="SWV345" s="50"/>
      <c r="SWW345" s="50"/>
      <c r="SWX345" s="50"/>
      <c r="SWY345" s="50"/>
      <c r="SWZ345" s="50"/>
      <c r="SXA345" s="50"/>
      <c r="SXB345" s="50"/>
      <c r="SXC345" s="50"/>
      <c r="SXD345" s="50"/>
      <c r="SXE345" s="50"/>
      <c r="SXF345" s="50"/>
      <c r="SXG345" s="50"/>
      <c r="SXH345" s="50"/>
      <c r="SXI345" s="50"/>
      <c r="SXJ345" s="50"/>
      <c r="SXK345" s="50"/>
      <c r="SXL345" s="50"/>
      <c r="SXM345" s="50"/>
      <c r="SXN345" s="50"/>
      <c r="SXO345" s="50"/>
      <c r="SXP345" s="50"/>
      <c r="SXQ345" s="50"/>
      <c r="SXR345" s="50"/>
      <c r="SXS345" s="50"/>
      <c r="SXT345" s="50"/>
      <c r="SXU345" s="50"/>
      <c r="SXV345" s="50"/>
      <c r="SXW345" s="50"/>
      <c r="SXX345" s="50"/>
      <c r="SXY345" s="50"/>
      <c r="SXZ345" s="50"/>
      <c r="SYA345" s="50"/>
      <c r="SYB345" s="50"/>
      <c r="SYC345" s="50"/>
      <c r="SYD345" s="50"/>
      <c r="SYE345" s="50"/>
      <c r="SYF345" s="50"/>
      <c r="SYG345" s="50"/>
      <c r="SYH345" s="50"/>
      <c r="SYI345" s="50"/>
      <c r="SYJ345" s="50"/>
      <c r="SYK345" s="50"/>
      <c r="SYL345" s="50"/>
      <c r="SYM345" s="50"/>
      <c r="SYN345" s="50"/>
      <c r="SYO345" s="50"/>
      <c r="SYP345" s="50"/>
      <c r="SYQ345" s="50"/>
      <c r="SYR345" s="50"/>
      <c r="SYS345" s="50"/>
      <c r="SYT345" s="50"/>
      <c r="SYU345" s="50"/>
      <c r="SYV345" s="50"/>
      <c r="SYW345" s="50"/>
      <c r="SYX345" s="50"/>
      <c r="SYY345" s="50"/>
      <c r="SYZ345" s="50"/>
      <c r="SZA345" s="50"/>
      <c r="SZB345" s="50"/>
      <c r="SZC345" s="50"/>
      <c r="SZD345" s="50"/>
      <c r="SZE345" s="50"/>
      <c r="SZF345" s="50"/>
      <c r="SZG345" s="50"/>
      <c r="SZH345" s="50"/>
      <c r="SZI345" s="50"/>
      <c r="SZJ345" s="50"/>
      <c r="SZK345" s="50"/>
      <c r="SZL345" s="50"/>
      <c r="SZM345" s="50"/>
      <c r="SZN345" s="50"/>
      <c r="SZO345" s="50"/>
      <c r="SZP345" s="50"/>
      <c r="SZQ345" s="50"/>
      <c r="SZR345" s="50"/>
      <c r="SZS345" s="50"/>
      <c r="SZT345" s="50"/>
      <c r="SZU345" s="50"/>
      <c r="SZV345" s="50"/>
      <c r="SZW345" s="50"/>
      <c r="SZX345" s="50"/>
      <c r="SZY345" s="50"/>
      <c r="SZZ345" s="50"/>
      <c r="TAA345" s="50"/>
      <c r="TAB345" s="50"/>
      <c r="TAC345" s="50"/>
      <c r="TAD345" s="50"/>
      <c r="TAE345" s="50"/>
      <c r="TAF345" s="50"/>
      <c r="TAG345" s="50"/>
      <c r="TAH345" s="50"/>
      <c r="TAI345" s="50"/>
      <c r="TAJ345" s="50"/>
      <c r="TAK345" s="50"/>
      <c r="TAL345" s="50"/>
      <c r="TAM345" s="50"/>
      <c r="TAN345" s="50"/>
      <c r="TAO345" s="50"/>
      <c r="TAP345" s="50"/>
      <c r="TAQ345" s="50"/>
      <c r="TAR345" s="50"/>
      <c r="TAS345" s="50"/>
      <c r="TAT345" s="50"/>
      <c r="TAU345" s="50"/>
      <c r="TAV345" s="50"/>
      <c r="TAW345" s="50"/>
      <c r="TAX345" s="50"/>
      <c r="TAY345" s="50"/>
      <c r="TAZ345" s="50"/>
      <c r="TBA345" s="50"/>
      <c r="TBB345" s="50"/>
      <c r="TBC345" s="50"/>
      <c r="TBD345" s="50"/>
      <c r="TBE345" s="50"/>
      <c r="TBF345" s="50"/>
      <c r="TBG345" s="50"/>
      <c r="TBH345" s="50"/>
      <c r="TBI345" s="50"/>
      <c r="TBJ345" s="50"/>
      <c r="TBK345" s="50"/>
      <c r="TBL345" s="50"/>
      <c r="TBM345" s="50"/>
      <c r="TBN345" s="50"/>
      <c r="TBO345" s="50"/>
      <c r="TBP345" s="50"/>
      <c r="TBQ345" s="50"/>
      <c r="TBR345" s="50"/>
      <c r="TBS345" s="50"/>
      <c r="TBT345" s="50"/>
      <c r="TBU345" s="50"/>
      <c r="TBV345" s="50"/>
      <c r="TBW345" s="50"/>
      <c r="TBX345" s="50"/>
      <c r="TBY345" s="50"/>
      <c r="TBZ345" s="50"/>
      <c r="TCA345" s="50"/>
      <c r="TCB345" s="50"/>
      <c r="TCC345" s="50"/>
      <c r="TCD345" s="50"/>
      <c r="TCE345" s="50"/>
      <c r="TCF345" s="50"/>
      <c r="TCG345" s="50"/>
      <c r="TCH345" s="50"/>
      <c r="TCI345" s="50"/>
      <c r="TCJ345" s="50"/>
      <c r="TCK345" s="50"/>
      <c r="TCL345" s="50"/>
      <c r="TCM345" s="50"/>
      <c r="TCN345" s="50"/>
      <c r="TCO345" s="50"/>
      <c r="TCP345" s="50"/>
      <c r="TCQ345" s="50"/>
      <c r="TCR345" s="50"/>
      <c r="TCS345" s="50"/>
      <c r="TCT345" s="50"/>
      <c r="TCU345" s="50"/>
      <c r="TCV345" s="50"/>
      <c r="TCW345" s="50"/>
      <c r="TCX345" s="50"/>
      <c r="TCY345" s="50"/>
      <c r="TCZ345" s="50"/>
      <c r="TDA345" s="50"/>
      <c r="TDB345" s="50"/>
      <c r="TDC345" s="50"/>
      <c r="TDD345" s="50"/>
      <c r="TDE345" s="50"/>
      <c r="TDF345" s="50"/>
      <c r="TDG345" s="50"/>
      <c r="TDH345" s="50"/>
      <c r="TDI345" s="50"/>
      <c r="TDJ345" s="50"/>
      <c r="TDK345" s="50"/>
      <c r="TDL345" s="50"/>
      <c r="TDM345" s="50"/>
      <c r="TDN345" s="50"/>
      <c r="TDO345" s="50"/>
      <c r="TDP345" s="50"/>
      <c r="TDQ345" s="50"/>
      <c r="TDR345" s="50"/>
      <c r="TDS345" s="50"/>
      <c r="TDT345" s="50"/>
      <c r="TDU345" s="50"/>
      <c r="TDV345" s="50"/>
      <c r="TDW345" s="50"/>
      <c r="TDX345" s="50"/>
      <c r="TDY345" s="50"/>
      <c r="TDZ345" s="50"/>
      <c r="TEA345" s="50"/>
      <c r="TEB345" s="50"/>
      <c r="TEC345" s="50"/>
      <c r="TED345" s="50"/>
      <c r="TEE345" s="50"/>
      <c r="TEF345" s="50"/>
      <c r="TEG345" s="50"/>
      <c r="TEH345" s="50"/>
      <c r="TEI345" s="50"/>
      <c r="TEJ345" s="50"/>
      <c r="TEK345" s="50"/>
      <c r="TEL345" s="50"/>
      <c r="TEM345" s="50"/>
      <c r="TEN345" s="50"/>
      <c r="TEO345" s="50"/>
      <c r="TEP345" s="50"/>
      <c r="TEQ345" s="50"/>
      <c r="TER345" s="50"/>
      <c r="TES345" s="50"/>
      <c r="TET345" s="50"/>
      <c r="TEU345" s="50"/>
      <c r="TEV345" s="50"/>
      <c r="TEW345" s="50"/>
      <c r="TEX345" s="50"/>
      <c r="TEY345" s="50"/>
      <c r="TEZ345" s="50"/>
      <c r="TFA345" s="50"/>
      <c r="TFB345" s="50"/>
      <c r="TFC345" s="50"/>
      <c r="TFD345" s="50"/>
      <c r="TFE345" s="50"/>
      <c r="TFF345" s="50"/>
      <c r="TFG345" s="50"/>
      <c r="TFH345" s="50"/>
      <c r="TFI345" s="50"/>
      <c r="TFJ345" s="50"/>
      <c r="TFK345" s="50"/>
      <c r="TFL345" s="50"/>
      <c r="TFM345" s="50"/>
      <c r="TFN345" s="50"/>
      <c r="TFO345" s="50"/>
      <c r="TFP345" s="50"/>
      <c r="TFQ345" s="50"/>
      <c r="TFR345" s="50"/>
      <c r="TFS345" s="50"/>
      <c r="TFT345" s="50"/>
      <c r="TFU345" s="50"/>
      <c r="TFV345" s="50"/>
      <c r="TFW345" s="50"/>
      <c r="TFX345" s="50"/>
      <c r="TFY345" s="50"/>
      <c r="TFZ345" s="50"/>
      <c r="TGA345" s="50"/>
      <c r="TGB345" s="50"/>
      <c r="TGC345" s="50"/>
      <c r="TGD345" s="50"/>
      <c r="TGE345" s="50"/>
      <c r="TGF345" s="50"/>
      <c r="TGG345" s="50"/>
      <c r="TGH345" s="50"/>
      <c r="TGI345" s="50"/>
      <c r="TGJ345" s="50"/>
      <c r="TGK345" s="50"/>
      <c r="TGL345" s="50"/>
      <c r="TGM345" s="50"/>
      <c r="TGN345" s="50"/>
      <c r="TGO345" s="50"/>
      <c r="TGP345" s="50"/>
      <c r="TGQ345" s="50"/>
      <c r="TGR345" s="50"/>
      <c r="TGS345" s="50"/>
      <c r="TGT345" s="50"/>
      <c r="TGU345" s="50"/>
      <c r="TGV345" s="50"/>
      <c r="TGW345" s="50"/>
      <c r="TGX345" s="50"/>
      <c r="TGY345" s="50"/>
      <c r="TGZ345" s="50"/>
      <c r="THA345" s="50"/>
      <c r="THB345" s="50"/>
      <c r="THC345" s="50"/>
      <c r="THD345" s="50"/>
      <c r="THE345" s="50"/>
      <c r="THF345" s="50"/>
      <c r="THG345" s="50"/>
      <c r="THH345" s="50"/>
      <c r="THI345" s="50"/>
      <c r="THJ345" s="50"/>
      <c r="THK345" s="50"/>
      <c r="THL345" s="50"/>
      <c r="THM345" s="50"/>
      <c r="THN345" s="50"/>
      <c r="THO345" s="50"/>
      <c r="THP345" s="50"/>
      <c r="THQ345" s="50"/>
      <c r="THR345" s="50"/>
      <c r="THS345" s="50"/>
      <c r="THT345" s="50"/>
      <c r="THU345" s="50"/>
      <c r="THV345" s="50"/>
      <c r="THW345" s="50"/>
      <c r="THX345" s="50"/>
      <c r="THY345" s="50"/>
      <c r="THZ345" s="50"/>
      <c r="TIA345" s="50"/>
      <c r="TIB345" s="50"/>
      <c r="TIC345" s="50"/>
      <c r="TID345" s="50"/>
      <c r="TIE345" s="50"/>
      <c r="TIF345" s="50"/>
      <c r="TIG345" s="50"/>
      <c r="TIH345" s="50"/>
      <c r="TII345" s="50"/>
      <c r="TIJ345" s="50"/>
      <c r="TIK345" s="50"/>
      <c r="TIL345" s="50"/>
      <c r="TIM345" s="50"/>
      <c r="TIN345" s="50"/>
      <c r="TIO345" s="50"/>
      <c r="TIP345" s="50"/>
      <c r="TIQ345" s="50"/>
      <c r="TIR345" s="50"/>
      <c r="TIS345" s="50"/>
      <c r="TIT345" s="50"/>
      <c r="TIU345" s="50"/>
      <c r="TIV345" s="50"/>
      <c r="TIW345" s="50"/>
      <c r="TIX345" s="50"/>
      <c r="TIY345" s="50"/>
      <c r="TIZ345" s="50"/>
      <c r="TJA345" s="50"/>
      <c r="TJB345" s="50"/>
      <c r="TJC345" s="50"/>
      <c r="TJD345" s="50"/>
      <c r="TJE345" s="50"/>
      <c r="TJF345" s="50"/>
      <c r="TJG345" s="50"/>
      <c r="TJH345" s="50"/>
      <c r="TJI345" s="50"/>
      <c r="TJJ345" s="50"/>
      <c r="TJK345" s="50"/>
      <c r="TJL345" s="50"/>
      <c r="TJM345" s="50"/>
      <c r="TJN345" s="50"/>
      <c r="TJO345" s="50"/>
      <c r="TJP345" s="50"/>
      <c r="TJQ345" s="50"/>
      <c r="TJR345" s="50"/>
      <c r="TJS345" s="50"/>
      <c r="TJT345" s="50"/>
      <c r="TJU345" s="50"/>
      <c r="TJV345" s="50"/>
      <c r="TJW345" s="50"/>
      <c r="TJX345" s="50"/>
      <c r="TJY345" s="50"/>
      <c r="TJZ345" s="50"/>
      <c r="TKA345" s="50"/>
      <c r="TKB345" s="50"/>
      <c r="TKC345" s="50"/>
      <c r="TKD345" s="50"/>
      <c r="TKE345" s="50"/>
      <c r="TKF345" s="50"/>
      <c r="TKG345" s="50"/>
      <c r="TKH345" s="50"/>
      <c r="TKI345" s="50"/>
      <c r="TKJ345" s="50"/>
      <c r="TKK345" s="50"/>
      <c r="TKL345" s="50"/>
      <c r="TKM345" s="50"/>
      <c r="TKN345" s="50"/>
      <c r="TKO345" s="50"/>
      <c r="TKP345" s="50"/>
      <c r="TKQ345" s="50"/>
      <c r="TKR345" s="50"/>
      <c r="TKS345" s="50"/>
      <c r="TKT345" s="50"/>
      <c r="TKU345" s="50"/>
      <c r="TKV345" s="50"/>
      <c r="TKW345" s="50"/>
      <c r="TKX345" s="50"/>
      <c r="TKY345" s="50"/>
      <c r="TKZ345" s="50"/>
      <c r="TLA345" s="50"/>
      <c r="TLB345" s="50"/>
      <c r="TLC345" s="50"/>
      <c r="TLD345" s="50"/>
      <c r="TLE345" s="50"/>
      <c r="TLF345" s="50"/>
      <c r="TLG345" s="50"/>
      <c r="TLH345" s="50"/>
      <c r="TLI345" s="50"/>
      <c r="TLJ345" s="50"/>
      <c r="TLK345" s="50"/>
      <c r="TLL345" s="50"/>
      <c r="TLM345" s="50"/>
      <c r="TLN345" s="50"/>
      <c r="TLO345" s="50"/>
      <c r="TLP345" s="50"/>
      <c r="TLQ345" s="50"/>
      <c r="TLR345" s="50"/>
      <c r="TLS345" s="50"/>
      <c r="TLT345" s="50"/>
      <c r="TLU345" s="50"/>
      <c r="TLV345" s="50"/>
      <c r="TLW345" s="50"/>
      <c r="TLX345" s="50"/>
      <c r="TLY345" s="50"/>
      <c r="TLZ345" s="50"/>
      <c r="TMA345" s="50"/>
      <c r="TMB345" s="50"/>
      <c r="TMC345" s="50"/>
      <c r="TMD345" s="50"/>
      <c r="TME345" s="50"/>
      <c r="TMF345" s="50"/>
      <c r="TMG345" s="50"/>
      <c r="TMH345" s="50"/>
      <c r="TMI345" s="50"/>
      <c r="TMJ345" s="50"/>
      <c r="TMK345" s="50"/>
      <c r="TML345" s="50"/>
      <c r="TMM345" s="50"/>
      <c r="TMN345" s="50"/>
      <c r="TMO345" s="50"/>
      <c r="TMP345" s="50"/>
      <c r="TMQ345" s="50"/>
      <c r="TMR345" s="50"/>
      <c r="TMS345" s="50"/>
      <c r="TMT345" s="50"/>
      <c r="TMU345" s="50"/>
      <c r="TMV345" s="50"/>
      <c r="TMW345" s="50"/>
      <c r="TMX345" s="50"/>
      <c r="TMY345" s="50"/>
      <c r="TMZ345" s="50"/>
      <c r="TNA345" s="50"/>
      <c r="TNB345" s="50"/>
      <c r="TNC345" s="50"/>
      <c r="TND345" s="50"/>
      <c r="TNE345" s="50"/>
      <c r="TNF345" s="50"/>
      <c r="TNG345" s="50"/>
      <c r="TNH345" s="50"/>
      <c r="TNI345" s="50"/>
      <c r="TNJ345" s="50"/>
      <c r="TNK345" s="50"/>
      <c r="TNL345" s="50"/>
      <c r="TNM345" s="50"/>
      <c r="TNN345" s="50"/>
      <c r="TNO345" s="50"/>
      <c r="TNP345" s="50"/>
      <c r="TNQ345" s="50"/>
      <c r="TNR345" s="50"/>
      <c r="TNS345" s="50"/>
      <c r="TNT345" s="50"/>
      <c r="TNU345" s="50"/>
      <c r="TNV345" s="50"/>
      <c r="TNW345" s="50"/>
      <c r="TNX345" s="50"/>
      <c r="TNY345" s="50"/>
      <c r="TNZ345" s="50"/>
      <c r="TOA345" s="50"/>
      <c r="TOB345" s="50"/>
      <c r="TOC345" s="50"/>
      <c r="TOD345" s="50"/>
      <c r="TOE345" s="50"/>
      <c r="TOF345" s="50"/>
      <c r="TOG345" s="50"/>
      <c r="TOH345" s="50"/>
      <c r="TOI345" s="50"/>
      <c r="TOJ345" s="50"/>
      <c r="TOK345" s="50"/>
      <c r="TOL345" s="50"/>
      <c r="TOM345" s="50"/>
      <c r="TON345" s="50"/>
      <c r="TOO345" s="50"/>
      <c r="TOP345" s="50"/>
      <c r="TOQ345" s="50"/>
      <c r="TOR345" s="50"/>
      <c r="TOS345" s="50"/>
      <c r="TOT345" s="50"/>
      <c r="TOU345" s="50"/>
      <c r="TOV345" s="50"/>
      <c r="TOW345" s="50"/>
      <c r="TOX345" s="50"/>
      <c r="TOY345" s="50"/>
      <c r="TOZ345" s="50"/>
      <c r="TPA345" s="50"/>
      <c r="TPB345" s="50"/>
      <c r="TPC345" s="50"/>
      <c r="TPD345" s="50"/>
      <c r="TPE345" s="50"/>
      <c r="TPF345" s="50"/>
      <c r="TPG345" s="50"/>
      <c r="TPH345" s="50"/>
      <c r="TPI345" s="50"/>
      <c r="TPJ345" s="50"/>
      <c r="TPK345" s="50"/>
      <c r="TPL345" s="50"/>
      <c r="TPM345" s="50"/>
      <c r="TPN345" s="50"/>
      <c r="TPO345" s="50"/>
      <c r="TPP345" s="50"/>
      <c r="TPQ345" s="50"/>
      <c r="TPR345" s="50"/>
      <c r="TPS345" s="50"/>
      <c r="TPT345" s="50"/>
      <c r="TPU345" s="50"/>
      <c r="TPV345" s="50"/>
      <c r="TPW345" s="50"/>
      <c r="TPX345" s="50"/>
      <c r="TPY345" s="50"/>
      <c r="TPZ345" s="50"/>
      <c r="TQA345" s="50"/>
      <c r="TQB345" s="50"/>
      <c r="TQC345" s="50"/>
      <c r="TQD345" s="50"/>
      <c r="TQE345" s="50"/>
      <c r="TQF345" s="50"/>
      <c r="TQG345" s="50"/>
      <c r="TQH345" s="50"/>
      <c r="TQI345" s="50"/>
      <c r="TQJ345" s="50"/>
      <c r="TQK345" s="50"/>
      <c r="TQL345" s="50"/>
      <c r="TQM345" s="50"/>
      <c r="TQN345" s="50"/>
      <c r="TQO345" s="50"/>
      <c r="TQP345" s="50"/>
      <c r="TQQ345" s="50"/>
      <c r="TQR345" s="50"/>
      <c r="TQS345" s="50"/>
      <c r="TQT345" s="50"/>
      <c r="TQU345" s="50"/>
      <c r="TQV345" s="50"/>
      <c r="TQW345" s="50"/>
      <c r="TQX345" s="50"/>
      <c r="TQY345" s="50"/>
      <c r="TQZ345" s="50"/>
      <c r="TRA345" s="50"/>
      <c r="TRB345" s="50"/>
      <c r="TRC345" s="50"/>
      <c r="TRD345" s="50"/>
      <c r="TRE345" s="50"/>
      <c r="TRF345" s="50"/>
      <c r="TRG345" s="50"/>
      <c r="TRH345" s="50"/>
      <c r="TRI345" s="50"/>
      <c r="TRJ345" s="50"/>
      <c r="TRK345" s="50"/>
      <c r="TRL345" s="50"/>
      <c r="TRM345" s="50"/>
      <c r="TRN345" s="50"/>
      <c r="TRO345" s="50"/>
      <c r="TRP345" s="50"/>
      <c r="TRQ345" s="50"/>
      <c r="TRR345" s="50"/>
      <c r="TRS345" s="50"/>
      <c r="TRT345" s="50"/>
      <c r="TRU345" s="50"/>
      <c r="TRV345" s="50"/>
      <c r="TRW345" s="50"/>
      <c r="TRX345" s="50"/>
      <c r="TRY345" s="50"/>
      <c r="TRZ345" s="50"/>
      <c r="TSA345" s="50"/>
      <c r="TSB345" s="50"/>
      <c r="TSC345" s="50"/>
      <c r="TSD345" s="50"/>
      <c r="TSE345" s="50"/>
      <c r="TSF345" s="50"/>
      <c r="TSG345" s="50"/>
      <c r="TSH345" s="50"/>
      <c r="TSI345" s="50"/>
      <c r="TSJ345" s="50"/>
      <c r="TSK345" s="50"/>
      <c r="TSL345" s="50"/>
      <c r="TSM345" s="50"/>
      <c r="TSN345" s="50"/>
      <c r="TSO345" s="50"/>
      <c r="TSP345" s="50"/>
      <c r="TSQ345" s="50"/>
      <c r="TSR345" s="50"/>
      <c r="TSS345" s="50"/>
      <c r="TST345" s="50"/>
      <c r="TSU345" s="50"/>
      <c r="TSV345" s="50"/>
      <c r="TSW345" s="50"/>
      <c r="TSX345" s="50"/>
      <c r="TSY345" s="50"/>
      <c r="TSZ345" s="50"/>
      <c r="TTA345" s="50"/>
      <c r="TTB345" s="50"/>
      <c r="TTC345" s="50"/>
      <c r="TTD345" s="50"/>
      <c r="TTE345" s="50"/>
      <c r="TTF345" s="50"/>
      <c r="TTG345" s="50"/>
      <c r="TTH345" s="50"/>
      <c r="TTI345" s="50"/>
      <c r="TTJ345" s="50"/>
      <c r="TTK345" s="50"/>
      <c r="TTL345" s="50"/>
      <c r="TTM345" s="50"/>
      <c r="TTN345" s="50"/>
      <c r="TTO345" s="50"/>
      <c r="TTP345" s="50"/>
      <c r="TTQ345" s="50"/>
      <c r="TTR345" s="50"/>
      <c r="TTS345" s="50"/>
      <c r="TTT345" s="50"/>
      <c r="TTU345" s="50"/>
      <c r="TTV345" s="50"/>
      <c r="TTW345" s="50"/>
      <c r="TTX345" s="50"/>
      <c r="TTY345" s="50"/>
      <c r="TTZ345" s="50"/>
      <c r="TUA345" s="50"/>
      <c r="TUB345" s="50"/>
      <c r="TUC345" s="50"/>
      <c r="TUD345" s="50"/>
      <c r="TUE345" s="50"/>
      <c r="TUF345" s="50"/>
      <c r="TUG345" s="50"/>
      <c r="TUH345" s="50"/>
      <c r="TUI345" s="50"/>
      <c r="TUJ345" s="50"/>
      <c r="TUK345" s="50"/>
      <c r="TUL345" s="50"/>
      <c r="TUM345" s="50"/>
      <c r="TUN345" s="50"/>
      <c r="TUO345" s="50"/>
      <c r="TUP345" s="50"/>
      <c r="TUQ345" s="50"/>
      <c r="TUR345" s="50"/>
      <c r="TUS345" s="50"/>
      <c r="TUT345" s="50"/>
      <c r="TUU345" s="50"/>
      <c r="TUV345" s="50"/>
      <c r="TUW345" s="50"/>
      <c r="TUX345" s="50"/>
      <c r="TUY345" s="50"/>
      <c r="TUZ345" s="50"/>
      <c r="TVA345" s="50"/>
      <c r="TVB345" s="50"/>
      <c r="TVC345" s="50"/>
      <c r="TVD345" s="50"/>
      <c r="TVE345" s="50"/>
      <c r="TVF345" s="50"/>
      <c r="TVG345" s="50"/>
      <c r="TVH345" s="50"/>
      <c r="TVI345" s="50"/>
      <c r="TVJ345" s="50"/>
      <c r="TVK345" s="50"/>
      <c r="TVL345" s="50"/>
      <c r="TVM345" s="50"/>
      <c r="TVN345" s="50"/>
      <c r="TVO345" s="50"/>
      <c r="TVP345" s="50"/>
      <c r="TVQ345" s="50"/>
      <c r="TVR345" s="50"/>
      <c r="TVS345" s="50"/>
      <c r="TVT345" s="50"/>
      <c r="TVU345" s="50"/>
      <c r="TVV345" s="50"/>
      <c r="TVW345" s="50"/>
      <c r="TVX345" s="50"/>
      <c r="TVY345" s="50"/>
      <c r="TVZ345" s="50"/>
      <c r="TWA345" s="50"/>
      <c r="TWB345" s="50"/>
      <c r="TWC345" s="50"/>
      <c r="TWD345" s="50"/>
      <c r="TWE345" s="50"/>
      <c r="TWF345" s="50"/>
      <c r="TWG345" s="50"/>
      <c r="TWH345" s="50"/>
      <c r="TWI345" s="50"/>
      <c r="TWJ345" s="50"/>
      <c r="TWK345" s="50"/>
      <c r="TWL345" s="50"/>
      <c r="TWM345" s="50"/>
      <c r="TWN345" s="50"/>
      <c r="TWO345" s="50"/>
      <c r="TWP345" s="50"/>
      <c r="TWQ345" s="50"/>
      <c r="TWR345" s="50"/>
      <c r="TWS345" s="50"/>
      <c r="TWT345" s="50"/>
      <c r="TWU345" s="50"/>
      <c r="TWV345" s="50"/>
      <c r="TWW345" s="50"/>
      <c r="TWX345" s="50"/>
      <c r="TWY345" s="50"/>
      <c r="TWZ345" s="50"/>
      <c r="TXA345" s="50"/>
      <c r="TXB345" s="50"/>
      <c r="TXC345" s="50"/>
      <c r="TXD345" s="50"/>
      <c r="TXE345" s="50"/>
      <c r="TXF345" s="50"/>
      <c r="TXG345" s="50"/>
      <c r="TXH345" s="50"/>
      <c r="TXI345" s="50"/>
      <c r="TXJ345" s="50"/>
      <c r="TXK345" s="50"/>
      <c r="TXL345" s="50"/>
      <c r="TXM345" s="50"/>
      <c r="TXN345" s="50"/>
      <c r="TXO345" s="50"/>
      <c r="TXP345" s="50"/>
      <c r="TXQ345" s="50"/>
      <c r="TXR345" s="50"/>
      <c r="TXS345" s="50"/>
      <c r="TXT345" s="50"/>
      <c r="TXU345" s="50"/>
      <c r="TXV345" s="50"/>
      <c r="TXW345" s="50"/>
      <c r="TXX345" s="50"/>
      <c r="TXY345" s="50"/>
      <c r="TXZ345" s="50"/>
      <c r="TYA345" s="50"/>
      <c r="TYB345" s="50"/>
      <c r="TYC345" s="50"/>
      <c r="TYD345" s="50"/>
      <c r="TYE345" s="50"/>
      <c r="TYF345" s="50"/>
      <c r="TYG345" s="50"/>
      <c r="TYH345" s="50"/>
      <c r="TYI345" s="50"/>
      <c r="TYJ345" s="50"/>
      <c r="TYK345" s="50"/>
      <c r="TYL345" s="50"/>
      <c r="TYM345" s="50"/>
      <c r="TYN345" s="50"/>
      <c r="TYO345" s="50"/>
      <c r="TYP345" s="50"/>
      <c r="TYQ345" s="50"/>
      <c r="TYR345" s="50"/>
      <c r="TYS345" s="50"/>
      <c r="TYT345" s="50"/>
      <c r="TYU345" s="50"/>
      <c r="TYV345" s="50"/>
      <c r="TYW345" s="50"/>
      <c r="TYX345" s="50"/>
      <c r="TYY345" s="50"/>
      <c r="TYZ345" s="50"/>
      <c r="TZA345" s="50"/>
      <c r="TZB345" s="50"/>
      <c r="TZC345" s="50"/>
      <c r="TZD345" s="50"/>
      <c r="TZE345" s="50"/>
      <c r="TZF345" s="50"/>
      <c r="TZG345" s="50"/>
      <c r="TZH345" s="50"/>
      <c r="TZI345" s="50"/>
      <c r="TZJ345" s="50"/>
      <c r="TZK345" s="50"/>
      <c r="TZL345" s="50"/>
      <c r="TZM345" s="50"/>
      <c r="TZN345" s="50"/>
      <c r="TZO345" s="50"/>
      <c r="TZP345" s="50"/>
      <c r="TZQ345" s="50"/>
      <c r="TZR345" s="50"/>
      <c r="TZS345" s="50"/>
      <c r="TZT345" s="50"/>
      <c r="TZU345" s="50"/>
      <c r="TZV345" s="50"/>
      <c r="TZW345" s="50"/>
      <c r="TZX345" s="50"/>
      <c r="TZY345" s="50"/>
      <c r="TZZ345" s="50"/>
      <c r="UAA345" s="50"/>
      <c r="UAB345" s="50"/>
      <c r="UAC345" s="50"/>
      <c r="UAD345" s="50"/>
      <c r="UAE345" s="50"/>
      <c r="UAF345" s="50"/>
      <c r="UAG345" s="50"/>
      <c r="UAH345" s="50"/>
      <c r="UAI345" s="50"/>
      <c r="UAJ345" s="50"/>
      <c r="UAK345" s="50"/>
      <c r="UAL345" s="50"/>
      <c r="UAM345" s="50"/>
      <c r="UAN345" s="50"/>
      <c r="UAO345" s="50"/>
      <c r="UAP345" s="50"/>
      <c r="UAQ345" s="50"/>
      <c r="UAR345" s="50"/>
      <c r="UAS345" s="50"/>
      <c r="UAT345" s="50"/>
      <c r="UAU345" s="50"/>
      <c r="UAV345" s="50"/>
      <c r="UAW345" s="50"/>
      <c r="UAX345" s="50"/>
      <c r="UAY345" s="50"/>
      <c r="UAZ345" s="50"/>
      <c r="UBA345" s="50"/>
      <c r="UBB345" s="50"/>
      <c r="UBC345" s="50"/>
      <c r="UBD345" s="50"/>
      <c r="UBE345" s="50"/>
      <c r="UBF345" s="50"/>
      <c r="UBG345" s="50"/>
      <c r="UBH345" s="50"/>
      <c r="UBI345" s="50"/>
      <c r="UBJ345" s="50"/>
      <c r="UBK345" s="50"/>
      <c r="UBL345" s="50"/>
      <c r="UBM345" s="50"/>
      <c r="UBN345" s="50"/>
      <c r="UBO345" s="50"/>
      <c r="UBP345" s="50"/>
      <c r="UBQ345" s="50"/>
      <c r="UBR345" s="50"/>
      <c r="UBS345" s="50"/>
      <c r="UBT345" s="50"/>
      <c r="UBU345" s="50"/>
      <c r="UBV345" s="50"/>
      <c r="UBW345" s="50"/>
      <c r="UBX345" s="50"/>
      <c r="UBY345" s="50"/>
      <c r="UBZ345" s="50"/>
      <c r="UCA345" s="50"/>
      <c r="UCB345" s="50"/>
      <c r="UCC345" s="50"/>
      <c r="UCD345" s="50"/>
      <c r="UCE345" s="50"/>
      <c r="UCF345" s="50"/>
      <c r="UCG345" s="50"/>
      <c r="UCH345" s="50"/>
      <c r="UCI345" s="50"/>
      <c r="UCJ345" s="50"/>
      <c r="UCK345" s="50"/>
      <c r="UCL345" s="50"/>
      <c r="UCM345" s="50"/>
      <c r="UCN345" s="50"/>
      <c r="UCO345" s="50"/>
      <c r="UCP345" s="50"/>
      <c r="UCQ345" s="50"/>
      <c r="UCR345" s="50"/>
      <c r="UCS345" s="50"/>
      <c r="UCT345" s="50"/>
      <c r="UCU345" s="50"/>
      <c r="UCV345" s="50"/>
      <c r="UCW345" s="50"/>
      <c r="UCX345" s="50"/>
      <c r="UCY345" s="50"/>
      <c r="UCZ345" s="50"/>
      <c r="UDA345" s="50"/>
      <c r="UDB345" s="50"/>
      <c r="UDC345" s="50"/>
      <c r="UDD345" s="50"/>
      <c r="UDE345" s="50"/>
      <c r="UDF345" s="50"/>
      <c r="UDG345" s="50"/>
      <c r="UDH345" s="50"/>
      <c r="UDI345" s="50"/>
      <c r="UDJ345" s="50"/>
      <c r="UDK345" s="50"/>
      <c r="UDL345" s="50"/>
      <c r="UDM345" s="50"/>
      <c r="UDN345" s="50"/>
      <c r="UDO345" s="50"/>
      <c r="UDP345" s="50"/>
      <c r="UDQ345" s="50"/>
      <c r="UDR345" s="50"/>
      <c r="UDS345" s="50"/>
      <c r="UDT345" s="50"/>
      <c r="UDU345" s="50"/>
      <c r="UDV345" s="50"/>
      <c r="UDW345" s="50"/>
      <c r="UDX345" s="50"/>
      <c r="UDY345" s="50"/>
      <c r="UDZ345" s="50"/>
      <c r="UEA345" s="50"/>
      <c r="UEB345" s="50"/>
      <c r="UEC345" s="50"/>
      <c r="UED345" s="50"/>
      <c r="UEE345" s="50"/>
      <c r="UEF345" s="50"/>
      <c r="UEG345" s="50"/>
      <c r="UEH345" s="50"/>
      <c r="UEI345" s="50"/>
      <c r="UEJ345" s="50"/>
      <c r="UEK345" s="50"/>
      <c r="UEL345" s="50"/>
      <c r="UEM345" s="50"/>
      <c r="UEN345" s="50"/>
      <c r="UEO345" s="50"/>
      <c r="UEP345" s="50"/>
      <c r="UEQ345" s="50"/>
      <c r="UER345" s="50"/>
      <c r="UES345" s="50"/>
      <c r="UET345" s="50"/>
      <c r="UEU345" s="50"/>
      <c r="UEV345" s="50"/>
      <c r="UEW345" s="50"/>
      <c r="UEX345" s="50"/>
      <c r="UEY345" s="50"/>
      <c r="UEZ345" s="50"/>
      <c r="UFA345" s="50"/>
      <c r="UFB345" s="50"/>
      <c r="UFC345" s="50"/>
      <c r="UFD345" s="50"/>
      <c r="UFE345" s="50"/>
      <c r="UFF345" s="50"/>
      <c r="UFG345" s="50"/>
      <c r="UFH345" s="50"/>
      <c r="UFI345" s="50"/>
      <c r="UFJ345" s="50"/>
      <c r="UFK345" s="50"/>
      <c r="UFL345" s="50"/>
      <c r="UFM345" s="50"/>
      <c r="UFN345" s="50"/>
      <c r="UFO345" s="50"/>
      <c r="UFP345" s="50"/>
      <c r="UFQ345" s="50"/>
      <c r="UFR345" s="50"/>
      <c r="UFS345" s="50"/>
      <c r="UFT345" s="50"/>
      <c r="UFU345" s="50"/>
      <c r="UFV345" s="50"/>
      <c r="UFW345" s="50"/>
      <c r="UFX345" s="50"/>
      <c r="UFY345" s="50"/>
      <c r="UFZ345" s="50"/>
      <c r="UGA345" s="50"/>
      <c r="UGB345" s="50"/>
      <c r="UGC345" s="50"/>
      <c r="UGD345" s="50"/>
      <c r="UGE345" s="50"/>
      <c r="UGF345" s="50"/>
      <c r="UGG345" s="50"/>
      <c r="UGH345" s="50"/>
      <c r="UGI345" s="50"/>
      <c r="UGJ345" s="50"/>
      <c r="UGK345" s="50"/>
      <c r="UGL345" s="50"/>
      <c r="UGM345" s="50"/>
      <c r="UGN345" s="50"/>
      <c r="UGO345" s="50"/>
      <c r="UGP345" s="50"/>
      <c r="UGQ345" s="50"/>
      <c r="UGR345" s="50"/>
      <c r="UGS345" s="50"/>
      <c r="UGT345" s="50"/>
      <c r="UGU345" s="50"/>
      <c r="UGV345" s="50"/>
      <c r="UGW345" s="50"/>
      <c r="UGX345" s="50"/>
      <c r="UGY345" s="50"/>
      <c r="UGZ345" s="50"/>
      <c r="UHA345" s="50"/>
      <c r="UHB345" s="50"/>
      <c r="UHC345" s="50"/>
      <c r="UHD345" s="50"/>
      <c r="UHE345" s="50"/>
      <c r="UHF345" s="50"/>
      <c r="UHG345" s="50"/>
      <c r="UHH345" s="50"/>
      <c r="UHI345" s="50"/>
      <c r="UHJ345" s="50"/>
      <c r="UHK345" s="50"/>
      <c r="UHL345" s="50"/>
      <c r="UHM345" s="50"/>
      <c r="UHN345" s="50"/>
      <c r="UHO345" s="50"/>
      <c r="UHP345" s="50"/>
      <c r="UHQ345" s="50"/>
      <c r="UHR345" s="50"/>
      <c r="UHS345" s="50"/>
      <c r="UHT345" s="50"/>
      <c r="UHU345" s="50"/>
      <c r="UHV345" s="50"/>
      <c r="UHW345" s="50"/>
      <c r="UHX345" s="50"/>
      <c r="UHY345" s="50"/>
      <c r="UHZ345" s="50"/>
      <c r="UIA345" s="50"/>
      <c r="UIB345" s="50"/>
      <c r="UIC345" s="50"/>
      <c r="UID345" s="50"/>
      <c r="UIE345" s="50"/>
      <c r="UIF345" s="50"/>
      <c r="UIG345" s="50"/>
      <c r="UIH345" s="50"/>
      <c r="UII345" s="50"/>
      <c r="UIJ345" s="50"/>
      <c r="UIK345" s="50"/>
      <c r="UIL345" s="50"/>
      <c r="UIM345" s="50"/>
      <c r="UIN345" s="50"/>
      <c r="UIO345" s="50"/>
      <c r="UIP345" s="50"/>
      <c r="UIQ345" s="50"/>
      <c r="UIR345" s="50"/>
      <c r="UIS345" s="50"/>
      <c r="UIT345" s="50"/>
      <c r="UIU345" s="50"/>
      <c r="UIV345" s="50"/>
      <c r="UIW345" s="50"/>
      <c r="UIX345" s="50"/>
      <c r="UIY345" s="50"/>
      <c r="UIZ345" s="50"/>
      <c r="UJA345" s="50"/>
      <c r="UJB345" s="50"/>
      <c r="UJC345" s="50"/>
      <c r="UJD345" s="50"/>
      <c r="UJE345" s="50"/>
      <c r="UJF345" s="50"/>
      <c r="UJG345" s="50"/>
      <c r="UJH345" s="50"/>
      <c r="UJI345" s="50"/>
      <c r="UJJ345" s="50"/>
      <c r="UJK345" s="50"/>
      <c r="UJL345" s="50"/>
      <c r="UJM345" s="50"/>
      <c r="UJN345" s="50"/>
      <c r="UJO345" s="50"/>
      <c r="UJP345" s="50"/>
      <c r="UJQ345" s="50"/>
      <c r="UJR345" s="50"/>
      <c r="UJS345" s="50"/>
      <c r="UJT345" s="50"/>
      <c r="UJU345" s="50"/>
      <c r="UJV345" s="50"/>
      <c r="UJW345" s="50"/>
      <c r="UJX345" s="50"/>
      <c r="UJY345" s="50"/>
      <c r="UJZ345" s="50"/>
      <c r="UKA345" s="50"/>
      <c r="UKB345" s="50"/>
      <c r="UKC345" s="50"/>
      <c r="UKD345" s="50"/>
      <c r="UKE345" s="50"/>
      <c r="UKF345" s="50"/>
      <c r="UKG345" s="50"/>
      <c r="UKH345" s="50"/>
      <c r="UKI345" s="50"/>
      <c r="UKJ345" s="50"/>
      <c r="UKK345" s="50"/>
      <c r="UKL345" s="50"/>
      <c r="UKM345" s="50"/>
      <c r="UKN345" s="50"/>
      <c r="UKO345" s="50"/>
      <c r="UKP345" s="50"/>
      <c r="UKQ345" s="50"/>
      <c r="UKR345" s="50"/>
      <c r="UKS345" s="50"/>
      <c r="UKT345" s="50"/>
      <c r="UKU345" s="50"/>
      <c r="UKV345" s="50"/>
      <c r="UKW345" s="50"/>
      <c r="UKX345" s="50"/>
      <c r="UKY345" s="50"/>
      <c r="UKZ345" s="50"/>
      <c r="ULA345" s="50"/>
      <c r="ULB345" s="50"/>
      <c r="ULC345" s="50"/>
      <c r="ULD345" s="50"/>
      <c r="ULE345" s="50"/>
      <c r="ULF345" s="50"/>
      <c r="ULG345" s="50"/>
      <c r="ULH345" s="50"/>
      <c r="ULI345" s="50"/>
      <c r="ULJ345" s="50"/>
      <c r="ULK345" s="50"/>
      <c r="ULL345" s="50"/>
      <c r="ULM345" s="50"/>
      <c r="ULN345" s="50"/>
      <c r="ULO345" s="50"/>
      <c r="ULP345" s="50"/>
      <c r="ULQ345" s="50"/>
      <c r="ULR345" s="50"/>
      <c r="ULS345" s="50"/>
      <c r="ULT345" s="50"/>
      <c r="ULU345" s="50"/>
      <c r="ULV345" s="50"/>
      <c r="ULW345" s="50"/>
      <c r="ULX345" s="50"/>
      <c r="ULY345" s="50"/>
      <c r="ULZ345" s="50"/>
      <c r="UMA345" s="50"/>
      <c r="UMB345" s="50"/>
      <c r="UMC345" s="50"/>
      <c r="UMD345" s="50"/>
      <c r="UME345" s="50"/>
      <c r="UMF345" s="50"/>
      <c r="UMG345" s="50"/>
      <c r="UMH345" s="50"/>
      <c r="UMI345" s="50"/>
      <c r="UMJ345" s="50"/>
      <c r="UMK345" s="50"/>
      <c r="UML345" s="50"/>
      <c r="UMM345" s="50"/>
      <c r="UMN345" s="50"/>
      <c r="UMO345" s="50"/>
      <c r="UMP345" s="50"/>
      <c r="UMQ345" s="50"/>
      <c r="UMR345" s="50"/>
      <c r="UMS345" s="50"/>
      <c r="UMT345" s="50"/>
      <c r="UMU345" s="50"/>
      <c r="UMV345" s="50"/>
      <c r="UMW345" s="50"/>
      <c r="UMX345" s="50"/>
      <c r="UMY345" s="50"/>
      <c r="UMZ345" s="50"/>
      <c r="UNA345" s="50"/>
      <c r="UNB345" s="50"/>
      <c r="UNC345" s="50"/>
      <c r="UND345" s="50"/>
      <c r="UNE345" s="50"/>
      <c r="UNF345" s="50"/>
      <c r="UNG345" s="50"/>
      <c r="UNH345" s="50"/>
      <c r="UNI345" s="50"/>
      <c r="UNJ345" s="50"/>
      <c r="UNK345" s="50"/>
      <c r="UNL345" s="50"/>
      <c r="UNM345" s="50"/>
      <c r="UNN345" s="50"/>
      <c r="UNO345" s="50"/>
      <c r="UNP345" s="50"/>
      <c r="UNQ345" s="50"/>
      <c r="UNR345" s="50"/>
      <c r="UNS345" s="50"/>
      <c r="UNT345" s="50"/>
      <c r="UNU345" s="50"/>
      <c r="UNV345" s="50"/>
      <c r="UNW345" s="50"/>
      <c r="UNX345" s="50"/>
      <c r="UNY345" s="50"/>
      <c r="UNZ345" s="50"/>
      <c r="UOA345" s="50"/>
      <c r="UOB345" s="50"/>
      <c r="UOC345" s="50"/>
      <c r="UOD345" s="50"/>
      <c r="UOE345" s="50"/>
      <c r="UOF345" s="50"/>
      <c r="UOG345" s="50"/>
      <c r="UOH345" s="50"/>
      <c r="UOI345" s="50"/>
      <c r="UOJ345" s="50"/>
      <c r="UOK345" s="50"/>
      <c r="UOL345" s="50"/>
      <c r="UOM345" s="50"/>
      <c r="UON345" s="50"/>
      <c r="UOO345" s="50"/>
      <c r="UOP345" s="50"/>
      <c r="UOQ345" s="50"/>
      <c r="UOR345" s="50"/>
      <c r="UOS345" s="50"/>
      <c r="UOT345" s="50"/>
      <c r="UOU345" s="50"/>
      <c r="UOV345" s="50"/>
      <c r="UOW345" s="50"/>
      <c r="UOX345" s="50"/>
      <c r="UOY345" s="50"/>
      <c r="UOZ345" s="50"/>
      <c r="UPA345" s="50"/>
      <c r="UPB345" s="50"/>
      <c r="UPC345" s="50"/>
      <c r="UPD345" s="50"/>
      <c r="UPE345" s="50"/>
      <c r="UPF345" s="50"/>
      <c r="UPG345" s="50"/>
      <c r="UPH345" s="50"/>
      <c r="UPI345" s="50"/>
      <c r="UPJ345" s="50"/>
      <c r="UPK345" s="50"/>
      <c r="UPL345" s="50"/>
      <c r="UPM345" s="50"/>
      <c r="UPN345" s="50"/>
      <c r="UPO345" s="50"/>
      <c r="UPP345" s="50"/>
      <c r="UPQ345" s="50"/>
      <c r="UPR345" s="50"/>
      <c r="UPS345" s="50"/>
      <c r="UPT345" s="50"/>
      <c r="UPU345" s="50"/>
      <c r="UPV345" s="50"/>
      <c r="UPW345" s="50"/>
      <c r="UPX345" s="50"/>
      <c r="UPY345" s="50"/>
      <c r="UPZ345" s="50"/>
      <c r="UQA345" s="50"/>
      <c r="UQB345" s="50"/>
      <c r="UQC345" s="50"/>
      <c r="UQD345" s="50"/>
      <c r="UQE345" s="50"/>
      <c r="UQF345" s="50"/>
      <c r="UQG345" s="50"/>
      <c r="UQH345" s="50"/>
      <c r="UQI345" s="50"/>
      <c r="UQJ345" s="50"/>
      <c r="UQK345" s="50"/>
      <c r="UQL345" s="50"/>
      <c r="UQM345" s="50"/>
      <c r="UQN345" s="50"/>
      <c r="UQO345" s="50"/>
      <c r="UQP345" s="50"/>
      <c r="UQQ345" s="50"/>
      <c r="UQR345" s="50"/>
      <c r="UQS345" s="50"/>
      <c r="UQT345" s="50"/>
      <c r="UQU345" s="50"/>
      <c r="UQV345" s="50"/>
      <c r="UQW345" s="50"/>
      <c r="UQX345" s="50"/>
      <c r="UQY345" s="50"/>
      <c r="UQZ345" s="50"/>
      <c r="URA345" s="50"/>
      <c r="URB345" s="50"/>
      <c r="URC345" s="50"/>
      <c r="URD345" s="50"/>
      <c r="URE345" s="50"/>
      <c r="URF345" s="50"/>
      <c r="URG345" s="50"/>
      <c r="URH345" s="50"/>
      <c r="URI345" s="50"/>
      <c r="URJ345" s="50"/>
      <c r="URK345" s="50"/>
      <c r="URL345" s="50"/>
      <c r="URM345" s="50"/>
      <c r="URN345" s="50"/>
      <c r="URO345" s="50"/>
      <c r="URP345" s="50"/>
      <c r="URQ345" s="50"/>
      <c r="URR345" s="50"/>
      <c r="URS345" s="50"/>
      <c r="URT345" s="50"/>
      <c r="URU345" s="50"/>
      <c r="URV345" s="50"/>
      <c r="URW345" s="50"/>
      <c r="URX345" s="50"/>
      <c r="URY345" s="50"/>
      <c r="URZ345" s="50"/>
      <c r="USA345" s="50"/>
      <c r="USB345" s="50"/>
      <c r="USC345" s="50"/>
      <c r="USD345" s="50"/>
      <c r="USE345" s="50"/>
      <c r="USF345" s="50"/>
      <c r="USG345" s="50"/>
      <c r="USH345" s="50"/>
      <c r="USI345" s="50"/>
      <c r="USJ345" s="50"/>
      <c r="USK345" s="50"/>
      <c r="USL345" s="50"/>
      <c r="USM345" s="50"/>
      <c r="USN345" s="50"/>
      <c r="USO345" s="50"/>
      <c r="USP345" s="50"/>
      <c r="USQ345" s="50"/>
      <c r="USR345" s="50"/>
      <c r="USS345" s="50"/>
      <c r="UST345" s="50"/>
      <c r="USU345" s="50"/>
      <c r="USV345" s="50"/>
      <c r="USW345" s="50"/>
      <c r="USX345" s="50"/>
      <c r="USY345" s="50"/>
      <c r="USZ345" s="50"/>
      <c r="UTA345" s="50"/>
      <c r="UTB345" s="50"/>
      <c r="UTC345" s="50"/>
      <c r="UTD345" s="50"/>
      <c r="UTE345" s="50"/>
      <c r="UTF345" s="50"/>
      <c r="UTG345" s="50"/>
      <c r="UTH345" s="50"/>
      <c r="UTI345" s="50"/>
      <c r="UTJ345" s="50"/>
      <c r="UTK345" s="50"/>
      <c r="UTL345" s="50"/>
      <c r="UTM345" s="50"/>
      <c r="UTN345" s="50"/>
      <c r="UTO345" s="50"/>
      <c r="UTP345" s="50"/>
      <c r="UTQ345" s="50"/>
      <c r="UTR345" s="50"/>
      <c r="UTS345" s="50"/>
      <c r="UTT345" s="50"/>
      <c r="UTU345" s="50"/>
      <c r="UTV345" s="50"/>
      <c r="UTW345" s="50"/>
      <c r="UTX345" s="50"/>
      <c r="UTY345" s="50"/>
      <c r="UTZ345" s="50"/>
      <c r="UUA345" s="50"/>
      <c r="UUB345" s="50"/>
      <c r="UUC345" s="50"/>
      <c r="UUD345" s="50"/>
      <c r="UUE345" s="50"/>
      <c r="UUF345" s="50"/>
      <c r="UUG345" s="50"/>
      <c r="UUH345" s="50"/>
      <c r="UUI345" s="50"/>
      <c r="UUJ345" s="50"/>
      <c r="UUK345" s="50"/>
      <c r="UUL345" s="50"/>
      <c r="UUM345" s="50"/>
      <c r="UUN345" s="50"/>
      <c r="UUO345" s="50"/>
      <c r="UUP345" s="50"/>
      <c r="UUQ345" s="50"/>
      <c r="UUR345" s="50"/>
      <c r="UUS345" s="50"/>
      <c r="UUT345" s="50"/>
      <c r="UUU345" s="50"/>
      <c r="UUV345" s="50"/>
      <c r="UUW345" s="50"/>
      <c r="UUX345" s="50"/>
      <c r="UUY345" s="50"/>
      <c r="UUZ345" s="50"/>
      <c r="UVA345" s="50"/>
      <c r="UVB345" s="50"/>
      <c r="UVC345" s="50"/>
      <c r="UVD345" s="50"/>
      <c r="UVE345" s="50"/>
      <c r="UVF345" s="50"/>
      <c r="UVG345" s="50"/>
      <c r="UVH345" s="50"/>
      <c r="UVI345" s="50"/>
      <c r="UVJ345" s="50"/>
      <c r="UVK345" s="50"/>
      <c r="UVL345" s="50"/>
      <c r="UVM345" s="50"/>
      <c r="UVN345" s="50"/>
      <c r="UVO345" s="50"/>
      <c r="UVP345" s="50"/>
      <c r="UVQ345" s="50"/>
      <c r="UVR345" s="50"/>
      <c r="UVS345" s="50"/>
      <c r="UVT345" s="50"/>
      <c r="UVU345" s="50"/>
      <c r="UVV345" s="50"/>
      <c r="UVW345" s="50"/>
      <c r="UVX345" s="50"/>
      <c r="UVY345" s="50"/>
      <c r="UVZ345" s="50"/>
      <c r="UWA345" s="50"/>
      <c r="UWB345" s="50"/>
      <c r="UWC345" s="50"/>
      <c r="UWD345" s="50"/>
      <c r="UWE345" s="50"/>
      <c r="UWF345" s="50"/>
      <c r="UWG345" s="50"/>
      <c r="UWH345" s="50"/>
      <c r="UWI345" s="50"/>
      <c r="UWJ345" s="50"/>
      <c r="UWK345" s="50"/>
      <c r="UWL345" s="50"/>
      <c r="UWM345" s="50"/>
      <c r="UWN345" s="50"/>
      <c r="UWO345" s="50"/>
      <c r="UWP345" s="50"/>
      <c r="UWQ345" s="50"/>
      <c r="UWR345" s="50"/>
      <c r="UWS345" s="50"/>
      <c r="UWT345" s="50"/>
      <c r="UWU345" s="50"/>
      <c r="UWV345" s="50"/>
      <c r="UWW345" s="50"/>
      <c r="UWX345" s="50"/>
      <c r="UWY345" s="50"/>
      <c r="UWZ345" s="50"/>
      <c r="UXA345" s="50"/>
      <c r="UXB345" s="50"/>
      <c r="UXC345" s="50"/>
      <c r="UXD345" s="50"/>
      <c r="UXE345" s="50"/>
      <c r="UXF345" s="50"/>
      <c r="UXG345" s="50"/>
      <c r="UXH345" s="50"/>
      <c r="UXI345" s="50"/>
      <c r="UXJ345" s="50"/>
      <c r="UXK345" s="50"/>
      <c r="UXL345" s="50"/>
      <c r="UXM345" s="50"/>
      <c r="UXN345" s="50"/>
      <c r="UXO345" s="50"/>
      <c r="UXP345" s="50"/>
      <c r="UXQ345" s="50"/>
      <c r="UXR345" s="50"/>
      <c r="UXS345" s="50"/>
      <c r="UXT345" s="50"/>
      <c r="UXU345" s="50"/>
      <c r="UXV345" s="50"/>
      <c r="UXW345" s="50"/>
      <c r="UXX345" s="50"/>
      <c r="UXY345" s="50"/>
      <c r="UXZ345" s="50"/>
      <c r="UYA345" s="50"/>
      <c r="UYB345" s="50"/>
      <c r="UYC345" s="50"/>
      <c r="UYD345" s="50"/>
      <c r="UYE345" s="50"/>
      <c r="UYF345" s="50"/>
      <c r="UYG345" s="50"/>
      <c r="UYH345" s="50"/>
      <c r="UYI345" s="50"/>
      <c r="UYJ345" s="50"/>
      <c r="UYK345" s="50"/>
      <c r="UYL345" s="50"/>
      <c r="UYM345" s="50"/>
      <c r="UYN345" s="50"/>
      <c r="UYO345" s="50"/>
      <c r="UYP345" s="50"/>
      <c r="UYQ345" s="50"/>
      <c r="UYR345" s="50"/>
      <c r="UYS345" s="50"/>
      <c r="UYT345" s="50"/>
      <c r="UYU345" s="50"/>
      <c r="UYV345" s="50"/>
      <c r="UYW345" s="50"/>
      <c r="UYX345" s="50"/>
      <c r="UYY345" s="50"/>
      <c r="UYZ345" s="50"/>
      <c r="UZA345" s="50"/>
      <c r="UZB345" s="50"/>
      <c r="UZC345" s="50"/>
      <c r="UZD345" s="50"/>
      <c r="UZE345" s="50"/>
      <c r="UZF345" s="50"/>
      <c r="UZG345" s="50"/>
      <c r="UZH345" s="50"/>
      <c r="UZI345" s="50"/>
      <c r="UZJ345" s="50"/>
      <c r="UZK345" s="50"/>
      <c r="UZL345" s="50"/>
      <c r="UZM345" s="50"/>
      <c r="UZN345" s="50"/>
      <c r="UZO345" s="50"/>
      <c r="UZP345" s="50"/>
      <c r="UZQ345" s="50"/>
      <c r="UZR345" s="50"/>
      <c r="UZS345" s="50"/>
      <c r="UZT345" s="50"/>
      <c r="UZU345" s="50"/>
      <c r="UZV345" s="50"/>
      <c r="UZW345" s="50"/>
      <c r="UZX345" s="50"/>
      <c r="UZY345" s="50"/>
      <c r="UZZ345" s="50"/>
      <c r="VAA345" s="50"/>
      <c r="VAB345" s="50"/>
      <c r="VAC345" s="50"/>
      <c r="VAD345" s="50"/>
      <c r="VAE345" s="50"/>
      <c r="VAF345" s="50"/>
      <c r="VAG345" s="50"/>
      <c r="VAH345" s="50"/>
      <c r="VAI345" s="50"/>
      <c r="VAJ345" s="50"/>
      <c r="VAK345" s="50"/>
      <c r="VAL345" s="50"/>
      <c r="VAM345" s="50"/>
      <c r="VAN345" s="50"/>
      <c r="VAO345" s="50"/>
      <c r="VAP345" s="50"/>
      <c r="VAQ345" s="50"/>
      <c r="VAR345" s="50"/>
      <c r="VAS345" s="50"/>
      <c r="VAT345" s="50"/>
      <c r="VAU345" s="50"/>
      <c r="VAV345" s="50"/>
      <c r="VAW345" s="50"/>
      <c r="VAX345" s="50"/>
      <c r="VAY345" s="50"/>
      <c r="VAZ345" s="50"/>
      <c r="VBA345" s="50"/>
      <c r="VBB345" s="50"/>
      <c r="VBC345" s="50"/>
      <c r="VBD345" s="50"/>
      <c r="VBE345" s="50"/>
      <c r="VBF345" s="50"/>
      <c r="VBG345" s="50"/>
      <c r="VBH345" s="50"/>
      <c r="VBI345" s="50"/>
      <c r="VBJ345" s="50"/>
      <c r="VBK345" s="50"/>
      <c r="VBL345" s="50"/>
      <c r="VBM345" s="50"/>
      <c r="VBN345" s="50"/>
      <c r="VBO345" s="50"/>
      <c r="VBP345" s="50"/>
      <c r="VBQ345" s="50"/>
      <c r="VBR345" s="50"/>
      <c r="VBS345" s="50"/>
      <c r="VBT345" s="50"/>
      <c r="VBU345" s="50"/>
      <c r="VBV345" s="50"/>
      <c r="VBW345" s="50"/>
      <c r="VBX345" s="50"/>
      <c r="VBY345" s="50"/>
      <c r="VBZ345" s="50"/>
      <c r="VCA345" s="50"/>
      <c r="VCB345" s="50"/>
      <c r="VCC345" s="50"/>
      <c r="VCD345" s="50"/>
      <c r="VCE345" s="50"/>
      <c r="VCF345" s="50"/>
      <c r="VCG345" s="50"/>
      <c r="VCH345" s="50"/>
      <c r="VCI345" s="50"/>
      <c r="VCJ345" s="50"/>
      <c r="VCK345" s="50"/>
      <c r="VCL345" s="50"/>
      <c r="VCM345" s="50"/>
      <c r="VCN345" s="50"/>
      <c r="VCO345" s="50"/>
      <c r="VCP345" s="50"/>
      <c r="VCQ345" s="50"/>
      <c r="VCR345" s="50"/>
      <c r="VCS345" s="50"/>
      <c r="VCT345" s="50"/>
      <c r="VCU345" s="50"/>
      <c r="VCV345" s="50"/>
      <c r="VCW345" s="50"/>
      <c r="VCX345" s="50"/>
      <c r="VCY345" s="50"/>
      <c r="VCZ345" s="50"/>
      <c r="VDA345" s="50"/>
      <c r="VDB345" s="50"/>
      <c r="VDC345" s="50"/>
      <c r="VDD345" s="50"/>
      <c r="VDE345" s="50"/>
      <c r="VDF345" s="50"/>
      <c r="VDG345" s="50"/>
      <c r="VDH345" s="50"/>
      <c r="VDI345" s="50"/>
      <c r="VDJ345" s="50"/>
      <c r="VDK345" s="50"/>
      <c r="VDL345" s="50"/>
      <c r="VDM345" s="50"/>
      <c r="VDN345" s="50"/>
      <c r="VDO345" s="50"/>
      <c r="VDP345" s="50"/>
      <c r="VDQ345" s="50"/>
      <c r="VDR345" s="50"/>
      <c r="VDS345" s="50"/>
      <c r="VDT345" s="50"/>
      <c r="VDU345" s="50"/>
      <c r="VDV345" s="50"/>
      <c r="VDW345" s="50"/>
      <c r="VDX345" s="50"/>
      <c r="VDY345" s="50"/>
      <c r="VDZ345" s="50"/>
      <c r="VEA345" s="50"/>
      <c r="VEB345" s="50"/>
      <c r="VEC345" s="50"/>
      <c r="VED345" s="50"/>
      <c r="VEE345" s="50"/>
      <c r="VEF345" s="50"/>
      <c r="VEG345" s="50"/>
      <c r="VEH345" s="50"/>
      <c r="VEI345" s="50"/>
      <c r="VEJ345" s="50"/>
      <c r="VEK345" s="50"/>
      <c r="VEL345" s="50"/>
      <c r="VEM345" s="50"/>
      <c r="VEN345" s="50"/>
      <c r="VEO345" s="50"/>
      <c r="VEP345" s="50"/>
      <c r="VEQ345" s="50"/>
      <c r="VER345" s="50"/>
      <c r="VES345" s="50"/>
      <c r="VET345" s="50"/>
      <c r="VEU345" s="50"/>
      <c r="VEV345" s="50"/>
      <c r="VEW345" s="50"/>
      <c r="VEX345" s="50"/>
      <c r="VEY345" s="50"/>
      <c r="VEZ345" s="50"/>
      <c r="VFA345" s="50"/>
      <c r="VFB345" s="50"/>
      <c r="VFC345" s="50"/>
      <c r="VFD345" s="50"/>
      <c r="VFE345" s="50"/>
      <c r="VFF345" s="50"/>
      <c r="VFG345" s="50"/>
      <c r="VFH345" s="50"/>
      <c r="VFI345" s="50"/>
      <c r="VFJ345" s="50"/>
      <c r="VFK345" s="50"/>
      <c r="VFL345" s="50"/>
      <c r="VFM345" s="50"/>
      <c r="VFN345" s="50"/>
      <c r="VFO345" s="50"/>
      <c r="VFP345" s="50"/>
      <c r="VFQ345" s="50"/>
      <c r="VFR345" s="50"/>
      <c r="VFS345" s="50"/>
      <c r="VFT345" s="50"/>
      <c r="VFU345" s="50"/>
      <c r="VFV345" s="50"/>
      <c r="VFW345" s="50"/>
      <c r="VFX345" s="50"/>
      <c r="VFY345" s="50"/>
      <c r="VFZ345" s="50"/>
      <c r="VGA345" s="50"/>
      <c r="VGB345" s="50"/>
      <c r="VGC345" s="50"/>
      <c r="VGD345" s="50"/>
      <c r="VGE345" s="50"/>
      <c r="VGF345" s="50"/>
      <c r="VGG345" s="50"/>
      <c r="VGH345" s="50"/>
      <c r="VGI345" s="50"/>
      <c r="VGJ345" s="50"/>
      <c r="VGK345" s="50"/>
      <c r="VGL345" s="50"/>
      <c r="VGM345" s="50"/>
      <c r="VGN345" s="50"/>
      <c r="VGO345" s="50"/>
      <c r="VGP345" s="50"/>
      <c r="VGQ345" s="50"/>
      <c r="VGR345" s="50"/>
      <c r="VGS345" s="50"/>
      <c r="VGT345" s="50"/>
      <c r="VGU345" s="50"/>
      <c r="VGV345" s="50"/>
      <c r="VGW345" s="50"/>
      <c r="VGX345" s="50"/>
      <c r="VGY345" s="50"/>
      <c r="VGZ345" s="50"/>
      <c r="VHA345" s="50"/>
      <c r="VHB345" s="50"/>
      <c r="VHC345" s="50"/>
      <c r="VHD345" s="50"/>
      <c r="VHE345" s="50"/>
      <c r="VHF345" s="50"/>
      <c r="VHG345" s="50"/>
      <c r="VHH345" s="50"/>
      <c r="VHI345" s="50"/>
      <c r="VHJ345" s="50"/>
      <c r="VHK345" s="50"/>
      <c r="VHL345" s="50"/>
      <c r="VHM345" s="50"/>
      <c r="VHN345" s="50"/>
      <c r="VHO345" s="50"/>
      <c r="VHP345" s="50"/>
      <c r="VHQ345" s="50"/>
      <c r="VHR345" s="50"/>
      <c r="VHS345" s="50"/>
      <c r="VHT345" s="50"/>
      <c r="VHU345" s="50"/>
      <c r="VHV345" s="50"/>
      <c r="VHW345" s="50"/>
      <c r="VHX345" s="50"/>
      <c r="VHY345" s="50"/>
      <c r="VHZ345" s="50"/>
      <c r="VIA345" s="50"/>
      <c r="VIB345" s="50"/>
      <c r="VIC345" s="50"/>
      <c r="VID345" s="50"/>
      <c r="VIE345" s="50"/>
      <c r="VIF345" s="50"/>
      <c r="VIG345" s="50"/>
      <c r="VIH345" s="50"/>
      <c r="VII345" s="50"/>
      <c r="VIJ345" s="50"/>
      <c r="VIK345" s="50"/>
      <c r="VIL345" s="50"/>
      <c r="VIM345" s="50"/>
      <c r="VIN345" s="50"/>
      <c r="VIO345" s="50"/>
      <c r="VIP345" s="50"/>
      <c r="VIQ345" s="50"/>
      <c r="VIR345" s="50"/>
      <c r="VIS345" s="50"/>
      <c r="VIT345" s="50"/>
      <c r="VIU345" s="50"/>
      <c r="VIV345" s="50"/>
      <c r="VIW345" s="50"/>
      <c r="VIX345" s="50"/>
      <c r="VIY345" s="50"/>
      <c r="VIZ345" s="50"/>
      <c r="VJA345" s="50"/>
      <c r="VJB345" s="50"/>
      <c r="VJC345" s="50"/>
      <c r="VJD345" s="50"/>
      <c r="VJE345" s="50"/>
      <c r="VJF345" s="50"/>
      <c r="VJG345" s="50"/>
      <c r="VJH345" s="50"/>
      <c r="VJI345" s="50"/>
      <c r="VJJ345" s="50"/>
      <c r="VJK345" s="50"/>
      <c r="VJL345" s="50"/>
      <c r="VJM345" s="50"/>
      <c r="VJN345" s="50"/>
      <c r="VJO345" s="50"/>
      <c r="VJP345" s="50"/>
      <c r="VJQ345" s="50"/>
      <c r="VJR345" s="50"/>
      <c r="VJS345" s="50"/>
      <c r="VJT345" s="50"/>
      <c r="VJU345" s="50"/>
      <c r="VJV345" s="50"/>
      <c r="VJW345" s="50"/>
      <c r="VJX345" s="50"/>
      <c r="VJY345" s="50"/>
      <c r="VJZ345" s="50"/>
      <c r="VKA345" s="50"/>
      <c r="VKB345" s="50"/>
      <c r="VKC345" s="50"/>
      <c r="VKD345" s="50"/>
      <c r="VKE345" s="50"/>
      <c r="VKF345" s="50"/>
      <c r="VKG345" s="50"/>
      <c r="VKH345" s="50"/>
      <c r="VKI345" s="50"/>
      <c r="VKJ345" s="50"/>
      <c r="VKK345" s="50"/>
      <c r="VKL345" s="50"/>
      <c r="VKM345" s="50"/>
      <c r="VKN345" s="50"/>
      <c r="VKO345" s="50"/>
      <c r="VKP345" s="50"/>
      <c r="VKQ345" s="50"/>
      <c r="VKR345" s="50"/>
      <c r="VKS345" s="50"/>
      <c r="VKT345" s="50"/>
      <c r="VKU345" s="50"/>
      <c r="VKV345" s="50"/>
      <c r="VKW345" s="50"/>
      <c r="VKX345" s="50"/>
      <c r="VKY345" s="50"/>
      <c r="VKZ345" s="50"/>
      <c r="VLA345" s="50"/>
      <c r="VLB345" s="50"/>
      <c r="VLC345" s="50"/>
      <c r="VLD345" s="50"/>
      <c r="VLE345" s="50"/>
      <c r="VLF345" s="50"/>
      <c r="VLG345" s="50"/>
      <c r="VLH345" s="50"/>
      <c r="VLI345" s="50"/>
      <c r="VLJ345" s="50"/>
      <c r="VLK345" s="50"/>
      <c r="VLL345" s="50"/>
      <c r="VLM345" s="50"/>
      <c r="VLN345" s="50"/>
      <c r="VLO345" s="50"/>
      <c r="VLP345" s="50"/>
      <c r="VLQ345" s="50"/>
      <c r="VLR345" s="50"/>
      <c r="VLS345" s="50"/>
      <c r="VLT345" s="50"/>
      <c r="VLU345" s="50"/>
      <c r="VLV345" s="50"/>
      <c r="VLW345" s="50"/>
      <c r="VLX345" s="50"/>
      <c r="VLY345" s="50"/>
      <c r="VLZ345" s="50"/>
      <c r="VMA345" s="50"/>
      <c r="VMB345" s="50"/>
      <c r="VMC345" s="50"/>
      <c r="VMD345" s="50"/>
      <c r="VME345" s="50"/>
      <c r="VMF345" s="50"/>
      <c r="VMG345" s="50"/>
      <c r="VMH345" s="50"/>
      <c r="VMI345" s="50"/>
      <c r="VMJ345" s="50"/>
      <c r="VMK345" s="50"/>
      <c r="VML345" s="50"/>
      <c r="VMM345" s="50"/>
      <c r="VMN345" s="50"/>
      <c r="VMO345" s="50"/>
      <c r="VMP345" s="50"/>
      <c r="VMQ345" s="50"/>
      <c r="VMR345" s="50"/>
      <c r="VMS345" s="50"/>
      <c r="VMT345" s="50"/>
      <c r="VMU345" s="50"/>
      <c r="VMV345" s="50"/>
      <c r="VMW345" s="50"/>
      <c r="VMX345" s="50"/>
      <c r="VMY345" s="50"/>
      <c r="VMZ345" s="50"/>
      <c r="VNA345" s="50"/>
      <c r="VNB345" s="50"/>
      <c r="VNC345" s="50"/>
      <c r="VND345" s="50"/>
      <c r="VNE345" s="50"/>
      <c r="VNF345" s="50"/>
      <c r="VNG345" s="50"/>
      <c r="VNH345" s="50"/>
      <c r="VNI345" s="50"/>
      <c r="VNJ345" s="50"/>
      <c r="VNK345" s="50"/>
      <c r="VNL345" s="50"/>
      <c r="VNM345" s="50"/>
      <c r="VNN345" s="50"/>
      <c r="VNO345" s="50"/>
      <c r="VNP345" s="50"/>
      <c r="VNQ345" s="50"/>
      <c r="VNR345" s="50"/>
      <c r="VNS345" s="50"/>
      <c r="VNT345" s="50"/>
      <c r="VNU345" s="50"/>
      <c r="VNV345" s="50"/>
      <c r="VNW345" s="50"/>
      <c r="VNX345" s="50"/>
      <c r="VNY345" s="50"/>
      <c r="VNZ345" s="50"/>
      <c r="VOA345" s="50"/>
      <c r="VOB345" s="50"/>
      <c r="VOC345" s="50"/>
      <c r="VOD345" s="50"/>
      <c r="VOE345" s="50"/>
      <c r="VOF345" s="50"/>
      <c r="VOG345" s="50"/>
      <c r="VOH345" s="50"/>
      <c r="VOI345" s="50"/>
      <c r="VOJ345" s="50"/>
      <c r="VOK345" s="50"/>
      <c r="VOL345" s="50"/>
      <c r="VOM345" s="50"/>
      <c r="VON345" s="50"/>
      <c r="VOO345" s="50"/>
      <c r="VOP345" s="50"/>
      <c r="VOQ345" s="50"/>
      <c r="VOR345" s="50"/>
      <c r="VOS345" s="50"/>
      <c r="VOT345" s="50"/>
      <c r="VOU345" s="50"/>
      <c r="VOV345" s="50"/>
      <c r="VOW345" s="50"/>
      <c r="VOX345" s="50"/>
      <c r="VOY345" s="50"/>
      <c r="VOZ345" s="50"/>
      <c r="VPA345" s="50"/>
      <c r="VPB345" s="50"/>
      <c r="VPC345" s="50"/>
      <c r="VPD345" s="50"/>
      <c r="VPE345" s="50"/>
      <c r="VPF345" s="50"/>
      <c r="VPG345" s="50"/>
      <c r="VPH345" s="50"/>
      <c r="VPI345" s="50"/>
      <c r="VPJ345" s="50"/>
      <c r="VPK345" s="50"/>
      <c r="VPL345" s="50"/>
      <c r="VPM345" s="50"/>
      <c r="VPN345" s="50"/>
      <c r="VPO345" s="50"/>
      <c r="VPP345" s="50"/>
      <c r="VPQ345" s="50"/>
      <c r="VPR345" s="50"/>
      <c r="VPS345" s="50"/>
      <c r="VPT345" s="50"/>
      <c r="VPU345" s="50"/>
      <c r="VPV345" s="50"/>
      <c r="VPW345" s="50"/>
      <c r="VPX345" s="50"/>
      <c r="VPY345" s="50"/>
      <c r="VPZ345" s="50"/>
      <c r="VQA345" s="50"/>
      <c r="VQB345" s="50"/>
      <c r="VQC345" s="50"/>
      <c r="VQD345" s="50"/>
      <c r="VQE345" s="50"/>
      <c r="VQF345" s="50"/>
      <c r="VQG345" s="50"/>
      <c r="VQH345" s="50"/>
      <c r="VQI345" s="50"/>
      <c r="VQJ345" s="50"/>
      <c r="VQK345" s="50"/>
      <c r="VQL345" s="50"/>
      <c r="VQM345" s="50"/>
      <c r="VQN345" s="50"/>
      <c r="VQO345" s="50"/>
      <c r="VQP345" s="50"/>
      <c r="VQQ345" s="50"/>
      <c r="VQR345" s="50"/>
      <c r="VQS345" s="50"/>
      <c r="VQT345" s="50"/>
      <c r="VQU345" s="50"/>
      <c r="VQV345" s="50"/>
      <c r="VQW345" s="50"/>
      <c r="VQX345" s="50"/>
      <c r="VQY345" s="50"/>
      <c r="VQZ345" s="50"/>
      <c r="VRA345" s="50"/>
      <c r="VRB345" s="50"/>
      <c r="VRC345" s="50"/>
      <c r="VRD345" s="50"/>
      <c r="VRE345" s="50"/>
      <c r="VRF345" s="50"/>
      <c r="VRG345" s="50"/>
      <c r="VRH345" s="50"/>
      <c r="VRI345" s="50"/>
      <c r="VRJ345" s="50"/>
      <c r="VRK345" s="50"/>
      <c r="VRL345" s="50"/>
      <c r="VRM345" s="50"/>
      <c r="VRN345" s="50"/>
      <c r="VRO345" s="50"/>
      <c r="VRP345" s="50"/>
      <c r="VRQ345" s="50"/>
      <c r="VRR345" s="50"/>
      <c r="VRS345" s="50"/>
      <c r="VRT345" s="50"/>
      <c r="VRU345" s="50"/>
      <c r="VRV345" s="50"/>
      <c r="VRW345" s="50"/>
      <c r="VRX345" s="50"/>
      <c r="VRY345" s="50"/>
      <c r="VRZ345" s="50"/>
      <c r="VSA345" s="50"/>
      <c r="VSB345" s="50"/>
      <c r="VSC345" s="50"/>
      <c r="VSD345" s="50"/>
      <c r="VSE345" s="50"/>
      <c r="VSF345" s="50"/>
      <c r="VSG345" s="50"/>
      <c r="VSH345" s="50"/>
      <c r="VSI345" s="50"/>
      <c r="VSJ345" s="50"/>
      <c r="VSK345" s="50"/>
      <c r="VSL345" s="50"/>
      <c r="VSM345" s="50"/>
      <c r="VSN345" s="50"/>
      <c r="VSO345" s="50"/>
      <c r="VSP345" s="50"/>
      <c r="VSQ345" s="50"/>
      <c r="VSR345" s="50"/>
      <c r="VSS345" s="50"/>
      <c r="VST345" s="50"/>
      <c r="VSU345" s="50"/>
      <c r="VSV345" s="50"/>
      <c r="VSW345" s="50"/>
      <c r="VSX345" s="50"/>
      <c r="VSY345" s="50"/>
      <c r="VSZ345" s="50"/>
      <c r="VTA345" s="50"/>
      <c r="VTB345" s="50"/>
      <c r="VTC345" s="50"/>
      <c r="VTD345" s="50"/>
      <c r="VTE345" s="50"/>
      <c r="VTF345" s="50"/>
      <c r="VTG345" s="50"/>
      <c r="VTH345" s="50"/>
      <c r="VTI345" s="50"/>
      <c r="VTJ345" s="50"/>
      <c r="VTK345" s="50"/>
      <c r="VTL345" s="50"/>
      <c r="VTM345" s="50"/>
      <c r="VTN345" s="50"/>
      <c r="VTO345" s="50"/>
      <c r="VTP345" s="50"/>
      <c r="VTQ345" s="50"/>
      <c r="VTR345" s="50"/>
      <c r="VTS345" s="50"/>
      <c r="VTT345" s="50"/>
      <c r="VTU345" s="50"/>
      <c r="VTV345" s="50"/>
      <c r="VTW345" s="50"/>
      <c r="VTX345" s="50"/>
      <c r="VTY345" s="50"/>
      <c r="VTZ345" s="50"/>
      <c r="VUA345" s="50"/>
      <c r="VUB345" s="50"/>
      <c r="VUC345" s="50"/>
      <c r="VUD345" s="50"/>
      <c r="VUE345" s="50"/>
      <c r="VUF345" s="50"/>
      <c r="VUG345" s="50"/>
      <c r="VUH345" s="50"/>
      <c r="VUI345" s="50"/>
      <c r="VUJ345" s="50"/>
      <c r="VUK345" s="50"/>
      <c r="VUL345" s="50"/>
      <c r="VUM345" s="50"/>
      <c r="VUN345" s="50"/>
      <c r="VUO345" s="50"/>
      <c r="VUP345" s="50"/>
      <c r="VUQ345" s="50"/>
      <c r="VUR345" s="50"/>
      <c r="VUS345" s="50"/>
      <c r="VUT345" s="50"/>
      <c r="VUU345" s="50"/>
      <c r="VUV345" s="50"/>
      <c r="VUW345" s="50"/>
      <c r="VUX345" s="50"/>
      <c r="VUY345" s="50"/>
      <c r="VUZ345" s="50"/>
      <c r="VVA345" s="50"/>
      <c r="VVB345" s="50"/>
      <c r="VVC345" s="50"/>
      <c r="VVD345" s="50"/>
      <c r="VVE345" s="50"/>
      <c r="VVF345" s="50"/>
      <c r="VVG345" s="50"/>
      <c r="VVH345" s="50"/>
      <c r="VVI345" s="50"/>
      <c r="VVJ345" s="50"/>
      <c r="VVK345" s="50"/>
      <c r="VVL345" s="50"/>
      <c r="VVM345" s="50"/>
      <c r="VVN345" s="50"/>
      <c r="VVO345" s="50"/>
      <c r="VVP345" s="50"/>
      <c r="VVQ345" s="50"/>
      <c r="VVR345" s="50"/>
      <c r="VVS345" s="50"/>
      <c r="VVT345" s="50"/>
      <c r="VVU345" s="50"/>
      <c r="VVV345" s="50"/>
      <c r="VVW345" s="50"/>
      <c r="VVX345" s="50"/>
      <c r="VVY345" s="50"/>
      <c r="VVZ345" s="50"/>
      <c r="VWA345" s="50"/>
      <c r="VWB345" s="50"/>
      <c r="VWC345" s="50"/>
      <c r="VWD345" s="50"/>
      <c r="VWE345" s="50"/>
      <c r="VWF345" s="50"/>
      <c r="VWG345" s="50"/>
      <c r="VWH345" s="50"/>
      <c r="VWI345" s="50"/>
      <c r="VWJ345" s="50"/>
      <c r="VWK345" s="50"/>
      <c r="VWL345" s="50"/>
      <c r="VWM345" s="50"/>
      <c r="VWN345" s="50"/>
      <c r="VWO345" s="50"/>
      <c r="VWP345" s="50"/>
      <c r="VWQ345" s="50"/>
      <c r="VWR345" s="50"/>
      <c r="VWS345" s="50"/>
      <c r="VWT345" s="50"/>
      <c r="VWU345" s="50"/>
      <c r="VWV345" s="50"/>
      <c r="VWW345" s="50"/>
      <c r="VWX345" s="50"/>
      <c r="VWY345" s="50"/>
      <c r="VWZ345" s="50"/>
      <c r="VXA345" s="50"/>
      <c r="VXB345" s="50"/>
      <c r="VXC345" s="50"/>
      <c r="VXD345" s="50"/>
      <c r="VXE345" s="50"/>
      <c r="VXF345" s="50"/>
      <c r="VXG345" s="50"/>
      <c r="VXH345" s="50"/>
      <c r="VXI345" s="50"/>
      <c r="VXJ345" s="50"/>
      <c r="VXK345" s="50"/>
      <c r="VXL345" s="50"/>
      <c r="VXM345" s="50"/>
      <c r="VXN345" s="50"/>
      <c r="VXO345" s="50"/>
      <c r="VXP345" s="50"/>
      <c r="VXQ345" s="50"/>
      <c r="VXR345" s="50"/>
      <c r="VXS345" s="50"/>
      <c r="VXT345" s="50"/>
      <c r="VXU345" s="50"/>
      <c r="VXV345" s="50"/>
      <c r="VXW345" s="50"/>
      <c r="VXX345" s="50"/>
      <c r="VXY345" s="50"/>
      <c r="VXZ345" s="50"/>
      <c r="VYA345" s="50"/>
      <c r="VYB345" s="50"/>
      <c r="VYC345" s="50"/>
      <c r="VYD345" s="50"/>
      <c r="VYE345" s="50"/>
      <c r="VYF345" s="50"/>
      <c r="VYG345" s="50"/>
      <c r="VYH345" s="50"/>
      <c r="VYI345" s="50"/>
      <c r="VYJ345" s="50"/>
      <c r="VYK345" s="50"/>
      <c r="VYL345" s="50"/>
      <c r="VYM345" s="50"/>
      <c r="VYN345" s="50"/>
      <c r="VYO345" s="50"/>
      <c r="VYP345" s="50"/>
      <c r="VYQ345" s="50"/>
      <c r="VYR345" s="50"/>
      <c r="VYS345" s="50"/>
      <c r="VYT345" s="50"/>
      <c r="VYU345" s="50"/>
      <c r="VYV345" s="50"/>
      <c r="VYW345" s="50"/>
      <c r="VYX345" s="50"/>
      <c r="VYY345" s="50"/>
      <c r="VYZ345" s="50"/>
      <c r="VZA345" s="50"/>
      <c r="VZB345" s="50"/>
      <c r="VZC345" s="50"/>
      <c r="VZD345" s="50"/>
      <c r="VZE345" s="50"/>
      <c r="VZF345" s="50"/>
      <c r="VZG345" s="50"/>
      <c r="VZH345" s="50"/>
      <c r="VZI345" s="50"/>
      <c r="VZJ345" s="50"/>
      <c r="VZK345" s="50"/>
      <c r="VZL345" s="50"/>
      <c r="VZM345" s="50"/>
      <c r="VZN345" s="50"/>
      <c r="VZO345" s="50"/>
      <c r="VZP345" s="50"/>
      <c r="VZQ345" s="50"/>
      <c r="VZR345" s="50"/>
      <c r="VZS345" s="50"/>
      <c r="VZT345" s="50"/>
      <c r="VZU345" s="50"/>
      <c r="VZV345" s="50"/>
      <c r="VZW345" s="50"/>
      <c r="VZX345" s="50"/>
      <c r="VZY345" s="50"/>
      <c r="VZZ345" s="50"/>
      <c r="WAA345" s="50"/>
      <c r="WAB345" s="50"/>
      <c r="WAC345" s="50"/>
      <c r="WAD345" s="50"/>
      <c r="WAE345" s="50"/>
      <c r="WAF345" s="50"/>
      <c r="WAG345" s="50"/>
      <c r="WAH345" s="50"/>
      <c r="WAI345" s="50"/>
      <c r="WAJ345" s="50"/>
      <c r="WAK345" s="50"/>
      <c r="WAL345" s="50"/>
      <c r="WAM345" s="50"/>
      <c r="WAN345" s="50"/>
      <c r="WAO345" s="50"/>
      <c r="WAP345" s="50"/>
      <c r="WAQ345" s="50"/>
      <c r="WAR345" s="50"/>
      <c r="WAS345" s="50"/>
      <c r="WAT345" s="50"/>
      <c r="WAU345" s="50"/>
      <c r="WAV345" s="50"/>
      <c r="WAW345" s="50"/>
      <c r="WAX345" s="50"/>
      <c r="WAY345" s="50"/>
      <c r="WAZ345" s="50"/>
      <c r="WBA345" s="50"/>
      <c r="WBB345" s="50"/>
      <c r="WBC345" s="50"/>
      <c r="WBD345" s="50"/>
      <c r="WBE345" s="50"/>
      <c r="WBF345" s="50"/>
      <c r="WBG345" s="50"/>
      <c r="WBH345" s="50"/>
      <c r="WBI345" s="50"/>
      <c r="WBJ345" s="50"/>
      <c r="WBK345" s="50"/>
      <c r="WBL345" s="50"/>
      <c r="WBM345" s="50"/>
      <c r="WBN345" s="50"/>
      <c r="WBO345" s="50"/>
      <c r="WBP345" s="50"/>
      <c r="WBQ345" s="50"/>
      <c r="WBR345" s="50"/>
      <c r="WBS345" s="50"/>
      <c r="WBT345" s="50"/>
      <c r="WBU345" s="50"/>
      <c r="WBV345" s="50"/>
      <c r="WBW345" s="50"/>
      <c r="WBX345" s="50"/>
      <c r="WBY345" s="50"/>
      <c r="WBZ345" s="50"/>
      <c r="WCA345" s="50"/>
      <c r="WCB345" s="50"/>
      <c r="WCC345" s="50"/>
      <c r="WCD345" s="50"/>
      <c r="WCE345" s="50"/>
      <c r="WCF345" s="50"/>
      <c r="WCG345" s="50"/>
      <c r="WCH345" s="50"/>
      <c r="WCI345" s="50"/>
      <c r="WCJ345" s="50"/>
      <c r="WCK345" s="50"/>
      <c r="WCL345" s="50"/>
      <c r="WCM345" s="50"/>
      <c r="WCN345" s="50"/>
      <c r="WCO345" s="50"/>
      <c r="WCP345" s="50"/>
      <c r="WCQ345" s="50"/>
      <c r="WCR345" s="50"/>
      <c r="WCS345" s="50"/>
      <c r="WCT345" s="50"/>
      <c r="WCU345" s="50"/>
      <c r="WCV345" s="50"/>
      <c r="WCW345" s="50"/>
      <c r="WCX345" s="50"/>
      <c r="WCY345" s="50"/>
      <c r="WCZ345" s="50"/>
      <c r="WDA345" s="50"/>
      <c r="WDB345" s="50"/>
      <c r="WDC345" s="50"/>
      <c r="WDD345" s="50"/>
      <c r="WDE345" s="50"/>
      <c r="WDF345" s="50"/>
      <c r="WDG345" s="50"/>
      <c r="WDH345" s="50"/>
      <c r="WDI345" s="50"/>
      <c r="WDJ345" s="50"/>
      <c r="WDK345" s="50"/>
      <c r="WDL345" s="50"/>
      <c r="WDM345" s="50"/>
      <c r="WDN345" s="50"/>
      <c r="WDO345" s="50"/>
      <c r="WDP345" s="50"/>
      <c r="WDQ345" s="50"/>
      <c r="WDR345" s="50"/>
      <c r="WDS345" s="50"/>
      <c r="WDT345" s="50"/>
      <c r="WDU345" s="50"/>
      <c r="WDV345" s="50"/>
      <c r="WDW345" s="50"/>
      <c r="WDX345" s="50"/>
      <c r="WDY345" s="50"/>
      <c r="WDZ345" s="50"/>
      <c r="WEA345" s="50"/>
      <c r="WEB345" s="50"/>
      <c r="WEC345" s="50"/>
      <c r="WED345" s="50"/>
      <c r="WEE345" s="50"/>
      <c r="WEF345" s="50"/>
      <c r="WEG345" s="50"/>
      <c r="WEH345" s="50"/>
      <c r="WEI345" s="50"/>
      <c r="WEJ345" s="50"/>
      <c r="WEK345" s="50"/>
      <c r="WEL345" s="50"/>
      <c r="WEM345" s="50"/>
      <c r="WEN345" s="50"/>
      <c r="WEO345" s="50"/>
      <c r="WEP345" s="50"/>
      <c r="WEQ345" s="50"/>
      <c r="WER345" s="50"/>
      <c r="WES345" s="50"/>
      <c r="WET345" s="50"/>
      <c r="WEU345" s="50"/>
      <c r="WEV345" s="50"/>
      <c r="WEW345" s="50"/>
      <c r="WEX345" s="50"/>
      <c r="WEY345" s="50"/>
      <c r="WEZ345" s="50"/>
      <c r="WFA345" s="50"/>
      <c r="WFB345" s="50"/>
      <c r="WFC345" s="50"/>
      <c r="WFD345" s="50"/>
      <c r="WFE345" s="50"/>
      <c r="WFF345" s="50"/>
      <c r="WFG345" s="50"/>
      <c r="WFH345" s="50"/>
      <c r="WFI345" s="50"/>
      <c r="WFJ345" s="50"/>
      <c r="WFK345" s="50"/>
      <c r="WFL345" s="50"/>
      <c r="WFM345" s="50"/>
      <c r="WFN345" s="50"/>
      <c r="WFO345" s="50"/>
      <c r="WFP345" s="50"/>
      <c r="WFQ345" s="50"/>
      <c r="WFR345" s="50"/>
      <c r="WFS345" s="50"/>
      <c r="WFT345" s="50"/>
      <c r="WFU345" s="50"/>
      <c r="WFV345" s="50"/>
      <c r="WFW345" s="50"/>
      <c r="WFX345" s="50"/>
      <c r="WFY345" s="50"/>
      <c r="WFZ345" s="50"/>
      <c r="WGA345" s="50"/>
      <c r="WGB345" s="50"/>
      <c r="WGC345" s="50"/>
      <c r="WGD345" s="50"/>
      <c r="WGE345" s="50"/>
      <c r="WGF345" s="50"/>
      <c r="WGG345" s="50"/>
      <c r="WGH345" s="50"/>
      <c r="WGI345" s="50"/>
      <c r="WGJ345" s="50"/>
      <c r="WGK345" s="50"/>
      <c r="WGL345" s="50"/>
      <c r="WGM345" s="50"/>
      <c r="WGN345" s="50"/>
      <c r="WGO345" s="50"/>
      <c r="WGP345" s="50"/>
      <c r="WGQ345" s="50"/>
      <c r="WGR345" s="50"/>
      <c r="WGS345" s="50"/>
      <c r="WGT345" s="50"/>
      <c r="WGU345" s="50"/>
      <c r="WGV345" s="50"/>
      <c r="WGW345" s="50"/>
      <c r="WGX345" s="50"/>
      <c r="WGY345" s="50"/>
      <c r="WGZ345" s="50"/>
      <c r="WHA345" s="50"/>
      <c r="WHB345" s="50"/>
      <c r="WHC345" s="50"/>
      <c r="WHD345" s="50"/>
      <c r="WHE345" s="50"/>
      <c r="WHF345" s="50"/>
      <c r="WHG345" s="50"/>
      <c r="WHH345" s="50"/>
      <c r="WHI345" s="50"/>
      <c r="WHJ345" s="50"/>
      <c r="WHK345" s="50"/>
      <c r="WHL345" s="50"/>
      <c r="WHM345" s="50"/>
      <c r="WHN345" s="50"/>
      <c r="WHO345" s="50"/>
      <c r="WHP345" s="50"/>
      <c r="WHQ345" s="50"/>
      <c r="WHR345" s="50"/>
      <c r="WHS345" s="50"/>
      <c r="WHT345" s="50"/>
      <c r="WHU345" s="50"/>
      <c r="WHV345" s="50"/>
      <c r="WHW345" s="50"/>
      <c r="WHX345" s="50"/>
      <c r="WHY345" s="50"/>
      <c r="WHZ345" s="50"/>
      <c r="WIA345" s="50"/>
      <c r="WIB345" s="50"/>
      <c r="WIC345" s="50"/>
      <c r="WID345" s="50"/>
      <c r="WIE345" s="50"/>
      <c r="WIF345" s="50"/>
      <c r="WIG345" s="50"/>
      <c r="WIH345" s="50"/>
      <c r="WII345" s="50"/>
      <c r="WIJ345" s="50"/>
      <c r="WIK345" s="50"/>
      <c r="WIL345" s="50"/>
      <c r="WIM345" s="50"/>
      <c r="WIN345" s="50"/>
      <c r="WIO345" s="50"/>
      <c r="WIP345" s="50"/>
      <c r="WIQ345" s="50"/>
      <c r="WIR345" s="50"/>
      <c r="WIS345" s="50"/>
      <c r="WIT345" s="50"/>
      <c r="WIU345" s="50"/>
      <c r="WIV345" s="50"/>
      <c r="WIW345" s="50"/>
      <c r="WIX345" s="50"/>
      <c r="WIY345" s="50"/>
      <c r="WIZ345" s="50"/>
      <c r="WJA345" s="50"/>
      <c r="WJB345" s="50"/>
      <c r="WJC345" s="50"/>
      <c r="WJD345" s="50"/>
      <c r="WJE345" s="50"/>
      <c r="WJF345" s="50"/>
      <c r="WJG345" s="50"/>
      <c r="WJH345" s="50"/>
      <c r="WJI345" s="50"/>
      <c r="WJJ345" s="50"/>
      <c r="WJK345" s="50"/>
      <c r="WJL345" s="50"/>
      <c r="WJM345" s="50"/>
      <c r="WJN345" s="50"/>
      <c r="WJO345" s="50"/>
      <c r="WJP345" s="50"/>
      <c r="WJQ345" s="50"/>
      <c r="WJR345" s="50"/>
      <c r="WJS345" s="50"/>
      <c r="WJT345" s="50"/>
      <c r="WJU345" s="50"/>
      <c r="WJV345" s="50"/>
      <c r="WJW345" s="50"/>
      <c r="WJX345" s="50"/>
      <c r="WJY345" s="50"/>
      <c r="WJZ345" s="50"/>
      <c r="WKA345" s="50"/>
      <c r="WKB345" s="50"/>
      <c r="WKC345" s="50"/>
      <c r="WKD345" s="50"/>
      <c r="WKE345" s="50"/>
      <c r="WKF345" s="50"/>
      <c r="WKG345" s="50"/>
      <c r="WKH345" s="50"/>
      <c r="WKI345" s="50"/>
      <c r="WKJ345" s="50"/>
      <c r="WKK345" s="50"/>
      <c r="WKL345" s="50"/>
      <c r="WKM345" s="50"/>
      <c r="WKN345" s="50"/>
      <c r="WKO345" s="50"/>
      <c r="WKP345" s="50"/>
      <c r="WKQ345" s="50"/>
      <c r="WKR345" s="50"/>
      <c r="WKS345" s="50"/>
      <c r="WKT345" s="50"/>
      <c r="WKU345" s="50"/>
      <c r="WKV345" s="50"/>
      <c r="WKW345" s="50"/>
      <c r="WKX345" s="50"/>
      <c r="WKY345" s="50"/>
      <c r="WKZ345" s="50"/>
      <c r="WLA345" s="50"/>
      <c r="WLB345" s="50"/>
      <c r="WLC345" s="50"/>
      <c r="WLD345" s="50"/>
      <c r="WLE345" s="50"/>
      <c r="WLF345" s="50"/>
      <c r="WLG345" s="50"/>
      <c r="WLH345" s="50"/>
      <c r="WLI345" s="50"/>
      <c r="WLJ345" s="50"/>
      <c r="WLK345" s="50"/>
      <c r="WLL345" s="50"/>
      <c r="WLM345" s="50"/>
      <c r="WLN345" s="50"/>
      <c r="WLO345" s="50"/>
      <c r="WLP345" s="50"/>
      <c r="WLQ345" s="50"/>
      <c r="WLR345" s="50"/>
      <c r="WLS345" s="50"/>
      <c r="WLT345" s="50"/>
      <c r="WLU345" s="50"/>
      <c r="WLV345" s="50"/>
      <c r="WLW345" s="50"/>
      <c r="WLX345" s="50"/>
      <c r="WLY345" s="50"/>
      <c r="WLZ345" s="50"/>
      <c r="WMA345" s="50"/>
      <c r="WMB345" s="50"/>
      <c r="WMC345" s="50"/>
      <c r="WMD345" s="50"/>
      <c r="WME345" s="50"/>
      <c r="WMF345" s="50"/>
      <c r="WMG345" s="50"/>
      <c r="WMH345" s="50"/>
      <c r="WMI345" s="50"/>
      <c r="WMJ345" s="50"/>
      <c r="WMK345" s="50"/>
      <c r="WML345" s="50"/>
      <c r="WMM345" s="50"/>
      <c r="WMN345" s="50"/>
      <c r="WMO345" s="50"/>
      <c r="WMP345" s="50"/>
      <c r="WMQ345" s="50"/>
      <c r="WMR345" s="50"/>
      <c r="WMS345" s="50"/>
      <c r="WMT345" s="50"/>
      <c r="WMU345" s="50"/>
      <c r="WMV345" s="50"/>
      <c r="WMW345" s="50"/>
      <c r="WMX345" s="50"/>
      <c r="WMY345" s="50"/>
      <c r="WMZ345" s="50"/>
      <c r="WNA345" s="50"/>
      <c r="WNB345" s="50"/>
      <c r="WNC345" s="50"/>
      <c r="WND345" s="50"/>
      <c r="WNE345" s="50"/>
      <c r="WNF345" s="50"/>
      <c r="WNG345" s="50"/>
      <c r="WNH345" s="50"/>
      <c r="WNI345" s="50"/>
      <c r="WNJ345" s="50"/>
      <c r="WNK345" s="50"/>
      <c r="WNL345" s="50"/>
      <c r="WNM345" s="50"/>
      <c r="WNN345" s="50"/>
      <c r="WNO345" s="50"/>
      <c r="WNP345" s="50"/>
      <c r="WNQ345" s="50"/>
      <c r="WNR345" s="50"/>
      <c r="WNS345" s="50"/>
      <c r="WNT345" s="50"/>
      <c r="WNU345" s="50"/>
      <c r="WNV345" s="50"/>
      <c r="WNW345" s="50"/>
      <c r="WNX345" s="50"/>
      <c r="WNY345" s="50"/>
      <c r="WNZ345" s="50"/>
      <c r="WOA345" s="50"/>
      <c r="WOB345" s="50"/>
      <c r="WOC345" s="50"/>
      <c r="WOD345" s="50"/>
      <c r="WOE345" s="50"/>
      <c r="WOF345" s="50"/>
      <c r="WOG345" s="50"/>
      <c r="WOH345" s="50"/>
      <c r="WOI345" s="50"/>
      <c r="WOJ345" s="50"/>
      <c r="WOK345" s="50"/>
      <c r="WOL345" s="50"/>
      <c r="WOM345" s="50"/>
      <c r="WON345" s="50"/>
      <c r="WOO345" s="50"/>
      <c r="WOP345" s="50"/>
      <c r="WOQ345" s="50"/>
      <c r="WOR345" s="50"/>
      <c r="WOS345" s="50"/>
      <c r="WOT345" s="50"/>
      <c r="WOU345" s="50"/>
      <c r="WOV345" s="50"/>
      <c r="WOW345" s="50"/>
      <c r="WOX345" s="50"/>
      <c r="WOY345" s="50"/>
      <c r="WOZ345" s="50"/>
      <c r="WPA345" s="50"/>
      <c r="WPB345" s="50"/>
      <c r="WPC345" s="50"/>
      <c r="WPD345" s="50"/>
      <c r="WPE345" s="50"/>
      <c r="WPF345" s="50"/>
      <c r="WPG345" s="50"/>
      <c r="WPH345" s="50"/>
      <c r="WPI345" s="50"/>
      <c r="WPJ345" s="50"/>
      <c r="WPK345" s="50"/>
      <c r="WPL345" s="50"/>
      <c r="WPM345" s="50"/>
      <c r="WPN345" s="50"/>
      <c r="WPO345" s="50"/>
      <c r="WPP345" s="50"/>
      <c r="WPQ345" s="50"/>
      <c r="WPR345" s="50"/>
      <c r="WPS345" s="50"/>
      <c r="WPT345" s="50"/>
      <c r="WPU345" s="50"/>
      <c r="WPV345" s="50"/>
      <c r="WPW345" s="50"/>
      <c r="WPX345" s="50"/>
      <c r="WPY345" s="50"/>
      <c r="WPZ345" s="50"/>
      <c r="WQA345" s="50"/>
      <c r="WQB345" s="50"/>
      <c r="WQC345" s="50"/>
      <c r="WQD345" s="50"/>
      <c r="WQE345" s="50"/>
      <c r="WQF345" s="50"/>
      <c r="WQG345" s="50"/>
      <c r="WQH345" s="50"/>
      <c r="WQI345" s="50"/>
      <c r="WQJ345" s="50"/>
      <c r="WQK345" s="50"/>
      <c r="WQL345" s="50"/>
      <c r="WQM345" s="50"/>
      <c r="WQN345" s="50"/>
      <c r="WQO345" s="50"/>
      <c r="WQP345" s="50"/>
      <c r="WQQ345" s="50"/>
      <c r="WQR345" s="50"/>
      <c r="WQS345" s="50"/>
      <c r="WQT345" s="50"/>
      <c r="WQU345" s="50"/>
      <c r="WQV345" s="50"/>
      <c r="WQW345" s="50"/>
      <c r="WQX345" s="50"/>
      <c r="WQY345" s="50"/>
      <c r="WQZ345" s="50"/>
      <c r="WRA345" s="50"/>
      <c r="WRB345" s="50"/>
      <c r="WRC345" s="50"/>
      <c r="WRD345" s="50"/>
      <c r="WRE345" s="50"/>
      <c r="WRF345" s="50"/>
      <c r="WRG345" s="50"/>
      <c r="WRH345" s="50"/>
      <c r="WRI345" s="50"/>
      <c r="WRJ345" s="50"/>
      <c r="WRK345" s="50"/>
      <c r="WRL345" s="50"/>
      <c r="WRM345" s="50"/>
      <c r="WRN345" s="50"/>
      <c r="WRO345" s="50"/>
      <c r="WRP345" s="50"/>
      <c r="WRQ345" s="50"/>
      <c r="WRR345" s="50"/>
      <c r="WRS345" s="50"/>
      <c r="WRT345" s="50"/>
      <c r="WRU345" s="50"/>
      <c r="WRV345" s="50"/>
      <c r="WRW345" s="50"/>
      <c r="WRX345" s="50"/>
      <c r="WRY345" s="50"/>
      <c r="WRZ345" s="50"/>
      <c r="WSA345" s="50"/>
      <c r="WSB345" s="50"/>
      <c r="WSC345" s="50"/>
      <c r="WSD345" s="50"/>
      <c r="WSE345" s="50"/>
      <c r="WSF345" s="50"/>
      <c r="WSG345" s="50"/>
      <c r="WSH345" s="50"/>
      <c r="WSI345" s="50"/>
      <c r="WSJ345" s="50"/>
      <c r="WSK345" s="50"/>
      <c r="WSL345" s="50"/>
      <c r="WSM345" s="50"/>
      <c r="WSN345" s="50"/>
      <c r="WSO345" s="50"/>
      <c r="WSP345" s="50"/>
      <c r="WSQ345" s="50"/>
      <c r="WSR345" s="50"/>
      <c r="WSS345" s="50"/>
      <c r="WST345" s="50"/>
      <c r="WSU345" s="50"/>
      <c r="WSV345" s="50"/>
      <c r="WSW345" s="50"/>
      <c r="WSX345" s="50"/>
      <c r="WSY345" s="50"/>
      <c r="WSZ345" s="50"/>
      <c r="WTA345" s="50"/>
      <c r="WTB345" s="50"/>
      <c r="WTC345" s="50"/>
      <c r="WTD345" s="50"/>
      <c r="WTE345" s="50"/>
      <c r="WTF345" s="50"/>
      <c r="WTG345" s="50"/>
      <c r="WTH345" s="50"/>
      <c r="WTI345" s="50"/>
      <c r="WTJ345" s="50"/>
      <c r="WTK345" s="50"/>
      <c r="WTL345" s="50"/>
      <c r="WTM345" s="50"/>
      <c r="WTN345" s="50"/>
      <c r="WTO345" s="50"/>
      <c r="WTP345" s="50"/>
      <c r="WTQ345" s="50"/>
      <c r="WTR345" s="50"/>
      <c r="WTS345" s="50"/>
      <c r="WTT345" s="50"/>
      <c r="WTU345" s="50"/>
      <c r="WTV345" s="50"/>
      <c r="WTW345" s="50"/>
      <c r="WTX345" s="50"/>
      <c r="WTY345" s="50"/>
      <c r="WTZ345" s="50"/>
      <c r="WUA345" s="50"/>
      <c r="WUB345" s="50"/>
      <c r="WUC345" s="50"/>
      <c r="WUD345" s="50"/>
      <c r="WUE345" s="50"/>
      <c r="WUF345" s="50"/>
      <c r="WUG345" s="50"/>
      <c r="WUH345" s="50"/>
      <c r="WUI345" s="50"/>
      <c r="WUJ345" s="50"/>
      <c r="WUK345" s="50"/>
      <c r="WUL345" s="50"/>
      <c r="WUM345" s="50"/>
      <c r="WUN345" s="50"/>
      <c r="WUO345" s="50"/>
    </row>
    <row r="346" spans="1:16109" s="29" customFormat="1" ht="90.75" customHeight="1" x14ac:dyDescent="0.25">
      <c r="A346" s="20"/>
      <c r="B346" s="20"/>
      <c r="C346" s="20"/>
      <c r="D346" s="21"/>
      <c r="E346" s="21"/>
      <c r="F346" s="22"/>
      <c r="G346" s="22"/>
      <c r="H346" s="24"/>
      <c r="I346" s="25"/>
      <c r="J346" s="24"/>
      <c r="K346" s="37"/>
      <c r="L346" s="20" t="s">
        <v>48</v>
      </c>
      <c r="M346" s="20"/>
      <c r="N346" s="62" t="s">
        <v>209</v>
      </c>
      <c r="O346" s="24">
        <v>3936</v>
      </c>
      <c r="P346" s="35">
        <v>8.82</v>
      </c>
      <c r="Q346" s="40">
        <v>3500</v>
      </c>
      <c r="R346" s="77">
        <f t="shared" si="69"/>
        <v>13776000</v>
      </c>
      <c r="S346" s="37">
        <v>5</v>
      </c>
      <c r="T346" s="28">
        <f t="shared" si="70"/>
        <v>688800</v>
      </c>
      <c r="U346" s="77">
        <f t="shared" si="71"/>
        <v>13087200</v>
      </c>
      <c r="V346" s="20"/>
      <c r="W346" s="26"/>
      <c r="X346" s="27"/>
      <c r="Y346" s="20"/>
      <c r="Z346" s="2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50"/>
      <c r="AR346" s="50"/>
      <c r="AS346" s="50"/>
      <c r="AT346" s="50"/>
      <c r="AU346" s="50"/>
      <c r="AV346" s="50"/>
      <c r="AW346" s="50"/>
      <c r="AX346" s="50"/>
      <c r="AY346" s="50"/>
      <c r="AZ346" s="50"/>
      <c r="BA346" s="50"/>
      <c r="BB346" s="50"/>
      <c r="BC346" s="50"/>
      <c r="BD346" s="50"/>
      <c r="BE346" s="50"/>
      <c r="BF346" s="50"/>
      <c r="BG346" s="50"/>
      <c r="BH346" s="50"/>
      <c r="BI346" s="50"/>
      <c r="BJ346" s="50"/>
      <c r="BK346" s="50"/>
      <c r="BL346" s="50"/>
      <c r="BM346" s="50"/>
      <c r="BN346" s="50"/>
      <c r="BO346" s="50"/>
      <c r="BP346" s="50"/>
      <c r="BQ346" s="50"/>
      <c r="BR346" s="50"/>
      <c r="BS346" s="50"/>
      <c r="BT346" s="50"/>
      <c r="BU346" s="50"/>
      <c r="BV346" s="50"/>
      <c r="BW346" s="50"/>
      <c r="BX346" s="50"/>
      <c r="BY346" s="50"/>
      <c r="BZ346" s="50"/>
      <c r="CA346" s="50"/>
      <c r="CB346" s="50"/>
      <c r="CC346" s="50"/>
      <c r="CD346" s="50"/>
      <c r="CE346" s="50"/>
      <c r="CF346" s="50"/>
      <c r="CG346" s="50"/>
      <c r="CH346" s="50"/>
      <c r="CI346" s="50"/>
      <c r="CJ346" s="50"/>
      <c r="CK346" s="50"/>
      <c r="CL346" s="50"/>
      <c r="CM346" s="50"/>
      <c r="CN346" s="50"/>
      <c r="CO346" s="50"/>
      <c r="CP346" s="50"/>
      <c r="CQ346" s="50"/>
      <c r="CR346" s="50"/>
      <c r="CS346" s="50"/>
      <c r="CT346" s="50"/>
      <c r="CU346" s="50"/>
      <c r="CV346" s="50"/>
      <c r="CW346" s="50"/>
      <c r="CX346" s="50"/>
      <c r="CY346" s="50"/>
      <c r="CZ346" s="50"/>
      <c r="DA346" s="50"/>
      <c r="DB346" s="50"/>
      <c r="DC346" s="50"/>
      <c r="DD346" s="50"/>
      <c r="DE346" s="50"/>
      <c r="DF346" s="50"/>
      <c r="DG346" s="50"/>
      <c r="DH346" s="50"/>
      <c r="DI346" s="50"/>
      <c r="DJ346" s="50"/>
      <c r="DK346" s="50"/>
      <c r="DL346" s="50"/>
      <c r="DM346" s="50"/>
      <c r="DN346" s="50"/>
      <c r="DO346" s="50"/>
      <c r="DP346" s="50"/>
      <c r="DQ346" s="50"/>
      <c r="DR346" s="50"/>
      <c r="DS346" s="50"/>
      <c r="DT346" s="50"/>
      <c r="DU346" s="50"/>
      <c r="DV346" s="50"/>
      <c r="DW346" s="50"/>
      <c r="DX346" s="50"/>
      <c r="DY346" s="50"/>
      <c r="DZ346" s="50"/>
      <c r="EA346" s="50"/>
      <c r="EB346" s="50"/>
      <c r="EC346" s="50"/>
      <c r="ED346" s="50"/>
      <c r="EE346" s="50"/>
      <c r="EF346" s="50"/>
      <c r="EG346" s="50"/>
      <c r="EH346" s="50"/>
      <c r="EI346" s="50"/>
      <c r="EJ346" s="50"/>
      <c r="EK346" s="50"/>
      <c r="EL346" s="50"/>
      <c r="EM346" s="50"/>
      <c r="EN346" s="50"/>
      <c r="EO346" s="50"/>
      <c r="EP346" s="50"/>
      <c r="EQ346" s="50"/>
      <c r="ER346" s="50"/>
      <c r="ES346" s="50"/>
      <c r="ET346" s="50"/>
      <c r="EU346" s="50"/>
      <c r="EV346" s="50"/>
      <c r="EW346" s="50"/>
      <c r="EX346" s="50"/>
      <c r="EY346" s="50"/>
      <c r="EZ346" s="50"/>
      <c r="FA346" s="50"/>
      <c r="FB346" s="50"/>
      <c r="FC346" s="50"/>
      <c r="FD346" s="50"/>
      <c r="FE346" s="50"/>
      <c r="FF346" s="50"/>
      <c r="FG346" s="50"/>
      <c r="FH346" s="50"/>
      <c r="FI346" s="50"/>
      <c r="FJ346" s="50"/>
      <c r="FK346" s="50"/>
      <c r="FL346" s="50"/>
      <c r="FM346" s="50"/>
      <c r="FN346" s="50"/>
      <c r="FO346" s="50"/>
      <c r="FP346" s="50"/>
      <c r="FQ346" s="50"/>
      <c r="FR346" s="50"/>
      <c r="FS346" s="50"/>
      <c r="FT346" s="50"/>
      <c r="FU346" s="50"/>
      <c r="FV346" s="50"/>
      <c r="FW346" s="50"/>
      <c r="FX346" s="50"/>
      <c r="FY346" s="50"/>
      <c r="FZ346" s="50"/>
      <c r="GA346" s="50"/>
      <c r="GB346" s="50"/>
      <c r="GC346" s="50"/>
      <c r="GD346" s="50"/>
      <c r="GE346" s="50"/>
      <c r="GF346" s="50"/>
      <c r="GG346" s="50"/>
      <c r="GH346" s="50"/>
      <c r="GI346" s="50"/>
      <c r="GJ346" s="50"/>
      <c r="GK346" s="50"/>
      <c r="GL346" s="50"/>
      <c r="GM346" s="50"/>
      <c r="GN346" s="50"/>
      <c r="GO346" s="50"/>
      <c r="GP346" s="50"/>
      <c r="GQ346" s="50"/>
      <c r="GR346" s="50"/>
      <c r="GS346" s="50"/>
      <c r="GT346" s="50"/>
      <c r="GU346" s="50"/>
      <c r="GV346" s="50"/>
      <c r="GW346" s="50"/>
      <c r="GX346" s="50"/>
      <c r="GY346" s="50"/>
      <c r="GZ346" s="50"/>
      <c r="HA346" s="50"/>
      <c r="HB346" s="50"/>
      <c r="HC346" s="50"/>
      <c r="HD346" s="50"/>
      <c r="HE346" s="50"/>
      <c r="HF346" s="50"/>
      <c r="HG346" s="50"/>
      <c r="HH346" s="50"/>
      <c r="HI346" s="50"/>
      <c r="HJ346" s="50"/>
      <c r="HK346" s="50"/>
      <c r="HL346" s="50"/>
      <c r="HM346" s="50"/>
      <c r="HN346" s="50"/>
      <c r="HO346" s="50"/>
      <c r="HP346" s="50"/>
      <c r="HQ346" s="50"/>
      <c r="HR346" s="50"/>
      <c r="HS346" s="50"/>
      <c r="HT346" s="50"/>
      <c r="HU346" s="50"/>
      <c r="HV346" s="50"/>
      <c r="HW346" s="50"/>
      <c r="HX346" s="50"/>
      <c r="HY346" s="50"/>
      <c r="HZ346" s="50"/>
      <c r="IA346" s="50"/>
      <c r="IB346" s="50"/>
      <c r="IC346" s="50"/>
      <c r="ID346" s="50"/>
      <c r="IE346" s="50"/>
      <c r="IF346" s="50"/>
      <c r="IG346" s="50"/>
      <c r="IH346" s="50"/>
      <c r="II346" s="50"/>
      <c r="IJ346" s="50"/>
      <c r="IK346" s="50"/>
      <c r="IL346" s="50"/>
      <c r="IM346" s="50"/>
      <c r="IN346" s="50"/>
      <c r="IO346" s="50"/>
      <c r="IP346" s="50"/>
      <c r="IQ346" s="50"/>
      <c r="IR346" s="50"/>
      <c r="IS346" s="50"/>
      <c r="IT346" s="50"/>
      <c r="IU346" s="50"/>
      <c r="IV346" s="50"/>
      <c r="IW346" s="50"/>
      <c r="IX346" s="50"/>
      <c r="IY346" s="50"/>
      <c r="IZ346" s="50"/>
      <c r="JA346" s="50"/>
      <c r="JB346" s="50"/>
      <c r="JC346" s="50"/>
      <c r="JD346" s="50"/>
      <c r="JE346" s="50"/>
      <c r="JF346" s="50"/>
      <c r="JG346" s="50"/>
      <c r="JH346" s="50"/>
      <c r="JI346" s="50"/>
      <c r="JJ346" s="50"/>
      <c r="JK346" s="50"/>
      <c r="JL346" s="50"/>
      <c r="JM346" s="50"/>
      <c r="JN346" s="50"/>
      <c r="JO346" s="50"/>
      <c r="JP346" s="50"/>
      <c r="JQ346" s="50"/>
      <c r="JR346" s="50"/>
      <c r="JS346" s="50"/>
      <c r="JT346" s="50"/>
      <c r="JU346" s="50"/>
      <c r="JV346" s="50"/>
      <c r="JW346" s="50"/>
      <c r="JX346" s="50"/>
      <c r="JY346" s="50"/>
      <c r="JZ346" s="50"/>
      <c r="KA346" s="50"/>
      <c r="KB346" s="50"/>
      <c r="KC346" s="50"/>
      <c r="KD346" s="50"/>
      <c r="KE346" s="50"/>
      <c r="KF346" s="50"/>
      <c r="KG346" s="50"/>
      <c r="KH346" s="50"/>
      <c r="KI346" s="50"/>
      <c r="KJ346" s="50"/>
      <c r="KK346" s="50"/>
      <c r="KL346" s="50"/>
      <c r="KM346" s="50"/>
      <c r="KN346" s="50"/>
      <c r="KO346" s="50"/>
      <c r="KP346" s="50"/>
      <c r="KQ346" s="50"/>
      <c r="KR346" s="50"/>
      <c r="KS346" s="50"/>
      <c r="KT346" s="50"/>
      <c r="KU346" s="50"/>
      <c r="KV346" s="50"/>
      <c r="KW346" s="50"/>
      <c r="KX346" s="50"/>
      <c r="KY346" s="50"/>
      <c r="KZ346" s="50"/>
      <c r="LA346" s="50"/>
      <c r="LB346" s="50"/>
      <c r="LC346" s="50"/>
      <c r="LD346" s="50"/>
      <c r="LE346" s="50"/>
      <c r="LF346" s="50"/>
      <c r="LG346" s="50"/>
      <c r="LH346" s="50"/>
      <c r="LI346" s="50"/>
      <c r="LJ346" s="50"/>
      <c r="LK346" s="50"/>
      <c r="LL346" s="50"/>
      <c r="LM346" s="50"/>
      <c r="LN346" s="50"/>
      <c r="LO346" s="50"/>
      <c r="LP346" s="50"/>
      <c r="LQ346" s="50"/>
      <c r="LR346" s="50"/>
      <c r="LS346" s="50"/>
      <c r="LT346" s="50"/>
      <c r="LU346" s="50"/>
      <c r="LV346" s="50"/>
      <c r="LW346" s="50"/>
      <c r="LX346" s="50"/>
      <c r="LY346" s="50"/>
      <c r="LZ346" s="50"/>
      <c r="MA346" s="50"/>
      <c r="MB346" s="50"/>
      <c r="MC346" s="50"/>
      <c r="MD346" s="50"/>
      <c r="ME346" s="50"/>
      <c r="MF346" s="50"/>
      <c r="MG346" s="50"/>
      <c r="MH346" s="50"/>
      <c r="MI346" s="50"/>
      <c r="MJ346" s="50"/>
      <c r="MK346" s="50"/>
      <c r="ML346" s="50"/>
      <c r="MM346" s="50"/>
      <c r="MN346" s="50"/>
      <c r="MO346" s="50"/>
      <c r="MP346" s="50"/>
      <c r="MQ346" s="50"/>
      <c r="MR346" s="50"/>
      <c r="MS346" s="50"/>
      <c r="MT346" s="50"/>
      <c r="MU346" s="50"/>
      <c r="MV346" s="50"/>
      <c r="MW346" s="50"/>
      <c r="MX346" s="50"/>
      <c r="MY346" s="50"/>
      <c r="MZ346" s="50"/>
      <c r="NA346" s="50"/>
      <c r="NB346" s="50"/>
      <c r="NC346" s="50"/>
      <c r="ND346" s="50"/>
      <c r="NE346" s="50"/>
      <c r="NF346" s="50"/>
      <c r="NG346" s="50"/>
      <c r="NH346" s="50"/>
      <c r="NI346" s="50"/>
      <c r="NJ346" s="50"/>
      <c r="NK346" s="50"/>
      <c r="NL346" s="50"/>
      <c r="NM346" s="50"/>
      <c r="NN346" s="50"/>
      <c r="NO346" s="50"/>
      <c r="NP346" s="50"/>
      <c r="NQ346" s="50"/>
      <c r="NR346" s="50"/>
      <c r="NS346" s="50"/>
      <c r="NT346" s="50"/>
      <c r="NU346" s="50"/>
      <c r="NV346" s="50"/>
      <c r="NW346" s="50"/>
      <c r="NX346" s="50"/>
      <c r="NY346" s="50"/>
      <c r="NZ346" s="50"/>
      <c r="OA346" s="50"/>
      <c r="OB346" s="50"/>
      <c r="OC346" s="50"/>
      <c r="OD346" s="50"/>
      <c r="OE346" s="50"/>
      <c r="OF346" s="50"/>
      <c r="OG346" s="50"/>
      <c r="OH346" s="50"/>
      <c r="OI346" s="50"/>
      <c r="OJ346" s="50"/>
      <c r="OK346" s="50"/>
      <c r="OL346" s="50"/>
      <c r="OM346" s="50"/>
      <c r="ON346" s="50"/>
      <c r="OO346" s="50"/>
      <c r="OP346" s="50"/>
      <c r="OQ346" s="50"/>
      <c r="OR346" s="50"/>
      <c r="OS346" s="50"/>
      <c r="OT346" s="50"/>
      <c r="OU346" s="50"/>
      <c r="OV346" s="50"/>
      <c r="OW346" s="50"/>
      <c r="OX346" s="50"/>
      <c r="OY346" s="50"/>
      <c r="OZ346" s="50"/>
      <c r="PA346" s="50"/>
      <c r="PB346" s="50"/>
      <c r="PC346" s="50"/>
      <c r="PD346" s="50"/>
      <c r="PE346" s="50"/>
      <c r="PF346" s="50"/>
      <c r="PG346" s="50"/>
      <c r="PH346" s="50"/>
      <c r="PI346" s="50"/>
      <c r="PJ346" s="50"/>
      <c r="PK346" s="50"/>
      <c r="PL346" s="50"/>
      <c r="PM346" s="50"/>
      <c r="PN346" s="50"/>
      <c r="PO346" s="50"/>
      <c r="PP346" s="50"/>
      <c r="PQ346" s="50"/>
      <c r="PR346" s="50"/>
      <c r="PS346" s="50"/>
      <c r="PT346" s="50"/>
      <c r="PU346" s="50"/>
      <c r="PV346" s="50"/>
      <c r="PW346" s="50"/>
      <c r="PX346" s="50"/>
      <c r="PY346" s="50"/>
      <c r="PZ346" s="50"/>
      <c r="QA346" s="50"/>
      <c r="QB346" s="50"/>
      <c r="QC346" s="50"/>
      <c r="QD346" s="50"/>
      <c r="QE346" s="50"/>
      <c r="QF346" s="50"/>
      <c r="QG346" s="50"/>
      <c r="QH346" s="50"/>
      <c r="QI346" s="50"/>
      <c r="QJ346" s="50"/>
      <c r="QK346" s="50"/>
      <c r="QL346" s="50"/>
      <c r="QM346" s="50"/>
      <c r="QN346" s="50"/>
      <c r="QO346" s="50"/>
      <c r="QP346" s="50"/>
      <c r="QQ346" s="50"/>
      <c r="QR346" s="50"/>
      <c r="QS346" s="50"/>
      <c r="QT346" s="50"/>
      <c r="QU346" s="50"/>
      <c r="QV346" s="50"/>
      <c r="QW346" s="50"/>
      <c r="QX346" s="50"/>
      <c r="QY346" s="50"/>
      <c r="QZ346" s="50"/>
      <c r="RA346" s="50"/>
      <c r="RB346" s="50"/>
      <c r="RC346" s="50"/>
      <c r="RD346" s="50"/>
      <c r="RE346" s="50"/>
      <c r="RF346" s="50"/>
      <c r="RG346" s="50"/>
      <c r="RH346" s="50"/>
      <c r="RI346" s="50"/>
      <c r="RJ346" s="50"/>
      <c r="RK346" s="50"/>
      <c r="RL346" s="50"/>
      <c r="RM346" s="50"/>
      <c r="RN346" s="50"/>
      <c r="RO346" s="50"/>
      <c r="RP346" s="50"/>
      <c r="RQ346" s="50"/>
      <c r="RR346" s="50"/>
      <c r="RS346" s="50"/>
      <c r="RT346" s="50"/>
      <c r="RU346" s="50"/>
      <c r="RV346" s="50"/>
      <c r="RW346" s="50"/>
      <c r="RX346" s="50"/>
      <c r="RY346" s="50"/>
      <c r="RZ346" s="50"/>
      <c r="SA346" s="50"/>
      <c r="SB346" s="50"/>
      <c r="SC346" s="50"/>
      <c r="SD346" s="50"/>
      <c r="SE346" s="50"/>
      <c r="SF346" s="50"/>
      <c r="SG346" s="50"/>
      <c r="SH346" s="50"/>
      <c r="SI346" s="50"/>
      <c r="SJ346" s="50"/>
      <c r="SK346" s="50"/>
      <c r="SL346" s="50"/>
      <c r="SM346" s="50"/>
      <c r="SN346" s="50"/>
      <c r="SO346" s="50"/>
      <c r="SP346" s="50"/>
      <c r="SQ346" s="50"/>
      <c r="SR346" s="50"/>
      <c r="SS346" s="50"/>
      <c r="ST346" s="50"/>
      <c r="SU346" s="50"/>
      <c r="SV346" s="50"/>
      <c r="SW346" s="50"/>
      <c r="SX346" s="50"/>
      <c r="SY346" s="50"/>
      <c r="SZ346" s="50"/>
      <c r="TA346" s="50"/>
      <c r="TB346" s="50"/>
      <c r="TC346" s="50"/>
      <c r="TD346" s="50"/>
      <c r="TE346" s="50"/>
      <c r="TF346" s="50"/>
      <c r="TG346" s="50"/>
      <c r="TH346" s="50"/>
      <c r="TI346" s="50"/>
      <c r="TJ346" s="50"/>
      <c r="TK346" s="50"/>
      <c r="TL346" s="50"/>
      <c r="TM346" s="50"/>
      <c r="TN346" s="50"/>
      <c r="TO346" s="50"/>
      <c r="TP346" s="50"/>
      <c r="TQ346" s="50"/>
      <c r="TR346" s="50"/>
      <c r="TS346" s="50"/>
      <c r="TT346" s="50"/>
      <c r="TU346" s="50"/>
      <c r="TV346" s="50"/>
      <c r="TW346" s="50"/>
      <c r="TX346" s="50"/>
      <c r="TY346" s="50"/>
      <c r="TZ346" s="50"/>
      <c r="UA346" s="50"/>
      <c r="UB346" s="50"/>
      <c r="UC346" s="50"/>
      <c r="UD346" s="50"/>
      <c r="UE346" s="50"/>
      <c r="UF346" s="50"/>
      <c r="UG346" s="50"/>
      <c r="UH346" s="50"/>
      <c r="UI346" s="50"/>
      <c r="UJ346" s="50"/>
      <c r="UK346" s="50"/>
      <c r="UL346" s="50"/>
      <c r="UM346" s="50"/>
      <c r="UN346" s="50"/>
      <c r="UO346" s="50"/>
      <c r="UP346" s="50"/>
      <c r="UQ346" s="50"/>
      <c r="UR346" s="50"/>
      <c r="US346" s="50"/>
      <c r="UT346" s="50"/>
      <c r="UU346" s="50"/>
      <c r="UV346" s="50"/>
      <c r="UW346" s="50"/>
      <c r="UX346" s="50"/>
      <c r="UY346" s="50"/>
      <c r="UZ346" s="50"/>
      <c r="VA346" s="50"/>
      <c r="VB346" s="50"/>
      <c r="VC346" s="50"/>
      <c r="VD346" s="50"/>
      <c r="VE346" s="50"/>
      <c r="VF346" s="50"/>
      <c r="VG346" s="50"/>
      <c r="VH346" s="50"/>
      <c r="VI346" s="50"/>
      <c r="VJ346" s="50"/>
      <c r="VK346" s="50"/>
      <c r="VL346" s="50"/>
      <c r="VM346" s="50"/>
      <c r="VN346" s="50"/>
      <c r="VO346" s="50"/>
      <c r="VP346" s="50"/>
      <c r="VQ346" s="50"/>
      <c r="VR346" s="50"/>
      <c r="VS346" s="50"/>
      <c r="VT346" s="50"/>
      <c r="VU346" s="50"/>
      <c r="VV346" s="50"/>
      <c r="VW346" s="50"/>
      <c r="VX346" s="50"/>
      <c r="VY346" s="50"/>
      <c r="VZ346" s="50"/>
      <c r="WA346" s="50"/>
      <c r="WB346" s="50"/>
      <c r="WC346" s="50"/>
      <c r="WD346" s="50"/>
      <c r="WE346" s="50"/>
      <c r="WF346" s="50"/>
      <c r="WG346" s="50"/>
      <c r="WH346" s="50"/>
      <c r="WI346" s="50"/>
      <c r="WJ346" s="50"/>
      <c r="WK346" s="50"/>
      <c r="WL346" s="50"/>
      <c r="WM346" s="50"/>
      <c r="WN346" s="50"/>
      <c r="WO346" s="50"/>
      <c r="WP346" s="50"/>
      <c r="WQ346" s="50"/>
      <c r="WR346" s="50"/>
      <c r="WS346" s="50"/>
      <c r="WT346" s="50"/>
      <c r="WU346" s="50"/>
      <c r="WV346" s="50"/>
      <c r="WW346" s="50"/>
      <c r="WX346" s="50"/>
      <c r="WY346" s="50"/>
      <c r="WZ346" s="50"/>
      <c r="XA346" s="50"/>
      <c r="XB346" s="50"/>
      <c r="XC346" s="50"/>
      <c r="XD346" s="50"/>
      <c r="XE346" s="50"/>
      <c r="XF346" s="50"/>
      <c r="XG346" s="50"/>
      <c r="XH346" s="50"/>
      <c r="XI346" s="50"/>
      <c r="XJ346" s="50"/>
      <c r="XK346" s="50"/>
      <c r="XL346" s="50"/>
      <c r="XM346" s="50"/>
      <c r="XN346" s="50"/>
      <c r="XO346" s="50"/>
      <c r="XP346" s="50"/>
      <c r="XQ346" s="50"/>
      <c r="XR346" s="50"/>
      <c r="XS346" s="50"/>
      <c r="XT346" s="50"/>
      <c r="XU346" s="50"/>
      <c r="XV346" s="50"/>
      <c r="XW346" s="50"/>
      <c r="XX346" s="50"/>
      <c r="XY346" s="50"/>
      <c r="XZ346" s="50"/>
      <c r="YA346" s="50"/>
      <c r="YB346" s="50"/>
      <c r="YC346" s="50"/>
      <c r="YD346" s="50"/>
      <c r="YE346" s="50"/>
      <c r="YF346" s="50"/>
      <c r="YG346" s="50"/>
      <c r="YH346" s="50"/>
      <c r="YI346" s="50"/>
      <c r="YJ346" s="50"/>
      <c r="YK346" s="50"/>
      <c r="YL346" s="50"/>
      <c r="YM346" s="50"/>
      <c r="YN346" s="50"/>
      <c r="YO346" s="50"/>
      <c r="YP346" s="50"/>
      <c r="YQ346" s="50"/>
      <c r="YR346" s="50"/>
      <c r="YS346" s="50"/>
      <c r="YT346" s="50"/>
      <c r="YU346" s="50"/>
      <c r="YV346" s="50"/>
      <c r="YW346" s="50"/>
      <c r="YX346" s="50"/>
      <c r="YY346" s="50"/>
      <c r="YZ346" s="50"/>
      <c r="ZA346" s="50"/>
      <c r="ZB346" s="50"/>
      <c r="ZC346" s="50"/>
      <c r="ZD346" s="50"/>
      <c r="ZE346" s="50"/>
      <c r="ZF346" s="50"/>
      <c r="ZG346" s="50"/>
      <c r="ZH346" s="50"/>
      <c r="ZI346" s="50"/>
      <c r="ZJ346" s="50"/>
      <c r="ZK346" s="50"/>
      <c r="ZL346" s="50"/>
      <c r="ZM346" s="50"/>
      <c r="ZN346" s="50"/>
      <c r="ZO346" s="50"/>
      <c r="ZP346" s="50"/>
      <c r="ZQ346" s="50"/>
      <c r="ZR346" s="50"/>
      <c r="ZS346" s="50"/>
      <c r="ZT346" s="50"/>
      <c r="ZU346" s="50"/>
      <c r="ZV346" s="50"/>
      <c r="ZW346" s="50"/>
      <c r="ZX346" s="50"/>
      <c r="ZY346" s="50"/>
      <c r="ZZ346" s="50"/>
      <c r="AAA346" s="50"/>
      <c r="AAB346" s="50"/>
      <c r="AAC346" s="50"/>
      <c r="AAD346" s="50"/>
      <c r="AAE346" s="50"/>
      <c r="AAF346" s="50"/>
      <c r="AAG346" s="50"/>
      <c r="AAH346" s="50"/>
      <c r="AAI346" s="50"/>
      <c r="AAJ346" s="50"/>
      <c r="AAK346" s="50"/>
      <c r="AAL346" s="50"/>
      <c r="AAM346" s="50"/>
      <c r="AAN346" s="50"/>
      <c r="AAO346" s="50"/>
      <c r="AAP346" s="50"/>
      <c r="AAQ346" s="50"/>
      <c r="AAR346" s="50"/>
      <c r="AAS346" s="50"/>
      <c r="AAT346" s="50"/>
      <c r="AAU346" s="50"/>
      <c r="AAV346" s="50"/>
      <c r="AAW346" s="50"/>
      <c r="AAX346" s="50"/>
      <c r="AAY346" s="50"/>
      <c r="AAZ346" s="50"/>
      <c r="ABA346" s="50"/>
      <c r="ABB346" s="50"/>
      <c r="ABC346" s="50"/>
      <c r="ABD346" s="50"/>
      <c r="ABE346" s="50"/>
      <c r="ABF346" s="50"/>
      <c r="ABG346" s="50"/>
      <c r="ABH346" s="50"/>
      <c r="ABI346" s="50"/>
      <c r="ABJ346" s="50"/>
      <c r="ABK346" s="50"/>
      <c r="ABL346" s="50"/>
      <c r="ABM346" s="50"/>
      <c r="ABN346" s="50"/>
      <c r="ABO346" s="50"/>
      <c r="ABP346" s="50"/>
      <c r="ABQ346" s="50"/>
      <c r="ABR346" s="50"/>
      <c r="ABS346" s="50"/>
      <c r="ABT346" s="50"/>
      <c r="ABU346" s="50"/>
      <c r="ABV346" s="50"/>
      <c r="ABW346" s="50"/>
      <c r="ABX346" s="50"/>
      <c r="ABY346" s="50"/>
      <c r="ABZ346" s="50"/>
      <c r="ACA346" s="50"/>
      <c r="ACB346" s="50"/>
      <c r="ACC346" s="50"/>
      <c r="ACD346" s="50"/>
      <c r="ACE346" s="50"/>
      <c r="ACF346" s="50"/>
      <c r="ACG346" s="50"/>
      <c r="ACH346" s="50"/>
      <c r="ACI346" s="50"/>
      <c r="ACJ346" s="50"/>
      <c r="ACK346" s="50"/>
      <c r="ACL346" s="50"/>
      <c r="ACM346" s="50"/>
      <c r="ACN346" s="50"/>
      <c r="ACO346" s="50"/>
      <c r="ACP346" s="50"/>
      <c r="ACQ346" s="50"/>
      <c r="ACR346" s="50"/>
      <c r="ACS346" s="50"/>
      <c r="ACT346" s="50"/>
      <c r="ACU346" s="50"/>
      <c r="ACV346" s="50"/>
      <c r="ACW346" s="50"/>
      <c r="ACX346" s="50"/>
      <c r="ACY346" s="50"/>
      <c r="ACZ346" s="50"/>
      <c r="ADA346" s="50"/>
      <c r="ADB346" s="50"/>
      <c r="ADC346" s="50"/>
      <c r="ADD346" s="50"/>
      <c r="ADE346" s="50"/>
      <c r="ADF346" s="50"/>
      <c r="ADG346" s="50"/>
      <c r="ADH346" s="50"/>
      <c r="ADI346" s="50"/>
      <c r="ADJ346" s="50"/>
      <c r="ADK346" s="50"/>
      <c r="ADL346" s="50"/>
      <c r="ADM346" s="50"/>
      <c r="ADN346" s="50"/>
      <c r="ADO346" s="50"/>
      <c r="ADP346" s="50"/>
      <c r="ADQ346" s="50"/>
      <c r="ADR346" s="50"/>
      <c r="ADS346" s="50"/>
      <c r="ADT346" s="50"/>
      <c r="ADU346" s="50"/>
      <c r="ADV346" s="50"/>
      <c r="ADW346" s="50"/>
      <c r="ADX346" s="50"/>
      <c r="ADY346" s="50"/>
      <c r="ADZ346" s="50"/>
      <c r="AEA346" s="50"/>
      <c r="AEB346" s="50"/>
      <c r="AEC346" s="50"/>
      <c r="AED346" s="50"/>
      <c r="AEE346" s="50"/>
      <c r="AEF346" s="50"/>
      <c r="AEG346" s="50"/>
      <c r="AEH346" s="50"/>
      <c r="AEI346" s="50"/>
      <c r="AEJ346" s="50"/>
      <c r="AEK346" s="50"/>
      <c r="AEL346" s="50"/>
      <c r="AEM346" s="50"/>
      <c r="AEN346" s="50"/>
      <c r="AEO346" s="50"/>
      <c r="AEP346" s="50"/>
      <c r="AEQ346" s="50"/>
      <c r="AER346" s="50"/>
      <c r="AES346" s="50"/>
      <c r="AET346" s="50"/>
      <c r="AEU346" s="50"/>
      <c r="AEV346" s="50"/>
      <c r="AEW346" s="50"/>
      <c r="AEX346" s="50"/>
      <c r="AEY346" s="50"/>
      <c r="AEZ346" s="50"/>
      <c r="AFA346" s="50"/>
      <c r="AFB346" s="50"/>
      <c r="AFC346" s="50"/>
      <c r="AFD346" s="50"/>
      <c r="AFE346" s="50"/>
      <c r="AFF346" s="50"/>
      <c r="AFG346" s="50"/>
      <c r="AFH346" s="50"/>
      <c r="AFI346" s="50"/>
      <c r="AFJ346" s="50"/>
      <c r="AFK346" s="50"/>
      <c r="AFL346" s="50"/>
      <c r="AFM346" s="50"/>
      <c r="AFN346" s="50"/>
      <c r="AFO346" s="50"/>
      <c r="AFP346" s="50"/>
      <c r="AFQ346" s="50"/>
      <c r="AFR346" s="50"/>
      <c r="AFS346" s="50"/>
      <c r="AFT346" s="50"/>
      <c r="AFU346" s="50"/>
      <c r="AFV346" s="50"/>
      <c r="AFW346" s="50"/>
      <c r="AFX346" s="50"/>
      <c r="AFY346" s="50"/>
      <c r="AFZ346" s="50"/>
      <c r="AGA346" s="50"/>
      <c r="AGB346" s="50"/>
      <c r="AGC346" s="50"/>
      <c r="AGD346" s="50"/>
      <c r="AGE346" s="50"/>
      <c r="AGF346" s="50"/>
      <c r="AGG346" s="50"/>
      <c r="AGH346" s="50"/>
      <c r="AGI346" s="50"/>
      <c r="AGJ346" s="50"/>
      <c r="AGK346" s="50"/>
      <c r="AGL346" s="50"/>
      <c r="AGM346" s="50"/>
      <c r="AGN346" s="50"/>
      <c r="AGO346" s="50"/>
      <c r="AGP346" s="50"/>
      <c r="AGQ346" s="50"/>
      <c r="AGR346" s="50"/>
      <c r="AGS346" s="50"/>
      <c r="AGT346" s="50"/>
      <c r="AGU346" s="50"/>
      <c r="AGV346" s="50"/>
      <c r="AGW346" s="50"/>
      <c r="AGX346" s="50"/>
      <c r="AGY346" s="50"/>
      <c r="AGZ346" s="50"/>
      <c r="AHA346" s="50"/>
      <c r="AHB346" s="50"/>
      <c r="AHC346" s="50"/>
      <c r="AHD346" s="50"/>
      <c r="AHE346" s="50"/>
      <c r="AHF346" s="50"/>
      <c r="AHG346" s="50"/>
      <c r="AHH346" s="50"/>
      <c r="AHI346" s="50"/>
      <c r="AHJ346" s="50"/>
      <c r="AHK346" s="50"/>
      <c r="AHL346" s="50"/>
      <c r="AHM346" s="50"/>
      <c r="AHN346" s="50"/>
      <c r="AHO346" s="50"/>
      <c r="AHP346" s="50"/>
      <c r="AHQ346" s="50"/>
      <c r="AHR346" s="50"/>
      <c r="AHS346" s="50"/>
      <c r="AHT346" s="50"/>
      <c r="AHU346" s="50"/>
      <c r="AHV346" s="50"/>
      <c r="AHW346" s="50"/>
      <c r="AHX346" s="50"/>
      <c r="AHY346" s="50"/>
      <c r="AHZ346" s="50"/>
      <c r="AIA346" s="50"/>
      <c r="AIB346" s="50"/>
      <c r="AIC346" s="50"/>
      <c r="AID346" s="50"/>
      <c r="AIE346" s="50"/>
      <c r="AIF346" s="50"/>
      <c r="AIG346" s="50"/>
      <c r="AIH346" s="50"/>
      <c r="AII346" s="50"/>
      <c r="AIJ346" s="50"/>
      <c r="AIK346" s="50"/>
      <c r="AIL346" s="50"/>
      <c r="AIM346" s="50"/>
      <c r="AIN346" s="50"/>
      <c r="AIO346" s="50"/>
      <c r="AIP346" s="50"/>
      <c r="AIQ346" s="50"/>
      <c r="AIR346" s="50"/>
      <c r="AIS346" s="50"/>
      <c r="AIT346" s="50"/>
      <c r="AIU346" s="50"/>
      <c r="AIV346" s="50"/>
      <c r="AIW346" s="50"/>
      <c r="AIX346" s="50"/>
      <c r="AIY346" s="50"/>
      <c r="AIZ346" s="50"/>
      <c r="AJA346" s="50"/>
      <c r="AJB346" s="50"/>
      <c r="AJC346" s="50"/>
      <c r="AJD346" s="50"/>
      <c r="AJE346" s="50"/>
      <c r="AJF346" s="50"/>
      <c r="AJG346" s="50"/>
      <c r="AJH346" s="50"/>
      <c r="AJI346" s="50"/>
      <c r="AJJ346" s="50"/>
      <c r="AJK346" s="50"/>
      <c r="AJL346" s="50"/>
      <c r="AJM346" s="50"/>
      <c r="AJN346" s="50"/>
      <c r="AJO346" s="50"/>
      <c r="AJP346" s="50"/>
      <c r="AJQ346" s="50"/>
      <c r="AJR346" s="50"/>
      <c r="AJS346" s="50"/>
      <c r="AJT346" s="50"/>
      <c r="AJU346" s="50"/>
      <c r="AJV346" s="50"/>
      <c r="AJW346" s="50"/>
      <c r="AJX346" s="50"/>
      <c r="AJY346" s="50"/>
      <c r="AJZ346" s="50"/>
      <c r="AKA346" s="50"/>
      <c r="AKB346" s="50"/>
      <c r="AKC346" s="50"/>
      <c r="AKD346" s="50"/>
      <c r="AKE346" s="50"/>
      <c r="AKF346" s="50"/>
      <c r="AKG346" s="50"/>
      <c r="AKH346" s="50"/>
      <c r="AKI346" s="50"/>
      <c r="AKJ346" s="50"/>
      <c r="AKK346" s="50"/>
      <c r="AKL346" s="50"/>
      <c r="AKM346" s="50"/>
      <c r="AKN346" s="50"/>
      <c r="AKO346" s="50"/>
      <c r="AKP346" s="50"/>
      <c r="AKQ346" s="50"/>
      <c r="AKR346" s="50"/>
      <c r="AKS346" s="50"/>
      <c r="AKT346" s="50"/>
      <c r="AKU346" s="50"/>
      <c r="AKV346" s="50"/>
      <c r="AKW346" s="50"/>
      <c r="AKX346" s="50"/>
      <c r="AKY346" s="50"/>
      <c r="AKZ346" s="50"/>
      <c r="ALA346" s="50"/>
      <c r="ALB346" s="50"/>
      <c r="ALC346" s="50"/>
      <c r="ALD346" s="50"/>
      <c r="ALE346" s="50"/>
      <c r="ALF346" s="50"/>
      <c r="ALG346" s="50"/>
      <c r="ALH346" s="50"/>
      <c r="ALI346" s="50"/>
      <c r="ALJ346" s="50"/>
      <c r="ALK346" s="50"/>
      <c r="ALL346" s="50"/>
      <c r="ALM346" s="50"/>
      <c r="ALN346" s="50"/>
      <c r="ALO346" s="50"/>
      <c r="ALP346" s="50"/>
      <c r="ALQ346" s="50"/>
      <c r="ALR346" s="50"/>
      <c r="ALS346" s="50"/>
      <c r="ALT346" s="50"/>
      <c r="ALU346" s="50"/>
      <c r="ALV346" s="50"/>
      <c r="ALW346" s="50"/>
      <c r="ALX346" s="50"/>
      <c r="ALY346" s="50"/>
      <c r="ALZ346" s="50"/>
      <c r="AMA346" s="50"/>
      <c r="AMB346" s="50"/>
      <c r="AMC346" s="50"/>
      <c r="AMD346" s="50"/>
      <c r="AME346" s="50"/>
      <c r="AMF346" s="50"/>
      <c r="AMG346" s="50"/>
      <c r="AMH346" s="50"/>
      <c r="AMI346" s="50"/>
      <c r="AMJ346" s="50"/>
      <c r="AMK346" s="50"/>
      <c r="AML346" s="50"/>
      <c r="AMM346" s="50"/>
      <c r="AMN346" s="50"/>
      <c r="AMO346" s="50"/>
      <c r="AMP346" s="50"/>
      <c r="AMQ346" s="50"/>
      <c r="AMR346" s="50"/>
      <c r="AMS346" s="50"/>
      <c r="AMT346" s="50"/>
      <c r="AMU346" s="50"/>
      <c r="AMV346" s="50"/>
      <c r="AMW346" s="50"/>
      <c r="AMX346" s="50"/>
      <c r="AMY346" s="50"/>
      <c r="AMZ346" s="50"/>
      <c r="ANA346" s="50"/>
      <c r="ANB346" s="50"/>
      <c r="ANC346" s="50"/>
      <c r="AND346" s="50"/>
      <c r="ANE346" s="50"/>
      <c r="ANF346" s="50"/>
      <c r="ANG346" s="50"/>
      <c r="ANH346" s="50"/>
      <c r="ANI346" s="50"/>
      <c r="ANJ346" s="50"/>
      <c r="ANK346" s="50"/>
      <c r="ANL346" s="50"/>
      <c r="ANM346" s="50"/>
      <c r="ANN346" s="50"/>
      <c r="ANO346" s="50"/>
      <c r="ANP346" s="50"/>
      <c r="ANQ346" s="50"/>
      <c r="ANR346" s="50"/>
      <c r="ANS346" s="50"/>
      <c r="ANT346" s="50"/>
      <c r="ANU346" s="50"/>
      <c r="ANV346" s="50"/>
      <c r="ANW346" s="50"/>
      <c r="ANX346" s="50"/>
      <c r="ANY346" s="50"/>
      <c r="ANZ346" s="50"/>
      <c r="AOA346" s="50"/>
      <c r="AOB346" s="50"/>
      <c r="AOC346" s="50"/>
      <c r="AOD346" s="50"/>
      <c r="AOE346" s="50"/>
      <c r="AOF346" s="50"/>
      <c r="AOG346" s="50"/>
      <c r="AOH346" s="50"/>
      <c r="AOI346" s="50"/>
      <c r="AOJ346" s="50"/>
      <c r="AOK346" s="50"/>
      <c r="AOL346" s="50"/>
      <c r="AOM346" s="50"/>
      <c r="AON346" s="50"/>
      <c r="AOO346" s="50"/>
      <c r="AOP346" s="50"/>
      <c r="AOQ346" s="50"/>
      <c r="AOR346" s="50"/>
      <c r="AOS346" s="50"/>
      <c r="AOT346" s="50"/>
      <c r="AOU346" s="50"/>
      <c r="AOV346" s="50"/>
      <c r="AOW346" s="50"/>
      <c r="AOX346" s="50"/>
      <c r="AOY346" s="50"/>
      <c r="AOZ346" s="50"/>
      <c r="APA346" s="50"/>
      <c r="APB346" s="50"/>
      <c r="APC346" s="50"/>
      <c r="APD346" s="50"/>
      <c r="APE346" s="50"/>
      <c r="APF346" s="50"/>
      <c r="APG346" s="50"/>
      <c r="APH346" s="50"/>
      <c r="API346" s="50"/>
      <c r="APJ346" s="50"/>
      <c r="APK346" s="50"/>
      <c r="APL346" s="50"/>
      <c r="APM346" s="50"/>
      <c r="APN346" s="50"/>
      <c r="APO346" s="50"/>
      <c r="APP346" s="50"/>
      <c r="APQ346" s="50"/>
      <c r="APR346" s="50"/>
      <c r="APS346" s="50"/>
      <c r="APT346" s="50"/>
      <c r="APU346" s="50"/>
      <c r="APV346" s="50"/>
      <c r="APW346" s="50"/>
      <c r="APX346" s="50"/>
      <c r="APY346" s="50"/>
      <c r="APZ346" s="50"/>
      <c r="AQA346" s="50"/>
      <c r="AQB346" s="50"/>
      <c r="AQC346" s="50"/>
      <c r="AQD346" s="50"/>
      <c r="AQE346" s="50"/>
      <c r="AQF346" s="50"/>
      <c r="AQG346" s="50"/>
      <c r="AQH346" s="50"/>
      <c r="AQI346" s="50"/>
      <c r="AQJ346" s="50"/>
      <c r="AQK346" s="50"/>
      <c r="AQL346" s="50"/>
      <c r="AQM346" s="50"/>
      <c r="AQN346" s="50"/>
      <c r="AQO346" s="50"/>
      <c r="AQP346" s="50"/>
      <c r="AQQ346" s="50"/>
      <c r="AQR346" s="50"/>
      <c r="AQS346" s="50"/>
      <c r="AQT346" s="50"/>
      <c r="AQU346" s="50"/>
      <c r="AQV346" s="50"/>
      <c r="AQW346" s="50"/>
      <c r="AQX346" s="50"/>
      <c r="AQY346" s="50"/>
      <c r="AQZ346" s="50"/>
      <c r="ARA346" s="50"/>
      <c r="ARB346" s="50"/>
      <c r="ARC346" s="50"/>
      <c r="ARD346" s="50"/>
      <c r="ARE346" s="50"/>
      <c r="ARF346" s="50"/>
      <c r="ARG346" s="50"/>
      <c r="ARH346" s="50"/>
      <c r="ARI346" s="50"/>
      <c r="ARJ346" s="50"/>
      <c r="ARK346" s="50"/>
      <c r="ARL346" s="50"/>
      <c r="ARM346" s="50"/>
      <c r="ARN346" s="50"/>
      <c r="ARO346" s="50"/>
      <c r="ARP346" s="50"/>
      <c r="ARQ346" s="50"/>
      <c r="ARR346" s="50"/>
      <c r="ARS346" s="50"/>
      <c r="ART346" s="50"/>
      <c r="ARU346" s="50"/>
      <c r="ARV346" s="50"/>
      <c r="ARW346" s="50"/>
      <c r="ARX346" s="50"/>
      <c r="ARY346" s="50"/>
      <c r="ARZ346" s="50"/>
      <c r="ASA346" s="50"/>
      <c r="ASB346" s="50"/>
      <c r="ASC346" s="50"/>
      <c r="ASD346" s="50"/>
      <c r="ASE346" s="50"/>
      <c r="ASF346" s="50"/>
      <c r="ASG346" s="50"/>
      <c r="ASH346" s="50"/>
      <c r="ASI346" s="50"/>
      <c r="ASJ346" s="50"/>
      <c r="ASK346" s="50"/>
      <c r="ASL346" s="50"/>
      <c r="ASM346" s="50"/>
      <c r="ASN346" s="50"/>
      <c r="ASO346" s="50"/>
      <c r="ASP346" s="50"/>
      <c r="ASQ346" s="50"/>
      <c r="ASR346" s="50"/>
      <c r="ASS346" s="50"/>
      <c r="AST346" s="50"/>
      <c r="ASU346" s="50"/>
      <c r="ASV346" s="50"/>
      <c r="ASW346" s="50"/>
      <c r="ASX346" s="50"/>
      <c r="ASY346" s="50"/>
      <c r="ASZ346" s="50"/>
      <c r="ATA346" s="50"/>
      <c r="ATB346" s="50"/>
      <c r="ATC346" s="50"/>
      <c r="ATD346" s="50"/>
      <c r="ATE346" s="50"/>
      <c r="ATF346" s="50"/>
      <c r="ATG346" s="50"/>
      <c r="ATH346" s="50"/>
      <c r="ATI346" s="50"/>
      <c r="ATJ346" s="50"/>
      <c r="ATK346" s="50"/>
      <c r="ATL346" s="50"/>
      <c r="ATM346" s="50"/>
      <c r="ATN346" s="50"/>
      <c r="ATO346" s="50"/>
      <c r="ATP346" s="50"/>
      <c r="ATQ346" s="50"/>
      <c r="ATR346" s="50"/>
      <c r="ATS346" s="50"/>
      <c r="ATT346" s="50"/>
      <c r="ATU346" s="50"/>
      <c r="ATV346" s="50"/>
      <c r="ATW346" s="50"/>
      <c r="ATX346" s="50"/>
      <c r="ATY346" s="50"/>
      <c r="ATZ346" s="50"/>
      <c r="AUA346" s="50"/>
      <c r="AUB346" s="50"/>
      <c r="AUC346" s="50"/>
      <c r="AUD346" s="50"/>
      <c r="AUE346" s="50"/>
      <c r="AUF346" s="50"/>
      <c r="AUG346" s="50"/>
      <c r="AUH346" s="50"/>
      <c r="AUI346" s="50"/>
      <c r="AUJ346" s="50"/>
      <c r="AUK346" s="50"/>
      <c r="AUL346" s="50"/>
      <c r="AUM346" s="50"/>
      <c r="AUN346" s="50"/>
      <c r="AUO346" s="50"/>
      <c r="AUP346" s="50"/>
      <c r="AUQ346" s="50"/>
      <c r="AUR346" s="50"/>
      <c r="AUS346" s="50"/>
      <c r="AUT346" s="50"/>
      <c r="AUU346" s="50"/>
      <c r="AUV346" s="50"/>
      <c r="AUW346" s="50"/>
      <c r="AUX346" s="50"/>
      <c r="AUY346" s="50"/>
      <c r="AUZ346" s="50"/>
      <c r="AVA346" s="50"/>
      <c r="AVB346" s="50"/>
      <c r="AVC346" s="50"/>
      <c r="AVD346" s="50"/>
      <c r="AVE346" s="50"/>
      <c r="AVF346" s="50"/>
      <c r="AVG346" s="50"/>
      <c r="AVH346" s="50"/>
      <c r="AVI346" s="50"/>
      <c r="AVJ346" s="50"/>
      <c r="AVK346" s="50"/>
      <c r="AVL346" s="50"/>
      <c r="AVM346" s="50"/>
      <c r="AVN346" s="50"/>
      <c r="AVO346" s="50"/>
      <c r="AVP346" s="50"/>
      <c r="AVQ346" s="50"/>
      <c r="AVR346" s="50"/>
      <c r="AVS346" s="50"/>
      <c r="AVT346" s="50"/>
      <c r="AVU346" s="50"/>
      <c r="AVV346" s="50"/>
      <c r="AVW346" s="50"/>
      <c r="AVX346" s="50"/>
      <c r="AVY346" s="50"/>
      <c r="AVZ346" s="50"/>
      <c r="AWA346" s="50"/>
      <c r="AWB346" s="50"/>
      <c r="AWC346" s="50"/>
      <c r="AWD346" s="50"/>
      <c r="AWE346" s="50"/>
      <c r="AWF346" s="50"/>
      <c r="AWG346" s="50"/>
      <c r="AWH346" s="50"/>
      <c r="AWI346" s="50"/>
      <c r="AWJ346" s="50"/>
      <c r="AWK346" s="50"/>
      <c r="AWL346" s="50"/>
      <c r="AWM346" s="50"/>
      <c r="AWN346" s="50"/>
      <c r="AWO346" s="50"/>
      <c r="AWP346" s="50"/>
      <c r="AWQ346" s="50"/>
      <c r="AWR346" s="50"/>
      <c r="AWS346" s="50"/>
      <c r="AWT346" s="50"/>
      <c r="AWU346" s="50"/>
      <c r="AWV346" s="50"/>
      <c r="AWW346" s="50"/>
      <c r="AWX346" s="50"/>
      <c r="AWY346" s="50"/>
      <c r="AWZ346" s="50"/>
      <c r="AXA346" s="50"/>
      <c r="AXB346" s="50"/>
      <c r="AXC346" s="50"/>
      <c r="AXD346" s="50"/>
      <c r="AXE346" s="50"/>
      <c r="AXF346" s="50"/>
      <c r="AXG346" s="50"/>
      <c r="AXH346" s="50"/>
      <c r="AXI346" s="50"/>
      <c r="AXJ346" s="50"/>
      <c r="AXK346" s="50"/>
      <c r="AXL346" s="50"/>
      <c r="AXM346" s="50"/>
      <c r="AXN346" s="50"/>
      <c r="AXO346" s="50"/>
      <c r="AXP346" s="50"/>
      <c r="AXQ346" s="50"/>
      <c r="AXR346" s="50"/>
      <c r="AXS346" s="50"/>
      <c r="AXT346" s="50"/>
      <c r="AXU346" s="50"/>
      <c r="AXV346" s="50"/>
      <c r="AXW346" s="50"/>
      <c r="AXX346" s="50"/>
      <c r="AXY346" s="50"/>
      <c r="AXZ346" s="50"/>
      <c r="AYA346" s="50"/>
      <c r="AYB346" s="50"/>
      <c r="AYC346" s="50"/>
      <c r="AYD346" s="50"/>
      <c r="AYE346" s="50"/>
      <c r="AYF346" s="50"/>
      <c r="AYG346" s="50"/>
      <c r="AYH346" s="50"/>
      <c r="AYI346" s="50"/>
      <c r="AYJ346" s="50"/>
      <c r="AYK346" s="50"/>
      <c r="AYL346" s="50"/>
      <c r="AYM346" s="50"/>
      <c r="AYN346" s="50"/>
      <c r="AYO346" s="50"/>
      <c r="AYP346" s="50"/>
      <c r="AYQ346" s="50"/>
      <c r="AYR346" s="50"/>
      <c r="AYS346" s="50"/>
      <c r="AYT346" s="50"/>
      <c r="AYU346" s="50"/>
      <c r="AYV346" s="50"/>
      <c r="AYW346" s="50"/>
      <c r="AYX346" s="50"/>
      <c r="AYY346" s="50"/>
      <c r="AYZ346" s="50"/>
      <c r="AZA346" s="50"/>
      <c r="AZB346" s="50"/>
      <c r="AZC346" s="50"/>
      <c r="AZD346" s="50"/>
      <c r="AZE346" s="50"/>
      <c r="AZF346" s="50"/>
      <c r="AZG346" s="50"/>
      <c r="AZH346" s="50"/>
      <c r="AZI346" s="50"/>
      <c r="AZJ346" s="50"/>
      <c r="AZK346" s="50"/>
      <c r="AZL346" s="50"/>
      <c r="AZM346" s="50"/>
      <c r="AZN346" s="50"/>
      <c r="AZO346" s="50"/>
      <c r="AZP346" s="50"/>
      <c r="AZQ346" s="50"/>
      <c r="AZR346" s="50"/>
      <c r="AZS346" s="50"/>
      <c r="AZT346" s="50"/>
      <c r="AZU346" s="50"/>
      <c r="AZV346" s="50"/>
      <c r="AZW346" s="50"/>
      <c r="AZX346" s="50"/>
      <c r="AZY346" s="50"/>
      <c r="AZZ346" s="50"/>
      <c r="BAA346" s="50"/>
      <c r="BAB346" s="50"/>
      <c r="BAC346" s="50"/>
      <c r="BAD346" s="50"/>
      <c r="BAE346" s="50"/>
      <c r="BAF346" s="50"/>
      <c r="BAG346" s="50"/>
      <c r="BAH346" s="50"/>
      <c r="BAI346" s="50"/>
      <c r="BAJ346" s="50"/>
      <c r="BAK346" s="50"/>
      <c r="BAL346" s="50"/>
      <c r="BAM346" s="50"/>
      <c r="BAN346" s="50"/>
      <c r="BAO346" s="50"/>
      <c r="BAP346" s="50"/>
      <c r="BAQ346" s="50"/>
      <c r="BAR346" s="50"/>
      <c r="BAS346" s="50"/>
      <c r="BAT346" s="50"/>
      <c r="BAU346" s="50"/>
      <c r="BAV346" s="50"/>
      <c r="BAW346" s="50"/>
      <c r="BAX346" s="50"/>
      <c r="BAY346" s="50"/>
      <c r="BAZ346" s="50"/>
      <c r="BBA346" s="50"/>
      <c r="BBB346" s="50"/>
      <c r="BBC346" s="50"/>
      <c r="BBD346" s="50"/>
      <c r="BBE346" s="50"/>
      <c r="BBF346" s="50"/>
      <c r="BBG346" s="50"/>
      <c r="BBH346" s="50"/>
      <c r="BBI346" s="50"/>
      <c r="BBJ346" s="50"/>
      <c r="BBK346" s="50"/>
      <c r="BBL346" s="50"/>
      <c r="BBM346" s="50"/>
      <c r="BBN346" s="50"/>
      <c r="BBO346" s="50"/>
      <c r="BBP346" s="50"/>
      <c r="BBQ346" s="50"/>
      <c r="BBR346" s="50"/>
      <c r="BBS346" s="50"/>
      <c r="BBT346" s="50"/>
      <c r="BBU346" s="50"/>
      <c r="BBV346" s="50"/>
      <c r="BBW346" s="50"/>
      <c r="BBX346" s="50"/>
      <c r="BBY346" s="50"/>
      <c r="BBZ346" s="50"/>
      <c r="BCA346" s="50"/>
      <c r="BCB346" s="50"/>
      <c r="BCC346" s="50"/>
      <c r="BCD346" s="50"/>
      <c r="BCE346" s="50"/>
      <c r="BCF346" s="50"/>
      <c r="BCG346" s="50"/>
      <c r="BCH346" s="50"/>
      <c r="BCI346" s="50"/>
      <c r="BCJ346" s="50"/>
      <c r="BCK346" s="50"/>
      <c r="BCL346" s="50"/>
      <c r="BCM346" s="50"/>
      <c r="BCN346" s="50"/>
      <c r="BCO346" s="50"/>
      <c r="BCP346" s="50"/>
      <c r="BCQ346" s="50"/>
      <c r="BCR346" s="50"/>
      <c r="BCS346" s="50"/>
      <c r="BCT346" s="50"/>
      <c r="BCU346" s="50"/>
      <c r="BCV346" s="50"/>
      <c r="BCW346" s="50"/>
      <c r="BCX346" s="50"/>
      <c r="BCY346" s="50"/>
      <c r="BCZ346" s="50"/>
      <c r="BDA346" s="50"/>
      <c r="BDB346" s="50"/>
      <c r="BDC346" s="50"/>
      <c r="BDD346" s="50"/>
      <c r="BDE346" s="50"/>
      <c r="BDF346" s="50"/>
      <c r="BDG346" s="50"/>
      <c r="BDH346" s="50"/>
      <c r="BDI346" s="50"/>
      <c r="BDJ346" s="50"/>
      <c r="BDK346" s="50"/>
      <c r="BDL346" s="50"/>
      <c r="BDM346" s="50"/>
      <c r="BDN346" s="50"/>
      <c r="BDO346" s="50"/>
      <c r="BDP346" s="50"/>
      <c r="BDQ346" s="50"/>
      <c r="BDR346" s="50"/>
      <c r="BDS346" s="50"/>
      <c r="BDT346" s="50"/>
      <c r="BDU346" s="50"/>
      <c r="BDV346" s="50"/>
      <c r="BDW346" s="50"/>
      <c r="BDX346" s="50"/>
      <c r="BDY346" s="50"/>
      <c r="BDZ346" s="50"/>
      <c r="BEA346" s="50"/>
      <c r="BEB346" s="50"/>
      <c r="BEC346" s="50"/>
      <c r="BED346" s="50"/>
      <c r="BEE346" s="50"/>
      <c r="BEF346" s="50"/>
      <c r="BEG346" s="50"/>
      <c r="BEH346" s="50"/>
      <c r="BEI346" s="50"/>
      <c r="BEJ346" s="50"/>
      <c r="BEK346" s="50"/>
      <c r="BEL346" s="50"/>
      <c r="BEM346" s="50"/>
      <c r="BEN346" s="50"/>
      <c r="BEO346" s="50"/>
      <c r="BEP346" s="50"/>
      <c r="BEQ346" s="50"/>
      <c r="BER346" s="50"/>
      <c r="BES346" s="50"/>
      <c r="BET346" s="50"/>
      <c r="BEU346" s="50"/>
      <c r="BEV346" s="50"/>
      <c r="BEW346" s="50"/>
      <c r="BEX346" s="50"/>
      <c r="BEY346" s="50"/>
      <c r="BEZ346" s="50"/>
      <c r="BFA346" s="50"/>
      <c r="BFB346" s="50"/>
      <c r="BFC346" s="50"/>
      <c r="BFD346" s="50"/>
      <c r="BFE346" s="50"/>
      <c r="BFF346" s="50"/>
      <c r="BFG346" s="50"/>
      <c r="BFH346" s="50"/>
      <c r="BFI346" s="50"/>
      <c r="BFJ346" s="50"/>
      <c r="BFK346" s="50"/>
      <c r="BFL346" s="50"/>
      <c r="BFM346" s="50"/>
      <c r="BFN346" s="50"/>
      <c r="BFO346" s="50"/>
      <c r="BFP346" s="50"/>
      <c r="BFQ346" s="50"/>
      <c r="BFR346" s="50"/>
      <c r="BFS346" s="50"/>
      <c r="BFT346" s="50"/>
      <c r="BFU346" s="50"/>
      <c r="BFV346" s="50"/>
      <c r="BFW346" s="50"/>
      <c r="BFX346" s="50"/>
      <c r="BFY346" s="50"/>
      <c r="BFZ346" s="50"/>
      <c r="BGA346" s="50"/>
      <c r="BGB346" s="50"/>
      <c r="BGC346" s="50"/>
      <c r="BGD346" s="50"/>
      <c r="BGE346" s="50"/>
      <c r="BGF346" s="50"/>
      <c r="BGG346" s="50"/>
      <c r="BGH346" s="50"/>
      <c r="BGI346" s="50"/>
      <c r="BGJ346" s="50"/>
      <c r="BGK346" s="50"/>
      <c r="BGL346" s="50"/>
      <c r="BGM346" s="50"/>
      <c r="BGN346" s="50"/>
      <c r="BGO346" s="50"/>
      <c r="BGP346" s="50"/>
      <c r="BGQ346" s="50"/>
      <c r="BGR346" s="50"/>
      <c r="BGS346" s="50"/>
      <c r="BGT346" s="50"/>
      <c r="BGU346" s="50"/>
      <c r="BGV346" s="50"/>
      <c r="BGW346" s="50"/>
      <c r="BGX346" s="50"/>
      <c r="BGY346" s="50"/>
      <c r="BGZ346" s="50"/>
      <c r="BHA346" s="50"/>
      <c r="BHB346" s="50"/>
      <c r="BHC346" s="50"/>
      <c r="BHD346" s="50"/>
      <c r="BHE346" s="50"/>
      <c r="BHF346" s="50"/>
      <c r="BHG346" s="50"/>
      <c r="BHH346" s="50"/>
      <c r="BHI346" s="50"/>
      <c r="BHJ346" s="50"/>
      <c r="BHK346" s="50"/>
      <c r="BHL346" s="50"/>
      <c r="BHM346" s="50"/>
      <c r="BHN346" s="50"/>
      <c r="BHO346" s="50"/>
      <c r="BHP346" s="50"/>
      <c r="BHQ346" s="50"/>
      <c r="BHR346" s="50"/>
      <c r="BHS346" s="50"/>
      <c r="BHT346" s="50"/>
      <c r="BHU346" s="50"/>
      <c r="BHV346" s="50"/>
      <c r="BHW346" s="50"/>
      <c r="BHX346" s="50"/>
      <c r="BHY346" s="50"/>
      <c r="BHZ346" s="50"/>
      <c r="BIA346" s="50"/>
      <c r="BIB346" s="50"/>
      <c r="BIC346" s="50"/>
      <c r="BID346" s="50"/>
      <c r="BIE346" s="50"/>
      <c r="BIF346" s="50"/>
      <c r="BIG346" s="50"/>
      <c r="BIH346" s="50"/>
      <c r="BII346" s="50"/>
      <c r="BIJ346" s="50"/>
      <c r="BIK346" s="50"/>
      <c r="BIL346" s="50"/>
      <c r="BIM346" s="50"/>
      <c r="BIN346" s="50"/>
      <c r="BIO346" s="50"/>
      <c r="BIP346" s="50"/>
      <c r="BIQ346" s="50"/>
      <c r="BIR346" s="50"/>
      <c r="BIS346" s="50"/>
      <c r="BIT346" s="50"/>
      <c r="BIU346" s="50"/>
      <c r="BIV346" s="50"/>
      <c r="BIW346" s="50"/>
      <c r="BIX346" s="50"/>
      <c r="BIY346" s="50"/>
      <c r="BIZ346" s="50"/>
      <c r="BJA346" s="50"/>
      <c r="BJB346" s="50"/>
      <c r="BJC346" s="50"/>
      <c r="BJD346" s="50"/>
      <c r="BJE346" s="50"/>
      <c r="BJF346" s="50"/>
      <c r="BJG346" s="50"/>
      <c r="BJH346" s="50"/>
      <c r="BJI346" s="50"/>
      <c r="BJJ346" s="50"/>
      <c r="BJK346" s="50"/>
      <c r="BJL346" s="50"/>
      <c r="BJM346" s="50"/>
      <c r="BJN346" s="50"/>
      <c r="BJO346" s="50"/>
      <c r="BJP346" s="50"/>
      <c r="BJQ346" s="50"/>
      <c r="BJR346" s="50"/>
      <c r="BJS346" s="50"/>
      <c r="BJT346" s="50"/>
      <c r="BJU346" s="50"/>
      <c r="BJV346" s="50"/>
      <c r="BJW346" s="50"/>
      <c r="BJX346" s="50"/>
      <c r="BJY346" s="50"/>
      <c r="BJZ346" s="50"/>
      <c r="BKA346" s="50"/>
      <c r="BKB346" s="50"/>
      <c r="BKC346" s="50"/>
      <c r="BKD346" s="50"/>
      <c r="BKE346" s="50"/>
      <c r="BKF346" s="50"/>
      <c r="BKG346" s="50"/>
      <c r="BKH346" s="50"/>
      <c r="BKI346" s="50"/>
      <c r="BKJ346" s="50"/>
      <c r="BKK346" s="50"/>
      <c r="BKL346" s="50"/>
      <c r="BKM346" s="50"/>
      <c r="BKN346" s="50"/>
      <c r="BKO346" s="50"/>
      <c r="BKP346" s="50"/>
      <c r="BKQ346" s="50"/>
      <c r="BKR346" s="50"/>
      <c r="BKS346" s="50"/>
      <c r="BKT346" s="50"/>
      <c r="BKU346" s="50"/>
      <c r="BKV346" s="50"/>
      <c r="BKW346" s="50"/>
      <c r="BKX346" s="50"/>
      <c r="BKY346" s="50"/>
      <c r="BKZ346" s="50"/>
      <c r="BLA346" s="50"/>
      <c r="BLB346" s="50"/>
      <c r="BLC346" s="50"/>
      <c r="BLD346" s="50"/>
      <c r="BLE346" s="50"/>
      <c r="BLF346" s="50"/>
      <c r="BLG346" s="50"/>
      <c r="BLH346" s="50"/>
      <c r="BLI346" s="50"/>
      <c r="BLJ346" s="50"/>
      <c r="BLK346" s="50"/>
      <c r="BLL346" s="50"/>
      <c r="BLM346" s="50"/>
      <c r="BLN346" s="50"/>
      <c r="BLO346" s="50"/>
      <c r="BLP346" s="50"/>
      <c r="BLQ346" s="50"/>
      <c r="BLR346" s="50"/>
      <c r="BLS346" s="50"/>
      <c r="BLT346" s="50"/>
      <c r="BLU346" s="50"/>
      <c r="BLV346" s="50"/>
      <c r="BLW346" s="50"/>
      <c r="BLX346" s="50"/>
      <c r="BLY346" s="50"/>
      <c r="BLZ346" s="50"/>
      <c r="BMA346" s="50"/>
      <c r="BMB346" s="50"/>
      <c r="BMC346" s="50"/>
      <c r="BMD346" s="50"/>
      <c r="BME346" s="50"/>
      <c r="BMF346" s="50"/>
      <c r="BMG346" s="50"/>
      <c r="BMH346" s="50"/>
      <c r="BMI346" s="50"/>
      <c r="BMJ346" s="50"/>
      <c r="BMK346" s="50"/>
      <c r="BML346" s="50"/>
      <c r="BMM346" s="50"/>
      <c r="BMN346" s="50"/>
      <c r="BMO346" s="50"/>
      <c r="BMP346" s="50"/>
      <c r="BMQ346" s="50"/>
      <c r="BMR346" s="50"/>
      <c r="BMS346" s="50"/>
      <c r="BMT346" s="50"/>
      <c r="BMU346" s="50"/>
      <c r="BMV346" s="50"/>
      <c r="BMW346" s="50"/>
      <c r="BMX346" s="50"/>
      <c r="BMY346" s="50"/>
      <c r="BMZ346" s="50"/>
      <c r="BNA346" s="50"/>
      <c r="BNB346" s="50"/>
      <c r="BNC346" s="50"/>
      <c r="BND346" s="50"/>
      <c r="BNE346" s="50"/>
      <c r="BNF346" s="50"/>
      <c r="BNG346" s="50"/>
      <c r="BNH346" s="50"/>
      <c r="BNI346" s="50"/>
      <c r="BNJ346" s="50"/>
      <c r="BNK346" s="50"/>
      <c r="BNL346" s="50"/>
      <c r="BNM346" s="50"/>
      <c r="BNN346" s="50"/>
      <c r="BNO346" s="50"/>
      <c r="BNP346" s="50"/>
      <c r="BNQ346" s="50"/>
      <c r="BNR346" s="50"/>
      <c r="BNS346" s="50"/>
      <c r="BNT346" s="50"/>
      <c r="BNU346" s="50"/>
      <c r="BNV346" s="50"/>
      <c r="BNW346" s="50"/>
      <c r="BNX346" s="50"/>
      <c r="BNY346" s="50"/>
      <c r="BNZ346" s="50"/>
      <c r="BOA346" s="50"/>
      <c r="BOB346" s="50"/>
      <c r="BOC346" s="50"/>
      <c r="BOD346" s="50"/>
      <c r="BOE346" s="50"/>
      <c r="BOF346" s="50"/>
      <c r="BOG346" s="50"/>
      <c r="BOH346" s="50"/>
      <c r="BOI346" s="50"/>
      <c r="BOJ346" s="50"/>
      <c r="BOK346" s="50"/>
      <c r="BOL346" s="50"/>
      <c r="BOM346" s="50"/>
      <c r="BON346" s="50"/>
      <c r="BOO346" s="50"/>
      <c r="BOP346" s="50"/>
      <c r="BOQ346" s="50"/>
      <c r="BOR346" s="50"/>
      <c r="BOS346" s="50"/>
      <c r="BOT346" s="50"/>
      <c r="BOU346" s="50"/>
      <c r="BOV346" s="50"/>
      <c r="BOW346" s="50"/>
      <c r="BOX346" s="50"/>
      <c r="BOY346" s="50"/>
      <c r="BOZ346" s="50"/>
      <c r="BPA346" s="50"/>
      <c r="BPB346" s="50"/>
      <c r="BPC346" s="50"/>
      <c r="BPD346" s="50"/>
      <c r="BPE346" s="50"/>
      <c r="BPF346" s="50"/>
      <c r="BPG346" s="50"/>
      <c r="BPH346" s="50"/>
      <c r="BPI346" s="50"/>
      <c r="BPJ346" s="50"/>
      <c r="BPK346" s="50"/>
      <c r="BPL346" s="50"/>
      <c r="BPM346" s="50"/>
      <c r="BPN346" s="50"/>
      <c r="BPO346" s="50"/>
      <c r="BPP346" s="50"/>
      <c r="BPQ346" s="50"/>
      <c r="BPR346" s="50"/>
      <c r="BPS346" s="50"/>
      <c r="BPT346" s="50"/>
      <c r="BPU346" s="50"/>
      <c r="BPV346" s="50"/>
      <c r="BPW346" s="50"/>
      <c r="BPX346" s="50"/>
      <c r="BPY346" s="50"/>
      <c r="BPZ346" s="50"/>
      <c r="BQA346" s="50"/>
      <c r="BQB346" s="50"/>
      <c r="BQC346" s="50"/>
      <c r="BQD346" s="50"/>
      <c r="BQE346" s="50"/>
      <c r="BQF346" s="50"/>
      <c r="BQG346" s="50"/>
      <c r="BQH346" s="50"/>
      <c r="BQI346" s="50"/>
      <c r="BQJ346" s="50"/>
      <c r="BQK346" s="50"/>
      <c r="BQL346" s="50"/>
      <c r="BQM346" s="50"/>
      <c r="BQN346" s="50"/>
      <c r="BQO346" s="50"/>
      <c r="BQP346" s="50"/>
      <c r="BQQ346" s="50"/>
      <c r="BQR346" s="50"/>
      <c r="BQS346" s="50"/>
      <c r="BQT346" s="50"/>
      <c r="BQU346" s="50"/>
      <c r="BQV346" s="50"/>
      <c r="BQW346" s="50"/>
      <c r="BQX346" s="50"/>
      <c r="BQY346" s="50"/>
      <c r="BQZ346" s="50"/>
      <c r="BRA346" s="50"/>
      <c r="BRB346" s="50"/>
      <c r="BRC346" s="50"/>
      <c r="BRD346" s="50"/>
      <c r="BRE346" s="50"/>
      <c r="BRF346" s="50"/>
      <c r="BRG346" s="50"/>
      <c r="BRH346" s="50"/>
      <c r="BRI346" s="50"/>
      <c r="BRJ346" s="50"/>
      <c r="BRK346" s="50"/>
      <c r="BRL346" s="50"/>
      <c r="BRM346" s="50"/>
      <c r="BRN346" s="50"/>
      <c r="BRO346" s="50"/>
      <c r="BRP346" s="50"/>
      <c r="BRQ346" s="50"/>
      <c r="BRR346" s="50"/>
      <c r="BRS346" s="50"/>
      <c r="BRT346" s="50"/>
      <c r="BRU346" s="50"/>
      <c r="BRV346" s="50"/>
      <c r="BRW346" s="50"/>
      <c r="BRX346" s="50"/>
      <c r="BRY346" s="50"/>
      <c r="BRZ346" s="50"/>
      <c r="BSA346" s="50"/>
      <c r="BSB346" s="50"/>
      <c r="BSC346" s="50"/>
      <c r="BSD346" s="50"/>
      <c r="BSE346" s="50"/>
      <c r="BSF346" s="50"/>
      <c r="BSG346" s="50"/>
      <c r="BSH346" s="50"/>
      <c r="BSI346" s="50"/>
      <c r="BSJ346" s="50"/>
      <c r="BSK346" s="50"/>
      <c r="BSL346" s="50"/>
      <c r="BSM346" s="50"/>
      <c r="BSN346" s="50"/>
      <c r="BSO346" s="50"/>
      <c r="BSP346" s="50"/>
      <c r="BSQ346" s="50"/>
      <c r="BSR346" s="50"/>
      <c r="BSS346" s="50"/>
      <c r="BST346" s="50"/>
      <c r="BSU346" s="50"/>
      <c r="BSV346" s="50"/>
      <c r="BSW346" s="50"/>
      <c r="BSX346" s="50"/>
      <c r="BSY346" s="50"/>
      <c r="BSZ346" s="50"/>
      <c r="BTA346" s="50"/>
      <c r="BTB346" s="50"/>
      <c r="BTC346" s="50"/>
      <c r="BTD346" s="50"/>
      <c r="BTE346" s="50"/>
      <c r="BTF346" s="50"/>
      <c r="BTG346" s="50"/>
      <c r="BTH346" s="50"/>
      <c r="BTI346" s="50"/>
      <c r="BTJ346" s="50"/>
      <c r="BTK346" s="50"/>
      <c r="BTL346" s="50"/>
      <c r="BTM346" s="50"/>
      <c r="BTN346" s="50"/>
      <c r="BTO346" s="50"/>
      <c r="BTP346" s="50"/>
      <c r="BTQ346" s="50"/>
      <c r="BTR346" s="50"/>
      <c r="BTS346" s="50"/>
      <c r="BTT346" s="50"/>
      <c r="BTU346" s="50"/>
      <c r="BTV346" s="50"/>
      <c r="BTW346" s="50"/>
      <c r="BTX346" s="50"/>
      <c r="BTY346" s="50"/>
      <c r="BTZ346" s="50"/>
      <c r="BUA346" s="50"/>
      <c r="BUB346" s="50"/>
      <c r="BUC346" s="50"/>
      <c r="BUD346" s="50"/>
      <c r="BUE346" s="50"/>
      <c r="BUF346" s="50"/>
      <c r="BUG346" s="50"/>
      <c r="BUH346" s="50"/>
      <c r="BUI346" s="50"/>
      <c r="BUJ346" s="50"/>
      <c r="BUK346" s="50"/>
      <c r="BUL346" s="50"/>
      <c r="BUM346" s="50"/>
      <c r="BUN346" s="50"/>
      <c r="BUO346" s="50"/>
      <c r="BUP346" s="50"/>
      <c r="BUQ346" s="50"/>
      <c r="BUR346" s="50"/>
      <c r="BUS346" s="50"/>
      <c r="BUT346" s="50"/>
      <c r="BUU346" s="50"/>
      <c r="BUV346" s="50"/>
      <c r="BUW346" s="50"/>
      <c r="BUX346" s="50"/>
      <c r="BUY346" s="50"/>
      <c r="BUZ346" s="50"/>
      <c r="BVA346" s="50"/>
      <c r="BVB346" s="50"/>
      <c r="BVC346" s="50"/>
      <c r="BVD346" s="50"/>
      <c r="BVE346" s="50"/>
      <c r="BVF346" s="50"/>
      <c r="BVG346" s="50"/>
      <c r="BVH346" s="50"/>
      <c r="BVI346" s="50"/>
      <c r="BVJ346" s="50"/>
      <c r="BVK346" s="50"/>
      <c r="BVL346" s="50"/>
      <c r="BVM346" s="50"/>
      <c r="BVN346" s="50"/>
      <c r="BVO346" s="50"/>
      <c r="BVP346" s="50"/>
      <c r="BVQ346" s="50"/>
      <c r="BVR346" s="50"/>
      <c r="BVS346" s="50"/>
      <c r="BVT346" s="50"/>
      <c r="BVU346" s="50"/>
      <c r="BVV346" s="50"/>
      <c r="BVW346" s="50"/>
      <c r="BVX346" s="50"/>
      <c r="BVY346" s="50"/>
      <c r="BVZ346" s="50"/>
      <c r="BWA346" s="50"/>
      <c r="BWB346" s="50"/>
      <c r="BWC346" s="50"/>
      <c r="BWD346" s="50"/>
      <c r="BWE346" s="50"/>
      <c r="BWF346" s="50"/>
      <c r="BWG346" s="50"/>
      <c r="BWH346" s="50"/>
      <c r="BWI346" s="50"/>
      <c r="BWJ346" s="50"/>
      <c r="BWK346" s="50"/>
      <c r="BWL346" s="50"/>
      <c r="BWM346" s="50"/>
      <c r="BWN346" s="50"/>
      <c r="BWO346" s="50"/>
      <c r="BWP346" s="50"/>
      <c r="BWQ346" s="50"/>
      <c r="BWR346" s="50"/>
      <c r="BWS346" s="50"/>
      <c r="BWT346" s="50"/>
      <c r="BWU346" s="50"/>
      <c r="BWV346" s="50"/>
      <c r="BWW346" s="50"/>
      <c r="BWX346" s="50"/>
      <c r="BWY346" s="50"/>
      <c r="BWZ346" s="50"/>
      <c r="BXA346" s="50"/>
      <c r="BXB346" s="50"/>
      <c r="BXC346" s="50"/>
      <c r="BXD346" s="50"/>
      <c r="BXE346" s="50"/>
      <c r="BXF346" s="50"/>
      <c r="BXG346" s="50"/>
      <c r="BXH346" s="50"/>
      <c r="BXI346" s="50"/>
      <c r="BXJ346" s="50"/>
      <c r="BXK346" s="50"/>
      <c r="BXL346" s="50"/>
      <c r="BXM346" s="50"/>
      <c r="BXN346" s="50"/>
      <c r="BXO346" s="50"/>
      <c r="BXP346" s="50"/>
      <c r="BXQ346" s="50"/>
      <c r="BXR346" s="50"/>
      <c r="BXS346" s="50"/>
      <c r="BXT346" s="50"/>
      <c r="BXU346" s="50"/>
      <c r="BXV346" s="50"/>
      <c r="BXW346" s="50"/>
      <c r="BXX346" s="50"/>
      <c r="BXY346" s="50"/>
      <c r="BXZ346" s="50"/>
      <c r="BYA346" s="50"/>
      <c r="BYB346" s="50"/>
      <c r="BYC346" s="50"/>
      <c r="BYD346" s="50"/>
      <c r="BYE346" s="50"/>
      <c r="BYF346" s="50"/>
      <c r="BYG346" s="50"/>
      <c r="BYH346" s="50"/>
      <c r="BYI346" s="50"/>
      <c r="BYJ346" s="50"/>
      <c r="BYK346" s="50"/>
      <c r="BYL346" s="50"/>
      <c r="BYM346" s="50"/>
      <c r="BYN346" s="50"/>
      <c r="BYO346" s="50"/>
      <c r="BYP346" s="50"/>
      <c r="BYQ346" s="50"/>
      <c r="BYR346" s="50"/>
      <c r="BYS346" s="50"/>
      <c r="BYT346" s="50"/>
      <c r="BYU346" s="50"/>
      <c r="BYV346" s="50"/>
      <c r="BYW346" s="50"/>
      <c r="BYX346" s="50"/>
      <c r="BYY346" s="50"/>
      <c r="BYZ346" s="50"/>
      <c r="BZA346" s="50"/>
      <c r="BZB346" s="50"/>
      <c r="BZC346" s="50"/>
      <c r="BZD346" s="50"/>
      <c r="BZE346" s="50"/>
      <c r="BZF346" s="50"/>
      <c r="BZG346" s="50"/>
      <c r="BZH346" s="50"/>
      <c r="BZI346" s="50"/>
      <c r="BZJ346" s="50"/>
      <c r="BZK346" s="50"/>
      <c r="BZL346" s="50"/>
      <c r="BZM346" s="50"/>
      <c r="BZN346" s="50"/>
      <c r="BZO346" s="50"/>
      <c r="BZP346" s="50"/>
      <c r="BZQ346" s="50"/>
      <c r="BZR346" s="50"/>
      <c r="BZS346" s="50"/>
      <c r="BZT346" s="50"/>
      <c r="BZU346" s="50"/>
      <c r="BZV346" s="50"/>
      <c r="BZW346" s="50"/>
      <c r="BZX346" s="50"/>
      <c r="BZY346" s="50"/>
      <c r="BZZ346" s="50"/>
      <c r="CAA346" s="50"/>
      <c r="CAB346" s="50"/>
      <c r="CAC346" s="50"/>
      <c r="CAD346" s="50"/>
      <c r="CAE346" s="50"/>
      <c r="CAF346" s="50"/>
      <c r="CAG346" s="50"/>
      <c r="CAH346" s="50"/>
      <c r="CAI346" s="50"/>
      <c r="CAJ346" s="50"/>
      <c r="CAK346" s="50"/>
      <c r="CAL346" s="50"/>
      <c r="CAM346" s="50"/>
      <c r="CAN346" s="50"/>
      <c r="CAO346" s="50"/>
      <c r="CAP346" s="50"/>
      <c r="CAQ346" s="50"/>
      <c r="CAR346" s="50"/>
      <c r="CAS346" s="50"/>
      <c r="CAT346" s="50"/>
      <c r="CAU346" s="50"/>
      <c r="CAV346" s="50"/>
      <c r="CAW346" s="50"/>
      <c r="CAX346" s="50"/>
      <c r="CAY346" s="50"/>
      <c r="CAZ346" s="50"/>
      <c r="CBA346" s="50"/>
      <c r="CBB346" s="50"/>
      <c r="CBC346" s="50"/>
      <c r="CBD346" s="50"/>
      <c r="CBE346" s="50"/>
      <c r="CBF346" s="50"/>
      <c r="CBG346" s="50"/>
      <c r="CBH346" s="50"/>
      <c r="CBI346" s="50"/>
      <c r="CBJ346" s="50"/>
      <c r="CBK346" s="50"/>
      <c r="CBL346" s="50"/>
      <c r="CBM346" s="50"/>
      <c r="CBN346" s="50"/>
      <c r="CBO346" s="50"/>
      <c r="CBP346" s="50"/>
      <c r="CBQ346" s="50"/>
      <c r="CBR346" s="50"/>
      <c r="CBS346" s="50"/>
      <c r="CBT346" s="50"/>
      <c r="CBU346" s="50"/>
      <c r="CBV346" s="50"/>
      <c r="CBW346" s="50"/>
      <c r="CBX346" s="50"/>
      <c r="CBY346" s="50"/>
      <c r="CBZ346" s="50"/>
      <c r="CCA346" s="50"/>
      <c r="CCB346" s="50"/>
      <c r="CCC346" s="50"/>
      <c r="CCD346" s="50"/>
      <c r="CCE346" s="50"/>
      <c r="CCF346" s="50"/>
      <c r="CCG346" s="50"/>
      <c r="CCH346" s="50"/>
      <c r="CCI346" s="50"/>
      <c r="CCJ346" s="50"/>
      <c r="CCK346" s="50"/>
      <c r="CCL346" s="50"/>
      <c r="CCM346" s="50"/>
      <c r="CCN346" s="50"/>
      <c r="CCO346" s="50"/>
      <c r="CCP346" s="50"/>
      <c r="CCQ346" s="50"/>
      <c r="CCR346" s="50"/>
      <c r="CCS346" s="50"/>
      <c r="CCT346" s="50"/>
      <c r="CCU346" s="50"/>
      <c r="CCV346" s="50"/>
      <c r="CCW346" s="50"/>
      <c r="CCX346" s="50"/>
      <c r="CCY346" s="50"/>
      <c r="CCZ346" s="50"/>
      <c r="CDA346" s="50"/>
      <c r="CDB346" s="50"/>
      <c r="CDC346" s="50"/>
      <c r="CDD346" s="50"/>
      <c r="CDE346" s="50"/>
      <c r="CDF346" s="50"/>
      <c r="CDG346" s="50"/>
      <c r="CDH346" s="50"/>
      <c r="CDI346" s="50"/>
      <c r="CDJ346" s="50"/>
      <c r="CDK346" s="50"/>
      <c r="CDL346" s="50"/>
      <c r="CDM346" s="50"/>
      <c r="CDN346" s="50"/>
      <c r="CDO346" s="50"/>
      <c r="CDP346" s="50"/>
      <c r="CDQ346" s="50"/>
      <c r="CDR346" s="50"/>
      <c r="CDS346" s="50"/>
      <c r="CDT346" s="50"/>
      <c r="CDU346" s="50"/>
      <c r="CDV346" s="50"/>
      <c r="CDW346" s="50"/>
      <c r="CDX346" s="50"/>
      <c r="CDY346" s="50"/>
      <c r="CDZ346" s="50"/>
      <c r="CEA346" s="50"/>
      <c r="CEB346" s="50"/>
      <c r="CEC346" s="50"/>
      <c r="CED346" s="50"/>
      <c r="CEE346" s="50"/>
      <c r="CEF346" s="50"/>
      <c r="CEG346" s="50"/>
      <c r="CEH346" s="50"/>
      <c r="CEI346" s="50"/>
      <c r="CEJ346" s="50"/>
      <c r="CEK346" s="50"/>
      <c r="CEL346" s="50"/>
      <c r="CEM346" s="50"/>
      <c r="CEN346" s="50"/>
      <c r="CEO346" s="50"/>
      <c r="CEP346" s="50"/>
      <c r="CEQ346" s="50"/>
      <c r="CER346" s="50"/>
      <c r="CES346" s="50"/>
      <c r="CET346" s="50"/>
      <c r="CEU346" s="50"/>
      <c r="CEV346" s="50"/>
      <c r="CEW346" s="50"/>
      <c r="CEX346" s="50"/>
      <c r="CEY346" s="50"/>
      <c r="CEZ346" s="50"/>
      <c r="CFA346" s="50"/>
      <c r="CFB346" s="50"/>
      <c r="CFC346" s="50"/>
      <c r="CFD346" s="50"/>
      <c r="CFE346" s="50"/>
      <c r="CFF346" s="50"/>
      <c r="CFG346" s="50"/>
      <c r="CFH346" s="50"/>
      <c r="CFI346" s="50"/>
      <c r="CFJ346" s="50"/>
      <c r="CFK346" s="50"/>
      <c r="CFL346" s="50"/>
      <c r="CFM346" s="50"/>
      <c r="CFN346" s="50"/>
      <c r="CFO346" s="50"/>
      <c r="CFP346" s="50"/>
      <c r="CFQ346" s="50"/>
      <c r="CFR346" s="50"/>
      <c r="CFS346" s="50"/>
      <c r="CFT346" s="50"/>
      <c r="CFU346" s="50"/>
      <c r="CFV346" s="50"/>
      <c r="CFW346" s="50"/>
      <c r="CFX346" s="50"/>
      <c r="CFY346" s="50"/>
      <c r="CFZ346" s="50"/>
      <c r="CGA346" s="50"/>
      <c r="CGB346" s="50"/>
      <c r="CGC346" s="50"/>
      <c r="CGD346" s="50"/>
      <c r="CGE346" s="50"/>
      <c r="CGF346" s="50"/>
      <c r="CGG346" s="50"/>
      <c r="CGH346" s="50"/>
      <c r="CGI346" s="50"/>
      <c r="CGJ346" s="50"/>
      <c r="CGK346" s="50"/>
      <c r="CGL346" s="50"/>
      <c r="CGM346" s="50"/>
      <c r="CGN346" s="50"/>
      <c r="CGO346" s="50"/>
      <c r="CGP346" s="50"/>
      <c r="CGQ346" s="50"/>
      <c r="CGR346" s="50"/>
      <c r="CGS346" s="50"/>
      <c r="CGT346" s="50"/>
      <c r="CGU346" s="50"/>
      <c r="CGV346" s="50"/>
      <c r="CGW346" s="50"/>
      <c r="CGX346" s="50"/>
      <c r="CGY346" s="50"/>
      <c r="CGZ346" s="50"/>
      <c r="CHA346" s="50"/>
      <c r="CHB346" s="50"/>
      <c r="CHC346" s="50"/>
      <c r="CHD346" s="50"/>
      <c r="CHE346" s="50"/>
      <c r="CHF346" s="50"/>
      <c r="CHG346" s="50"/>
      <c r="CHH346" s="50"/>
      <c r="CHI346" s="50"/>
      <c r="CHJ346" s="50"/>
      <c r="CHK346" s="50"/>
      <c r="CHL346" s="50"/>
      <c r="CHM346" s="50"/>
      <c r="CHN346" s="50"/>
      <c r="CHO346" s="50"/>
      <c r="CHP346" s="50"/>
      <c r="CHQ346" s="50"/>
      <c r="CHR346" s="50"/>
      <c r="CHS346" s="50"/>
      <c r="CHT346" s="50"/>
      <c r="CHU346" s="50"/>
      <c r="CHV346" s="50"/>
      <c r="CHW346" s="50"/>
      <c r="CHX346" s="50"/>
      <c r="CHY346" s="50"/>
      <c r="CHZ346" s="50"/>
      <c r="CIA346" s="50"/>
      <c r="CIB346" s="50"/>
      <c r="CIC346" s="50"/>
      <c r="CID346" s="50"/>
      <c r="CIE346" s="50"/>
      <c r="CIF346" s="50"/>
      <c r="CIG346" s="50"/>
      <c r="CIH346" s="50"/>
      <c r="CII346" s="50"/>
      <c r="CIJ346" s="50"/>
      <c r="CIK346" s="50"/>
      <c r="CIL346" s="50"/>
      <c r="CIM346" s="50"/>
      <c r="CIN346" s="50"/>
      <c r="CIO346" s="50"/>
      <c r="CIP346" s="50"/>
      <c r="CIQ346" s="50"/>
      <c r="CIR346" s="50"/>
      <c r="CIS346" s="50"/>
      <c r="CIT346" s="50"/>
      <c r="CIU346" s="50"/>
      <c r="CIV346" s="50"/>
      <c r="CIW346" s="50"/>
      <c r="CIX346" s="50"/>
      <c r="CIY346" s="50"/>
      <c r="CIZ346" s="50"/>
      <c r="CJA346" s="50"/>
      <c r="CJB346" s="50"/>
      <c r="CJC346" s="50"/>
      <c r="CJD346" s="50"/>
      <c r="CJE346" s="50"/>
      <c r="CJF346" s="50"/>
      <c r="CJG346" s="50"/>
      <c r="CJH346" s="50"/>
      <c r="CJI346" s="50"/>
      <c r="CJJ346" s="50"/>
      <c r="CJK346" s="50"/>
      <c r="CJL346" s="50"/>
      <c r="CJM346" s="50"/>
      <c r="CJN346" s="50"/>
      <c r="CJO346" s="50"/>
      <c r="CJP346" s="50"/>
      <c r="CJQ346" s="50"/>
      <c r="CJR346" s="50"/>
      <c r="CJS346" s="50"/>
      <c r="CJT346" s="50"/>
      <c r="CJU346" s="50"/>
      <c r="CJV346" s="50"/>
      <c r="CJW346" s="50"/>
      <c r="CJX346" s="50"/>
      <c r="CJY346" s="50"/>
      <c r="CJZ346" s="50"/>
      <c r="CKA346" s="50"/>
      <c r="CKB346" s="50"/>
      <c r="CKC346" s="50"/>
      <c r="CKD346" s="50"/>
      <c r="CKE346" s="50"/>
      <c r="CKF346" s="50"/>
      <c r="CKG346" s="50"/>
      <c r="CKH346" s="50"/>
      <c r="CKI346" s="50"/>
      <c r="CKJ346" s="50"/>
      <c r="CKK346" s="50"/>
      <c r="CKL346" s="50"/>
      <c r="CKM346" s="50"/>
      <c r="CKN346" s="50"/>
      <c r="CKO346" s="50"/>
      <c r="CKP346" s="50"/>
      <c r="CKQ346" s="50"/>
      <c r="CKR346" s="50"/>
      <c r="CKS346" s="50"/>
      <c r="CKT346" s="50"/>
      <c r="CKU346" s="50"/>
      <c r="CKV346" s="50"/>
      <c r="CKW346" s="50"/>
      <c r="CKX346" s="50"/>
      <c r="CKY346" s="50"/>
      <c r="CKZ346" s="50"/>
      <c r="CLA346" s="50"/>
      <c r="CLB346" s="50"/>
      <c r="CLC346" s="50"/>
      <c r="CLD346" s="50"/>
      <c r="CLE346" s="50"/>
      <c r="CLF346" s="50"/>
      <c r="CLG346" s="50"/>
      <c r="CLH346" s="50"/>
      <c r="CLI346" s="50"/>
      <c r="CLJ346" s="50"/>
      <c r="CLK346" s="50"/>
      <c r="CLL346" s="50"/>
      <c r="CLM346" s="50"/>
      <c r="CLN346" s="50"/>
      <c r="CLO346" s="50"/>
      <c r="CLP346" s="50"/>
      <c r="CLQ346" s="50"/>
      <c r="CLR346" s="50"/>
      <c r="CLS346" s="50"/>
      <c r="CLT346" s="50"/>
      <c r="CLU346" s="50"/>
      <c r="CLV346" s="50"/>
      <c r="CLW346" s="50"/>
      <c r="CLX346" s="50"/>
      <c r="CLY346" s="50"/>
      <c r="CLZ346" s="50"/>
      <c r="CMA346" s="50"/>
      <c r="CMB346" s="50"/>
      <c r="CMC346" s="50"/>
      <c r="CMD346" s="50"/>
      <c r="CME346" s="50"/>
      <c r="CMF346" s="50"/>
      <c r="CMG346" s="50"/>
      <c r="CMH346" s="50"/>
      <c r="CMI346" s="50"/>
      <c r="CMJ346" s="50"/>
      <c r="CMK346" s="50"/>
      <c r="CML346" s="50"/>
      <c r="CMM346" s="50"/>
      <c r="CMN346" s="50"/>
      <c r="CMO346" s="50"/>
      <c r="CMP346" s="50"/>
      <c r="CMQ346" s="50"/>
      <c r="CMR346" s="50"/>
      <c r="CMS346" s="50"/>
      <c r="CMT346" s="50"/>
      <c r="CMU346" s="50"/>
      <c r="CMV346" s="50"/>
      <c r="CMW346" s="50"/>
      <c r="CMX346" s="50"/>
      <c r="CMY346" s="50"/>
      <c r="CMZ346" s="50"/>
      <c r="CNA346" s="50"/>
      <c r="CNB346" s="50"/>
      <c r="CNC346" s="50"/>
      <c r="CND346" s="50"/>
      <c r="CNE346" s="50"/>
      <c r="CNF346" s="50"/>
      <c r="CNG346" s="50"/>
      <c r="CNH346" s="50"/>
      <c r="CNI346" s="50"/>
      <c r="CNJ346" s="50"/>
      <c r="CNK346" s="50"/>
      <c r="CNL346" s="50"/>
      <c r="CNM346" s="50"/>
      <c r="CNN346" s="50"/>
      <c r="CNO346" s="50"/>
      <c r="CNP346" s="50"/>
      <c r="CNQ346" s="50"/>
      <c r="CNR346" s="50"/>
      <c r="CNS346" s="50"/>
      <c r="CNT346" s="50"/>
      <c r="CNU346" s="50"/>
      <c r="CNV346" s="50"/>
      <c r="CNW346" s="50"/>
      <c r="CNX346" s="50"/>
      <c r="CNY346" s="50"/>
      <c r="CNZ346" s="50"/>
      <c r="COA346" s="50"/>
      <c r="COB346" s="50"/>
      <c r="COC346" s="50"/>
      <c r="COD346" s="50"/>
      <c r="COE346" s="50"/>
      <c r="COF346" s="50"/>
      <c r="COG346" s="50"/>
      <c r="COH346" s="50"/>
      <c r="COI346" s="50"/>
      <c r="COJ346" s="50"/>
      <c r="COK346" s="50"/>
      <c r="COL346" s="50"/>
      <c r="COM346" s="50"/>
      <c r="CON346" s="50"/>
      <c r="COO346" s="50"/>
      <c r="COP346" s="50"/>
      <c r="COQ346" s="50"/>
      <c r="COR346" s="50"/>
      <c r="COS346" s="50"/>
      <c r="COT346" s="50"/>
      <c r="COU346" s="50"/>
      <c r="COV346" s="50"/>
      <c r="COW346" s="50"/>
      <c r="COX346" s="50"/>
      <c r="COY346" s="50"/>
      <c r="COZ346" s="50"/>
      <c r="CPA346" s="50"/>
      <c r="CPB346" s="50"/>
      <c r="CPC346" s="50"/>
      <c r="CPD346" s="50"/>
      <c r="CPE346" s="50"/>
      <c r="CPF346" s="50"/>
      <c r="CPG346" s="50"/>
      <c r="CPH346" s="50"/>
      <c r="CPI346" s="50"/>
      <c r="CPJ346" s="50"/>
      <c r="CPK346" s="50"/>
      <c r="CPL346" s="50"/>
      <c r="CPM346" s="50"/>
      <c r="CPN346" s="50"/>
      <c r="CPO346" s="50"/>
      <c r="CPP346" s="50"/>
      <c r="CPQ346" s="50"/>
      <c r="CPR346" s="50"/>
      <c r="CPS346" s="50"/>
      <c r="CPT346" s="50"/>
      <c r="CPU346" s="50"/>
      <c r="CPV346" s="50"/>
      <c r="CPW346" s="50"/>
      <c r="CPX346" s="50"/>
      <c r="CPY346" s="50"/>
      <c r="CPZ346" s="50"/>
      <c r="CQA346" s="50"/>
      <c r="CQB346" s="50"/>
      <c r="CQC346" s="50"/>
      <c r="CQD346" s="50"/>
      <c r="CQE346" s="50"/>
      <c r="CQF346" s="50"/>
      <c r="CQG346" s="50"/>
      <c r="CQH346" s="50"/>
      <c r="CQI346" s="50"/>
      <c r="CQJ346" s="50"/>
      <c r="CQK346" s="50"/>
      <c r="CQL346" s="50"/>
      <c r="CQM346" s="50"/>
      <c r="CQN346" s="50"/>
      <c r="CQO346" s="50"/>
      <c r="CQP346" s="50"/>
      <c r="CQQ346" s="50"/>
      <c r="CQR346" s="50"/>
      <c r="CQS346" s="50"/>
      <c r="CQT346" s="50"/>
      <c r="CQU346" s="50"/>
      <c r="CQV346" s="50"/>
      <c r="CQW346" s="50"/>
      <c r="CQX346" s="50"/>
      <c r="CQY346" s="50"/>
      <c r="CQZ346" s="50"/>
      <c r="CRA346" s="50"/>
      <c r="CRB346" s="50"/>
      <c r="CRC346" s="50"/>
      <c r="CRD346" s="50"/>
      <c r="CRE346" s="50"/>
      <c r="CRF346" s="50"/>
      <c r="CRG346" s="50"/>
      <c r="CRH346" s="50"/>
      <c r="CRI346" s="50"/>
      <c r="CRJ346" s="50"/>
      <c r="CRK346" s="50"/>
      <c r="CRL346" s="50"/>
      <c r="CRM346" s="50"/>
      <c r="CRN346" s="50"/>
      <c r="CRO346" s="50"/>
      <c r="CRP346" s="50"/>
      <c r="CRQ346" s="50"/>
      <c r="CRR346" s="50"/>
      <c r="CRS346" s="50"/>
      <c r="CRT346" s="50"/>
      <c r="CRU346" s="50"/>
      <c r="CRV346" s="50"/>
      <c r="CRW346" s="50"/>
      <c r="CRX346" s="50"/>
      <c r="CRY346" s="50"/>
      <c r="CRZ346" s="50"/>
      <c r="CSA346" s="50"/>
      <c r="CSB346" s="50"/>
      <c r="CSC346" s="50"/>
      <c r="CSD346" s="50"/>
      <c r="CSE346" s="50"/>
      <c r="CSF346" s="50"/>
      <c r="CSG346" s="50"/>
      <c r="CSH346" s="50"/>
      <c r="CSI346" s="50"/>
      <c r="CSJ346" s="50"/>
      <c r="CSK346" s="50"/>
      <c r="CSL346" s="50"/>
      <c r="CSM346" s="50"/>
      <c r="CSN346" s="50"/>
      <c r="CSO346" s="50"/>
      <c r="CSP346" s="50"/>
      <c r="CSQ346" s="50"/>
      <c r="CSR346" s="50"/>
      <c r="CSS346" s="50"/>
      <c r="CST346" s="50"/>
      <c r="CSU346" s="50"/>
      <c r="CSV346" s="50"/>
      <c r="CSW346" s="50"/>
      <c r="CSX346" s="50"/>
      <c r="CSY346" s="50"/>
      <c r="CSZ346" s="50"/>
      <c r="CTA346" s="50"/>
      <c r="CTB346" s="50"/>
      <c r="CTC346" s="50"/>
      <c r="CTD346" s="50"/>
      <c r="CTE346" s="50"/>
      <c r="CTF346" s="50"/>
      <c r="CTG346" s="50"/>
      <c r="CTH346" s="50"/>
      <c r="CTI346" s="50"/>
      <c r="CTJ346" s="50"/>
      <c r="CTK346" s="50"/>
      <c r="CTL346" s="50"/>
      <c r="CTM346" s="50"/>
      <c r="CTN346" s="50"/>
      <c r="CTO346" s="50"/>
      <c r="CTP346" s="50"/>
      <c r="CTQ346" s="50"/>
      <c r="CTR346" s="50"/>
      <c r="CTS346" s="50"/>
      <c r="CTT346" s="50"/>
      <c r="CTU346" s="50"/>
      <c r="CTV346" s="50"/>
      <c r="CTW346" s="50"/>
      <c r="CTX346" s="50"/>
      <c r="CTY346" s="50"/>
      <c r="CTZ346" s="50"/>
      <c r="CUA346" s="50"/>
      <c r="CUB346" s="50"/>
      <c r="CUC346" s="50"/>
      <c r="CUD346" s="50"/>
      <c r="CUE346" s="50"/>
      <c r="CUF346" s="50"/>
      <c r="CUG346" s="50"/>
      <c r="CUH346" s="50"/>
      <c r="CUI346" s="50"/>
      <c r="CUJ346" s="50"/>
      <c r="CUK346" s="50"/>
      <c r="CUL346" s="50"/>
      <c r="CUM346" s="50"/>
      <c r="CUN346" s="50"/>
      <c r="CUO346" s="50"/>
      <c r="CUP346" s="50"/>
      <c r="CUQ346" s="50"/>
      <c r="CUR346" s="50"/>
      <c r="CUS346" s="50"/>
      <c r="CUT346" s="50"/>
      <c r="CUU346" s="50"/>
      <c r="CUV346" s="50"/>
      <c r="CUW346" s="50"/>
      <c r="CUX346" s="50"/>
      <c r="CUY346" s="50"/>
      <c r="CUZ346" s="50"/>
      <c r="CVA346" s="50"/>
      <c r="CVB346" s="50"/>
      <c r="CVC346" s="50"/>
      <c r="CVD346" s="50"/>
      <c r="CVE346" s="50"/>
      <c r="CVF346" s="50"/>
      <c r="CVG346" s="50"/>
      <c r="CVH346" s="50"/>
      <c r="CVI346" s="50"/>
      <c r="CVJ346" s="50"/>
      <c r="CVK346" s="50"/>
      <c r="CVL346" s="50"/>
      <c r="CVM346" s="50"/>
      <c r="CVN346" s="50"/>
      <c r="CVO346" s="50"/>
      <c r="CVP346" s="50"/>
      <c r="CVQ346" s="50"/>
      <c r="CVR346" s="50"/>
      <c r="CVS346" s="50"/>
      <c r="CVT346" s="50"/>
      <c r="CVU346" s="50"/>
      <c r="CVV346" s="50"/>
      <c r="CVW346" s="50"/>
      <c r="CVX346" s="50"/>
      <c r="CVY346" s="50"/>
      <c r="CVZ346" s="50"/>
      <c r="CWA346" s="50"/>
      <c r="CWB346" s="50"/>
      <c r="CWC346" s="50"/>
      <c r="CWD346" s="50"/>
      <c r="CWE346" s="50"/>
      <c r="CWF346" s="50"/>
      <c r="CWG346" s="50"/>
      <c r="CWH346" s="50"/>
      <c r="CWI346" s="50"/>
      <c r="CWJ346" s="50"/>
      <c r="CWK346" s="50"/>
      <c r="CWL346" s="50"/>
      <c r="CWM346" s="50"/>
      <c r="CWN346" s="50"/>
      <c r="CWO346" s="50"/>
      <c r="CWP346" s="50"/>
      <c r="CWQ346" s="50"/>
      <c r="CWR346" s="50"/>
      <c r="CWS346" s="50"/>
      <c r="CWT346" s="50"/>
      <c r="CWU346" s="50"/>
      <c r="CWV346" s="50"/>
      <c r="CWW346" s="50"/>
      <c r="CWX346" s="50"/>
      <c r="CWY346" s="50"/>
      <c r="CWZ346" s="50"/>
      <c r="CXA346" s="50"/>
      <c r="CXB346" s="50"/>
      <c r="CXC346" s="50"/>
      <c r="CXD346" s="50"/>
      <c r="CXE346" s="50"/>
      <c r="CXF346" s="50"/>
      <c r="CXG346" s="50"/>
      <c r="CXH346" s="50"/>
      <c r="CXI346" s="50"/>
      <c r="CXJ346" s="50"/>
      <c r="CXK346" s="50"/>
      <c r="CXL346" s="50"/>
      <c r="CXM346" s="50"/>
      <c r="CXN346" s="50"/>
      <c r="CXO346" s="50"/>
      <c r="CXP346" s="50"/>
      <c r="CXQ346" s="50"/>
      <c r="CXR346" s="50"/>
      <c r="CXS346" s="50"/>
      <c r="CXT346" s="50"/>
      <c r="CXU346" s="50"/>
      <c r="CXV346" s="50"/>
      <c r="CXW346" s="50"/>
      <c r="CXX346" s="50"/>
      <c r="CXY346" s="50"/>
      <c r="CXZ346" s="50"/>
      <c r="CYA346" s="50"/>
      <c r="CYB346" s="50"/>
      <c r="CYC346" s="50"/>
      <c r="CYD346" s="50"/>
      <c r="CYE346" s="50"/>
      <c r="CYF346" s="50"/>
      <c r="CYG346" s="50"/>
      <c r="CYH346" s="50"/>
      <c r="CYI346" s="50"/>
      <c r="CYJ346" s="50"/>
      <c r="CYK346" s="50"/>
      <c r="CYL346" s="50"/>
      <c r="CYM346" s="50"/>
      <c r="CYN346" s="50"/>
      <c r="CYO346" s="50"/>
      <c r="CYP346" s="50"/>
      <c r="CYQ346" s="50"/>
      <c r="CYR346" s="50"/>
      <c r="CYS346" s="50"/>
      <c r="CYT346" s="50"/>
      <c r="CYU346" s="50"/>
      <c r="CYV346" s="50"/>
      <c r="CYW346" s="50"/>
      <c r="CYX346" s="50"/>
      <c r="CYY346" s="50"/>
      <c r="CYZ346" s="50"/>
      <c r="CZA346" s="50"/>
      <c r="CZB346" s="50"/>
      <c r="CZC346" s="50"/>
      <c r="CZD346" s="50"/>
      <c r="CZE346" s="50"/>
      <c r="CZF346" s="50"/>
      <c r="CZG346" s="50"/>
      <c r="CZH346" s="50"/>
      <c r="CZI346" s="50"/>
      <c r="CZJ346" s="50"/>
      <c r="CZK346" s="50"/>
      <c r="CZL346" s="50"/>
      <c r="CZM346" s="50"/>
      <c r="CZN346" s="50"/>
      <c r="CZO346" s="50"/>
      <c r="CZP346" s="50"/>
      <c r="CZQ346" s="50"/>
      <c r="CZR346" s="50"/>
      <c r="CZS346" s="50"/>
      <c r="CZT346" s="50"/>
      <c r="CZU346" s="50"/>
      <c r="CZV346" s="50"/>
      <c r="CZW346" s="50"/>
      <c r="CZX346" s="50"/>
      <c r="CZY346" s="50"/>
      <c r="CZZ346" s="50"/>
      <c r="DAA346" s="50"/>
      <c r="DAB346" s="50"/>
      <c r="DAC346" s="50"/>
      <c r="DAD346" s="50"/>
      <c r="DAE346" s="50"/>
      <c r="DAF346" s="50"/>
      <c r="DAG346" s="50"/>
      <c r="DAH346" s="50"/>
      <c r="DAI346" s="50"/>
      <c r="DAJ346" s="50"/>
      <c r="DAK346" s="50"/>
      <c r="DAL346" s="50"/>
      <c r="DAM346" s="50"/>
      <c r="DAN346" s="50"/>
      <c r="DAO346" s="50"/>
      <c r="DAP346" s="50"/>
      <c r="DAQ346" s="50"/>
      <c r="DAR346" s="50"/>
      <c r="DAS346" s="50"/>
      <c r="DAT346" s="50"/>
      <c r="DAU346" s="50"/>
      <c r="DAV346" s="50"/>
      <c r="DAW346" s="50"/>
      <c r="DAX346" s="50"/>
      <c r="DAY346" s="50"/>
      <c r="DAZ346" s="50"/>
      <c r="DBA346" s="50"/>
      <c r="DBB346" s="50"/>
      <c r="DBC346" s="50"/>
      <c r="DBD346" s="50"/>
      <c r="DBE346" s="50"/>
      <c r="DBF346" s="50"/>
      <c r="DBG346" s="50"/>
      <c r="DBH346" s="50"/>
      <c r="DBI346" s="50"/>
      <c r="DBJ346" s="50"/>
      <c r="DBK346" s="50"/>
      <c r="DBL346" s="50"/>
      <c r="DBM346" s="50"/>
      <c r="DBN346" s="50"/>
      <c r="DBO346" s="50"/>
      <c r="DBP346" s="50"/>
      <c r="DBQ346" s="50"/>
      <c r="DBR346" s="50"/>
      <c r="DBS346" s="50"/>
      <c r="DBT346" s="50"/>
      <c r="DBU346" s="50"/>
      <c r="DBV346" s="50"/>
      <c r="DBW346" s="50"/>
      <c r="DBX346" s="50"/>
      <c r="DBY346" s="50"/>
      <c r="DBZ346" s="50"/>
      <c r="DCA346" s="50"/>
      <c r="DCB346" s="50"/>
      <c r="DCC346" s="50"/>
      <c r="DCD346" s="50"/>
      <c r="DCE346" s="50"/>
      <c r="DCF346" s="50"/>
      <c r="DCG346" s="50"/>
      <c r="DCH346" s="50"/>
      <c r="DCI346" s="50"/>
      <c r="DCJ346" s="50"/>
      <c r="DCK346" s="50"/>
      <c r="DCL346" s="50"/>
      <c r="DCM346" s="50"/>
      <c r="DCN346" s="50"/>
      <c r="DCO346" s="50"/>
      <c r="DCP346" s="50"/>
      <c r="DCQ346" s="50"/>
      <c r="DCR346" s="50"/>
      <c r="DCS346" s="50"/>
      <c r="DCT346" s="50"/>
      <c r="DCU346" s="50"/>
      <c r="DCV346" s="50"/>
      <c r="DCW346" s="50"/>
      <c r="DCX346" s="50"/>
      <c r="DCY346" s="50"/>
      <c r="DCZ346" s="50"/>
      <c r="DDA346" s="50"/>
      <c r="DDB346" s="50"/>
      <c r="DDC346" s="50"/>
      <c r="DDD346" s="50"/>
      <c r="DDE346" s="50"/>
      <c r="DDF346" s="50"/>
      <c r="DDG346" s="50"/>
      <c r="DDH346" s="50"/>
      <c r="DDI346" s="50"/>
      <c r="DDJ346" s="50"/>
      <c r="DDK346" s="50"/>
      <c r="DDL346" s="50"/>
      <c r="DDM346" s="50"/>
      <c r="DDN346" s="50"/>
      <c r="DDO346" s="50"/>
      <c r="DDP346" s="50"/>
      <c r="DDQ346" s="50"/>
      <c r="DDR346" s="50"/>
      <c r="DDS346" s="50"/>
      <c r="DDT346" s="50"/>
      <c r="DDU346" s="50"/>
      <c r="DDV346" s="50"/>
      <c r="DDW346" s="50"/>
      <c r="DDX346" s="50"/>
      <c r="DDY346" s="50"/>
      <c r="DDZ346" s="50"/>
      <c r="DEA346" s="50"/>
      <c r="DEB346" s="50"/>
      <c r="DEC346" s="50"/>
      <c r="DED346" s="50"/>
      <c r="DEE346" s="50"/>
      <c r="DEF346" s="50"/>
      <c r="DEG346" s="50"/>
      <c r="DEH346" s="50"/>
      <c r="DEI346" s="50"/>
      <c r="DEJ346" s="50"/>
      <c r="DEK346" s="50"/>
      <c r="DEL346" s="50"/>
      <c r="DEM346" s="50"/>
      <c r="DEN346" s="50"/>
      <c r="DEO346" s="50"/>
      <c r="DEP346" s="50"/>
      <c r="DEQ346" s="50"/>
      <c r="DER346" s="50"/>
      <c r="DES346" s="50"/>
      <c r="DET346" s="50"/>
      <c r="DEU346" s="50"/>
      <c r="DEV346" s="50"/>
      <c r="DEW346" s="50"/>
      <c r="DEX346" s="50"/>
      <c r="DEY346" s="50"/>
      <c r="DEZ346" s="50"/>
      <c r="DFA346" s="50"/>
      <c r="DFB346" s="50"/>
      <c r="DFC346" s="50"/>
      <c r="DFD346" s="50"/>
      <c r="DFE346" s="50"/>
      <c r="DFF346" s="50"/>
      <c r="DFG346" s="50"/>
      <c r="DFH346" s="50"/>
      <c r="DFI346" s="50"/>
      <c r="DFJ346" s="50"/>
      <c r="DFK346" s="50"/>
      <c r="DFL346" s="50"/>
      <c r="DFM346" s="50"/>
      <c r="DFN346" s="50"/>
      <c r="DFO346" s="50"/>
      <c r="DFP346" s="50"/>
      <c r="DFQ346" s="50"/>
      <c r="DFR346" s="50"/>
      <c r="DFS346" s="50"/>
      <c r="DFT346" s="50"/>
      <c r="DFU346" s="50"/>
      <c r="DFV346" s="50"/>
      <c r="DFW346" s="50"/>
      <c r="DFX346" s="50"/>
      <c r="DFY346" s="50"/>
      <c r="DFZ346" s="50"/>
      <c r="DGA346" s="50"/>
      <c r="DGB346" s="50"/>
      <c r="DGC346" s="50"/>
      <c r="DGD346" s="50"/>
      <c r="DGE346" s="50"/>
      <c r="DGF346" s="50"/>
      <c r="DGG346" s="50"/>
      <c r="DGH346" s="50"/>
      <c r="DGI346" s="50"/>
      <c r="DGJ346" s="50"/>
      <c r="DGK346" s="50"/>
      <c r="DGL346" s="50"/>
      <c r="DGM346" s="50"/>
      <c r="DGN346" s="50"/>
      <c r="DGO346" s="50"/>
      <c r="DGP346" s="50"/>
      <c r="DGQ346" s="50"/>
      <c r="DGR346" s="50"/>
      <c r="DGS346" s="50"/>
      <c r="DGT346" s="50"/>
      <c r="DGU346" s="50"/>
      <c r="DGV346" s="50"/>
      <c r="DGW346" s="50"/>
      <c r="DGX346" s="50"/>
      <c r="DGY346" s="50"/>
      <c r="DGZ346" s="50"/>
      <c r="DHA346" s="50"/>
      <c r="DHB346" s="50"/>
      <c r="DHC346" s="50"/>
      <c r="DHD346" s="50"/>
      <c r="DHE346" s="50"/>
      <c r="DHF346" s="50"/>
      <c r="DHG346" s="50"/>
      <c r="DHH346" s="50"/>
      <c r="DHI346" s="50"/>
      <c r="DHJ346" s="50"/>
      <c r="DHK346" s="50"/>
      <c r="DHL346" s="50"/>
      <c r="DHM346" s="50"/>
      <c r="DHN346" s="50"/>
      <c r="DHO346" s="50"/>
      <c r="DHP346" s="50"/>
      <c r="DHQ346" s="50"/>
      <c r="DHR346" s="50"/>
      <c r="DHS346" s="50"/>
      <c r="DHT346" s="50"/>
      <c r="DHU346" s="50"/>
      <c r="DHV346" s="50"/>
      <c r="DHW346" s="50"/>
      <c r="DHX346" s="50"/>
      <c r="DHY346" s="50"/>
      <c r="DHZ346" s="50"/>
      <c r="DIA346" s="50"/>
      <c r="DIB346" s="50"/>
      <c r="DIC346" s="50"/>
      <c r="DID346" s="50"/>
      <c r="DIE346" s="50"/>
      <c r="DIF346" s="50"/>
      <c r="DIG346" s="50"/>
      <c r="DIH346" s="50"/>
      <c r="DII346" s="50"/>
      <c r="DIJ346" s="50"/>
      <c r="DIK346" s="50"/>
      <c r="DIL346" s="50"/>
      <c r="DIM346" s="50"/>
      <c r="DIN346" s="50"/>
      <c r="DIO346" s="50"/>
      <c r="DIP346" s="50"/>
      <c r="DIQ346" s="50"/>
      <c r="DIR346" s="50"/>
      <c r="DIS346" s="50"/>
      <c r="DIT346" s="50"/>
      <c r="DIU346" s="50"/>
      <c r="DIV346" s="50"/>
      <c r="DIW346" s="50"/>
      <c r="DIX346" s="50"/>
      <c r="DIY346" s="50"/>
      <c r="DIZ346" s="50"/>
      <c r="DJA346" s="50"/>
      <c r="DJB346" s="50"/>
      <c r="DJC346" s="50"/>
      <c r="DJD346" s="50"/>
      <c r="DJE346" s="50"/>
      <c r="DJF346" s="50"/>
      <c r="DJG346" s="50"/>
      <c r="DJH346" s="50"/>
      <c r="DJI346" s="50"/>
      <c r="DJJ346" s="50"/>
      <c r="DJK346" s="50"/>
      <c r="DJL346" s="50"/>
      <c r="DJM346" s="50"/>
      <c r="DJN346" s="50"/>
      <c r="DJO346" s="50"/>
      <c r="DJP346" s="50"/>
      <c r="DJQ346" s="50"/>
      <c r="DJR346" s="50"/>
      <c r="DJS346" s="50"/>
      <c r="DJT346" s="50"/>
      <c r="DJU346" s="50"/>
      <c r="DJV346" s="50"/>
      <c r="DJW346" s="50"/>
      <c r="DJX346" s="50"/>
      <c r="DJY346" s="50"/>
      <c r="DJZ346" s="50"/>
      <c r="DKA346" s="50"/>
      <c r="DKB346" s="50"/>
      <c r="DKC346" s="50"/>
      <c r="DKD346" s="50"/>
      <c r="DKE346" s="50"/>
      <c r="DKF346" s="50"/>
      <c r="DKG346" s="50"/>
      <c r="DKH346" s="50"/>
      <c r="DKI346" s="50"/>
      <c r="DKJ346" s="50"/>
      <c r="DKK346" s="50"/>
      <c r="DKL346" s="50"/>
      <c r="DKM346" s="50"/>
      <c r="DKN346" s="50"/>
      <c r="DKO346" s="50"/>
      <c r="DKP346" s="50"/>
      <c r="DKQ346" s="50"/>
      <c r="DKR346" s="50"/>
      <c r="DKS346" s="50"/>
      <c r="DKT346" s="50"/>
      <c r="DKU346" s="50"/>
      <c r="DKV346" s="50"/>
      <c r="DKW346" s="50"/>
      <c r="DKX346" s="50"/>
      <c r="DKY346" s="50"/>
      <c r="DKZ346" s="50"/>
      <c r="DLA346" s="50"/>
      <c r="DLB346" s="50"/>
      <c r="DLC346" s="50"/>
      <c r="DLD346" s="50"/>
      <c r="DLE346" s="50"/>
      <c r="DLF346" s="50"/>
      <c r="DLG346" s="50"/>
      <c r="DLH346" s="50"/>
      <c r="DLI346" s="50"/>
      <c r="DLJ346" s="50"/>
      <c r="DLK346" s="50"/>
      <c r="DLL346" s="50"/>
      <c r="DLM346" s="50"/>
      <c r="DLN346" s="50"/>
      <c r="DLO346" s="50"/>
      <c r="DLP346" s="50"/>
      <c r="DLQ346" s="50"/>
      <c r="DLR346" s="50"/>
      <c r="DLS346" s="50"/>
      <c r="DLT346" s="50"/>
      <c r="DLU346" s="50"/>
      <c r="DLV346" s="50"/>
      <c r="DLW346" s="50"/>
      <c r="DLX346" s="50"/>
      <c r="DLY346" s="50"/>
      <c r="DLZ346" s="50"/>
      <c r="DMA346" s="50"/>
      <c r="DMB346" s="50"/>
      <c r="DMC346" s="50"/>
      <c r="DMD346" s="50"/>
      <c r="DME346" s="50"/>
      <c r="DMF346" s="50"/>
      <c r="DMG346" s="50"/>
      <c r="DMH346" s="50"/>
      <c r="DMI346" s="50"/>
      <c r="DMJ346" s="50"/>
      <c r="DMK346" s="50"/>
      <c r="DML346" s="50"/>
      <c r="DMM346" s="50"/>
      <c r="DMN346" s="50"/>
      <c r="DMO346" s="50"/>
      <c r="DMP346" s="50"/>
      <c r="DMQ346" s="50"/>
      <c r="DMR346" s="50"/>
      <c r="DMS346" s="50"/>
      <c r="DMT346" s="50"/>
      <c r="DMU346" s="50"/>
      <c r="DMV346" s="50"/>
      <c r="DMW346" s="50"/>
      <c r="DMX346" s="50"/>
      <c r="DMY346" s="50"/>
      <c r="DMZ346" s="50"/>
      <c r="DNA346" s="50"/>
      <c r="DNB346" s="50"/>
      <c r="DNC346" s="50"/>
      <c r="DND346" s="50"/>
      <c r="DNE346" s="50"/>
      <c r="DNF346" s="50"/>
      <c r="DNG346" s="50"/>
      <c r="DNH346" s="50"/>
      <c r="DNI346" s="50"/>
      <c r="DNJ346" s="50"/>
      <c r="DNK346" s="50"/>
      <c r="DNL346" s="50"/>
      <c r="DNM346" s="50"/>
      <c r="DNN346" s="50"/>
      <c r="DNO346" s="50"/>
      <c r="DNP346" s="50"/>
      <c r="DNQ346" s="50"/>
      <c r="DNR346" s="50"/>
      <c r="DNS346" s="50"/>
      <c r="DNT346" s="50"/>
      <c r="DNU346" s="50"/>
      <c r="DNV346" s="50"/>
      <c r="DNW346" s="50"/>
      <c r="DNX346" s="50"/>
      <c r="DNY346" s="50"/>
      <c r="DNZ346" s="50"/>
      <c r="DOA346" s="50"/>
      <c r="DOB346" s="50"/>
      <c r="DOC346" s="50"/>
      <c r="DOD346" s="50"/>
      <c r="DOE346" s="50"/>
      <c r="DOF346" s="50"/>
      <c r="DOG346" s="50"/>
      <c r="DOH346" s="50"/>
      <c r="DOI346" s="50"/>
      <c r="DOJ346" s="50"/>
      <c r="DOK346" s="50"/>
      <c r="DOL346" s="50"/>
      <c r="DOM346" s="50"/>
      <c r="DON346" s="50"/>
      <c r="DOO346" s="50"/>
      <c r="DOP346" s="50"/>
      <c r="DOQ346" s="50"/>
      <c r="DOR346" s="50"/>
      <c r="DOS346" s="50"/>
      <c r="DOT346" s="50"/>
      <c r="DOU346" s="50"/>
      <c r="DOV346" s="50"/>
      <c r="DOW346" s="50"/>
      <c r="DOX346" s="50"/>
      <c r="DOY346" s="50"/>
      <c r="DOZ346" s="50"/>
      <c r="DPA346" s="50"/>
      <c r="DPB346" s="50"/>
      <c r="DPC346" s="50"/>
      <c r="DPD346" s="50"/>
      <c r="DPE346" s="50"/>
      <c r="DPF346" s="50"/>
      <c r="DPG346" s="50"/>
      <c r="DPH346" s="50"/>
      <c r="DPI346" s="50"/>
      <c r="DPJ346" s="50"/>
      <c r="DPK346" s="50"/>
      <c r="DPL346" s="50"/>
      <c r="DPM346" s="50"/>
      <c r="DPN346" s="50"/>
      <c r="DPO346" s="50"/>
      <c r="DPP346" s="50"/>
      <c r="DPQ346" s="50"/>
      <c r="DPR346" s="50"/>
      <c r="DPS346" s="50"/>
      <c r="DPT346" s="50"/>
      <c r="DPU346" s="50"/>
      <c r="DPV346" s="50"/>
      <c r="DPW346" s="50"/>
      <c r="DPX346" s="50"/>
      <c r="DPY346" s="50"/>
      <c r="DPZ346" s="50"/>
      <c r="DQA346" s="50"/>
      <c r="DQB346" s="50"/>
      <c r="DQC346" s="50"/>
      <c r="DQD346" s="50"/>
      <c r="DQE346" s="50"/>
      <c r="DQF346" s="50"/>
      <c r="DQG346" s="50"/>
      <c r="DQH346" s="50"/>
      <c r="DQI346" s="50"/>
      <c r="DQJ346" s="50"/>
      <c r="DQK346" s="50"/>
      <c r="DQL346" s="50"/>
      <c r="DQM346" s="50"/>
      <c r="DQN346" s="50"/>
      <c r="DQO346" s="50"/>
      <c r="DQP346" s="50"/>
      <c r="DQQ346" s="50"/>
      <c r="DQR346" s="50"/>
      <c r="DQS346" s="50"/>
      <c r="DQT346" s="50"/>
      <c r="DQU346" s="50"/>
      <c r="DQV346" s="50"/>
      <c r="DQW346" s="50"/>
      <c r="DQX346" s="50"/>
      <c r="DQY346" s="50"/>
      <c r="DQZ346" s="50"/>
      <c r="DRA346" s="50"/>
      <c r="DRB346" s="50"/>
      <c r="DRC346" s="50"/>
      <c r="DRD346" s="50"/>
      <c r="DRE346" s="50"/>
      <c r="DRF346" s="50"/>
      <c r="DRG346" s="50"/>
      <c r="DRH346" s="50"/>
      <c r="DRI346" s="50"/>
      <c r="DRJ346" s="50"/>
      <c r="DRK346" s="50"/>
      <c r="DRL346" s="50"/>
      <c r="DRM346" s="50"/>
      <c r="DRN346" s="50"/>
      <c r="DRO346" s="50"/>
      <c r="DRP346" s="50"/>
      <c r="DRQ346" s="50"/>
      <c r="DRR346" s="50"/>
      <c r="DRS346" s="50"/>
      <c r="DRT346" s="50"/>
      <c r="DRU346" s="50"/>
      <c r="DRV346" s="50"/>
      <c r="DRW346" s="50"/>
      <c r="DRX346" s="50"/>
      <c r="DRY346" s="50"/>
      <c r="DRZ346" s="50"/>
      <c r="DSA346" s="50"/>
      <c r="DSB346" s="50"/>
      <c r="DSC346" s="50"/>
      <c r="DSD346" s="50"/>
      <c r="DSE346" s="50"/>
      <c r="DSF346" s="50"/>
      <c r="DSG346" s="50"/>
      <c r="DSH346" s="50"/>
      <c r="DSI346" s="50"/>
      <c r="DSJ346" s="50"/>
      <c r="DSK346" s="50"/>
      <c r="DSL346" s="50"/>
      <c r="DSM346" s="50"/>
      <c r="DSN346" s="50"/>
      <c r="DSO346" s="50"/>
      <c r="DSP346" s="50"/>
      <c r="DSQ346" s="50"/>
      <c r="DSR346" s="50"/>
      <c r="DSS346" s="50"/>
      <c r="DST346" s="50"/>
      <c r="DSU346" s="50"/>
      <c r="DSV346" s="50"/>
      <c r="DSW346" s="50"/>
      <c r="DSX346" s="50"/>
      <c r="DSY346" s="50"/>
      <c r="DSZ346" s="50"/>
      <c r="DTA346" s="50"/>
      <c r="DTB346" s="50"/>
      <c r="DTC346" s="50"/>
      <c r="DTD346" s="50"/>
      <c r="DTE346" s="50"/>
      <c r="DTF346" s="50"/>
      <c r="DTG346" s="50"/>
      <c r="DTH346" s="50"/>
      <c r="DTI346" s="50"/>
      <c r="DTJ346" s="50"/>
      <c r="DTK346" s="50"/>
      <c r="DTL346" s="50"/>
      <c r="DTM346" s="50"/>
      <c r="DTN346" s="50"/>
      <c r="DTO346" s="50"/>
      <c r="DTP346" s="50"/>
      <c r="DTQ346" s="50"/>
      <c r="DTR346" s="50"/>
      <c r="DTS346" s="50"/>
      <c r="DTT346" s="50"/>
      <c r="DTU346" s="50"/>
      <c r="DTV346" s="50"/>
      <c r="DTW346" s="50"/>
      <c r="DTX346" s="50"/>
      <c r="DTY346" s="50"/>
      <c r="DTZ346" s="50"/>
      <c r="DUA346" s="50"/>
      <c r="DUB346" s="50"/>
      <c r="DUC346" s="50"/>
      <c r="DUD346" s="50"/>
      <c r="DUE346" s="50"/>
      <c r="DUF346" s="50"/>
      <c r="DUG346" s="50"/>
      <c r="DUH346" s="50"/>
      <c r="DUI346" s="50"/>
      <c r="DUJ346" s="50"/>
      <c r="DUK346" s="50"/>
      <c r="DUL346" s="50"/>
      <c r="DUM346" s="50"/>
      <c r="DUN346" s="50"/>
      <c r="DUO346" s="50"/>
      <c r="DUP346" s="50"/>
      <c r="DUQ346" s="50"/>
      <c r="DUR346" s="50"/>
      <c r="DUS346" s="50"/>
      <c r="DUT346" s="50"/>
      <c r="DUU346" s="50"/>
      <c r="DUV346" s="50"/>
      <c r="DUW346" s="50"/>
      <c r="DUX346" s="50"/>
      <c r="DUY346" s="50"/>
      <c r="DUZ346" s="50"/>
      <c r="DVA346" s="50"/>
      <c r="DVB346" s="50"/>
      <c r="DVC346" s="50"/>
      <c r="DVD346" s="50"/>
      <c r="DVE346" s="50"/>
      <c r="DVF346" s="50"/>
      <c r="DVG346" s="50"/>
      <c r="DVH346" s="50"/>
      <c r="DVI346" s="50"/>
      <c r="DVJ346" s="50"/>
      <c r="DVK346" s="50"/>
      <c r="DVL346" s="50"/>
      <c r="DVM346" s="50"/>
      <c r="DVN346" s="50"/>
      <c r="DVO346" s="50"/>
      <c r="DVP346" s="50"/>
      <c r="DVQ346" s="50"/>
      <c r="DVR346" s="50"/>
      <c r="DVS346" s="50"/>
      <c r="DVT346" s="50"/>
      <c r="DVU346" s="50"/>
      <c r="DVV346" s="50"/>
      <c r="DVW346" s="50"/>
      <c r="DVX346" s="50"/>
      <c r="DVY346" s="50"/>
      <c r="DVZ346" s="50"/>
      <c r="DWA346" s="50"/>
      <c r="DWB346" s="50"/>
      <c r="DWC346" s="50"/>
      <c r="DWD346" s="50"/>
      <c r="DWE346" s="50"/>
      <c r="DWF346" s="50"/>
      <c r="DWG346" s="50"/>
      <c r="DWH346" s="50"/>
      <c r="DWI346" s="50"/>
      <c r="DWJ346" s="50"/>
      <c r="DWK346" s="50"/>
      <c r="DWL346" s="50"/>
      <c r="DWM346" s="50"/>
      <c r="DWN346" s="50"/>
      <c r="DWO346" s="50"/>
      <c r="DWP346" s="50"/>
      <c r="DWQ346" s="50"/>
      <c r="DWR346" s="50"/>
      <c r="DWS346" s="50"/>
      <c r="DWT346" s="50"/>
      <c r="DWU346" s="50"/>
      <c r="DWV346" s="50"/>
      <c r="DWW346" s="50"/>
      <c r="DWX346" s="50"/>
      <c r="DWY346" s="50"/>
      <c r="DWZ346" s="50"/>
      <c r="DXA346" s="50"/>
      <c r="DXB346" s="50"/>
      <c r="DXC346" s="50"/>
      <c r="DXD346" s="50"/>
      <c r="DXE346" s="50"/>
      <c r="DXF346" s="50"/>
      <c r="DXG346" s="50"/>
      <c r="DXH346" s="50"/>
      <c r="DXI346" s="50"/>
      <c r="DXJ346" s="50"/>
      <c r="DXK346" s="50"/>
      <c r="DXL346" s="50"/>
      <c r="DXM346" s="50"/>
      <c r="DXN346" s="50"/>
      <c r="DXO346" s="50"/>
      <c r="DXP346" s="50"/>
      <c r="DXQ346" s="50"/>
      <c r="DXR346" s="50"/>
      <c r="DXS346" s="50"/>
      <c r="DXT346" s="50"/>
      <c r="DXU346" s="50"/>
      <c r="DXV346" s="50"/>
      <c r="DXW346" s="50"/>
      <c r="DXX346" s="50"/>
      <c r="DXY346" s="50"/>
      <c r="DXZ346" s="50"/>
      <c r="DYA346" s="50"/>
      <c r="DYB346" s="50"/>
      <c r="DYC346" s="50"/>
      <c r="DYD346" s="50"/>
      <c r="DYE346" s="50"/>
      <c r="DYF346" s="50"/>
      <c r="DYG346" s="50"/>
      <c r="DYH346" s="50"/>
      <c r="DYI346" s="50"/>
      <c r="DYJ346" s="50"/>
      <c r="DYK346" s="50"/>
      <c r="DYL346" s="50"/>
      <c r="DYM346" s="50"/>
      <c r="DYN346" s="50"/>
      <c r="DYO346" s="50"/>
      <c r="DYP346" s="50"/>
      <c r="DYQ346" s="50"/>
      <c r="DYR346" s="50"/>
      <c r="DYS346" s="50"/>
      <c r="DYT346" s="50"/>
      <c r="DYU346" s="50"/>
      <c r="DYV346" s="50"/>
      <c r="DYW346" s="50"/>
      <c r="DYX346" s="50"/>
      <c r="DYY346" s="50"/>
      <c r="DYZ346" s="50"/>
      <c r="DZA346" s="50"/>
      <c r="DZB346" s="50"/>
      <c r="DZC346" s="50"/>
      <c r="DZD346" s="50"/>
      <c r="DZE346" s="50"/>
      <c r="DZF346" s="50"/>
      <c r="DZG346" s="50"/>
      <c r="DZH346" s="50"/>
      <c r="DZI346" s="50"/>
      <c r="DZJ346" s="50"/>
      <c r="DZK346" s="50"/>
      <c r="DZL346" s="50"/>
      <c r="DZM346" s="50"/>
      <c r="DZN346" s="50"/>
      <c r="DZO346" s="50"/>
      <c r="DZP346" s="50"/>
      <c r="DZQ346" s="50"/>
      <c r="DZR346" s="50"/>
      <c r="DZS346" s="50"/>
      <c r="DZT346" s="50"/>
      <c r="DZU346" s="50"/>
      <c r="DZV346" s="50"/>
      <c r="DZW346" s="50"/>
      <c r="DZX346" s="50"/>
      <c r="DZY346" s="50"/>
      <c r="DZZ346" s="50"/>
      <c r="EAA346" s="50"/>
      <c r="EAB346" s="50"/>
      <c r="EAC346" s="50"/>
      <c r="EAD346" s="50"/>
      <c r="EAE346" s="50"/>
      <c r="EAF346" s="50"/>
      <c r="EAG346" s="50"/>
      <c r="EAH346" s="50"/>
      <c r="EAI346" s="50"/>
      <c r="EAJ346" s="50"/>
      <c r="EAK346" s="50"/>
      <c r="EAL346" s="50"/>
      <c r="EAM346" s="50"/>
      <c r="EAN346" s="50"/>
      <c r="EAO346" s="50"/>
      <c r="EAP346" s="50"/>
      <c r="EAQ346" s="50"/>
      <c r="EAR346" s="50"/>
      <c r="EAS346" s="50"/>
      <c r="EAT346" s="50"/>
      <c r="EAU346" s="50"/>
      <c r="EAV346" s="50"/>
      <c r="EAW346" s="50"/>
      <c r="EAX346" s="50"/>
      <c r="EAY346" s="50"/>
      <c r="EAZ346" s="50"/>
      <c r="EBA346" s="50"/>
      <c r="EBB346" s="50"/>
      <c r="EBC346" s="50"/>
      <c r="EBD346" s="50"/>
      <c r="EBE346" s="50"/>
      <c r="EBF346" s="50"/>
      <c r="EBG346" s="50"/>
      <c r="EBH346" s="50"/>
      <c r="EBI346" s="50"/>
      <c r="EBJ346" s="50"/>
      <c r="EBK346" s="50"/>
      <c r="EBL346" s="50"/>
      <c r="EBM346" s="50"/>
      <c r="EBN346" s="50"/>
      <c r="EBO346" s="50"/>
      <c r="EBP346" s="50"/>
      <c r="EBQ346" s="50"/>
      <c r="EBR346" s="50"/>
      <c r="EBS346" s="50"/>
      <c r="EBT346" s="50"/>
      <c r="EBU346" s="50"/>
      <c r="EBV346" s="50"/>
      <c r="EBW346" s="50"/>
      <c r="EBX346" s="50"/>
      <c r="EBY346" s="50"/>
      <c r="EBZ346" s="50"/>
      <c r="ECA346" s="50"/>
      <c r="ECB346" s="50"/>
      <c r="ECC346" s="50"/>
      <c r="ECD346" s="50"/>
      <c r="ECE346" s="50"/>
      <c r="ECF346" s="50"/>
      <c r="ECG346" s="50"/>
      <c r="ECH346" s="50"/>
      <c r="ECI346" s="50"/>
      <c r="ECJ346" s="50"/>
      <c r="ECK346" s="50"/>
      <c r="ECL346" s="50"/>
      <c r="ECM346" s="50"/>
      <c r="ECN346" s="50"/>
      <c r="ECO346" s="50"/>
      <c r="ECP346" s="50"/>
      <c r="ECQ346" s="50"/>
      <c r="ECR346" s="50"/>
      <c r="ECS346" s="50"/>
      <c r="ECT346" s="50"/>
      <c r="ECU346" s="50"/>
      <c r="ECV346" s="50"/>
      <c r="ECW346" s="50"/>
      <c r="ECX346" s="50"/>
      <c r="ECY346" s="50"/>
      <c r="ECZ346" s="50"/>
      <c r="EDA346" s="50"/>
      <c r="EDB346" s="50"/>
      <c r="EDC346" s="50"/>
      <c r="EDD346" s="50"/>
      <c r="EDE346" s="50"/>
      <c r="EDF346" s="50"/>
      <c r="EDG346" s="50"/>
      <c r="EDH346" s="50"/>
      <c r="EDI346" s="50"/>
      <c r="EDJ346" s="50"/>
      <c r="EDK346" s="50"/>
      <c r="EDL346" s="50"/>
      <c r="EDM346" s="50"/>
      <c r="EDN346" s="50"/>
      <c r="EDO346" s="50"/>
      <c r="EDP346" s="50"/>
      <c r="EDQ346" s="50"/>
      <c r="EDR346" s="50"/>
      <c r="EDS346" s="50"/>
      <c r="EDT346" s="50"/>
      <c r="EDU346" s="50"/>
      <c r="EDV346" s="50"/>
      <c r="EDW346" s="50"/>
      <c r="EDX346" s="50"/>
      <c r="EDY346" s="50"/>
      <c r="EDZ346" s="50"/>
      <c r="EEA346" s="50"/>
      <c r="EEB346" s="50"/>
      <c r="EEC346" s="50"/>
      <c r="EED346" s="50"/>
      <c r="EEE346" s="50"/>
      <c r="EEF346" s="50"/>
      <c r="EEG346" s="50"/>
      <c r="EEH346" s="50"/>
      <c r="EEI346" s="50"/>
      <c r="EEJ346" s="50"/>
      <c r="EEK346" s="50"/>
      <c r="EEL346" s="50"/>
      <c r="EEM346" s="50"/>
      <c r="EEN346" s="50"/>
      <c r="EEO346" s="50"/>
      <c r="EEP346" s="50"/>
      <c r="EEQ346" s="50"/>
      <c r="EER346" s="50"/>
      <c r="EES346" s="50"/>
      <c r="EET346" s="50"/>
      <c r="EEU346" s="50"/>
      <c r="EEV346" s="50"/>
      <c r="EEW346" s="50"/>
      <c r="EEX346" s="50"/>
      <c r="EEY346" s="50"/>
      <c r="EEZ346" s="50"/>
      <c r="EFA346" s="50"/>
      <c r="EFB346" s="50"/>
      <c r="EFC346" s="50"/>
      <c r="EFD346" s="50"/>
      <c r="EFE346" s="50"/>
      <c r="EFF346" s="50"/>
      <c r="EFG346" s="50"/>
      <c r="EFH346" s="50"/>
      <c r="EFI346" s="50"/>
      <c r="EFJ346" s="50"/>
      <c r="EFK346" s="50"/>
      <c r="EFL346" s="50"/>
      <c r="EFM346" s="50"/>
      <c r="EFN346" s="50"/>
      <c r="EFO346" s="50"/>
      <c r="EFP346" s="50"/>
      <c r="EFQ346" s="50"/>
      <c r="EFR346" s="50"/>
      <c r="EFS346" s="50"/>
      <c r="EFT346" s="50"/>
      <c r="EFU346" s="50"/>
      <c r="EFV346" s="50"/>
      <c r="EFW346" s="50"/>
      <c r="EFX346" s="50"/>
      <c r="EFY346" s="50"/>
      <c r="EFZ346" s="50"/>
      <c r="EGA346" s="50"/>
      <c r="EGB346" s="50"/>
      <c r="EGC346" s="50"/>
      <c r="EGD346" s="50"/>
      <c r="EGE346" s="50"/>
      <c r="EGF346" s="50"/>
      <c r="EGG346" s="50"/>
      <c r="EGH346" s="50"/>
      <c r="EGI346" s="50"/>
      <c r="EGJ346" s="50"/>
      <c r="EGK346" s="50"/>
      <c r="EGL346" s="50"/>
      <c r="EGM346" s="50"/>
      <c r="EGN346" s="50"/>
      <c r="EGO346" s="50"/>
      <c r="EGP346" s="50"/>
      <c r="EGQ346" s="50"/>
      <c r="EGR346" s="50"/>
      <c r="EGS346" s="50"/>
      <c r="EGT346" s="50"/>
      <c r="EGU346" s="50"/>
      <c r="EGV346" s="50"/>
      <c r="EGW346" s="50"/>
      <c r="EGX346" s="50"/>
      <c r="EGY346" s="50"/>
      <c r="EGZ346" s="50"/>
      <c r="EHA346" s="50"/>
      <c r="EHB346" s="50"/>
      <c r="EHC346" s="50"/>
      <c r="EHD346" s="50"/>
      <c r="EHE346" s="50"/>
      <c r="EHF346" s="50"/>
      <c r="EHG346" s="50"/>
      <c r="EHH346" s="50"/>
      <c r="EHI346" s="50"/>
      <c r="EHJ346" s="50"/>
      <c r="EHK346" s="50"/>
      <c r="EHL346" s="50"/>
      <c r="EHM346" s="50"/>
      <c r="EHN346" s="50"/>
      <c r="EHO346" s="50"/>
      <c r="EHP346" s="50"/>
      <c r="EHQ346" s="50"/>
      <c r="EHR346" s="50"/>
      <c r="EHS346" s="50"/>
      <c r="EHT346" s="50"/>
      <c r="EHU346" s="50"/>
      <c r="EHV346" s="50"/>
      <c r="EHW346" s="50"/>
      <c r="EHX346" s="50"/>
      <c r="EHY346" s="50"/>
      <c r="EHZ346" s="50"/>
      <c r="EIA346" s="50"/>
      <c r="EIB346" s="50"/>
      <c r="EIC346" s="50"/>
      <c r="EID346" s="50"/>
      <c r="EIE346" s="50"/>
      <c r="EIF346" s="50"/>
      <c r="EIG346" s="50"/>
      <c r="EIH346" s="50"/>
      <c r="EII346" s="50"/>
      <c r="EIJ346" s="50"/>
      <c r="EIK346" s="50"/>
      <c r="EIL346" s="50"/>
      <c r="EIM346" s="50"/>
      <c r="EIN346" s="50"/>
      <c r="EIO346" s="50"/>
      <c r="EIP346" s="50"/>
      <c r="EIQ346" s="50"/>
      <c r="EIR346" s="50"/>
      <c r="EIS346" s="50"/>
      <c r="EIT346" s="50"/>
      <c r="EIU346" s="50"/>
      <c r="EIV346" s="50"/>
      <c r="EIW346" s="50"/>
      <c r="EIX346" s="50"/>
      <c r="EIY346" s="50"/>
      <c r="EIZ346" s="50"/>
      <c r="EJA346" s="50"/>
      <c r="EJB346" s="50"/>
      <c r="EJC346" s="50"/>
      <c r="EJD346" s="50"/>
      <c r="EJE346" s="50"/>
      <c r="EJF346" s="50"/>
      <c r="EJG346" s="50"/>
      <c r="EJH346" s="50"/>
      <c r="EJI346" s="50"/>
      <c r="EJJ346" s="50"/>
      <c r="EJK346" s="50"/>
      <c r="EJL346" s="50"/>
      <c r="EJM346" s="50"/>
      <c r="EJN346" s="50"/>
      <c r="EJO346" s="50"/>
      <c r="EJP346" s="50"/>
      <c r="EJQ346" s="50"/>
      <c r="EJR346" s="50"/>
      <c r="EJS346" s="50"/>
      <c r="EJT346" s="50"/>
      <c r="EJU346" s="50"/>
      <c r="EJV346" s="50"/>
      <c r="EJW346" s="50"/>
      <c r="EJX346" s="50"/>
      <c r="EJY346" s="50"/>
      <c r="EJZ346" s="50"/>
      <c r="EKA346" s="50"/>
      <c r="EKB346" s="50"/>
      <c r="EKC346" s="50"/>
      <c r="EKD346" s="50"/>
      <c r="EKE346" s="50"/>
      <c r="EKF346" s="50"/>
      <c r="EKG346" s="50"/>
      <c r="EKH346" s="50"/>
      <c r="EKI346" s="50"/>
      <c r="EKJ346" s="50"/>
      <c r="EKK346" s="50"/>
      <c r="EKL346" s="50"/>
      <c r="EKM346" s="50"/>
      <c r="EKN346" s="50"/>
      <c r="EKO346" s="50"/>
      <c r="EKP346" s="50"/>
      <c r="EKQ346" s="50"/>
      <c r="EKR346" s="50"/>
      <c r="EKS346" s="50"/>
      <c r="EKT346" s="50"/>
      <c r="EKU346" s="50"/>
      <c r="EKV346" s="50"/>
      <c r="EKW346" s="50"/>
      <c r="EKX346" s="50"/>
      <c r="EKY346" s="50"/>
      <c r="EKZ346" s="50"/>
      <c r="ELA346" s="50"/>
      <c r="ELB346" s="50"/>
      <c r="ELC346" s="50"/>
      <c r="ELD346" s="50"/>
      <c r="ELE346" s="50"/>
      <c r="ELF346" s="50"/>
      <c r="ELG346" s="50"/>
      <c r="ELH346" s="50"/>
      <c r="ELI346" s="50"/>
      <c r="ELJ346" s="50"/>
      <c r="ELK346" s="50"/>
      <c r="ELL346" s="50"/>
      <c r="ELM346" s="50"/>
      <c r="ELN346" s="50"/>
      <c r="ELO346" s="50"/>
      <c r="ELP346" s="50"/>
      <c r="ELQ346" s="50"/>
      <c r="ELR346" s="50"/>
      <c r="ELS346" s="50"/>
      <c r="ELT346" s="50"/>
      <c r="ELU346" s="50"/>
      <c r="ELV346" s="50"/>
      <c r="ELW346" s="50"/>
      <c r="ELX346" s="50"/>
      <c r="ELY346" s="50"/>
      <c r="ELZ346" s="50"/>
      <c r="EMA346" s="50"/>
      <c r="EMB346" s="50"/>
      <c r="EMC346" s="50"/>
      <c r="EMD346" s="50"/>
      <c r="EME346" s="50"/>
      <c r="EMF346" s="50"/>
      <c r="EMG346" s="50"/>
      <c r="EMH346" s="50"/>
      <c r="EMI346" s="50"/>
      <c r="EMJ346" s="50"/>
      <c r="EMK346" s="50"/>
      <c r="EML346" s="50"/>
      <c r="EMM346" s="50"/>
      <c r="EMN346" s="50"/>
      <c r="EMO346" s="50"/>
      <c r="EMP346" s="50"/>
      <c r="EMQ346" s="50"/>
      <c r="EMR346" s="50"/>
      <c r="EMS346" s="50"/>
      <c r="EMT346" s="50"/>
      <c r="EMU346" s="50"/>
      <c r="EMV346" s="50"/>
      <c r="EMW346" s="50"/>
      <c r="EMX346" s="50"/>
      <c r="EMY346" s="50"/>
      <c r="EMZ346" s="50"/>
      <c r="ENA346" s="50"/>
      <c r="ENB346" s="50"/>
      <c r="ENC346" s="50"/>
      <c r="END346" s="50"/>
      <c r="ENE346" s="50"/>
      <c r="ENF346" s="50"/>
      <c r="ENG346" s="50"/>
      <c r="ENH346" s="50"/>
      <c r="ENI346" s="50"/>
      <c r="ENJ346" s="50"/>
      <c r="ENK346" s="50"/>
      <c r="ENL346" s="50"/>
      <c r="ENM346" s="50"/>
      <c r="ENN346" s="50"/>
      <c r="ENO346" s="50"/>
      <c r="ENP346" s="50"/>
      <c r="ENQ346" s="50"/>
      <c r="ENR346" s="50"/>
      <c r="ENS346" s="50"/>
      <c r="ENT346" s="50"/>
      <c r="ENU346" s="50"/>
      <c r="ENV346" s="50"/>
      <c r="ENW346" s="50"/>
      <c r="ENX346" s="50"/>
      <c r="ENY346" s="50"/>
      <c r="ENZ346" s="50"/>
      <c r="EOA346" s="50"/>
      <c r="EOB346" s="50"/>
      <c r="EOC346" s="50"/>
      <c r="EOD346" s="50"/>
      <c r="EOE346" s="50"/>
      <c r="EOF346" s="50"/>
      <c r="EOG346" s="50"/>
      <c r="EOH346" s="50"/>
      <c r="EOI346" s="50"/>
      <c r="EOJ346" s="50"/>
      <c r="EOK346" s="50"/>
      <c r="EOL346" s="50"/>
      <c r="EOM346" s="50"/>
      <c r="EON346" s="50"/>
      <c r="EOO346" s="50"/>
      <c r="EOP346" s="50"/>
      <c r="EOQ346" s="50"/>
      <c r="EOR346" s="50"/>
      <c r="EOS346" s="50"/>
      <c r="EOT346" s="50"/>
      <c r="EOU346" s="50"/>
      <c r="EOV346" s="50"/>
      <c r="EOW346" s="50"/>
      <c r="EOX346" s="50"/>
      <c r="EOY346" s="50"/>
      <c r="EOZ346" s="50"/>
      <c r="EPA346" s="50"/>
      <c r="EPB346" s="50"/>
      <c r="EPC346" s="50"/>
      <c r="EPD346" s="50"/>
      <c r="EPE346" s="50"/>
      <c r="EPF346" s="50"/>
      <c r="EPG346" s="50"/>
      <c r="EPH346" s="50"/>
      <c r="EPI346" s="50"/>
      <c r="EPJ346" s="50"/>
      <c r="EPK346" s="50"/>
      <c r="EPL346" s="50"/>
      <c r="EPM346" s="50"/>
      <c r="EPN346" s="50"/>
      <c r="EPO346" s="50"/>
      <c r="EPP346" s="50"/>
      <c r="EPQ346" s="50"/>
      <c r="EPR346" s="50"/>
      <c r="EPS346" s="50"/>
      <c r="EPT346" s="50"/>
      <c r="EPU346" s="50"/>
      <c r="EPV346" s="50"/>
      <c r="EPW346" s="50"/>
      <c r="EPX346" s="50"/>
      <c r="EPY346" s="50"/>
      <c r="EPZ346" s="50"/>
      <c r="EQA346" s="50"/>
      <c r="EQB346" s="50"/>
      <c r="EQC346" s="50"/>
      <c r="EQD346" s="50"/>
      <c r="EQE346" s="50"/>
      <c r="EQF346" s="50"/>
      <c r="EQG346" s="50"/>
      <c r="EQH346" s="50"/>
      <c r="EQI346" s="50"/>
      <c r="EQJ346" s="50"/>
      <c r="EQK346" s="50"/>
      <c r="EQL346" s="50"/>
      <c r="EQM346" s="50"/>
      <c r="EQN346" s="50"/>
      <c r="EQO346" s="50"/>
      <c r="EQP346" s="50"/>
      <c r="EQQ346" s="50"/>
      <c r="EQR346" s="50"/>
      <c r="EQS346" s="50"/>
      <c r="EQT346" s="50"/>
      <c r="EQU346" s="50"/>
      <c r="EQV346" s="50"/>
      <c r="EQW346" s="50"/>
      <c r="EQX346" s="50"/>
      <c r="EQY346" s="50"/>
      <c r="EQZ346" s="50"/>
      <c r="ERA346" s="50"/>
      <c r="ERB346" s="50"/>
      <c r="ERC346" s="50"/>
      <c r="ERD346" s="50"/>
      <c r="ERE346" s="50"/>
      <c r="ERF346" s="50"/>
      <c r="ERG346" s="50"/>
      <c r="ERH346" s="50"/>
      <c r="ERI346" s="50"/>
      <c r="ERJ346" s="50"/>
      <c r="ERK346" s="50"/>
      <c r="ERL346" s="50"/>
      <c r="ERM346" s="50"/>
      <c r="ERN346" s="50"/>
      <c r="ERO346" s="50"/>
      <c r="ERP346" s="50"/>
      <c r="ERQ346" s="50"/>
      <c r="ERR346" s="50"/>
      <c r="ERS346" s="50"/>
      <c r="ERT346" s="50"/>
      <c r="ERU346" s="50"/>
      <c r="ERV346" s="50"/>
      <c r="ERW346" s="50"/>
      <c r="ERX346" s="50"/>
      <c r="ERY346" s="50"/>
      <c r="ERZ346" s="50"/>
      <c r="ESA346" s="50"/>
      <c r="ESB346" s="50"/>
      <c r="ESC346" s="50"/>
      <c r="ESD346" s="50"/>
      <c r="ESE346" s="50"/>
      <c r="ESF346" s="50"/>
      <c r="ESG346" s="50"/>
      <c r="ESH346" s="50"/>
      <c r="ESI346" s="50"/>
      <c r="ESJ346" s="50"/>
      <c r="ESK346" s="50"/>
      <c r="ESL346" s="50"/>
      <c r="ESM346" s="50"/>
      <c r="ESN346" s="50"/>
      <c r="ESO346" s="50"/>
      <c r="ESP346" s="50"/>
      <c r="ESQ346" s="50"/>
      <c r="ESR346" s="50"/>
      <c r="ESS346" s="50"/>
      <c r="EST346" s="50"/>
      <c r="ESU346" s="50"/>
      <c r="ESV346" s="50"/>
      <c r="ESW346" s="50"/>
      <c r="ESX346" s="50"/>
      <c r="ESY346" s="50"/>
      <c r="ESZ346" s="50"/>
      <c r="ETA346" s="50"/>
      <c r="ETB346" s="50"/>
      <c r="ETC346" s="50"/>
      <c r="ETD346" s="50"/>
      <c r="ETE346" s="50"/>
      <c r="ETF346" s="50"/>
      <c r="ETG346" s="50"/>
      <c r="ETH346" s="50"/>
      <c r="ETI346" s="50"/>
      <c r="ETJ346" s="50"/>
      <c r="ETK346" s="50"/>
      <c r="ETL346" s="50"/>
      <c r="ETM346" s="50"/>
      <c r="ETN346" s="50"/>
      <c r="ETO346" s="50"/>
      <c r="ETP346" s="50"/>
      <c r="ETQ346" s="50"/>
      <c r="ETR346" s="50"/>
      <c r="ETS346" s="50"/>
      <c r="ETT346" s="50"/>
      <c r="ETU346" s="50"/>
      <c r="ETV346" s="50"/>
      <c r="ETW346" s="50"/>
      <c r="ETX346" s="50"/>
      <c r="ETY346" s="50"/>
      <c r="ETZ346" s="50"/>
      <c r="EUA346" s="50"/>
      <c r="EUB346" s="50"/>
      <c r="EUC346" s="50"/>
      <c r="EUD346" s="50"/>
      <c r="EUE346" s="50"/>
      <c r="EUF346" s="50"/>
      <c r="EUG346" s="50"/>
      <c r="EUH346" s="50"/>
      <c r="EUI346" s="50"/>
      <c r="EUJ346" s="50"/>
      <c r="EUK346" s="50"/>
      <c r="EUL346" s="50"/>
      <c r="EUM346" s="50"/>
      <c r="EUN346" s="50"/>
      <c r="EUO346" s="50"/>
      <c r="EUP346" s="50"/>
      <c r="EUQ346" s="50"/>
      <c r="EUR346" s="50"/>
      <c r="EUS346" s="50"/>
      <c r="EUT346" s="50"/>
      <c r="EUU346" s="50"/>
      <c r="EUV346" s="50"/>
      <c r="EUW346" s="50"/>
      <c r="EUX346" s="50"/>
      <c r="EUY346" s="50"/>
      <c r="EUZ346" s="50"/>
      <c r="EVA346" s="50"/>
      <c r="EVB346" s="50"/>
      <c r="EVC346" s="50"/>
      <c r="EVD346" s="50"/>
      <c r="EVE346" s="50"/>
      <c r="EVF346" s="50"/>
      <c r="EVG346" s="50"/>
      <c r="EVH346" s="50"/>
      <c r="EVI346" s="50"/>
      <c r="EVJ346" s="50"/>
      <c r="EVK346" s="50"/>
      <c r="EVL346" s="50"/>
      <c r="EVM346" s="50"/>
      <c r="EVN346" s="50"/>
      <c r="EVO346" s="50"/>
      <c r="EVP346" s="50"/>
      <c r="EVQ346" s="50"/>
      <c r="EVR346" s="50"/>
      <c r="EVS346" s="50"/>
      <c r="EVT346" s="50"/>
      <c r="EVU346" s="50"/>
      <c r="EVV346" s="50"/>
      <c r="EVW346" s="50"/>
      <c r="EVX346" s="50"/>
      <c r="EVY346" s="50"/>
      <c r="EVZ346" s="50"/>
      <c r="EWA346" s="50"/>
      <c r="EWB346" s="50"/>
      <c r="EWC346" s="50"/>
      <c r="EWD346" s="50"/>
      <c r="EWE346" s="50"/>
      <c r="EWF346" s="50"/>
      <c r="EWG346" s="50"/>
      <c r="EWH346" s="50"/>
      <c r="EWI346" s="50"/>
      <c r="EWJ346" s="50"/>
      <c r="EWK346" s="50"/>
      <c r="EWL346" s="50"/>
      <c r="EWM346" s="50"/>
      <c r="EWN346" s="50"/>
      <c r="EWO346" s="50"/>
      <c r="EWP346" s="50"/>
      <c r="EWQ346" s="50"/>
      <c r="EWR346" s="50"/>
      <c r="EWS346" s="50"/>
      <c r="EWT346" s="50"/>
      <c r="EWU346" s="50"/>
      <c r="EWV346" s="50"/>
      <c r="EWW346" s="50"/>
      <c r="EWX346" s="50"/>
      <c r="EWY346" s="50"/>
      <c r="EWZ346" s="50"/>
      <c r="EXA346" s="50"/>
      <c r="EXB346" s="50"/>
      <c r="EXC346" s="50"/>
      <c r="EXD346" s="50"/>
      <c r="EXE346" s="50"/>
      <c r="EXF346" s="50"/>
      <c r="EXG346" s="50"/>
      <c r="EXH346" s="50"/>
      <c r="EXI346" s="50"/>
      <c r="EXJ346" s="50"/>
      <c r="EXK346" s="50"/>
      <c r="EXL346" s="50"/>
      <c r="EXM346" s="50"/>
      <c r="EXN346" s="50"/>
      <c r="EXO346" s="50"/>
      <c r="EXP346" s="50"/>
      <c r="EXQ346" s="50"/>
      <c r="EXR346" s="50"/>
      <c r="EXS346" s="50"/>
      <c r="EXT346" s="50"/>
      <c r="EXU346" s="50"/>
      <c r="EXV346" s="50"/>
      <c r="EXW346" s="50"/>
      <c r="EXX346" s="50"/>
      <c r="EXY346" s="50"/>
      <c r="EXZ346" s="50"/>
      <c r="EYA346" s="50"/>
      <c r="EYB346" s="50"/>
      <c r="EYC346" s="50"/>
      <c r="EYD346" s="50"/>
      <c r="EYE346" s="50"/>
      <c r="EYF346" s="50"/>
      <c r="EYG346" s="50"/>
      <c r="EYH346" s="50"/>
      <c r="EYI346" s="50"/>
      <c r="EYJ346" s="50"/>
      <c r="EYK346" s="50"/>
      <c r="EYL346" s="50"/>
      <c r="EYM346" s="50"/>
      <c r="EYN346" s="50"/>
      <c r="EYO346" s="50"/>
      <c r="EYP346" s="50"/>
      <c r="EYQ346" s="50"/>
      <c r="EYR346" s="50"/>
      <c r="EYS346" s="50"/>
      <c r="EYT346" s="50"/>
      <c r="EYU346" s="50"/>
      <c r="EYV346" s="50"/>
      <c r="EYW346" s="50"/>
      <c r="EYX346" s="50"/>
      <c r="EYY346" s="50"/>
      <c r="EYZ346" s="50"/>
      <c r="EZA346" s="50"/>
      <c r="EZB346" s="50"/>
      <c r="EZC346" s="50"/>
      <c r="EZD346" s="50"/>
      <c r="EZE346" s="50"/>
      <c r="EZF346" s="50"/>
      <c r="EZG346" s="50"/>
      <c r="EZH346" s="50"/>
      <c r="EZI346" s="50"/>
      <c r="EZJ346" s="50"/>
      <c r="EZK346" s="50"/>
      <c r="EZL346" s="50"/>
      <c r="EZM346" s="50"/>
      <c r="EZN346" s="50"/>
      <c r="EZO346" s="50"/>
      <c r="EZP346" s="50"/>
      <c r="EZQ346" s="50"/>
      <c r="EZR346" s="50"/>
      <c r="EZS346" s="50"/>
      <c r="EZT346" s="50"/>
      <c r="EZU346" s="50"/>
      <c r="EZV346" s="50"/>
      <c r="EZW346" s="50"/>
      <c r="EZX346" s="50"/>
      <c r="EZY346" s="50"/>
      <c r="EZZ346" s="50"/>
      <c r="FAA346" s="50"/>
      <c r="FAB346" s="50"/>
      <c r="FAC346" s="50"/>
      <c r="FAD346" s="50"/>
      <c r="FAE346" s="50"/>
      <c r="FAF346" s="50"/>
      <c r="FAG346" s="50"/>
      <c r="FAH346" s="50"/>
      <c r="FAI346" s="50"/>
      <c r="FAJ346" s="50"/>
      <c r="FAK346" s="50"/>
      <c r="FAL346" s="50"/>
      <c r="FAM346" s="50"/>
      <c r="FAN346" s="50"/>
      <c r="FAO346" s="50"/>
      <c r="FAP346" s="50"/>
      <c r="FAQ346" s="50"/>
      <c r="FAR346" s="50"/>
      <c r="FAS346" s="50"/>
      <c r="FAT346" s="50"/>
      <c r="FAU346" s="50"/>
      <c r="FAV346" s="50"/>
      <c r="FAW346" s="50"/>
      <c r="FAX346" s="50"/>
      <c r="FAY346" s="50"/>
      <c r="FAZ346" s="50"/>
      <c r="FBA346" s="50"/>
      <c r="FBB346" s="50"/>
      <c r="FBC346" s="50"/>
      <c r="FBD346" s="50"/>
      <c r="FBE346" s="50"/>
      <c r="FBF346" s="50"/>
      <c r="FBG346" s="50"/>
      <c r="FBH346" s="50"/>
      <c r="FBI346" s="50"/>
      <c r="FBJ346" s="50"/>
      <c r="FBK346" s="50"/>
      <c r="FBL346" s="50"/>
      <c r="FBM346" s="50"/>
      <c r="FBN346" s="50"/>
      <c r="FBO346" s="50"/>
      <c r="FBP346" s="50"/>
      <c r="FBQ346" s="50"/>
      <c r="FBR346" s="50"/>
      <c r="FBS346" s="50"/>
      <c r="FBT346" s="50"/>
      <c r="FBU346" s="50"/>
      <c r="FBV346" s="50"/>
      <c r="FBW346" s="50"/>
      <c r="FBX346" s="50"/>
      <c r="FBY346" s="50"/>
      <c r="FBZ346" s="50"/>
      <c r="FCA346" s="50"/>
      <c r="FCB346" s="50"/>
      <c r="FCC346" s="50"/>
      <c r="FCD346" s="50"/>
      <c r="FCE346" s="50"/>
      <c r="FCF346" s="50"/>
      <c r="FCG346" s="50"/>
      <c r="FCH346" s="50"/>
      <c r="FCI346" s="50"/>
      <c r="FCJ346" s="50"/>
      <c r="FCK346" s="50"/>
      <c r="FCL346" s="50"/>
      <c r="FCM346" s="50"/>
      <c r="FCN346" s="50"/>
      <c r="FCO346" s="50"/>
      <c r="FCP346" s="50"/>
      <c r="FCQ346" s="50"/>
      <c r="FCR346" s="50"/>
      <c r="FCS346" s="50"/>
      <c r="FCT346" s="50"/>
      <c r="FCU346" s="50"/>
      <c r="FCV346" s="50"/>
      <c r="FCW346" s="50"/>
      <c r="FCX346" s="50"/>
      <c r="FCY346" s="50"/>
      <c r="FCZ346" s="50"/>
      <c r="FDA346" s="50"/>
      <c r="FDB346" s="50"/>
      <c r="FDC346" s="50"/>
      <c r="FDD346" s="50"/>
      <c r="FDE346" s="50"/>
      <c r="FDF346" s="50"/>
      <c r="FDG346" s="50"/>
      <c r="FDH346" s="50"/>
      <c r="FDI346" s="50"/>
      <c r="FDJ346" s="50"/>
      <c r="FDK346" s="50"/>
      <c r="FDL346" s="50"/>
      <c r="FDM346" s="50"/>
      <c r="FDN346" s="50"/>
      <c r="FDO346" s="50"/>
      <c r="FDP346" s="50"/>
      <c r="FDQ346" s="50"/>
      <c r="FDR346" s="50"/>
      <c r="FDS346" s="50"/>
      <c r="FDT346" s="50"/>
      <c r="FDU346" s="50"/>
      <c r="FDV346" s="50"/>
      <c r="FDW346" s="50"/>
      <c r="FDX346" s="50"/>
      <c r="FDY346" s="50"/>
      <c r="FDZ346" s="50"/>
      <c r="FEA346" s="50"/>
      <c r="FEB346" s="50"/>
      <c r="FEC346" s="50"/>
      <c r="FED346" s="50"/>
      <c r="FEE346" s="50"/>
      <c r="FEF346" s="50"/>
      <c r="FEG346" s="50"/>
      <c r="FEH346" s="50"/>
      <c r="FEI346" s="50"/>
      <c r="FEJ346" s="50"/>
      <c r="FEK346" s="50"/>
      <c r="FEL346" s="50"/>
      <c r="FEM346" s="50"/>
      <c r="FEN346" s="50"/>
      <c r="FEO346" s="50"/>
      <c r="FEP346" s="50"/>
      <c r="FEQ346" s="50"/>
      <c r="FER346" s="50"/>
      <c r="FES346" s="50"/>
      <c r="FET346" s="50"/>
      <c r="FEU346" s="50"/>
      <c r="FEV346" s="50"/>
      <c r="FEW346" s="50"/>
      <c r="FEX346" s="50"/>
      <c r="FEY346" s="50"/>
      <c r="FEZ346" s="50"/>
      <c r="FFA346" s="50"/>
      <c r="FFB346" s="50"/>
      <c r="FFC346" s="50"/>
      <c r="FFD346" s="50"/>
      <c r="FFE346" s="50"/>
      <c r="FFF346" s="50"/>
      <c r="FFG346" s="50"/>
      <c r="FFH346" s="50"/>
      <c r="FFI346" s="50"/>
      <c r="FFJ346" s="50"/>
      <c r="FFK346" s="50"/>
      <c r="FFL346" s="50"/>
      <c r="FFM346" s="50"/>
      <c r="FFN346" s="50"/>
      <c r="FFO346" s="50"/>
      <c r="FFP346" s="50"/>
      <c r="FFQ346" s="50"/>
      <c r="FFR346" s="50"/>
      <c r="FFS346" s="50"/>
      <c r="FFT346" s="50"/>
      <c r="FFU346" s="50"/>
      <c r="FFV346" s="50"/>
      <c r="FFW346" s="50"/>
      <c r="FFX346" s="50"/>
      <c r="FFY346" s="50"/>
      <c r="FFZ346" s="50"/>
      <c r="FGA346" s="50"/>
      <c r="FGB346" s="50"/>
      <c r="FGC346" s="50"/>
      <c r="FGD346" s="50"/>
      <c r="FGE346" s="50"/>
      <c r="FGF346" s="50"/>
      <c r="FGG346" s="50"/>
      <c r="FGH346" s="50"/>
      <c r="FGI346" s="50"/>
      <c r="FGJ346" s="50"/>
      <c r="FGK346" s="50"/>
      <c r="FGL346" s="50"/>
      <c r="FGM346" s="50"/>
      <c r="FGN346" s="50"/>
      <c r="FGO346" s="50"/>
      <c r="FGP346" s="50"/>
      <c r="FGQ346" s="50"/>
      <c r="FGR346" s="50"/>
      <c r="FGS346" s="50"/>
      <c r="FGT346" s="50"/>
      <c r="FGU346" s="50"/>
      <c r="FGV346" s="50"/>
      <c r="FGW346" s="50"/>
      <c r="FGX346" s="50"/>
      <c r="FGY346" s="50"/>
      <c r="FGZ346" s="50"/>
      <c r="FHA346" s="50"/>
      <c r="FHB346" s="50"/>
      <c r="FHC346" s="50"/>
      <c r="FHD346" s="50"/>
      <c r="FHE346" s="50"/>
      <c r="FHF346" s="50"/>
      <c r="FHG346" s="50"/>
      <c r="FHH346" s="50"/>
      <c r="FHI346" s="50"/>
      <c r="FHJ346" s="50"/>
      <c r="FHK346" s="50"/>
      <c r="FHL346" s="50"/>
      <c r="FHM346" s="50"/>
      <c r="FHN346" s="50"/>
      <c r="FHO346" s="50"/>
      <c r="FHP346" s="50"/>
      <c r="FHQ346" s="50"/>
      <c r="FHR346" s="50"/>
      <c r="FHS346" s="50"/>
      <c r="FHT346" s="50"/>
      <c r="FHU346" s="50"/>
      <c r="FHV346" s="50"/>
      <c r="FHW346" s="50"/>
      <c r="FHX346" s="50"/>
      <c r="FHY346" s="50"/>
      <c r="FHZ346" s="50"/>
      <c r="FIA346" s="50"/>
      <c r="FIB346" s="50"/>
      <c r="FIC346" s="50"/>
      <c r="FID346" s="50"/>
      <c r="FIE346" s="50"/>
      <c r="FIF346" s="50"/>
      <c r="FIG346" s="50"/>
      <c r="FIH346" s="50"/>
      <c r="FII346" s="50"/>
      <c r="FIJ346" s="50"/>
      <c r="FIK346" s="50"/>
      <c r="FIL346" s="50"/>
      <c r="FIM346" s="50"/>
      <c r="FIN346" s="50"/>
      <c r="FIO346" s="50"/>
      <c r="FIP346" s="50"/>
      <c r="FIQ346" s="50"/>
      <c r="FIR346" s="50"/>
      <c r="FIS346" s="50"/>
      <c r="FIT346" s="50"/>
      <c r="FIU346" s="50"/>
      <c r="FIV346" s="50"/>
      <c r="FIW346" s="50"/>
      <c r="FIX346" s="50"/>
      <c r="FIY346" s="50"/>
      <c r="FIZ346" s="50"/>
      <c r="FJA346" s="50"/>
      <c r="FJB346" s="50"/>
      <c r="FJC346" s="50"/>
      <c r="FJD346" s="50"/>
      <c r="FJE346" s="50"/>
      <c r="FJF346" s="50"/>
      <c r="FJG346" s="50"/>
      <c r="FJH346" s="50"/>
      <c r="FJI346" s="50"/>
      <c r="FJJ346" s="50"/>
      <c r="FJK346" s="50"/>
      <c r="FJL346" s="50"/>
      <c r="FJM346" s="50"/>
      <c r="FJN346" s="50"/>
      <c r="FJO346" s="50"/>
      <c r="FJP346" s="50"/>
      <c r="FJQ346" s="50"/>
      <c r="FJR346" s="50"/>
      <c r="FJS346" s="50"/>
      <c r="FJT346" s="50"/>
      <c r="FJU346" s="50"/>
      <c r="FJV346" s="50"/>
      <c r="FJW346" s="50"/>
      <c r="FJX346" s="50"/>
      <c r="FJY346" s="50"/>
      <c r="FJZ346" s="50"/>
      <c r="FKA346" s="50"/>
      <c r="FKB346" s="50"/>
      <c r="FKC346" s="50"/>
      <c r="FKD346" s="50"/>
      <c r="FKE346" s="50"/>
      <c r="FKF346" s="50"/>
      <c r="FKG346" s="50"/>
      <c r="FKH346" s="50"/>
      <c r="FKI346" s="50"/>
      <c r="FKJ346" s="50"/>
      <c r="FKK346" s="50"/>
      <c r="FKL346" s="50"/>
      <c r="FKM346" s="50"/>
      <c r="FKN346" s="50"/>
      <c r="FKO346" s="50"/>
      <c r="FKP346" s="50"/>
      <c r="FKQ346" s="50"/>
      <c r="FKR346" s="50"/>
      <c r="FKS346" s="50"/>
      <c r="FKT346" s="50"/>
      <c r="FKU346" s="50"/>
      <c r="FKV346" s="50"/>
      <c r="FKW346" s="50"/>
      <c r="FKX346" s="50"/>
      <c r="FKY346" s="50"/>
      <c r="FKZ346" s="50"/>
      <c r="FLA346" s="50"/>
      <c r="FLB346" s="50"/>
      <c r="FLC346" s="50"/>
      <c r="FLD346" s="50"/>
      <c r="FLE346" s="50"/>
      <c r="FLF346" s="50"/>
      <c r="FLG346" s="50"/>
      <c r="FLH346" s="50"/>
      <c r="FLI346" s="50"/>
      <c r="FLJ346" s="50"/>
      <c r="FLK346" s="50"/>
      <c r="FLL346" s="50"/>
      <c r="FLM346" s="50"/>
      <c r="FLN346" s="50"/>
      <c r="FLO346" s="50"/>
      <c r="FLP346" s="50"/>
      <c r="FLQ346" s="50"/>
      <c r="FLR346" s="50"/>
      <c r="FLS346" s="50"/>
      <c r="FLT346" s="50"/>
      <c r="FLU346" s="50"/>
      <c r="FLV346" s="50"/>
      <c r="FLW346" s="50"/>
      <c r="FLX346" s="50"/>
      <c r="FLY346" s="50"/>
      <c r="FLZ346" s="50"/>
      <c r="FMA346" s="50"/>
      <c r="FMB346" s="50"/>
      <c r="FMC346" s="50"/>
      <c r="FMD346" s="50"/>
      <c r="FME346" s="50"/>
      <c r="FMF346" s="50"/>
      <c r="FMG346" s="50"/>
      <c r="FMH346" s="50"/>
      <c r="FMI346" s="50"/>
      <c r="FMJ346" s="50"/>
      <c r="FMK346" s="50"/>
      <c r="FML346" s="50"/>
      <c r="FMM346" s="50"/>
      <c r="FMN346" s="50"/>
      <c r="FMO346" s="50"/>
      <c r="FMP346" s="50"/>
      <c r="FMQ346" s="50"/>
      <c r="FMR346" s="50"/>
      <c r="FMS346" s="50"/>
      <c r="FMT346" s="50"/>
      <c r="FMU346" s="50"/>
      <c r="FMV346" s="50"/>
      <c r="FMW346" s="50"/>
      <c r="FMX346" s="50"/>
      <c r="FMY346" s="50"/>
      <c r="FMZ346" s="50"/>
      <c r="FNA346" s="50"/>
      <c r="FNB346" s="50"/>
      <c r="FNC346" s="50"/>
      <c r="FND346" s="50"/>
      <c r="FNE346" s="50"/>
      <c r="FNF346" s="50"/>
      <c r="FNG346" s="50"/>
      <c r="FNH346" s="50"/>
      <c r="FNI346" s="50"/>
      <c r="FNJ346" s="50"/>
      <c r="FNK346" s="50"/>
      <c r="FNL346" s="50"/>
      <c r="FNM346" s="50"/>
      <c r="FNN346" s="50"/>
      <c r="FNO346" s="50"/>
      <c r="FNP346" s="50"/>
      <c r="FNQ346" s="50"/>
      <c r="FNR346" s="50"/>
      <c r="FNS346" s="50"/>
      <c r="FNT346" s="50"/>
      <c r="FNU346" s="50"/>
      <c r="FNV346" s="50"/>
      <c r="FNW346" s="50"/>
      <c r="FNX346" s="50"/>
      <c r="FNY346" s="50"/>
      <c r="FNZ346" s="50"/>
      <c r="FOA346" s="50"/>
      <c r="FOB346" s="50"/>
      <c r="FOC346" s="50"/>
      <c r="FOD346" s="50"/>
      <c r="FOE346" s="50"/>
      <c r="FOF346" s="50"/>
      <c r="FOG346" s="50"/>
      <c r="FOH346" s="50"/>
      <c r="FOI346" s="50"/>
      <c r="FOJ346" s="50"/>
      <c r="FOK346" s="50"/>
      <c r="FOL346" s="50"/>
      <c r="FOM346" s="50"/>
      <c r="FON346" s="50"/>
      <c r="FOO346" s="50"/>
      <c r="FOP346" s="50"/>
      <c r="FOQ346" s="50"/>
      <c r="FOR346" s="50"/>
      <c r="FOS346" s="50"/>
      <c r="FOT346" s="50"/>
      <c r="FOU346" s="50"/>
      <c r="FOV346" s="50"/>
      <c r="FOW346" s="50"/>
      <c r="FOX346" s="50"/>
      <c r="FOY346" s="50"/>
      <c r="FOZ346" s="50"/>
      <c r="FPA346" s="50"/>
      <c r="FPB346" s="50"/>
      <c r="FPC346" s="50"/>
      <c r="FPD346" s="50"/>
      <c r="FPE346" s="50"/>
      <c r="FPF346" s="50"/>
      <c r="FPG346" s="50"/>
      <c r="FPH346" s="50"/>
      <c r="FPI346" s="50"/>
      <c r="FPJ346" s="50"/>
      <c r="FPK346" s="50"/>
      <c r="FPL346" s="50"/>
      <c r="FPM346" s="50"/>
      <c r="FPN346" s="50"/>
      <c r="FPO346" s="50"/>
      <c r="FPP346" s="50"/>
      <c r="FPQ346" s="50"/>
      <c r="FPR346" s="50"/>
      <c r="FPS346" s="50"/>
      <c r="FPT346" s="50"/>
      <c r="FPU346" s="50"/>
      <c r="FPV346" s="50"/>
      <c r="FPW346" s="50"/>
      <c r="FPX346" s="50"/>
      <c r="FPY346" s="50"/>
      <c r="FPZ346" s="50"/>
      <c r="FQA346" s="50"/>
      <c r="FQB346" s="50"/>
      <c r="FQC346" s="50"/>
      <c r="FQD346" s="50"/>
      <c r="FQE346" s="50"/>
      <c r="FQF346" s="50"/>
      <c r="FQG346" s="50"/>
      <c r="FQH346" s="50"/>
      <c r="FQI346" s="50"/>
      <c r="FQJ346" s="50"/>
      <c r="FQK346" s="50"/>
      <c r="FQL346" s="50"/>
      <c r="FQM346" s="50"/>
      <c r="FQN346" s="50"/>
      <c r="FQO346" s="50"/>
      <c r="FQP346" s="50"/>
      <c r="FQQ346" s="50"/>
      <c r="FQR346" s="50"/>
      <c r="FQS346" s="50"/>
      <c r="FQT346" s="50"/>
      <c r="FQU346" s="50"/>
      <c r="FQV346" s="50"/>
      <c r="FQW346" s="50"/>
      <c r="FQX346" s="50"/>
      <c r="FQY346" s="50"/>
      <c r="FQZ346" s="50"/>
      <c r="FRA346" s="50"/>
      <c r="FRB346" s="50"/>
      <c r="FRC346" s="50"/>
      <c r="FRD346" s="50"/>
      <c r="FRE346" s="50"/>
      <c r="FRF346" s="50"/>
      <c r="FRG346" s="50"/>
      <c r="FRH346" s="50"/>
      <c r="FRI346" s="50"/>
      <c r="FRJ346" s="50"/>
      <c r="FRK346" s="50"/>
      <c r="FRL346" s="50"/>
      <c r="FRM346" s="50"/>
      <c r="FRN346" s="50"/>
      <c r="FRO346" s="50"/>
      <c r="FRP346" s="50"/>
      <c r="FRQ346" s="50"/>
      <c r="FRR346" s="50"/>
      <c r="FRS346" s="50"/>
      <c r="FRT346" s="50"/>
      <c r="FRU346" s="50"/>
      <c r="FRV346" s="50"/>
      <c r="FRW346" s="50"/>
      <c r="FRX346" s="50"/>
      <c r="FRY346" s="50"/>
      <c r="FRZ346" s="50"/>
      <c r="FSA346" s="50"/>
      <c r="FSB346" s="50"/>
      <c r="FSC346" s="50"/>
      <c r="FSD346" s="50"/>
      <c r="FSE346" s="50"/>
      <c r="FSF346" s="50"/>
      <c r="FSG346" s="50"/>
      <c r="FSH346" s="50"/>
      <c r="FSI346" s="50"/>
      <c r="FSJ346" s="50"/>
      <c r="FSK346" s="50"/>
      <c r="FSL346" s="50"/>
      <c r="FSM346" s="50"/>
      <c r="FSN346" s="50"/>
      <c r="FSO346" s="50"/>
      <c r="FSP346" s="50"/>
      <c r="FSQ346" s="50"/>
      <c r="FSR346" s="50"/>
      <c r="FSS346" s="50"/>
      <c r="FST346" s="50"/>
      <c r="FSU346" s="50"/>
      <c r="FSV346" s="50"/>
      <c r="FSW346" s="50"/>
      <c r="FSX346" s="50"/>
      <c r="FSY346" s="50"/>
      <c r="FSZ346" s="50"/>
      <c r="FTA346" s="50"/>
      <c r="FTB346" s="50"/>
      <c r="FTC346" s="50"/>
      <c r="FTD346" s="50"/>
      <c r="FTE346" s="50"/>
      <c r="FTF346" s="50"/>
      <c r="FTG346" s="50"/>
      <c r="FTH346" s="50"/>
      <c r="FTI346" s="50"/>
      <c r="FTJ346" s="50"/>
      <c r="FTK346" s="50"/>
      <c r="FTL346" s="50"/>
      <c r="FTM346" s="50"/>
      <c r="FTN346" s="50"/>
      <c r="FTO346" s="50"/>
      <c r="FTP346" s="50"/>
      <c r="FTQ346" s="50"/>
      <c r="FTR346" s="50"/>
      <c r="FTS346" s="50"/>
      <c r="FTT346" s="50"/>
      <c r="FTU346" s="50"/>
      <c r="FTV346" s="50"/>
      <c r="FTW346" s="50"/>
      <c r="FTX346" s="50"/>
      <c r="FTY346" s="50"/>
      <c r="FTZ346" s="50"/>
      <c r="FUA346" s="50"/>
      <c r="FUB346" s="50"/>
      <c r="FUC346" s="50"/>
      <c r="FUD346" s="50"/>
      <c r="FUE346" s="50"/>
      <c r="FUF346" s="50"/>
      <c r="FUG346" s="50"/>
      <c r="FUH346" s="50"/>
      <c r="FUI346" s="50"/>
      <c r="FUJ346" s="50"/>
      <c r="FUK346" s="50"/>
      <c r="FUL346" s="50"/>
      <c r="FUM346" s="50"/>
      <c r="FUN346" s="50"/>
      <c r="FUO346" s="50"/>
      <c r="FUP346" s="50"/>
      <c r="FUQ346" s="50"/>
      <c r="FUR346" s="50"/>
      <c r="FUS346" s="50"/>
      <c r="FUT346" s="50"/>
      <c r="FUU346" s="50"/>
      <c r="FUV346" s="50"/>
      <c r="FUW346" s="50"/>
      <c r="FUX346" s="50"/>
      <c r="FUY346" s="50"/>
      <c r="FUZ346" s="50"/>
      <c r="FVA346" s="50"/>
      <c r="FVB346" s="50"/>
      <c r="FVC346" s="50"/>
      <c r="FVD346" s="50"/>
      <c r="FVE346" s="50"/>
      <c r="FVF346" s="50"/>
      <c r="FVG346" s="50"/>
      <c r="FVH346" s="50"/>
      <c r="FVI346" s="50"/>
      <c r="FVJ346" s="50"/>
      <c r="FVK346" s="50"/>
      <c r="FVL346" s="50"/>
      <c r="FVM346" s="50"/>
      <c r="FVN346" s="50"/>
      <c r="FVO346" s="50"/>
      <c r="FVP346" s="50"/>
      <c r="FVQ346" s="50"/>
      <c r="FVR346" s="50"/>
      <c r="FVS346" s="50"/>
      <c r="FVT346" s="50"/>
      <c r="FVU346" s="50"/>
      <c r="FVV346" s="50"/>
      <c r="FVW346" s="50"/>
      <c r="FVX346" s="50"/>
      <c r="FVY346" s="50"/>
      <c r="FVZ346" s="50"/>
      <c r="FWA346" s="50"/>
      <c r="FWB346" s="50"/>
      <c r="FWC346" s="50"/>
      <c r="FWD346" s="50"/>
      <c r="FWE346" s="50"/>
      <c r="FWF346" s="50"/>
      <c r="FWG346" s="50"/>
      <c r="FWH346" s="50"/>
      <c r="FWI346" s="50"/>
      <c r="FWJ346" s="50"/>
      <c r="FWK346" s="50"/>
      <c r="FWL346" s="50"/>
      <c r="FWM346" s="50"/>
      <c r="FWN346" s="50"/>
      <c r="FWO346" s="50"/>
      <c r="FWP346" s="50"/>
      <c r="FWQ346" s="50"/>
      <c r="FWR346" s="50"/>
      <c r="FWS346" s="50"/>
      <c r="FWT346" s="50"/>
      <c r="FWU346" s="50"/>
      <c r="FWV346" s="50"/>
      <c r="FWW346" s="50"/>
      <c r="FWX346" s="50"/>
      <c r="FWY346" s="50"/>
      <c r="FWZ346" s="50"/>
      <c r="FXA346" s="50"/>
      <c r="FXB346" s="50"/>
      <c r="FXC346" s="50"/>
      <c r="FXD346" s="50"/>
      <c r="FXE346" s="50"/>
      <c r="FXF346" s="50"/>
      <c r="FXG346" s="50"/>
      <c r="FXH346" s="50"/>
      <c r="FXI346" s="50"/>
      <c r="FXJ346" s="50"/>
      <c r="FXK346" s="50"/>
      <c r="FXL346" s="50"/>
      <c r="FXM346" s="50"/>
      <c r="FXN346" s="50"/>
      <c r="FXO346" s="50"/>
      <c r="FXP346" s="50"/>
      <c r="FXQ346" s="50"/>
      <c r="FXR346" s="50"/>
      <c r="FXS346" s="50"/>
      <c r="FXT346" s="50"/>
      <c r="FXU346" s="50"/>
      <c r="FXV346" s="50"/>
      <c r="FXW346" s="50"/>
      <c r="FXX346" s="50"/>
      <c r="FXY346" s="50"/>
      <c r="FXZ346" s="50"/>
      <c r="FYA346" s="50"/>
      <c r="FYB346" s="50"/>
      <c r="FYC346" s="50"/>
      <c r="FYD346" s="50"/>
      <c r="FYE346" s="50"/>
      <c r="FYF346" s="50"/>
      <c r="FYG346" s="50"/>
      <c r="FYH346" s="50"/>
      <c r="FYI346" s="50"/>
      <c r="FYJ346" s="50"/>
      <c r="FYK346" s="50"/>
      <c r="FYL346" s="50"/>
      <c r="FYM346" s="50"/>
      <c r="FYN346" s="50"/>
      <c r="FYO346" s="50"/>
      <c r="FYP346" s="50"/>
      <c r="FYQ346" s="50"/>
      <c r="FYR346" s="50"/>
      <c r="FYS346" s="50"/>
      <c r="FYT346" s="50"/>
      <c r="FYU346" s="50"/>
      <c r="FYV346" s="50"/>
      <c r="FYW346" s="50"/>
      <c r="FYX346" s="50"/>
      <c r="FYY346" s="50"/>
      <c r="FYZ346" s="50"/>
      <c r="FZA346" s="50"/>
      <c r="FZB346" s="50"/>
      <c r="FZC346" s="50"/>
      <c r="FZD346" s="50"/>
      <c r="FZE346" s="50"/>
      <c r="FZF346" s="50"/>
      <c r="FZG346" s="50"/>
      <c r="FZH346" s="50"/>
      <c r="FZI346" s="50"/>
      <c r="FZJ346" s="50"/>
      <c r="FZK346" s="50"/>
      <c r="FZL346" s="50"/>
      <c r="FZM346" s="50"/>
      <c r="FZN346" s="50"/>
      <c r="FZO346" s="50"/>
      <c r="FZP346" s="50"/>
      <c r="FZQ346" s="50"/>
      <c r="FZR346" s="50"/>
      <c r="FZS346" s="50"/>
      <c r="FZT346" s="50"/>
      <c r="FZU346" s="50"/>
      <c r="FZV346" s="50"/>
      <c r="FZW346" s="50"/>
      <c r="FZX346" s="50"/>
      <c r="FZY346" s="50"/>
      <c r="FZZ346" s="50"/>
      <c r="GAA346" s="50"/>
      <c r="GAB346" s="50"/>
      <c r="GAC346" s="50"/>
      <c r="GAD346" s="50"/>
      <c r="GAE346" s="50"/>
      <c r="GAF346" s="50"/>
      <c r="GAG346" s="50"/>
      <c r="GAH346" s="50"/>
      <c r="GAI346" s="50"/>
      <c r="GAJ346" s="50"/>
      <c r="GAK346" s="50"/>
      <c r="GAL346" s="50"/>
      <c r="GAM346" s="50"/>
      <c r="GAN346" s="50"/>
      <c r="GAO346" s="50"/>
      <c r="GAP346" s="50"/>
      <c r="GAQ346" s="50"/>
      <c r="GAR346" s="50"/>
      <c r="GAS346" s="50"/>
      <c r="GAT346" s="50"/>
      <c r="GAU346" s="50"/>
      <c r="GAV346" s="50"/>
      <c r="GAW346" s="50"/>
      <c r="GAX346" s="50"/>
      <c r="GAY346" s="50"/>
      <c r="GAZ346" s="50"/>
      <c r="GBA346" s="50"/>
      <c r="GBB346" s="50"/>
      <c r="GBC346" s="50"/>
      <c r="GBD346" s="50"/>
      <c r="GBE346" s="50"/>
      <c r="GBF346" s="50"/>
      <c r="GBG346" s="50"/>
      <c r="GBH346" s="50"/>
      <c r="GBI346" s="50"/>
      <c r="GBJ346" s="50"/>
      <c r="GBK346" s="50"/>
      <c r="GBL346" s="50"/>
      <c r="GBM346" s="50"/>
      <c r="GBN346" s="50"/>
      <c r="GBO346" s="50"/>
      <c r="GBP346" s="50"/>
      <c r="GBQ346" s="50"/>
      <c r="GBR346" s="50"/>
      <c r="GBS346" s="50"/>
      <c r="GBT346" s="50"/>
      <c r="GBU346" s="50"/>
      <c r="GBV346" s="50"/>
      <c r="GBW346" s="50"/>
      <c r="GBX346" s="50"/>
      <c r="GBY346" s="50"/>
      <c r="GBZ346" s="50"/>
      <c r="GCA346" s="50"/>
      <c r="GCB346" s="50"/>
      <c r="GCC346" s="50"/>
      <c r="GCD346" s="50"/>
      <c r="GCE346" s="50"/>
      <c r="GCF346" s="50"/>
      <c r="GCG346" s="50"/>
      <c r="GCH346" s="50"/>
      <c r="GCI346" s="50"/>
      <c r="GCJ346" s="50"/>
      <c r="GCK346" s="50"/>
      <c r="GCL346" s="50"/>
      <c r="GCM346" s="50"/>
      <c r="GCN346" s="50"/>
      <c r="GCO346" s="50"/>
      <c r="GCP346" s="50"/>
      <c r="GCQ346" s="50"/>
      <c r="GCR346" s="50"/>
      <c r="GCS346" s="50"/>
      <c r="GCT346" s="50"/>
      <c r="GCU346" s="50"/>
      <c r="GCV346" s="50"/>
      <c r="GCW346" s="50"/>
      <c r="GCX346" s="50"/>
      <c r="GCY346" s="50"/>
      <c r="GCZ346" s="50"/>
      <c r="GDA346" s="50"/>
      <c r="GDB346" s="50"/>
      <c r="GDC346" s="50"/>
      <c r="GDD346" s="50"/>
      <c r="GDE346" s="50"/>
      <c r="GDF346" s="50"/>
      <c r="GDG346" s="50"/>
      <c r="GDH346" s="50"/>
      <c r="GDI346" s="50"/>
      <c r="GDJ346" s="50"/>
      <c r="GDK346" s="50"/>
      <c r="GDL346" s="50"/>
      <c r="GDM346" s="50"/>
      <c r="GDN346" s="50"/>
      <c r="GDO346" s="50"/>
      <c r="GDP346" s="50"/>
      <c r="GDQ346" s="50"/>
      <c r="GDR346" s="50"/>
      <c r="GDS346" s="50"/>
      <c r="GDT346" s="50"/>
      <c r="GDU346" s="50"/>
      <c r="GDV346" s="50"/>
      <c r="GDW346" s="50"/>
      <c r="GDX346" s="50"/>
      <c r="GDY346" s="50"/>
      <c r="GDZ346" s="50"/>
      <c r="GEA346" s="50"/>
      <c r="GEB346" s="50"/>
      <c r="GEC346" s="50"/>
      <c r="GED346" s="50"/>
      <c r="GEE346" s="50"/>
      <c r="GEF346" s="50"/>
      <c r="GEG346" s="50"/>
      <c r="GEH346" s="50"/>
      <c r="GEI346" s="50"/>
      <c r="GEJ346" s="50"/>
      <c r="GEK346" s="50"/>
      <c r="GEL346" s="50"/>
      <c r="GEM346" s="50"/>
      <c r="GEN346" s="50"/>
      <c r="GEO346" s="50"/>
      <c r="GEP346" s="50"/>
      <c r="GEQ346" s="50"/>
      <c r="GER346" s="50"/>
      <c r="GES346" s="50"/>
      <c r="GET346" s="50"/>
      <c r="GEU346" s="50"/>
      <c r="GEV346" s="50"/>
      <c r="GEW346" s="50"/>
      <c r="GEX346" s="50"/>
      <c r="GEY346" s="50"/>
      <c r="GEZ346" s="50"/>
      <c r="GFA346" s="50"/>
      <c r="GFB346" s="50"/>
      <c r="GFC346" s="50"/>
      <c r="GFD346" s="50"/>
      <c r="GFE346" s="50"/>
      <c r="GFF346" s="50"/>
      <c r="GFG346" s="50"/>
      <c r="GFH346" s="50"/>
      <c r="GFI346" s="50"/>
      <c r="GFJ346" s="50"/>
      <c r="GFK346" s="50"/>
      <c r="GFL346" s="50"/>
      <c r="GFM346" s="50"/>
      <c r="GFN346" s="50"/>
      <c r="GFO346" s="50"/>
      <c r="GFP346" s="50"/>
      <c r="GFQ346" s="50"/>
      <c r="GFR346" s="50"/>
      <c r="GFS346" s="50"/>
      <c r="GFT346" s="50"/>
      <c r="GFU346" s="50"/>
      <c r="GFV346" s="50"/>
      <c r="GFW346" s="50"/>
      <c r="GFX346" s="50"/>
      <c r="GFY346" s="50"/>
      <c r="GFZ346" s="50"/>
      <c r="GGA346" s="50"/>
      <c r="GGB346" s="50"/>
      <c r="GGC346" s="50"/>
      <c r="GGD346" s="50"/>
      <c r="GGE346" s="50"/>
      <c r="GGF346" s="50"/>
      <c r="GGG346" s="50"/>
      <c r="GGH346" s="50"/>
      <c r="GGI346" s="50"/>
      <c r="GGJ346" s="50"/>
      <c r="GGK346" s="50"/>
      <c r="GGL346" s="50"/>
      <c r="GGM346" s="50"/>
      <c r="GGN346" s="50"/>
      <c r="GGO346" s="50"/>
      <c r="GGP346" s="50"/>
      <c r="GGQ346" s="50"/>
      <c r="GGR346" s="50"/>
      <c r="GGS346" s="50"/>
      <c r="GGT346" s="50"/>
      <c r="GGU346" s="50"/>
      <c r="GGV346" s="50"/>
      <c r="GGW346" s="50"/>
      <c r="GGX346" s="50"/>
      <c r="GGY346" s="50"/>
      <c r="GGZ346" s="50"/>
      <c r="GHA346" s="50"/>
      <c r="GHB346" s="50"/>
      <c r="GHC346" s="50"/>
      <c r="GHD346" s="50"/>
      <c r="GHE346" s="50"/>
      <c r="GHF346" s="50"/>
      <c r="GHG346" s="50"/>
      <c r="GHH346" s="50"/>
      <c r="GHI346" s="50"/>
      <c r="GHJ346" s="50"/>
      <c r="GHK346" s="50"/>
      <c r="GHL346" s="50"/>
      <c r="GHM346" s="50"/>
      <c r="GHN346" s="50"/>
      <c r="GHO346" s="50"/>
      <c r="GHP346" s="50"/>
      <c r="GHQ346" s="50"/>
      <c r="GHR346" s="50"/>
      <c r="GHS346" s="50"/>
      <c r="GHT346" s="50"/>
      <c r="GHU346" s="50"/>
      <c r="GHV346" s="50"/>
      <c r="GHW346" s="50"/>
      <c r="GHX346" s="50"/>
      <c r="GHY346" s="50"/>
      <c r="GHZ346" s="50"/>
      <c r="GIA346" s="50"/>
      <c r="GIB346" s="50"/>
      <c r="GIC346" s="50"/>
      <c r="GID346" s="50"/>
      <c r="GIE346" s="50"/>
      <c r="GIF346" s="50"/>
      <c r="GIG346" s="50"/>
      <c r="GIH346" s="50"/>
      <c r="GII346" s="50"/>
      <c r="GIJ346" s="50"/>
      <c r="GIK346" s="50"/>
      <c r="GIL346" s="50"/>
      <c r="GIM346" s="50"/>
      <c r="GIN346" s="50"/>
      <c r="GIO346" s="50"/>
      <c r="GIP346" s="50"/>
      <c r="GIQ346" s="50"/>
      <c r="GIR346" s="50"/>
      <c r="GIS346" s="50"/>
      <c r="GIT346" s="50"/>
      <c r="GIU346" s="50"/>
      <c r="GIV346" s="50"/>
      <c r="GIW346" s="50"/>
      <c r="GIX346" s="50"/>
      <c r="GIY346" s="50"/>
      <c r="GIZ346" s="50"/>
      <c r="GJA346" s="50"/>
      <c r="GJB346" s="50"/>
      <c r="GJC346" s="50"/>
      <c r="GJD346" s="50"/>
      <c r="GJE346" s="50"/>
      <c r="GJF346" s="50"/>
      <c r="GJG346" s="50"/>
      <c r="GJH346" s="50"/>
      <c r="GJI346" s="50"/>
      <c r="GJJ346" s="50"/>
      <c r="GJK346" s="50"/>
      <c r="GJL346" s="50"/>
      <c r="GJM346" s="50"/>
      <c r="GJN346" s="50"/>
      <c r="GJO346" s="50"/>
      <c r="GJP346" s="50"/>
      <c r="GJQ346" s="50"/>
      <c r="GJR346" s="50"/>
      <c r="GJS346" s="50"/>
      <c r="GJT346" s="50"/>
      <c r="GJU346" s="50"/>
      <c r="GJV346" s="50"/>
      <c r="GJW346" s="50"/>
      <c r="GJX346" s="50"/>
      <c r="GJY346" s="50"/>
      <c r="GJZ346" s="50"/>
      <c r="GKA346" s="50"/>
      <c r="GKB346" s="50"/>
      <c r="GKC346" s="50"/>
      <c r="GKD346" s="50"/>
      <c r="GKE346" s="50"/>
      <c r="GKF346" s="50"/>
      <c r="GKG346" s="50"/>
      <c r="GKH346" s="50"/>
      <c r="GKI346" s="50"/>
      <c r="GKJ346" s="50"/>
      <c r="GKK346" s="50"/>
      <c r="GKL346" s="50"/>
      <c r="GKM346" s="50"/>
      <c r="GKN346" s="50"/>
      <c r="GKO346" s="50"/>
      <c r="GKP346" s="50"/>
      <c r="GKQ346" s="50"/>
      <c r="GKR346" s="50"/>
      <c r="GKS346" s="50"/>
      <c r="GKT346" s="50"/>
      <c r="GKU346" s="50"/>
      <c r="GKV346" s="50"/>
      <c r="GKW346" s="50"/>
      <c r="GKX346" s="50"/>
      <c r="GKY346" s="50"/>
      <c r="GKZ346" s="50"/>
      <c r="GLA346" s="50"/>
      <c r="GLB346" s="50"/>
      <c r="GLC346" s="50"/>
      <c r="GLD346" s="50"/>
      <c r="GLE346" s="50"/>
      <c r="GLF346" s="50"/>
      <c r="GLG346" s="50"/>
      <c r="GLH346" s="50"/>
      <c r="GLI346" s="50"/>
      <c r="GLJ346" s="50"/>
      <c r="GLK346" s="50"/>
      <c r="GLL346" s="50"/>
      <c r="GLM346" s="50"/>
      <c r="GLN346" s="50"/>
      <c r="GLO346" s="50"/>
      <c r="GLP346" s="50"/>
      <c r="GLQ346" s="50"/>
      <c r="GLR346" s="50"/>
      <c r="GLS346" s="50"/>
      <c r="GLT346" s="50"/>
      <c r="GLU346" s="50"/>
      <c r="GLV346" s="50"/>
      <c r="GLW346" s="50"/>
      <c r="GLX346" s="50"/>
      <c r="GLY346" s="50"/>
      <c r="GLZ346" s="50"/>
      <c r="GMA346" s="50"/>
      <c r="GMB346" s="50"/>
      <c r="GMC346" s="50"/>
      <c r="GMD346" s="50"/>
      <c r="GME346" s="50"/>
      <c r="GMF346" s="50"/>
      <c r="GMG346" s="50"/>
      <c r="GMH346" s="50"/>
      <c r="GMI346" s="50"/>
      <c r="GMJ346" s="50"/>
      <c r="GMK346" s="50"/>
      <c r="GML346" s="50"/>
      <c r="GMM346" s="50"/>
      <c r="GMN346" s="50"/>
      <c r="GMO346" s="50"/>
      <c r="GMP346" s="50"/>
      <c r="GMQ346" s="50"/>
      <c r="GMR346" s="50"/>
      <c r="GMS346" s="50"/>
      <c r="GMT346" s="50"/>
      <c r="GMU346" s="50"/>
      <c r="GMV346" s="50"/>
      <c r="GMW346" s="50"/>
      <c r="GMX346" s="50"/>
      <c r="GMY346" s="50"/>
      <c r="GMZ346" s="50"/>
      <c r="GNA346" s="50"/>
      <c r="GNB346" s="50"/>
      <c r="GNC346" s="50"/>
      <c r="GND346" s="50"/>
      <c r="GNE346" s="50"/>
      <c r="GNF346" s="50"/>
      <c r="GNG346" s="50"/>
      <c r="GNH346" s="50"/>
      <c r="GNI346" s="50"/>
      <c r="GNJ346" s="50"/>
      <c r="GNK346" s="50"/>
      <c r="GNL346" s="50"/>
      <c r="GNM346" s="50"/>
      <c r="GNN346" s="50"/>
      <c r="GNO346" s="50"/>
      <c r="GNP346" s="50"/>
      <c r="GNQ346" s="50"/>
      <c r="GNR346" s="50"/>
      <c r="GNS346" s="50"/>
      <c r="GNT346" s="50"/>
      <c r="GNU346" s="50"/>
      <c r="GNV346" s="50"/>
      <c r="GNW346" s="50"/>
      <c r="GNX346" s="50"/>
      <c r="GNY346" s="50"/>
      <c r="GNZ346" s="50"/>
      <c r="GOA346" s="50"/>
      <c r="GOB346" s="50"/>
      <c r="GOC346" s="50"/>
      <c r="GOD346" s="50"/>
      <c r="GOE346" s="50"/>
      <c r="GOF346" s="50"/>
      <c r="GOG346" s="50"/>
      <c r="GOH346" s="50"/>
      <c r="GOI346" s="50"/>
      <c r="GOJ346" s="50"/>
      <c r="GOK346" s="50"/>
      <c r="GOL346" s="50"/>
      <c r="GOM346" s="50"/>
      <c r="GON346" s="50"/>
      <c r="GOO346" s="50"/>
      <c r="GOP346" s="50"/>
      <c r="GOQ346" s="50"/>
      <c r="GOR346" s="50"/>
      <c r="GOS346" s="50"/>
      <c r="GOT346" s="50"/>
      <c r="GOU346" s="50"/>
      <c r="GOV346" s="50"/>
      <c r="GOW346" s="50"/>
      <c r="GOX346" s="50"/>
      <c r="GOY346" s="50"/>
      <c r="GOZ346" s="50"/>
      <c r="GPA346" s="50"/>
      <c r="GPB346" s="50"/>
      <c r="GPC346" s="50"/>
      <c r="GPD346" s="50"/>
      <c r="GPE346" s="50"/>
      <c r="GPF346" s="50"/>
      <c r="GPG346" s="50"/>
      <c r="GPH346" s="50"/>
      <c r="GPI346" s="50"/>
      <c r="GPJ346" s="50"/>
      <c r="GPK346" s="50"/>
      <c r="GPL346" s="50"/>
      <c r="GPM346" s="50"/>
      <c r="GPN346" s="50"/>
      <c r="GPO346" s="50"/>
      <c r="GPP346" s="50"/>
      <c r="GPQ346" s="50"/>
      <c r="GPR346" s="50"/>
      <c r="GPS346" s="50"/>
      <c r="GPT346" s="50"/>
      <c r="GPU346" s="50"/>
      <c r="GPV346" s="50"/>
      <c r="GPW346" s="50"/>
      <c r="GPX346" s="50"/>
      <c r="GPY346" s="50"/>
      <c r="GPZ346" s="50"/>
      <c r="GQA346" s="50"/>
      <c r="GQB346" s="50"/>
      <c r="GQC346" s="50"/>
      <c r="GQD346" s="50"/>
      <c r="GQE346" s="50"/>
      <c r="GQF346" s="50"/>
      <c r="GQG346" s="50"/>
      <c r="GQH346" s="50"/>
      <c r="GQI346" s="50"/>
      <c r="GQJ346" s="50"/>
      <c r="GQK346" s="50"/>
      <c r="GQL346" s="50"/>
      <c r="GQM346" s="50"/>
      <c r="GQN346" s="50"/>
      <c r="GQO346" s="50"/>
      <c r="GQP346" s="50"/>
      <c r="GQQ346" s="50"/>
      <c r="GQR346" s="50"/>
      <c r="GQS346" s="50"/>
      <c r="GQT346" s="50"/>
      <c r="GQU346" s="50"/>
      <c r="GQV346" s="50"/>
      <c r="GQW346" s="50"/>
      <c r="GQX346" s="50"/>
      <c r="GQY346" s="50"/>
      <c r="GQZ346" s="50"/>
      <c r="GRA346" s="50"/>
      <c r="GRB346" s="50"/>
      <c r="GRC346" s="50"/>
      <c r="GRD346" s="50"/>
      <c r="GRE346" s="50"/>
      <c r="GRF346" s="50"/>
      <c r="GRG346" s="50"/>
      <c r="GRH346" s="50"/>
      <c r="GRI346" s="50"/>
      <c r="GRJ346" s="50"/>
      <c r="GRK346" s="50"/>
      <c r="GRL346" s="50"/>
      <c r="GRM346" s="50"/>
      <c r="GRN346" s="50"/>
      <c r="GRO346" s="50"/>
      <c r="GRP346" s="50"/>
      <c r="GRQ346" s="50"/>
      <c r="GRR346" s="50"/>
      <c r="GRS346" s="50"/>
      <c r="GRT346" s="50"/>
      <c r="GRU346" s="50"/>
      <c r="GRV346" s="50"/>
      <c r="GRW346" s="50"/>
      <c r="GRX346" s="50"/>
      <c r="GRY346" s="50"/>
      <c r="GRZ346" s="50"/>
      <c r="GSA346" s="50"/>
      <c r="GSB346" s="50"/>
      <c r="GSC346" s="50"/>
      <c r="GSD346" s="50"/>
      <c r="GSE346" s="50"/>
      <c r="GSF346" s="50"/>
      <c r="GSG346" s="50"/>
      <c r="GSH346" s="50"/>
      <c r="GSI346" s="50"/>
      <c r="GSJ346" s="50"/>
      <c r="GSK346" s="50"/>
      <c r="GSL346" s="50"/>
      <c r="GSM346" s="50"/>
      <c r="GSN346" s="50"/>
      <c r="GSO346" s="50"/>
      <c r="GSP346" s="50"/>
      <c r="GSQ346" s="50"/>
      <c r="GSR346" s="50"/>
      <c r="GSS346" s="50"/>
      <c r="GST346" s="50"/>
      <c r="GSU346" s="50"/>
      <c r="GSV346" s="50"/>
      <c r="GSW346" s="50"/>
      <c r="GSX346" s="50"/>
      <c r="GSY346" s="50"/>
      <c r="GSZ346" s="50"/>
      <c r="GTA346" s="50"/>
      <c r="GTB346" s="50"/>
      <c r="GTC346" s="50"/>
      <c r="GTD346" s="50"/>
      <c r="GTE346" s="50"/>
      <c r="GTF346" s="50"/>
      <c r="GTG346" s="50"/>
      <c r="GTH346" s="50"/>
      <c r="GTI346" s="50"/>
      <c r="GTJ346" s="50"/>
      <c r="GTK346" s="50"/>
      <c r="GTL346" s="50"/>
      <c r="GTM346" s="50"/>
      <c r="GTN346" s="50"/>
      <c r="GTO346" s="50"/>
      <c r="GTP346" s="50"/>
      <c r="GTQ346" s="50"/>
      <c r="GTR346" s="50"/>
      <c r="GTS346" s="50"/>
      <c r="GTT346" s="50"/>
      <c r="GTU346" s="50"/>
      <c r="GTV346" s="50"/>
      <c r="GTW346" s="50"/>
      <c r="GTX346" s="50"/>
      <c r="GTY346" s="50"/>
      <c r="GTZ346" s="50"/>
      <c r="GUA346" s="50"/>
      <c r="GUB346" s="50"/>
      <c r="GUC346" s="50"/>
      <c r="GUD346" s="50"/>
      <c r="GUE346" s="50"/>
      <c r="GUF346" s="50"/>
      <c r="GUG346" s="50"/>
      <c r="GUH346" s="50"/>
      <c r="GUI346" s="50"/>
      <c r="GUJ346" s="50"/>
      <c r="GUK346" s="50"/>
      <c r="GUL346" s="50"/>
      <c r="GUM346" s="50"/>
      <c r="GUN346" s="50"/>
      <c r="GUO346" s="50"/>
      <c r="GUP346" s="50"/>
      <c r="GUQ346" s="50"/>
      <c r="GUR346" s="50"/>
      <c r="GUS346" s="50"/>
      <c r="GUT346" s="50"/>
      <c r="GUU346" s="50"/>
      <c r="GUV346" s="50"/>
      <c r="GUW346" s="50"/>
      <c r="GUX346" s="50"/>
      <c r="GUY346" s="50"/>
      <c r="GUZ346" s="50"/>
      <c r="GVA346" s="50"/>
      <c r="GVB346" s="50"/>
      <c r="GVC346" s="50"/>
      <c r="GVD346" s="50"/>
      <c r="GVE346" s="50"/>
      <c r="GVF346" s="50"/>
      <c r="GVG346" s="50"/>
      <c r="GVH346" s="50"/>
      <c r="GVI346" s="50"/>
      <c r="GVJ346" s="50"/>
      <c r="GVK346" s="50"/>
      <c r="GVL346" s="50"/>
      <c r="GVM346" s="50"/>
      <c r="GVN346" s="50"/>
      <c r="GVO346" s="50"/>
      <c r="GVP346" s="50"/>
      <c r="GVQ346" s="50"/>
      <c r="GVR346" s="50"/>
      <c r="GVS346" s="50"/>
      <c r="GVT346" s="50"/>
      <c r="GVU346" s="50"/>
      <c r="GVV346" s="50"/>
      <c r="GVW346" s="50"/>
      <c r="GVX346" s="50"/>
      <c r="GVY346" s="50"/>
      <c r="GVZ346" s="50"/>
      <c r="GWA346" s="50"/>
      <c r="GWB346" s="50"/>
      <c r="GWC346" s="50"/>
      <c r="GWD346" s="50"/>
      <c r="GWE346" s="50"/>
      <c r="GWF346" s="50"/>
      <c r="GWG346" s="50"/>
      <c r="GWH346" s="50"/>
      <c r="GWI346" s="50"/>
      <c r="GWJ346" s="50"/>
      <c r="GWK346" s="50"/>
      <c r="GWL346" s="50"/>
      <c r="GWM346" s="50"/>
      <c r="GWN346" s="50"/>
      <c r="GWO346" s="50"/>
      <c r="GWP346" s="50"/>
      <c r="GWQ346" s="50"/>
      <c r="GWR346" s="50"/>
      <c r="GWS346" s="50"/>
      <c r="GWT346" s="50"/>
      <c r="GWU346" s="50"/>
      <c r="GWV346" s="50"/>
      <c r="GWW346" s="50"/>
      <c r="GWX346" s="50"/>
      <c r="GWY346" s="50"/>
      <c r="GWZ346" s="50"/>
      <c r="GXA346" s="50"/>
      <c r="GXB346" s="50"/>
      <c r="GXC346" s="50"/>
      <c r="GXD346" s="50"/>
      <c r="GXE346" s="50"/>
      <c r="GXF346" s="50"/>
      <c r="GXG346" s="50"/>
      <c r="GXH346" s="50"/>
      <c r="GXI346" s="50"/>
      <c r="GXJ346" s="50"/>
      <c r="GXK346" s="50"/>
      <c r="GXL346" s="50"/>
      <c r="GXM346" s="50"/>
      <c r="GXN346" s="50"/>
      <c r="GXO346" s="50"/>
      <c r="GXP346" s="50"/>
      <c r="GXQ346" s="50"/>
      <c r="GXR346" s="50"/>
      <c r="GXS346" s="50"/>
      <c r="GXT346" s="50"/>
      <c r="GXU346" s="50"/>
      <c r="GXV346" s="50"/>
      <c r="GXW346" s="50"/>
      <c r="GXX346" s="50"/>
      <c r="GXY346" s="50"/>
      <c r="GXZ346" s="50"/>
      <c r="GYA346" s="50"/>
      <c r="GYB346" s="50"/>
      <c r="GYC346" s="50"/>
      <c r="GYD346" s="50"/>
      <c r="GYE346" s="50"/>
      <c r="GYF346" s="50"/>
      <c r="GYG346" s="50"/>
      <c r="GYH346" s="50"/>
      <c r="GYI346" s="50"/>
      <c r="GYJ346" s="50"/>
      <c r="GYK346" s="50"/>
      <c r="GYL346" s="50"/>
      <c r="GYM346" s="50"/>
      <c r="GYN346" s="50"/>
      <c r="GYO346" s="50"/>
      <c r="GYP346" s="50"/>
      <c r="GYQ346" s="50"/>
      <c r="GYR346" s="50"/>
      <c r="GYS346" s="50"/>
      <c r="GYT346" s="50"/>
      <c r="GYU346" s="50"/>
      <c r="GYV346" s="50"/>
      <c r="GYW346" s="50"/>
      <c r="GYX346" s="50"/>
      <c r="GYY346" s="50"/>
      <c r="GYZ346" s="50"/>
      <c r="GZA346" s="50"/>
      <c r="GZB346" s="50"/>
      <c r="GZC346" s="50"/>
      <c r="GZD346" s="50"/>
      <c r="GZE346" s="50"/>
      <c r="GZF346" s="50"/>
      <c r="GZG346" s="50"/>
      <c r="GZH346" s="50"/>
      <c r="GZI346" s="50"/>
      <c r="GZJ346" s="50"/>
      <c r="GZK346" s="50"/>
      <c r="GZL346" s="50"/>
      <c r="GZM346" s="50"/>
      <c r="GZN346" s="50"/>
      <c r="GZO346" s="50"/>
      <c r="GZP346" s="50"/>
      <c r="GZQ346" s="50"/>
      <c r="GZR346" s="50"/>
      <c r="GZS346" s="50"/>
      <c r="GZT346" s="50"/>
      <c r="GZU346" s="50"/>
      <c r="GZV346" s="50"/>
      <c r="GZW346" s="50"/>
      <c r="GZX346" s="50"/>
      <c r="GZY346" s="50"/>
      <c r="GZZ346" s="50"/>
      <c r="HAA346" s="50"/>
      <c r="HAB346" s="50"/>
      <c r="HAC346" s="50"/>
      <c r="HAD346" s="50"/>
      <c r="HAE346" s="50"/>
      <c r="HAF346" s="50"/>
      <c r="HAG346" s="50"/>
      <c r="HAH346" s="50"/>
      <c r="HAI346" s="50"/>
      <c r="HAJ346" s="50"/>
      <c r="HAK346" s="50"/>
      <c r="HAL346" s="50"/>
      <c r="HAM346" s="50"/>
      <c r="HAN346" s="50"/>
      <c r="HAO346" s="50"/>
      <c r="HAP346" s="50"/>
      <c r="HAQ346" s="50"/>
      <c r="HAR346" s="50"/>
      <c r="HAS346" s="50"/>
      <c r="HAT346" s="50"/>
      <c r="HAU346" s="50"/>
      <c r="HAV346" s="50"/>
      <c r="HAW346" s="50"/>
      <c r="HAX346" s="50"/>
      <c r="HAY346" s="50"/>
      <c r="HAZ346" s="50"/>
      <c r="HBA346" s="50"/>
      <c r="HBB346" s="50"/>
      <c r="HBC346" s="50"/>
      <c r="HBD346" s="50"/>
      <c r="HBE346" s="50"/>
      <c r="HBF346" s="50"/>
      <c r="HBG346" s="50"/>
      <c r="HBH346" s="50"/>
      <c r="HBI346" s="50"/>
      <c r="HBJ346" s="50"/>
      <c r="HBK346" s="50"/>
      <c r="HBL346" s="50"/>
      <c r="HBM346" s="50"/>
      <c r="HBN346" s="50"/>
      <c r="HBO346" s="50"/>
      <c r="HBP346" s="50"/>
      <c r="HBQ346" s="50"/>
      <c r="HBR346" s="50"/>
      <c r="HBS346" s="50"/>
      <c r="HBT346" s="50"/>
      <c r="HBU346" s="50"/>
      <c r="HBV346" s="50"/>
      <c r="HBW346" s="50"/>
      <c r="HBX346" s="50"/>
      <c r="HBY346" s="50"/>
      <c r="HBZ346" s="50"/>
      <c r="HCA346" s="50"/>
      <c r="HCB346" s="50"/>
      <c r="HCC346" s="50"/>
      <c r="HCD346" s="50"/>
      <c r="HCE346" s="50"/>
      <c r="HCF346" s="50"/>
      <c r="HCG346" s="50"/>
      <c r="HCH346" s="50"/>
      <c r="HCI346" s="50"/>
      <c r="HCJ346" s="50"/>
      <c r="HCK346" s="50"/>
      <c r="HCL346" s="50"/>
      <c r="HCM346" s="50"/>
      <c r="HCN346" s="50"/>
      <c r="HCO346" s="50"/>
      <c r="HCP346" s="50"/>
      <c r="HCQ346" s="50"/>
      <c r="HCR346" s="50"/>
      <c r="HCS346" s="50"/>
      <c r="HCT346" s="50"/>
      <c r="HCU346" s="50"/>
      <c r="HCV346" s="50"/>
      <c r="HCW346" s="50"/>
      <c r="HCX346" s="50"/>
      <c r="HCY346" s="50"/>
      <c r="HCZ346" s="50"/>
      <c r="HDA346" s="50"/>
      <c r="HDB346" s="50"/>
      <c r="HDC346" s="50"/>
      <c r="HDD346" s="50"/>
      <c r="HDE346" s="50"/>
      <c r="HDF346" s="50"/>
      <c r="HDG346" s="50"/>
      <c r="HDH346" s="50"/>
      <c r="HDI346" s="50"/>
      <c r="HDJ346" s="50"/>
      <c r="HDK346" s="50"/>
      <c r="HDL346" s="50"/>
      <c r="HDM346" s="50"/>
      <c r="HDN346" s="50"/>
      <c r="HDO346" s="50"/>
      <c r="HDP346" s="50"/>
      <c r="HDQ346" s="50"/>
      <c r="HDR346" s="50"/>
      <c r="HDS346" s="50"/>
      <c r="HDT346" s="50"/>
      <c r="HDU346" s="50"/>
      <c r="HDV346" s="50"/>
      <c r="HDW346" s="50"/>
      <c r="HDX346" s="50"/>
      <c r="HDY346" s="50"/>
      <c r="HDZ346" s="50"/>
      <c r="HEA346" s="50"/>
      <c r="HEB346" s="50"/>
      <c r="HEC346" s="50"/>
      <c r="HED346" s="50"/>
      <c r="HEE346" s="50"/>
      <c r="HEF346" s="50"/>
      <c r="HEG346" s="50"/>
      <c r="HEH346" s="50"/>
      <c r="HEI346" s="50"/>
      <c r="HEJ346" s="50"/>
      <c r="HEK346" s="50"/>
      <c r="HEL346" s="50"/>
      <c r="HEM346" s="50"/>
      <c r="HEN346" s="50"/>
      <c r="HEO346" s="50"/>
      <c r="HEP346" s="50"/>
      <c r="HEQ346" s="50"/>
      <c r="HER346" s="50"/>
      <c r="HES346" s="50"/>
      <c r="HET346" s="50"/>
      <c r="HEU346" s="50"/>
      <c r="HEV346" s="50"/>
      <c r="HEW346" s="50"/>
      <c r="HEX346" s="50"/>
      <c r="HEY346" s="50"/>
      <c r="HEZ346" s="50"/>
      <c r="HFA346" s="50"/>
      <c r="HFB346" s="50"/>
      <c r="HFC346" s="50"/>
      <c r="HFD346" s="50"/>
      <c r="HFE346" s="50"/>
      <c r="HFF346" s="50"/>
      <c r="HFG346" s="50"/>
      <c r="HFH346" s="50"/>
      <c r="HFI346" s="50"/>
      <c r="HFJ346" s="50"/>
      <c r="HFK346" s="50"/>
      <c r="HFL346" s="50"/>
      <c r="HFM346" s="50"/>
      <c r="HFN346" s="50"/>
      <c r="HFO346" s="50"/>
      <c r="HFP346" s="50"/>
      <c r="HFQ346" s="50"/>
      <c r="HFR346" s="50"/>
      <c r="HFS346" s="50"/>
      <c r="HFT346" s="50"/>
      <c r="HFU346" s="50"/>
      <c r="HFV346" s="50"/>
      <c r="HFW346" s="50"/>
      <c r="HFX346" s="50"/>
      <c r="HFY346" s="50"/>
      <c r="HFZ346" s="50"/>
      <c r="HGA346" s="50"/>
      <c r="HGB346" s="50"/>
      <c r="HGC346" s="50"/>
      <c r="HGD346" s="50"/>
      <c r="HGE346" s="50"/>
      <c r="HGF346" s="50"/>
      <c r="HGG346" s="50"/>
      <c r="HGH346" s="50"/>
      <c r="HGI346" s="50"/>
      <c r="HGJ346" s="50"/>
      <c r="HGK346" s="50"/>
      <c r="HGL346" s="50"/>
      <c r="HGM346" s="50"/>
      <c r="HGN346" s="50"/>
      <c r="HGO346" s="50"/>
      <c r="HGP346" s="50"/>
      <c r="HGQ346" s="50"/>
      <c r="HGR346" s="50"/>
      <c r="HGS346" s="50"/>
      <c r="HGT346" s="50"/>
      <c r="HGU346" s="50"/>
      <c r="HGV346" s="50"/>
      <c r="HGW346" s="50"/>
      <c r="HGX346" s="50"/>
      <c r="HGY346" s="50"/>
      <c r="HGZ346" s="50"/>
      <c r="HHA346" s="50"/>
      <c r="HHB346" s="50"/>
      <c r="HHC346" s="50"/>
      <c r="HHD346" s="50"/>
      <c r="HHE346" s="50"/>
      <c r="HHF346" s="50"/>
      <c r="HHG346" s="50"/>
      <c r="HHH346" s="50"/>
      <c r="HHI346" s="50"/>
      <c r="HHJ346" s="50"/>
      <c r="HHK346" s="50"/>
      <c r="HHL346" s="50"/>
      <c r="HHM346" s="50"/>
      <c r="HHN346" s="50"/>
      <c r="HHO346" s="50"/>
      <c r="HHP346" s="50"/>
      <c r="HHQ346" s="50"/>
      <c r="HHR346" s="50"/>
      <c r="HHS346" s="50"/>
      <c r="HHT346" s="50"/>
      <c r="HHU346" s="50"/>
      <c r="HHV346" s="50"/>
      <c r="HHW346" s="50"/>
      <c r="HHX346" s="50"/>
      <c r="HHY346" s="50"/>
      <c r="HHZ346" s="50"/>
      <c r="HIA346" s="50"/>
      <c r="HIB346" s="50"/>
      <c r="HIC346" s="50"/>
      <c r="HID346" s="50"/>
      <c r="HIE346" s="50"/>
      <c r="HIF346" s="50"/>
      <c r="HIG346" s="50"/>
      <c r="HIH346" s="50"/>
      <c r="HII346" s="50"/>
      <c r="HIJ346" s="50"/>
      <c r="HIK346" s="50"/>
      <c r="HIL346" s="50"/>
      <c r="HIM346" s="50"/>
      <c r="HIN346" s="50"/>
      <c r="HIO346" s="50"/>
      <c r="HIP346" s="50"/>
      <c r="HIQ346" s="50"/>
      <c r="HIR346" s="50"/>
      <c r="HIS346" s="50"/>
      <c r="HIT346" s="50"/>
      <c r="HIU346" s="50"/>
      <c r="HIV346" s="50"/>
      <c r="HIW346" s="50"/>
      <c r="HIX346" s="50"/>
      <c r="HIY346" s="50"/>
      <c r="HIZ346" s="50"/>
      <c r="HJA346" s="50"/>
      <c r="HJB346" s="50"/>
      <c r="HJC346" s="50"/>
      <c r="HJD346" s="50"/>
      <c r="HJE346" s="50"/>
      <c r="HJF346" s="50"/>
      <c r="HJG346" s="50"/>
      <c r="HJH346" s="50"/>
      <c r="HJI346" s="50"/>
      <c r="HJJ346" s="50"/>
      <c r="HJK346" s="50"/>
      <c r="HJL346" s="50"/>
      <c r="HJM346" s="50"/>
      <c r="HJN346" s="50"/>
      <c r="HJO346" s="50"/>
      <c r="HJP346" s="50"/>
      <c r="HJQ346" s="50"/>
      <c r="HJR346" s="50"/>
      <c r="HJS346" s="50"/>
      <c r="HJT346" s="50"/>
      <c r="HJU346" s="50"/>
      <c r="HJV346" s="50"/>
      <c r="HJW346" s="50"/>
      <c r="HJX346" s="50"/>
      <c r="HJY346" s="50"/>
      <c r="HJZ346" s="50"/>
      <c r="HKA346" s="50"/>
      <c r="HKB346" s="50"/>
      <c r="HKC346" s="50"/>
      <c r="HKD346" s="50"/>
      <c r="HKE346" s="50"/>
      <c r="HKF346" s="50"/>
      <c r="HKG346" s="50"/>
      <c r="HKH346" s="50"/>
      <c r="HKI346" s="50"/>
      <c r="HKJ346" s="50"/>
      <c r="HKK346" s="50"/>
      <c r="HKL346" s="50"/>
      <c r="HKM346" s="50"/>
      <c r="HKN346" s="50"/>
      <c r="HKO346" s="50"/>
      <c r="HKP346" s="50"/>
      <c r="HKQ346" s="50"/>
      <c r="HKR346" s="50"/>
      <c r="HKS346" s="50"/>
      <c r="HKT346" s="50"/>
      <c r="HKU346" s="50"/>
      <c r="HKV346" s="50"/>
      <c r="HKW346" s="50"/>
      <c r="HKX346" s="50"/>
      <c r="HKY346" s="50"/>
      <c r="HKZ346" s="50"/>
      <c r="HLA346" s="50"/>
      <c r="HLB346" s="50"/>
      <c r="HLC346" s="50"/>
      <c r="HLD346" s="50"/>
      <c r="HLE346" s="50"/>
      <c r="HLF346" s="50"/>
      <c r="HLG346" s="50"/>
      <c r="HLH346" s="50"/>
      <c r="HLI346" s="50"/>
      <c r="HLJ346" s="50"/>
      <c r="HLK346" s="50"/>
      <c r="HLL346" s="50"/>
      <c r="HLM346" s="50"/>
      <c r="HLN346" s="50"/>
      <c r="HLO346" s="50"/>
      <c r="HLP346" s="50"/>
      <c r="HLQ346" s="50"/>
      <c r="HLR346" s="50"/>
      <c r="HLS346" s="50"/>
      <c r="HLT346" s="50"/>
      <c r="HLU346" s="50"/>
      <c r="HLV346" s="50"/>
      <c r="HLW346" s="50"/>
      <c r="HLX346" s="50"/>
      <c r="HLY346" s="50"/>
      <c r="HLZ346" s="50"/>
      <c r="HMA346" s="50"/>
      <c r="HMB346" s="50"/>
      <c r="HMC346" s="50"/>
      <c r="HMD346" s="50"/>
      <c r="HME346" s="50"/>
      <c r="HMF346" s="50"/>
      <c r="HMG346" s="50"/>
      <c r="HMH346" s="50"/>
      <c r="HMI346" s="50"/>
      <c r="HMJ346" s="50"/>
      <c r="HMK346" s="50"/>
      <c r="HML346" s="50"/>
      <c r="HMM346" s="50"/>
      <c r="HMN346" s="50"/>
      <c r="HMO346" s="50"/>
      <c r="HMP346" s="50"/>
      <c r="HMQ346" s="50"/>
      <c r="HMR346" s="50"/>
      <c r="HMS346" s="50"/>
      <c r="HMT346" s="50"/>
      <c r="HMU346" s="50"/>
      <c r="HMV346" s="50"/>
      <c r="HMW346" s="50"/>
      <c r="HMX346" s="50"/>
      <c r="HMY346" s="50"/>
      <c r="HMZ346" s="50"/>
      <c r="HNA346" s="50"/>
      <c r="HNB346" s="50"/>
      <c r="HNC346" s="50"/>
      <c r="HND346" s="50"/>
      <c r="HNE346" s="50"/>
      <c r="HNF346" s="50"/>
      <c r="HNG346" s="50"/>
      <c r="HNH346" s="50"/>
      <c r="HNI346" s="50"/>
      <c r="HNJ346" s="50"/>
      <c r="HNK346" s="50"/>
      <c r="HNL346" s="50"/>
      <c r="HNM346" s="50"/>
      <c r="HNN346" s="50"/>
      <c r="HNO346" s="50"/>
      <c r="HNP346" s="50"/>
      <c r="HNQ346" s="50"/>
      <c r="HNR346" s="50"/>
      <c r="HNS346" s="50"/>
      <c r="HNT346" s="50"/>
      <c r="HNU346" s="50"/>
      <c r="HNV346" s="50"/>
      <c r="HNW346" s="50"/>
      <c r="HNX346" s="50"/>
      <c r="HNY346" s="50"/>
      <c r="HNZ346" s="50"/>
      <c r="HOA346" s="50"/>
      <c r="HOB346" s="50"/>
      <c r="HOC346" s="50"/>
      <c r="HOD346" s="50"/>
      <c r="HOE346" s="50"/>
      <c r="HOF346" s="50"/>
      <c r="HOG346" s="50"/>
      <c r="HOH346" s="50"/>
      <c r="HOI346" s="50"/>
      <c r="HOJ346" s="50"/>
      <c r="HOK346" s="50"/>
      <c r="HOL346" s="50"/>
      <c r="HOM346" s="50"/>
      <c r="HON346" s="50"/>
      <c r="HOO346" s="50"/>
      <c r="HOP346" s="50"/>
      <c r="HOQ346" s="50"/>
      <c r="HOR346" s="50"/>
      <c r="HOS346" s="50"/>
      <c r="HOT346" s="50"/>
      <c r="HOU346" s="50"/>
      <c r="HOV346" s="50"/>
      <c r="HOW346" s="50"/>
      <c r="HOX346" s="50"/>
      <c r="HOY346" s="50"/>
      <c r="HOZ346" s="50"/>
      <c r="HPA346" s="50"/>
      <c r="HPB346" s="50"/>
      <c r="HPC346" s="50"/>
      <c r="HPD346" s="50"/>
      <c r="HPE346" s="50"/>
      <c r="HPF346" s="50"/>
      <c r="HPG346" s="50"/>
      <c r="HPH346" s="50"/>
      <c r="HPI346" s="50"/>
      <c r="HPJ346" s="50"/>
      <c r="HPK346" s="50"/>
      <c r="HPL346" s="50"/>
      <c r="HPM346" s="50"/>
      <c r="HPN346" s="50"/>
      <c r="HPO346" s="50"/>
      <c r="HPP346" s="50"/>
      <c r="HPQ346" s="50"/>
      <c r="HPR346" s="50"/>
      <c r="HPS346" s="50"/>
      <c r="HPT346" s="50"/>
      <c r="HPU346" s="50"/>
      <c r="HPV346" s="50"/>
      <c r="HPW346" s="50"/>
      <c r="HPX346" s="50"/>
      <c r="HPY346" s="50"/>
      <c r="HPZ346" s="50"/>
      <c r="HQA346" s="50"/>
      <c r="HQB346" s="50"/>
      <c r="HQC346" s="50"/>
      <c r="HQD346" s="50"/>
      <c r="HQE346" s="50"/>
      <c r="HQF346" s="50"/>
      <c r="HQG346" s="50"/>
      <c r="HQH346" s="50"/>
      <c r="HQI346" s="50"/>
      <c r="HQJ346" s="50"/>
      <c r="HQK346" s="50"/>
      <c r="HQL346" s="50"/>
      <c r="HQM346" s="50"/>
      <c r="HQN346" s="50"/>
      <c r="HQO346" s="50"/>
      <c r="HQP346" s="50"/>
      <c r="HQQ346" s="50"/>
      <c r="HQR346" s="50"/>
      <c r="HQS346" s="50"/>
      <c r="HQT346" s="50"/>
      <c r="HQU346" s="50"/>
      <c r="HQV346" s="50"/>
      <c r="HQW346" s="50"/>
      <c r="HQX346" s="50"/>
      <c r="HQY346" s="50"/>
      <c r="HQZ346" s="50"/>
      <c r="HRA346" s="50"/>
      <c r="HRB346" s="50"/>
      <c r="HRC346" s="50"/>
      <c r="HRD346" s="50"/>
      <c r="HRE346" s="50"/>
      <c r="HRF346" s="50"/>
      <c r="HRG346" s="50"/>
      <c r="HRH346" s="50"/>
      <c r="HRI346" s="50"/>
      <c r="HRJ346" s="50"/>
      <c r="HRK346" s="50"/>
      <c r="HRL346" s="50"/>
      <c r="HRM346" s="50"/>
      <c r="HRN346" s="50"/>
      <c r="HRO346" s="50"/>
      <c r="HRP346" s="50"/>
      <c r="HRQ346" s="50"/>
      <c r="HRR346" s="50"/>
      <c r="HRS346" s="50"/>
      <c r="HRT346" s="50"/>
      <c r="HRU346" s="50"/>
      <c r="HRV346" s="50"/>
      <c r="HRW346" s="50"/>
      <c r="HRX346" s="50"/>
      <c r="HRY346" s="50"/>
      <c r="HRZ346" s="50"/>
      <c r="HSA346" s="50"/>
      <c r="HSB346" s="50"/>
      <c r="HSC346" s="50"/>
      <c r="HSD346" s="50"/>
      <c r="HSE346" s="50"/>
      <c r="HSF346" s="50"/>
      <c r="HSG346" s="50"/>
      <c r="HSH346" s="50"/>
      <c r="HSI346" s="50"/>
      <c r="HSJ346" s="50"/>
      <c r="HSK346" s="50"/>
      <c r="HSL346" s="50"/>
      <c r="HSM346" s="50"/>
      <c r="HSN346" s="50"/>
      <c r="HSO346" s="50"/>
      <c r="HSP346" s="50"/>
      <c r="HSQ346" s="50"/>
      <c r="HSR346" s="50"/>
      <c r="HSS346" s="50"/>
      <c r="HST346" s="50"/>
      <c r="HSU346" s="50"/>
      <c r="HSV346" s="50"/>
      <c r="HSW346" s="50"/>
      <c r="HSX346" s="50"/>
      <c r="HSY346" s="50"/>
      <c r="HSZ346" s="50"/>
      <c r="HTA346" s="50"/>
      <c r="HTB346" s="50"/>
      <c r="HTC346" s="50"/>
      <c r="HTD346" s="50"/>
      <c r="HTE346" s="50"/>
      <c r="HTF346" s="50"/>
      <c r="HTG346" s="50"/>
      <c r="HTH346" s="50"/>
      <c r="HTI346" s="50"/>
      <c r="HTJ346" s="50"/>
      <c r="HTK346" s="50"/>
      <c r="HTL346" s="50"/>
      <c r="HTM346" s="50"/>
      <c r="HTN346" s="50"/>
      <c r="HTO346" s="50"/>
      <c r="HTP346" s="50"/>
      <c r="HTQ346" s="50"/>
      <c r="HTR346" s="50"/>
      <c r="HTS346" s="50"/>
      <c r="HTT346" s="50"/>
      <c r="HTU346" s="50"/>
      <c r="HTV346" s="50"/>
      <c r="HTW346" s="50"/>
      <c r="HTX346" s="50"/>
      <c r="HTY346" s="50"/>
      <c r="HTZ346" s="50"/>
      <c r="HUA346" s="50"/>
      <c r="HUB346" s="50"/>
      <c r="HUC346" s="50"/>
      <c r="HUD346" s="50"/>
      <c r="HUE346" s="50"/>
      <c r="HUF346" s="50"/>
      <c r="HUG346" s="50"/>
      <c r="HUH346" s="50"/>
      <c r="HUI346" s="50"/>
      <c r="HUJ346" s="50"/>
      <c r="HUK346" s="50"/>
      <c r="HUL346" s="50"/>
      <c r="HUM346" s="50"/>
      <c r="HUN346" s="50"/>
      <c r="HUO346" s="50"/>
      <c r="HUP346" s="50"/>
      <c r="HUQ346" s="50"/>
      <c r="HUR346" s="50"/>
      <c r="HUS346" s="50"/>
      <c r="HUT346" s="50"/>
      <c r="HUU346" s="50"/>
      <c r="HUV346" s="50"/>
      <c r="HUW346" s="50"/>
      <c r="HUX346" s="50"/>
      <c r="HUY346" s="50"/>
      <c r="HUZ346" s="50"/>
      <c r="HVA346" s="50"/>
      <c r="HVB346" s="50"/>
      <c r="HVC346" s="50"/>
      <c r="HVD346" s="50"/>
      <c r="HVE346" s="50"/>
      <c r="HVF346" s="50"/>
      <c r="HVG346" s="50"/>
      <c r="HVH346" s="50"/>
      <c r="HVI346" s="50"/>
      <c r="HVJ346" s="50"/>
      <c r="HVK346" s="50"/>
      <c r="HVL346" s="50"/>
      <c r="HVM346" s="50"/>
      <c r="HVN346" s="50"/>
      <c r="HVO346" s="50"/>
      <c r="HVP346" s="50"/>
      <c r="HVQ346" s="50"/>
      <c r="HVR346" s="50"/>
      <c r="HVS346" s="50"/>
      <c r="HVT346" s="50"/>
      <c r="HVU346" s="50"/>
      <c r="HVV346" s="50"/>
      <c r="HVW346" s="50"/>
      <c r="HVX346" s="50"/>
      <c r="HVY346" s="50"/>
      <c r="HVZ346" s="50"/>
      <c r="HWA346" s="50"/>
      <c r="HWB346" s="50"/>
      <c r="HWC346" s="50"/>
      <c r="HWD346" s="50"/>
      <c r="HWE346" s="50"/>
      <c r="HWF346" s="50"/>
      <c r="HWG346" s="50"/>
      <c r="HWH346" s="50"/>
      <c r="HWI346" s="50"/>
      <c r="HWJ346" s="50"/>
      <c r="HWK346" s="50"/>
      <c r="HWL346" s="50"/>
      <c r="HWM346" s="50"/>
      <c r="HWN346" s="50"/>
      <c r="HWO346" s="50"/>
      <c r="HWP346" s="50"/>
      <c r="HWQ346" s="50"/>
      <c r="HWR346" s="50"/>
      <c r="HWS346" s="50"/>
      <c r="HWT346" s="50"/>
      <c r="HWU346" s="50"/>
      <c r="HWV346" s="50"/>
      <c r="HWW346" s="50"/>
      <c r="HWX346" s="50"/>
      <c r="HWY346" s="50"/>
      <c r="HWZ346" s="50"/>
      <c r="HXA346" s="50"/>
      <c r="HXB346" s="50"/>
      <c r="HXC346" s="50"/>
      <c r="HXD346" s="50"/>
      <c r="HXE346" s="50"/>
      <c r="HXF346" s="50"/>
      <c r="HXG346" s="50"/>
      <c r="HXH346" s="50"/>
      <c r="HXI346" s="50"/>
      <c r="HXJ346" s="50"/>
      <c r="HXK346" s="50"/>
      <c r="HXL346" s="50"/>
      <c r="HXM346" s="50"/>
      <c r="HXN346" s="50"/>
      <c r="HXO346" s="50"/>
      <c r="HXP346" s="50"/>
      <c r="HXQ346" s="50"/>
      <c r="HXR346" s="50"/>
      <c r="HXS346" s="50"/>
      <c r="HXT346" s="50"/>
      <c r="HXU346" s="50"/>
      <c r="HXV346" s="50"/>
      <c r="HXW346" s="50"/>
      <c r="HXX346" s="50"/>
      <c r="HXY346" s="50"/>
      <c r="HXZ346" s="50"/>
      <c r="HYA346" s="50"/>
      <c r="HYB346" s="50"/>
      <c r="HYC346" s="50"/>
      <c r="HYD346" s="50"/>
      <c r="HYE346" s="50"/>
      <c r="HYF346" s="50"/>
      <c r="HYG346" s="50"/>
      <c r="HYH346" s="50"/>
      <c r="HYI346" s="50"/>
      <c r="HYJ346" s="50"/>
      <c r="HYK346" s="50"/>
      <c r="HYL346" s="50"/>
      <c r="HYM346" s="50"/>
      <c r="HYN346" s="50"/>
      <c r="HYO346" s="50"/>
      <c r="HYP346" s="50"/>
      <c r="HYQ346" s="50"/>
      <c r="HYR346" s="50"/>
      <c r="HYS346" s="50"/>
      <c r="HYT346" s="50"/>
      <c r="HYU346" s="50"/>
      <c r="HYV346" s="50"/>
      <c r="HYW346" s="50"/>
      <c r="HYX346" s="50"/>
      <c r="HYY346" s="50"/>
      <c r="HYZ346" s="50"/>
      <c r="HZA346" s="50"/>
      <c r="HZB346" s="50"/>
      <c r="HZC346" s="50"/>
      <c r="HZD346" s="50"/>
      <c r="HZE346" s="50"/>
      <c r="HZF346" s="50"/>
      <c r="HZG346" s="50"/>
      <c r="HZH346" s="50"/>
      <c r="HZI346" s="50"/>
      <c r="HZJ346" s="50"/>
      <c r="HZK346" s="50"/>
      <c r="HZL346" s="50"/>
      <c r="HZM346" s="50"/>
      <c r="HZN346" s="50"/>
      <c r="HZO346" s="50"/>
      <c r="HZP346" s="50"/>
      <c r="HZQ346" s="50"/>
      <c r="HZR346" s="50"/>
      <c r="HZS346" s="50"/>
      <c r="HZT346" s="50"/>
      <c r="HZU346" s="50"/>
      <c r="HZV346" s="50"/>
      <c r="HZW346" s="50"/>
      <c r="HZX346" s="50"/>
      <c r="HZY346" s="50"/>
      <c r="HZZ346" s="50"/>
      <c r="IAA346" s="50"/>
      <c r="IAB346" s="50"/>
      <c r="IAC346" s="50"/>
      <c r="IAD346" s="50"/>
      <c r="IAE346" s="50"/>
      <c r="IAF346" s="50"/>
      <c r="IAG346" s="50"/>
      <c r="IAH346" s="50"/>
      <c r="IAI346" s="50"/>
      <c r="IAJ346" s="50"/>
      <c r="IAK346" s="50"/>
      <c r="IAL346" s="50"/>
      <c r="IAM346" s="50"/>
      <c r="IAN346" s="50"/>
      <c r="IAO346" s="50"/>
      <c r="IAP346" s="50"/>
      <c r="IAQ346" s="50"/>
      <c r="IAR346" s="50"/>
      <c r="IAS346" s="50"/>
      <c r="IAT346" s="50"/>
      <c r="IAU346" s="50"/>
      <c r="IAV346" s="50"/>
      <c r="IAW346" s="50"/>
      <c r="IAX346" s="50"/>
      <c r="IAY346" s="50"/>
      <c r="IAZ346" s="50"/>
      <c r="IBA346" s="50"/>
      <c r="IBB346" s="50"/>
      <c r="IBC346" s="50"/>
      <c r="IBD346" s="50"/>
      <c r="IBE346" s="50"/>
      <c r="IBF346" s="50"/>
      <c r="IBG346" s="50"/>
      <c r="IBH346" s="50"/>
      <c r="IBI346" s="50"/>
      <c r="IBJ346" s="50"/>
      <c r="IBK346" s="50"/>
      <c r="IBL346" s="50"/>
      <c r="IBM346" s="50"/>
      <c r="IBN346" s="50"/>
      <c r="IBO346" s="50"/>
      <c r="IBP346" s="50"/>
      <c r="IBQ346" s="50"/>
      <c r="IBR346" s="50"/>
      <c r="IBS346" s="50"/>
      <c r="IBT346" s="50"/>
      <c r="IBU346" s="50"/>
      <c r="IBV346" s="50"/>
      <c r="IBW346" s="50"/>
      <c r="IBX346" s="50"/>
      <c r="IBY346" s="50"/>
      <c r="IBZ346" s="50"/>
      <c r="ICA346" s="50"/>
      <c r="ICB346" s="50"/>
      <c r="ICC346" s="50"/>
      <c r="ICD346" s="50"/>
      <c r="ICE346" s="50"/>
      <c r="ICF346" s="50"/>
      <c r="ICG346" s="50"/>
      <c r="ICH346" s="50"/>
      <c r="ICI346" s="50"/>
      <c r="ICJ346" s="50"/>
      <c r="ICK346" s="50"/>
      <c r="ICL346" s="50"/>
      <c r="ICM346" s="50"/>
      <c r="ICN346" s="50"/>
      <c r="ICO346" s="50"/>
      <c r="ICP346" s="50"/>
      <c r="ICQ346" s="50"/>
      <c r="ICR346" s="50"/>
      <c r="ICS346" s="50"/>
      <c r="ICT346" s="50"/>
      <c r="ICU346" s="50"/>
      <c r="ICV346" s="50"/>
      <c r="ICW346" s="50"/>
      <c r="ICX346" s="50"/>
      <c r="ICY346" s="50"/>
      <c r="ICZ346" s="50"/>
      <c r="IDA346" s="50"/>
      <c r="IDB346" s="50"/>
      <c r="IDC346" s="50"/>
      <c r="IDD346" s="50"/>
      <c r="IDE346" s="50"/>
      <c r="IDF346" s="50"/>
      <c r="IDG346" s="50"/>
      <c r="IDH346" s="50"/>
      <c r="IDI346" s="50"/>
      <c r="IDJ346" s="50"/>
      <c r="IDK346" s="50"/>
      <c r="IDL346" s="50"/>
      <c r="IDM346" s="50"/>
      <c r="IDN346" s="50"/>
      <c r="IDO346" s="50"/>
      <c r="IDP346" s="50"/>
      <c r="IDQ346" s="50"/>
      <c r="IDR346" s="50"/>
      <c r="IDS346" s="50"/>
      <c r="IDT346" s="50"/>
      <c r="IDU346" s="50"/>
      <c r="IDV346" s="50"/>
      <c r="IDW346" s="50"/>
      <c r="IDX346" s="50"/>
      <c r="IDY346" s="50"/>
      <c r="IDZ346" s="50"/>
      <c r="IEA346" s="50"/>
      <c r="IEB346" s="50"/>
      <c r="IEC346" s="50"/>
      <c r="IED346" s="50"/>
      <c r="IEE346" s="50"/>
      <c r="IEF346" s="50"/>
      <c r="IEG346" s="50"/>
      <c r="IEH346" s="50"/>
      <c r="IEI346" s="50"/>
      <c r="IEJ346" s="50"/>
      <c r="IEK346" s="50"/>
      <c r="IEL346" s="50"/>
      <c r="IEM346" s="50"/>
      <c r="IEN346" s="50"/>
      <c r="IEO346" s="50"/>
      <c r="IEP346" s="50"/>
      <c r="IEQ346" s="50"/>
      <c r="IER346" s="50"/>
      <c r="IES346" s="50"/>
      <c r="IET346" s="50"/>
      <c r="IEU346" s="50"/>
      <c r="IEV346" s="50"/>
      <c r="IEW346" s="50"/>
      <c r="IEX346" s="50"/>
      <c r="IEY346" s="50"/>
      <c r="IEZ346" s="50"/>
      <c r="IFA346" s="50"/>
      <c r="IFB346" s="50"/>
      <c r="IFC346" s="50"/>
      <c r="IFD346" s="50"/>
      <c r="IFE346" s="50"/>
      <c r="IFF346" s="50"/>
      <c r="IFG346" s="50"/>
      <c r="IFH346" s="50"/>
      <c r="IFI346" s="50"/>
      <c r="IFJ346" s="50"/>
      <c r="IFK346" s="50"/>
      <c r="IFL346" s="50"/>
      <c r="IFM346" s="50"/>
      <c r="IFN346" s="50"/>
      <c r="IFO346" s="50"/>
      <c r="IFP346" s="50"/>
      <c r="IFQ346" s="50"/>
      <c r="IFR346" s="50"/>
      <c r="IFS346" s="50"/>
      <c r="IFT346" s="50"/>
      <c r="IFU346" s="50"/>
      <c r="IFV346" s="50"/>
      <c r="IFW346" s="50"/>
      <c r="IFX346" s="50"/>
      <c r="IFY346" s="50"/>
      <c r="IFZ346" s="50"/>
      <c r="IGA346" s="50"/>
      <c r="IGB346" s="50"/>
      <c r="IGC346" s="50"/>
      <c r="IGD346" s="50"/>
      <c r="IGE346" s="50"/>
      <c r="IGF346" s="50"/>
      <c r="IGG346" s="50"/>
      <c r="IGH346" s="50"/>
      <c r="IGI346" s="50"/>
      <c r="IGJ346" s="50"/>
      <c r="IGK346" s="50"/>
      <c r="IGL346" s="50"/>
      <c r="IGM346" s="50"/>
      <c r="IGN346" s="50"/>
      <c r="IGO346" s="50"/>
      <c r="IGP346" s="50"/>
      <c r="IGQ346" s="50"/>
      <c r="IGR346" s="50"/>
      <c r="IGS346" s="50"/>
      <c r="IGT346" s="50"/>
      <c r="IGU346" s="50"/>
      <c r="IGV346" s="50"/>
      <c r="IGW346" s="50"/>
      <c r="IGX346" s="50"/>
      <c r="IGY346" s="50"/>
      <c r="IGZ346" s="50"/>
      <c r="IHA346" s="50"/>
      <c r="IHB346" s="50"/>
      <c r="IHC346" s="50"/>
      <c r="IHD346" s="50"/>
      <c r="IHE346" s="50"/>
      <c r="IHF346" s="50"/>
      <c r="IHG346" s="50"/>
      <c r="IHH346" s="50"/>
      <c r="IHI346" s="50"/>
      <c r="IHJ346" s="50"/>
      <c r="IHK346" s="50"/>
      <c r="IHL346" s="50"/>
      <c r="IHM346" s="50"/>
      <c r="IHN346" s="50"/>
      <c r="IHO346" s="50"/>
      <c r="IHP346" s="50"/>
      <c r="IHQ346" s="50"/>
      <c r="IHR346" s="50"/>
      <c r="IHS346" s="50"/>
      <c r="IHT346" s="50"/>
      <c r="IHU346" s="50"/>
      <c r="IHV346" s="50"/>
      <c r="IHW346" s="50"/>
      <c r="IHX346" s="50"/>
      <c r="IHY346" s="50"/>
      <c r="IHZ346" s="50"/>
      <c r="IIA346" s="50"/>
      <c r="IIB346" s="50"/>
      <c r="IIC346" s="50"/>
      <c r="IID346" s="50"/>
      <c r="IIE346" s="50"/>
      <c r="IIF346" s="50"/>
      <c r="IIG346" s="50"/>
      <c r="IIH346" s="50"/>
      <c r="III346" s="50"/>
      <c r="IIJ346" s="50"/>
      <c r="IIK346" s="50"/>
      <c r="IIL346" s="50"/>
      <c r="IIM346" s="50"/>
      <c r="IIN346" s="50"/>
      <c r="IIO346" s="50"/>
      <c r="IIP346" s="50"/>
      <c r="IIQ346" s="50"/>
      <c r="IIR346" s="50"/>
      <c r="IIS346" s="50"/>
      <c r="IIT346" s="50"/>
      <c r="IIU346" s="50"/>
      <c r="IIV346" s="50"/>
      <c r="IIW346" s="50"/>
      <c r="IIX346" s="50"/>
      <c r="IIY346" s="50"/>
      <c r="IIZ346" s="50"/>
      <c r="IJA346" s="50"/>
      <c r="IJB346" s="50"/>
      <c r="IJC346" s="50"/>
      <c r="IJD346" s="50"/>
      <c r="IJE346" s="50"/>
      <c r="IJF346" s="50"/>
      <c r="IJG346" s="50"/>
      <c r="IJH346" s="50"/>
      <c r="IJI346" s="50"/>
      <c r="IJJ346" s="50"/>
      <c r="IJK346" s="50"/>
      <c r="IJL346" s="50"/>
      <c r="IJM346" s="50"/>
      <c r="IJN346" s="50"/>
      <c r="IJO346" s="50"/>
      <c r="IJP346" s="50"/>
      <c r="IJQ346" s="50"/>
      <c r="IJR346" s="50"/>
      <c r="IJS346" s="50"/>
      <c r="IJT346" s="50"/>
      <c r="IJU346" s="50"/>
      <c r="IJV346" s="50"/>
      <c r="IJW346" s="50"/>
      <c r="IJX346" s="50"/>
      <c r="IJY346" s="50"/>
      <c r="IJZ346" s="50"/>
      <c r="IKA346" s="50"/>
      <c r="IKB346" s="50"/>
      <c r="IKC346" s="50"/>
      <c r="IKD346" s="50"/>
      <c r="IKE346" s="50"/>
      <c r="IKF346" s="50"/>
      <c r="IKG346" s="50"/>
      <c r="IKH346" s="50"/>
      <c r="IKI346" s="50"/>
      <c r="IKJ346" s="50"/>
      <c r="IKK346" s="50"/>
      <c r="IKL346" s="50"/>
      <c r="IKM346" s="50"/>
      <c r="IKN346" s="50"/>
      <c r="IKO346" s="50"/>
      <c r="IKP346" s="50"/>
      <c r="IKQ346" s="50"/>
      <c r="IKR346" s="50"/>
      <c r="IKS346" s="50"/>
      <c r="IKT346" s="50"/>
      <c r="IKU346" s="50"/>
      <c r="IKV346" s="50"/>
      <c r="IKW346" s="50"/>
      <c r="IKX346" s="50"/>
      <c r="IKY346" s="50"/>
      <c r="IKZ346" s="50"/>
      <c r="ILA346" s="50"/>
      <c r="ILB346" s="50"/>
      <c r="ILC346" s="50"/>
      <c r="ILD346" s="50"/>
      <c r="ILE346" s="50"/>
      <c r="ILF346" s="50"/>
      <c r="ILG346" s="50"/>
      <c r="ILH346" s="50"/>
      <c r="ILI346" s="50"/>
      <c r="ILJ346" s="50"/>
      <c r="ILK346" s="50"/>
      <c r="ILL346" s="50"/>
      <c r="ILM346" s="50"/>
      <c r="ILN346" s="50"/>
      <c r="ILO346" s="50"/>
      <c r="ILP346" s="50"/>
      <c r="ILQ346" s="50"/>
      <c r="ILR346" s="50"/>
      <c r="ILS346" s="50"/>
      <c r="ILT346" s="50"/>
      <c r="ILU346" s="50"/>
      <c r="ILV346" s="50"/>
      <c r="ILW346" s="50"/>
      <c r="ILX346" s="50"/>
      <c r="ILY346" s="50"/>
      <c r="ILZ346" s="50"/>
      <c r="IMA346" s="50"/>
      <c r="IMB346" s="50"/>
      <c r="IMC346" s="50"/>
      <c r="IMD346" s="50"/>
      <c r="IME346" s="50"/>
      <c r="IMF346" s="50"/>
      <c r="IMG346" s="50"/>
      <c r="IMH346" s="50"/>
      <c r="IMI346" s="50"/>
      <c r="IMJ346" s="50"/>
      <c r="IMK346" s="50"/>
      <c r="IML346" s="50"/>
      <c r="IMM346" s="50"/>
      <c r="IMN346" s="50"/>
      <c r="IMO346" s="50"/>
      <c r="IMP346" s="50"/>
      <c r="IMQ346" s="50"/>
      <c r="IMR346" s="50"/>
      <c r="IMS346" s="50"/>
      <c r="IMT346" s="50"/>
      <c r="IMU346" s="50"/>
      <c r="IMV346" s="50"/>
      <c r="IMW346" s="50"/>
      <c r="IMX346" s="50"/>
      <c r="IMY346" s="50"/>
      <c r="IMZ346" s="50"/>
      <c r="INA346" s="50"/>
      <c r="INB346" s="50"/>
      <c r="INC346" s="50"/>
      <c r="IND346" s="50"/>
      <c r="INE346" s="50"/>
      <c r="INF346" s="50"/>
      <c r="ING346" s="50"/>
      <c r="INH346" s="50"/>
      <c r="INI346" s="50"/>
      <c r="INJ346" s="50"/>
      <c r="INK346" s="50"/>
      <c r="INL346" s="50"/>
      <c r="INM346" s="50"/>
      <c r="INN346" s="50"/>
      <c r="INO346" s="50"/>
      <c r="INP346" s="50"/>
      <c r="INQ346" s="50"/>
      <c r="INR346" s="50"/>
      <c r="INS346" s="50"/>
      <c r="INT346" s="50"/>
      <c r="INU346" s="50"/>
      <c r="INV346" s="50"/>
      <c r="INW346" s="50"/>
      <c r="INX346" s="50"/>
      <c r="INY346" s="50"/>
      <c r="INZ346" s="50"/>
      <c r="IOA346" s="50"/>
      <c r="IOB346" s="50"/>
      <c r="IOC346" s="50"/>
      <c r="IOD346" s="50"/>
      <c r="IOE346" s="50"/>
      <c r="IOF346" s="50"/>
      <c r="IOG346" s="50"/>
      <c r="IOH346" s="50"/>
      <c r="IOI346" s="50"/>
      <c r="IOJ346" s="50"/>
      <c r="IOK346" s="50"/>
      <c r="IOL346" s="50"/>
      <c r="IOM346" s="50"/>
      <c r="ION346" s="50"/>
      <c r="IOO346" s="50"/>
      <c r="IOP346" s="50"/>
      <c r="IOQ346" s="50"/>
      <c r="IOR346" s="50"/>
      <c r="IOS346" s="50"/>
      <c r="IOT346" s="50"/>
      <c r="IOU346" s="50"/>
      <c r="IOV346" s="50"/>
      <c r="IOW346" s="50"/>
      <c r="IOX346" s="50"/>
      <c r="IOY346" s="50"/>
      <c r="IOZ346" s="50"/>
      <c r="IPA346" s="50"/>
      <c r="IPB346" s="50"/>
      <c r="IPC346" s="50"/>
      <c r="IPD346" s="50"/>
      <c r="IPE346" s="50"/>
      <c r="IPF346" s="50"/>
      <c r="IPG346" s="50"/>
      <c r="IPH346" s="50"/>
      <c r="IPI346" s="50"/>
      <c r="IPJ346" s="50"/>
      <c r="IPK346" s="50"/>
      <c r="IPL346" s="50"/>
      <c r="IPM346" s="50"/>
      <c r="IPN346" s="50"/>
      <c r="IPO346" s="50"/>
      <c r="IPP346" s="50"/>
      <c r="IPQ346" s="50"/>
      <c r="IPR346" s="50"/>
      <c r="IPS346" s="50"/>
      <c r="IPT346" s="50"/>
      <c r="IPU346" s="50"/>
      <c r="IPV346" s="50"/>
      <c r="IPW346" s="50"/>
      <c r="IPX346" s="50"/>
      <c r="IPY346" s="50"/>
      <c r="IPZ346" s="50"/>
      <c r="IQA346" s="50"/>
      <c r="IQB346" s="50"/>
      <c r="IQC346" s="50"/>
      <c r="IQD346" s="50"/>
      <c r="IQE346" s="50"/>
      <c r="IQF346" s="50"/>
      <c r="IQG346" s="50"/>
      <c r="IQH346" s="50"/>
      <c r="IQI346" s="50"/>
      <c r="IQJ346" s="50"/>
      <c r="IQK346" s="50"/>
      <c r="IQL346" s="50"/>
      <c r="IQM346" s="50"/>
      <c r="IQN346" s="50"/>
      <c r="IQO346" s="50"/>
      <c r="IQP346" s="50"/>
      <c r="IQQ346" s="50"/>
      <c r="IQR346" s="50"/>
      <c r="IQS346" s="50"/>
      <c r="IQT346" s="50"/>
      <c r="IQU346" s="50"/>
      <c r="IQV346" s="50"/>
      <c r="IQW346" s="50"/>
      <c r="IQX346" s="50"/>
      <c r="IQY346" s="50"/>
      <c r="IQZ346" s="50"/>
      <c r="IRA346" s="50"/>
      <c r="IRB346" s="50"/>
      <c r="IRC346" s="50"/>
      <c r="IRD346" s="50"/>
      <c r="IRE346" s="50"/>
      <c r="IRF346" s="50"/>
      <c r="IRG346" s="50"/>
      <c r="IRH346" s="50"/>
      <c r="IRI346" s="50"/>
      <c r="IRJ346" s="50"/>
      <c r="IRK346" s="50"/>
      <c r="IRL346" s="50"/>
      <c r="IRM346" s="50"/>
      <c r="IRN346" s="50"/>
      <c r="IRO346" s="50"/>
      <c r="IRP346" s="50"/>
      <c r="IRQ346" s="50"/>
      <c r="IRR346" s="50"/>
      <c r="IRS346" s="50"/>
      <c r="IRT346" s="50"/>
      <c r="IRU346" s="50"/>
      <c r="IRV346" s="50"/>
      <c r="IRW346" s="50"/>
      <c r="IRX346" s="50"/>
      <c r="IRY346" s="50"/>
      <c r="IRZ346" s="50"/>
      <c r="ISA346" s="50"/>
      <c r="ISB346" s="50"/>
      <c r="ISC346" s="50"/>
      <c r="ISD346" s="50"/>
      <c r="ISE346" s="50"/>
      <c r="ISF346" s="50"/>
      <c r="ISG346" s="50"/>
      <c r="ISH346" s="50"/>
      <c r="ISI346" s="50"/>
      <c r="ISJ346" s="50"/>
      <c r="ISK346" s="50"/>
      <c r="ISL346" s="50"/>
      <c r="ISM346" s="50"/>
      <c r="ISN346" s="50"/>
      <c r="ISO346" s="50"/>
      <c r="ISP346" s="50"/>
      <c r="ISQ346" s="50"/>
      <c r="ISR346" s="50"/>
      <c r="ISS346" s="50"/>
      <c r="IST346" s="50"/>
      <c r="ISU346" s="50"/>
      <c r="ISV346" s="50"/>
      <c r="ISW346" s="50"/>
      <c r="ISX346" s="50"/>
      <c r="ISY346" s="50"/>
      <c r="ISZ346" s="50"/>
      <c r="ITA346" s="50"/>
      <c r="ITB346" s="50"/>
      <c r="ITC346" s="50"/>
      <c r="ITD346" s="50"/>
      <c r="ITE346" s="50"/>
      <c r="ITF346" s="50"/>
      <c r="ITG346" s="50"/>
      <c r="ITH346" s="50"/>
      <c r="ITI346" s="50"/>
      <c r="ITJ346" s="50"/>
      <c r="ITK346" s="50"/>
      <c r="ITL346" s="50"/>
      <c r="ITM346" s="50"/>
      <c r="ITN346" s="50"/>
      <c r="ITO346" s="50"/>
      <c r="ITP346" s="50"/>
      <c r="ITQ346" s="50"/>
      <c r="ITR346" s="50"/>
      <c r="ITS346" s="50"/>
      <c r="ITT346" s="50"/>
      <c r="ITU346" s="50"/>
      <c r="ITV346" s="50"/>
      <c r="ITW346" s="50"/>
      <c r="ITX346" s="50"/>
      <c r="ITY346" s="50"/>
      <c r="ITZ346" s="50"/>
      <c r="IUA346" s="50"/>
      <c r="IUB346" s="50"/>
      <c r="IUC346" s="50"/>
      <c r="IUD346" s="50"/>
      <c r="IUE346" s="50"/>
      <c r="IUF346" s="50"/>
      <c r="IUG346" s="50"/>
      <c r="IUH346" s="50"/>
      <c r="IUI346" s="50"/>
      <c r="IUJ346" s="50"/>
      <c r="IUK346" s="50"/>
      <c r="IUL346" s="50"/>
      <c r="IUM346" s="50"/>
      <c r="IUN346" s="50"/>
      <c r="IUO346" s="50"/>
      <c r="IUP346" s="50"/>
      <c r="IUQ346" s="50"/>
      <c r="IUR346" s="50"/>
      <c r="IUS346" s="50"/>
      <c r="IUT346" s="50"/>
      <c r="IUU346" s="50"/>
      <c r="IUV346" s="50"/>
      <c r="IUW346" s="50"/>
      <c r="IUX346" s="50"/>
      <c r="IUY346" s="50"/>
      <c r="IUZ346" s="50"/>
      <c r="IVA346" s="50"/>
      <c r="IVB346" s="50"/>
      <c r="IVC346" s="50"/>
      <c r="IVD346" s="50"/>
      <c r="IVE346" s="50"/>
      <c r="IVF346" s="50"/>
      <c r="IVG346" s="50"/>
      <c r="IVH346" s="50"/>
      <c r="IVI346" s="50"/>
      <c r="IVJ346" s="50"/>
      <c r="IVK346" s="50"/>
      <c r="IVL346" s="50"/>
      <c r="IVM346" s="50"/>
      <c r="IVN346" s="50"/>
      <c r="IVO346" s="50"/>
      <c r="IVP346" s="50"/>
      <c r="IVQ346" s="50"/>
      <c r="IVR346" s="50"/>
      <c r="IVS346" s="50"/>
      <c r="IVT346" s="50"/>
      <c r="IVU346" s="50"/>
      <c r="IVV346" s="50"/>
      <c r="IVW346" s="50"/>
      <c r="IVX346" s="50"/>
      <c r="IVY346" s="50"/>
      <c r="IVZ346" s="50"/>
      <c r="IWA346" s="50"/>
      <c r="IWB346" s="50"/>
      <c r="IWC346" s="50"/>
      <c r="IWD346" s="50"/>
      <c r="IWE346" s="50"/>
      <c r="IWF346" s="50"/>
      <c r="IWG346" s="50"/>
      <c r="IWH346" s="50"/>
      <c r="IWI346" s="50"/>
      <c r="IWJ346" s="50"/>
      <c r="IWK346" s="50"/>
      <c r="IWL346" s="50"/>
      <c r="IWM346" s="50"/>
      <c r="IWN346" s="50"/>
      <c r="IWO346" s="50"/>
      <c r="IWP346" s="50"/>
      <c r="IWQ346" s="50"/>
      <c r="IWR346" s="50"/>
      <c r="IWS346" s="50"/>
      <c r="IWT346" s="50"/>
      <c r="IWU346" s="50"/>
      <c r="IWV346" s="50"/>
      <c r="IWW346" s="50"/>
      <c r="IWX346" s="50"/>
      <c r="IWY346" s="50"/>
      <c r="IWZ346" s="50"/>
      <c r="IXA346" s="50"/>
      <c r="IXB346" s="50"/>
      <c r="IXC346" s="50"/>
      <c r="IXD346" s="50"/>
      <c r="IXE346" s="50"/>
      <c r="IXF346" s="50"/>
      <c r="IXG346" s="50"/>
      <c r="IXH346" s="50"/>
      <c r="IXI346" s="50"/>
      <c r="IXJ346" s="50"/>
      <c r="IXK346" s="50"/>
      <c r="IXL346" s="50"/>
      <c r="IXM346" s="50"/>
      <c r="IXN346" s="50"/>
      <c r="IXO346" s="50"/>
      <c r="IXP346" s="50"/>
      <c r="IXQ346" s="50"/>
      <c r="IXR346" s="50"/>
      <c r="IXS346" s="50"/>
      <c r="IXT346" s="50"/>
      <c r="IXU346" s="50"/>
      <c r="IXV346" s="50"/>
      <c r="IXW346" s="50"/>
      <c r="IXX346" s="50"/>
      <c r="IXY346" s="50"/>
      <c r="IXZ346" s="50"/>
      <c r="IYA346" s="50"/>
      <c r="IYB346" s="50"/>
      <c r="IYC346" s="50"/>
      <c r="IYD346" s="50"/>
      <c r="IYE346" s="50"/>
      <c r="IYF346" s="50"/>
      <c r="IYG346" s="50"/>
      <c r="IYH346" s="50"/>
      <c r="IYI346" s="50"/>
      <c r="IYJ346" s="50"/>
      <c r="IYK346" s="50"/>
      <c r="IYL346" s="50"/>
      <c r="IYM346" s="50"/>
      <c r="IYN346" s="50"/>
      <c r="IYO346" s="50"/>
      <c r="IYP346" s="50"/>
      <c r="IYQ346" s="50"/>
      <c r="IYR346" s="50"/>
      <c r="IYS346" s="50"/>
      <c r="IYT346" s="50"/>
      <c r="IYU346" s="50"/>
      <c r="IYV346" s="50"/>
      <c r="IYW346" s="50"/>
      <c r="IYX346" s="50"/>
      <c r="IYY346" s="50"/>
      <c r="IYZ346" s="50"/>
      <c r="IZA346" s="50"/>
      <c r="IZB346" s="50"/>
      <c r="IZC346" s="50"/>
      <c r="IZD346" s="50"/>
      <c r="IZE346" s="50"/>
      <c r="IZF346" s="50"/>
      <c r="IZG346" s="50"/>
      <c r="IZH346" s="50"/>
      <c r="IZI346" s="50"/>
      <c r="IZJ346" s="50"/>
      <c r="IZK346" s="50"/>
      <c r="IZL346" s="50"/>
      <c r="IZM346" s="50"/>
      <c r="IZN346" s="50"/>
      <c r="IZO346" s="50"/>
      <c r="IZP346" s="50"/>
      <c r="IZQ346" s="50"/>
      <c r="IZR346" s="50"/>
      <c r="IZS346" s="50"/>
      <c r="IZT346" s="50"/>
      <c r="IZU346" s="50"/>
      <c r="IZV346" s="50"/>
      <c r="IZW346" s="50"/>
      <c r="IZX346" s="50"/>
      <c r="IZY346" s="50"/>
      <c r="IZZ346" s="50"/>
      <c r="JAA346" s="50"/>
      <c r="JAB346" s="50"/>
      <c r="JAC346" s="50"/>
      <c r="JAD346" s="50"/>
      <c r="JAE346" s="50"/>
      <c r="JAF346" s="50"/>
      <c r="JAG346" s="50"/>
      <c r="JAH346" s="50"/>
      <c r="JAI346" s="50"/>
      <c r="JAJ346" s="50"/>
      <c r="JAK346" s="50"/>
      <c r="JAL346" s="50"/>
      <c r="JAM346" s="50"/>
      <c r="JAN346" s="50"/>
      <c r="JAO346" s="50"/>
      <c r="JAP346" s="50"/>
      <c r="JAQ346" s="50"/>
      <c r="JAR346" s="50"/>
      <c r="JAS346" s="50"/>
      <c r="JAT346" s="50"/>
      <c r="JAU346" s="50"/>
      <c r="JAV346" s="50"/>
      <c r="JAW346" s="50"/>
      <c r="JAX346" s="50"/>
      <c r="JAY346" s="50"/>
      <c r="JAZ346" s="50"/>
      <c r="JBA346" s="50"/>
      <c r="JBB346" s="50"/>
      <c r="JBC346" s="50"/>
      <c r="JBD346" s="50"/>
      <c r="JBE346" s="50"/>
      <c r="JBF346" s="50"/>
      <c r="JBG346" s="50"/>
      <c r="JBH346" s="50"/>
      <c r="JBI346" s="50"/>
      <c r="JBJ346" s="50"/>
      <c r="JBK346" s="50"/>
      <c r="JBL346" s="50"/>
      <c r="JBM346" s="50"/>
      <c r="JBN346" s="50"/>
      <c r="JBO346" s="50"/>
      <c r="JBP346" s="50"/>
      <c r="JBQ346" s="50"/>
      <c r="JBR346" s="50"/>
      <c r="JBS346" s="50"/>
      <c r="JBT346" s="50"/>
      <c r="JBU346" s="50"/>
      <c r="JBV346" s="50"/>
      <c r="JBW346" s="50"/>
      <c r="JBX346" s="50"/>
      <c r="JBY346" s="50"/>
      <c r="JBZ346" s="50"/>
      <c r="JCA346" s="50"/>
      <c r="JCB346" s="50"/>
      <c r="JCC346" s="50"/>
      <c r="JCD346" s="50"/>
      <c r="JCE346" s="50"/>
      <c r="JCF346" s="50"/>
      <c r="JCG346" s="50"/>
      <c r="JCH346" s="50"/>
      <c r="JCI346" s="50"/>
      <c r="JCJ346" s="50"/>
      <c r="JCK346" s="50"/>
      <c r="JCL346" s="50"/>
      <c r="JCM346" s="50"/>
      <c r="JCN346" s="50"/>
      <c r="JCO346" s="50"/>
      <c r="JCP346" s="50"/>
      <c r="JCQ346" s="50"/>
      <c r="JCR346" s="50"/>
      <c r="JCS346" s="50"/>
      <c r="JCT346" s="50"/>
      <c r="JCU346" s="50"/>
      <c r="JCV346" s="50"/>
      <c r="JCW346" s="50"/>
      <c r="JCX346" s="50"/>
      <c r="JCY346" s="50"/>
      <c r="JCZ346" s="50"/>
      <c r="JDA346" s="50"/>
      <c r="JDB346" s="50"/>
      <c r="JDC346" s="50"/>
      <c r="JDD346" s="50"/>
      <c r="JDE346" s="50"/>
      <c r="JDF346" s="50"/>
      <c r="JDG346" s="50"/>
      <c r="JDH346" s="50"/>
      <c r="JDI346" s="50"/>
      <c r="JDJ346" s="50"/>
      <c r="JDK346" s="50"/>
      <c r="JDL346" s="50"/>
      <c r="JDM346" s="50"/>
      <c r="JDN346" s="50"/>
      <c r="JDO346" s="50"/>
      <c r="JDP346" s="50"/>
      <c r="JDQ346" s="50"/>
      <c r="JDR346" s="50"/>
      <c r="JDS346" s="50"/>
      <c r="JDT346" s="50"/>
      <c r="JDU346" s="50"/>
      <c r="JDV346" s="50"/>
      <c r="JDW346" s="50"/>
      <c r="JDX346" s="50"/>
      <c r="JDY346" s="50"/>
      <c r="JDZ346" s="50"/>
      <c r="JEA346" s="50"/>
      <c r="JEB346" s="50"/>
      <c r="JEC346" s="50"/>
      <c r="JED346" s="50"/>
      <c r="JEE346" s="50"/>
      <c r="JEF346" s="50"/>
      <c r="JEG346" s="50"/>
      <c r="JEH346" s="50"/>
      <c r="JEI346" s="50"/>
      <c r="JEJ346" s="50"/>
      <c r="JEK346" s="50"/>
      <c r="JEL346" s="50"/>
      <c r="JEM346" s="50"/>
      <c r="JEN346" s="50"/>
      <c r="JEO346" s="50"/>
      <c r="JEP346" s="50"/>
      <c r="JEQ346" s="50"/>
      <c r="JER346" s="50"/>
      <c r="JES346" s="50"/>
      <c r="JET346" s="50"/>
      <c r="JEU346" s="50"/>
      <c r="JEV346" s="50"/>
      <c r="JEW346" s="50"/>
      <c r="JEX346" s="50"/>
      <c r="JEY346" s="50"/>
      <c r="JEZ346" s="50"/>
      <c r="JFA346" s="50"/>
      <c r="JFB346" s="50"/>
      <c r="JFC346" s="50"/>
      <c r="JFD346" s="50"/>
      <c r="JFE346" s="50"/>
      <c r="JFF346" s="50"/>
      <c r="JFG346" s="50"/>
      <c r="JFH346" s="50"/>
      <c r="JFI346" s="50"/>
      <c r="JFJ346" s="50"/>
      <c r="JFK346" s="50"/>
      <c r="JFL346" s="50"/>
      <c r="JFM346" s="50"/>
      <c r="JFN346" s="50"/>
      <c r="JFO346" s="50"/>
      <c r="JFP346" s="50"/>
      <c r="JFQ346" s="50"/>
      <c r="JFR346" s="50"/>
      <c r="JFS346" s="50"/>
      <c r="JFT346" s="50"/>
      <c r="JFU346" s="50"/>
      <c r="JFV346" s="50"/>
      <c r="JFW346" s="50"/>
      <c r="JFX346" s="50"/>
      <c r="JFY346" s="50"/>
      <c r="JFZ346" s="50"/>
      <c r="JGA346" s="50"/>
      <c r="JGB346" s="50"/>
      <c r="JGC346" s="50"/>
      <c r="JGD346" s="50"/>
      <c r="JGE346" s="50"/>
      <c r="JGF346" s="50"/>
      <c r="JGG346" s="50"/>
      <c r="JGH346" s="50"/>
      <c r="JGI346" s="50"/>
      <c r="JGJ346" s="50"/>
      <c r="JGK346" s="50"/>
      <c r="JGL346" s="50"/>
      <c r="JGM346" s="50"/>
      <c r="JGN346" s="50"/>
      <c r="JGO346" s="50"/>
      <c r="JGP346" s="50"/>
      <c r="JGQ346" s="50"/>
      <c r="JGR346" s="50"/>
      <c r="JGS346" s="50"/>
      <c r="JGT346" s="50"/>
      <c r="JGU346" s="50"/>
      <c r="JGV346" s="50"/>
      <c r="JGW346" s="50"/>
      <c r="JGX346" s="50"/>
      <c r="JGY346" s="50"/>
      <c r="JGZ346" s="50"/>
      <c r="JHA346" s="50"/>
      <c r="JHB346" s="50"/>
      <c r="JHC346" s="50"/>
      <c r="JHD346" s="50"/>
      <c r="JHE346" s="50"/>
      <c r="JHF346" s="50"/>
      <c r="JHG346" s="50"/>
      <c r="JHH346" s="50"/>
      <c r="JHI346" s="50"/>
      <c r="JHJ346" s="50"/>
      <c r="JHK346" s="50"/>
      <c r="JHL346" s="50"/>
      <c r="JHM346" s="50"/>
      <c r="JHN346" s="50"/>
      <c r="JHO346" s="50"/>
      <c r="JHP346" s="50"/>
      <c r="JHQ346" s="50"/>
      <c r="JHR346" s="50"/>
      <c r="JHS346" s="50"/>
      <c r="JHT346" s="50"/>
      <c r="JHU346" s="50"/>
      <c r="JHV346" s="50"/>
      <c r="JHW346" s="50"/>
      <c r="JHX346" s="50"/>
      <c r="JHY346" s="50"/>
      <c r="JHZ346" s="50"/>
      <c r="JIA346" s="50"/>
      <c r="JIB346" s="50"/>
      <c r="JIC346" s="50"/>
      <c r="JID346" s="50"/>
      <c r="JIE346" s="50"/>
      <c r="JIF346" s="50"/>
      <c r="JIG346" s="50"/>
      <c r="JIH346" s="50"/>
      <c r="JII346" s="50"/>
      <c r="JIJ346" s="50"/>
      <c r="JIK346" s="50"/>
      <c r="JIL346" s="50"/>
      <c r="JIM346" s="50"/>
      <c r="JIN346" s="50"/>
      <c r="JIO346" s="50"/>
      <c r="JIP346" s="50"/>
      <c r="JIQ346" s="50"/>
      <c r="JIR346" s="50"/>
      <c r="JIS346" s="50"/>
      <c r="JIT346" s="50"/>
      <c r="JIU346" s="50"/>
      <c r="JIV346" s="50"/>
      <c r="JIW346" s="50"/>
      <c r="JIX346" s="50"/>
      <c r="JIY346" s="50"/>
      <c r="JIZ346" s="50"/>
      <c r="JJA346" s="50"/>
      <c r="JJB346" s="50"/>
      <c r="JJC346" s="50"/>
      <c r="JJD346" s="50"/>
      <c r="JJE346" s="50"/>
      <c r="JJF346" s="50"/>
      <c r="JJG346" s="50"/>
      <c r="JJH346" s="50"/>
      <c r="JJI346" s="50"/>
      <c r="JJJ346" s="50"/>
      <c r="JJK346" s="50"/>
      <c r="JJL346" s="50"/>
      <c r="JJM346" s="50"/>
      <c r="JJN346" s="50"/>
      <c r="JJO346" s="50"/>
      <c r="JJP346" s="50"/>
      <c r="JJQ346" s="50"/>
      <c r="JJR346" s="50"/>
      <c r="JJS346" s="50"/>
      <c r="JJT346" s="50"/>
      <c r="JJU346" s="50"/>
      <c r="JJV346" s="50"/>
      <c r="JJW346" s="50"/>
      <c r="JJX346" s="50"/>
      <c r="JJY346" s="50"/>
      <c r="JJZ346" s="50"/>
      <c r="JKA346" s="50"/>
      <c r="JKB346" s="50"/>
      <c r="JKC346" s="50"/>
      <c r="JKD346" s="50"/>
      <c r="JKE346" s="50"/>
      <c r="JKF346" s="50"/>
      <c r="JKG346" s="50"/>
      <c r="JKH346" s="50"/>
      <c r="JKI346" s="50"/>
      <c r="JKJ346" s="50"/>
      <c r="JKK346" s="50"/>
      <c r="JKL346" s="50"/>
      <c r="JKM346" s="50"/>
      <c r="JKN346" s="50"/>
      <c r="JKO346" s="50"/>
      <c r="JKP346" s="50"/>
      <c r="JKQ346" s="50"/>
      <c r="JKR346" s="50"/>
      <c r="JKS346" s="50"/>
      <c r="JKT346" s="50"/>
      <c r="JKU346" s="50"/>
      <c r="JKV346" s="50"/>
      <c r="JKW346" s="50"/>
      <c r="JKX346" s="50"/>
      <c r="JKY346" s="50"/>
      <c r="JKZ346" s="50"/>
      <c r="JLA346" s="50"/>
      <c r="JLB346" s="50"/>
      <c r="JLC346" s="50"/>
      <c r="JLD346" s="50"/>
      <c r="JLE346" s="50"/>
      <c r="JLF346" s="50"/>
      <c r="JLG346" s="50"/>
      <c r="JLH346" s="50"/>
      <c r="JLI346" s="50"/>
      <c r="JLJ346" s="50"/>
      <c r="JLK346" s="50"/>
      <c r="JLL346" s="50"/>
      <c r="JLM346" s="50"/>
      <c r="JLN346" s="50"/>
      <c r="JLO346" s="50"/>
      <c r="JLP346" s="50"/>
      <c r="JLQ346" s="50"/>
      <c r="JLR346" s="50"/>
      <c r="JLS346" s="50"/>
      <c r="JLT346" s="50"/>
      <c r="JLU346" s="50"/>
      <c r="JLV346" s="50"/>
      <c r="JLW346" s="50"/>
      <c r="JLX346" s="50"/>
      <c r="JLY346" s="50"/>
      <c r="JLZ346" s="50"/>
      <c r="JMA346" s="50"/>
      <c r="JMB346" s="50"/>
      <c r="JMC346" s="50"/>
      <c r="JMD346" s="50"/>
      <c r="JME346" s="50"/>
      <c r="JMF346" s="50"/>
      <c r="JMG346" s="50"/>
      <c r="JMH346" s="50"/>
      <c r="JMI346" s="50"/>
      <c r="JMJ346" s="50"/>
      <c r="JMK346" s="50"/>
      <c r="JML346" s="50"/>
      <c r="JMM346" s="50"/>
      <c r="JMN346" s="50"/>
      <c r="JMO346" s="50"/>
      <c r="JMP346" s="50"/>
      <c r="JMQ346" s="50"/>
      <c r="JMR346" s="50"/>
      <c r="JMS346" s="50"/>
      <c r="JMT346" s="50"/>
      <c r="JMU346" s="50"/>
      <c r="JMV346" s="50"/>
      <c r="JMW346" s="50"/>
      <c r="JMX346" s="50"/>
      <c r="JMY346" s="50"/>
      <c r="JMZ346" s="50"/>
      <c r="JNA346" s="50"/>
      <c r="JNB346" s="50"/>
      <c r="JNC346" s="50"/>
      <c r="JND346" s="50"/>
      <c r="JNE346" s="50"/>
      <c r="JNF346" s="50"/>
      <c r="JNG346" s="50"/>
      <c r="JNH346" s="50"/>
      <c r="JNI346" s="50"/>
      <c r="JNJ346" s="50"/>
      <c r="JNK346" s="50"/>
      <c r="JNL346" s="50"/>
      <c r="JNM346" s="50"/>
      <c r="JNN346" s="50"/>
      <c r="JNO346" s="50"/>
      <c r="JNP346" s="50"/>
      <c r="JNQ346" s="50"/>
      <c r="JNR346" s="50"/>
      <c r="JNS346" s="50"/>
      <c r="JNT346" s="50"/>
      <c r="JNU346" s="50"/>
      <c r="JNV346" s="50"/>
      <c r="JNW346" s="50"/>
      <c r="JNX346" s="50"/>
      <c r="JNY346" s="50"/>
      <c r="JNZ346" s="50"/>
      <c r="JOA346" s="50"/>
      <c r="JOB346" s="50"/>
      <c r="JOC346" s="50"/>
      <c r="JOD346" s="50"/>
      <c r="JOE346" s="50"/>
      <c r="JOF346" s="50"/>
      <c r="JOG346" s="50"/>
      <c r="JOH346" s="50"/>
      <c r="JOI346" s="50"/>
      <c r="JOJ346" s="50"/>
      <c r="JOK346" s="50"/>
      <c r="JOL346" s="50"/>
      <c r="JOM346" s="50"/>
      <c r="JON346" s="50"/>
      <c r="JOO346" s="50"/>
      <c r="JOP346" s="50"/>
      <c r="JOQ346" s="50"/>
      <c r="JOR346" s="50"/>
      <c r="JOS346" s="50"/>
      <c r="JOT346" s="50"/>
      <c r="JOU346" s="50"/>
      <c r="JOV346" s="50"/>
      <c r="JOW346" s="50"/>
      <c r="JOX346" s="50"/>
      <c r="JOY346" s="50"/>
      <c r="JOZ346" s="50"/>
      <c r="JPA346" s="50"/>
      <c r="JPB346" s="50"/>
      <c r="JPC346" s="50"/>
      <c r="JPD346" s="50"/>
      <c r="JPE346" s="50"/>
      <c r="JPF346" s="50"/>
      <c r="JPG346" s="50"/>
      <c r="JPH346" s="50"/>
      <c r="JPI346" s="50"/>
      <c r="JPJ346" s="50"/>
      <c r="JPK346" s="50"/>
      <c r="JPL346" s="50"/>
      <c r="JPM346" s="50"/>
      <c r="JPN346" s="50"/>
      <c r="JPO346" s="50"/>
      <c r="JPP346" s="50"/>
      <c r="JPQ346" s="50"/>
      <c r="JPR346" s="50"/>
      <c r="JPS346" s="50"/>
      <c r="JPT346" s="50"/>
      <c r="JPU346" s="50"/>
      <c r="JPV346" s="50"/>
      <c r="JPW346" s="50"/>
      <c r="JPX346" s="50"/>
      <c r="JPY346" s="50"/>
      <c r="JPZ346" s="50"/>
      <c r="JQA346" s="50"/>
      <c r="JQB346" s="50"/>
      <c r="JQC346" s="50"/>
      <c r="JQD346" s="50"/>
      <c r="JQE346" s="50"/>
      <c r="JQF346" s="50"/>
      <c r="JQG346" s="50"/>
      <c r="JQH346" s="50"/>
      <c r="JQI346" s="50"/>
      <c r="JQJ346" s="50"/>
      <c r="JQK346" s="50"/>
      <c r="JQL346" s="50"/>
      <c r="JQM346" s="50"/>
      <c r="JQN346" s="50"/>
      <c r="JQO346" s="50"/>
      <c r="JQP346" s="50"/>
      <c r="JQQ346" s="50"/>
      <c r="JQR346" s="50"/>
      <c r="JQS346" s="50"/>
      <c r="JQT346" s="50"/>
      <c r="JQU346" s="50"/>
      <c r="JQV346" s="50"/>
      <c r="JQW346" s="50"/>
      <c r="JQX346" s="50"/>
      <c r="JQY346" s="50"/>
      <c r="JQZ346" s="50"/>
      <c r="JRA346" s="50"/>
      <c r="JRB346" s="50"/>
      <c r="JRC346" s="50"/>
      <c r="JRD346" s="50"/>
      <c r="JRE346" s="50"/>
      <c r="JRF346" s="50"/>
      <c r="JRG346" s="50"/>
      <c r="JRH346" s="50"/>
      <c r="JRI346" s="50"/>
      <c r="JRJ346" s="50"/>
      <c r="JRK346" s="50"/>
      <c r="JRL346" s="50"/>
      <c r="JRM346" s="50"/>
      <c r="JRN346" s="50"/>
      <c r="JRO346" s="50"/>
      <c r="JRP346" s="50"/>
      <c r="JRQ346" s="50"/>
      <c r="JRR346" s="50"/>
      <c r="JRS346" s="50"/>
      <c r="JRT346" s="50"/>
      <c r="JRU346" s="50"/>
      <c r="JRV346" s="50"/>
      <c r="JRW346" s="50"/>
      <c r="JRX346" s="50"/>
      <c r="JRY346" s="50"/>
      <c r="JRZ346" s="50"/>
      <c r="JSA346" s="50"/>
      <c r="JSB346" s="50"/>
      <c r="JSC346" s="50"/>
      <c r="JSD346" s="50"/>
      <c r="JSE346" s="50"/>
      <c r="JSF346" s="50"/>
      <c r="JSG346" s="50"/>
      <c r="JSH346" s="50"/>
      <c r="JSI346" s="50"/>
      <c r="JSJ346" s="50"/>
      <c r="JSK346" s="50"/>
      <c r="JSL346" s="50"/>
      <c r="JSM346" s="50"/>
      <c r="JSN346" s="50"/>
      <c r="JSO346" s="50"/>
      <c r="JSP346" s="50"/>
      <c r="JSQ346" s="50"/>
      <c r="JSR346" s="50"/>
      <c r="JSS346" s="50"/>
      <c r="JST346" s="50"/>
      <c r="JSU346" s="50"/>
      <c r="JSV346" s="50"/>
      <c r="JSW346" s="50"/>
      <c r="JSX346" s="50"/>
      <c r="JSY346" s="50"/>
      <c r="JSZ346" s="50"/>
      <c r="JTA346" s="50"/>
      <c r="JTB346" s="50"/>
      <c r="JTC346" s="50"/>
      <c r="JTD346" s="50"/>
      <c r="JTE346" s="50"/>
      <c r="JTF346" s="50"/>
      <c r="JTG346" s="50"/>
      <c r="JTH346" s="50"/>
      <c r="JTI346" s="50"/>
      <c r="JTJ346" s="50"/>
      <c r="JTK346" s="50"/>
      <c r="JTL346" s="50"/>
      <c r="JTM346" s="50"/>
      <c r="JTN346" s="50"/>
      <c r="JTO346" s="50"/>
      <c r="JTP346" s="50"/>
      <c r="JTQ346" s="50"/>
      <c r="JTR346" s="50"/>
      <c r="JTS346" s="50"/>
      <c r="JTT346" s="50"/>
      <c r="JTU346" s="50"/>
      <c r="JTV346" s="50"/>
      <c r="JTW346" s="50"/>
      <c r="JTX346" s="50"/>
      <c r="JTY346" s="50"/>
      <c r="JTZ346" s="50"/>
      <c r="JUA346" s="50"/>
      <c r="JUB346" s="50"/>
      <c r="JUC346" s="50"/>
      <c r="JUD346" s="50"/>
      <c r="JUE346" s="50"/>
      <c r="JUF346" s="50"/>
      <c r="JUG346" s="50"/>
      <c r="JUH346" s="50"/>
      <c r="JUI346" s="50"/>
      <c r="JUJ346" s="50"/>
      <c r="JUK346" s="50"/>
      <c r="JUL346" s="50"/>
      <c r="JUM346" s="50"/>
      <c r="JUN346" s="50"/>
      <c r="JUO346" s="50"/>
      <c r="JUP346" s="50"/>
      <c r="JUQ346" s="50"/>
      <c r="JUR346" s="50"/>
      <c r="JUS346" s="50"/>
      <c r="JUT346" s="50"/>
      <c r="JUU346" s="50"/>
      <c r="JUV346" s="50"/>
      <c r="JUW346" s="50"/>
      <c r="JUX346" s="50"/>
      <c r="JUY346" s="50"/>
      <c r="JUZ346" s="50"/>
      <c r="JVA346" s="50"/>
      <c r="JVB346" s="50"/>
      <c r="JVC346" s="50"/>
      <c r="JVD346" s="50"/>
      <c r="JVE346" s="50"/>
      <c r="JVF346" s="50"/>
      <c r="JVG346" s="50"/>
      <c r="JVH346" s="50"/>
      <c r="JVI346" s="50"/>
      <c r="JVJ346" s="50"/>
      <c r="JVK346" s="50"/>
      <c r="JVL346" s="50"/>
      <c r="JVM346" s="50"/>
      <c r="JVN346" s="50"/>
      <c r="JVO346" s="50"/>
      <c r="JVP346" s="50"/>
      <c r="JVQ346" s="50"/>
      <c r="JVR346" s="50"/>
      <c r="JVS346" s="50"/>
      <c r="JVT346" s="50"/>
      <c r="JVU346" s="50"/>
      <c r="JVV346" s="50"/>
      <c r="JVW346" s="50"/>
      <c r="JVX346" s="50"/>
      <c r="JVY346" s="50"/>
      <c r="JVZ346" s="50"/>
      <c r="JWA346" s="50"/>
      <c r="JWB346" s="50"/>
      <c r="JWC346" s="50"/>
      <c r="JWD346" s="50"/>
      <c r="JWE346" s="50"/>
      <c r="JWF346" s="50"/>
      <c r="JWG346" s="50"/>
      <c r="JWH346" s="50"/>
      <c r="JWI346" s="50"/>
      <c r="JWJ346" s="50"/>
      <c r="JWK346" s="50"/>
      <c r="JWL346" s="50"/>
      <c r="JWM346" s="50"/>
      <c r="JWN346" s="50"/>
      <c r="JWO346" s="50"/>
      <c r="JWP346" s="50"/>
      <c r="JWQ346" s="50"/>
      <c r="JWR346" s="50"/>
      <c r="JWS346" s="50"/>
      <c r="JWT346" s="50"/>
      <c r="JWU346" s="50"/>
      <c r="JWV346" s="50"/>
      <c r="JWW346" s="50"/>
      <c r="JWX346" s="50"/>
      <c r="JWY346" s="50"/>
      <c r="JWZ346" s="50"/>
      <c r="JXA346" s="50"/>
      <c r="JXB346" s="50"/>
      <c r="JXC346" s="50"/>
      <c r="JXD346" s="50"/>
      <c r="JXE346" s="50"/>
      <c r="JXF346" s="50"/>
      <c r="JXG346" s="50"/>
      <c r="JXH346" s="50"/>
      <c r="JXI346" s="50"/>
      <c r="JXJ346" s="50"/>
      <c r="JXK346" s="50"/>
      <c r="JXL346" s="50"/>
      <c r="JXM346" s="50"/>
      <c r="JXN346" s="50"/>
      <c r="JXO346" s="50"/>
      <c r="JXP346" s="50"/>
      <c r="JXQ346" s="50"/>
      <c r="JXR346" s="50"/>
      <c r="JXS346" s="50"/>
      <c r="JXT346" s="50"/>
      <c r="JXU346" s="50"/>
      <c r="JXV346" s="50"/>
      <c r="JXW346" s="50"/>
      <c r="JXX346" s="50"/>
      <c r="JXY346" s="50"/>
      <c r="JXZ346" s="50"/>
      <c r="JYA346" s="50"/>
      <c r="JYB346" s="50"/>
      <c r="JYC346" s="50"/>
      <c r="JYD346" s="50"/>
      <c r="JYE346" s="50"/>
      <c r="JYF346" s="50"/>
      <c r="JYG346" s="50"/>
      <c r="JYH346" s="50"/>
      <c r="JYI346" s="50"/>
      <c r="JYJ346" s="50"/>
      <c r="JYK346" s="50"/>
      <c r="JYL346" s="50"/>
      <c r="JYM346" s="50"/>
      <c r="JYN346" s="50"/>
      <c r="JYO346" s="50"/>
      <c r="JYP346" s="50"/>
      <c r="JYQ346" s="50"/>
      <c r="JYR346" s="50"/>
      <c r="JYS346" s="50"/>
      <c r="JYT346" s="50"/>
      <c r="JYU346" s="50"/>
      <c r="JYV346" s="50"/>
      <c r="JYW346" s="50"/>
      <c r="JYX346" s="50"/>
      <c r="JYY346" s="50"/>
      <c r="JYZ346" s="50"/>
      <c r="JZA346" s="50"/>
      <c r="JZB346" s="50"/>
      <c r="JZC346" s="50"/>
      <c r="JZD346" s="50"/>
      <c r="JZE346" s="50"/>
      <c r="JZF346" s="50"/>
      <c r="JZG346" s="50"/>
      <c r="JZH346" s="50"/>
      <c r="JZI346" s="50"/>
      <c r="JZJ346" s="50"/>
      <c r="JZK346" s="50"/>
      <c r="JZL346" s="50"/>
      <c r="JZM346" s="50"/>
      <c r="JZN346" s="50"/>
      <c r="JZO346" s="50"/>
      <c r="JZP346" s="50"/>
      <c r="JZQ346" s="50"/>
      <c r="JZR346" s="50"/>
      <c r="JZS346" s="50"/>
      <c r="JZT346" s="50"/>
      <c r="JZU346" s="50"/>
      <c r="JZV346" s="50"/>
      <c r="JZW346" s="50"/>
      <c r="JZX346" s="50"/>
      <c r="JZY346" s="50"/>
      <c r="JZZ346" s="50"/>
      <c r="KAA346" s="50"/>
      <c r="KAB346" s="50"/>
      <c r="KAC346" s="50"/>
      <c r="KAD346" s="50"/>
      <c r="KAE346" s="50"/>
      <c r="KAF346" s="50"/>
      <c r="KAG346" s="50"/>
      <c r="KAH346" s="50"/>
      <c r="KAI346" s="50"/>
      <c r="KAJ346" s="50"/>
      <c r="KAK346" s="50"/>
      <c r="KAL346" s="50"/>
      <c r="KAM346" s="50"/>
      <c r="KAN346" s="50"/>
      <c r="KAO346" s="50"/>
      <c r="KAP346" s="50"/>
      <c r="KAQ346" s="50"/>
      <c r="KAR346" s="50"/>
      <c r="KAS346" s="50"/>
      <c r="KAT346" s="50"/>
      <c r="KAU346" s="50"/>
      <c r="KAV346" s="50"/>
      <c r="KAW346" s="50"/>
      <c r="KAX346" s="50"/>
      <c r="KAY346" s="50"/>
      <c r="KAZ346" s="50"/>
      <c r="KBA346" s="50"/>
      <c r="KBB346" s="50"/>
      <c r="KBC346" s="50"/>
      <c r="KBD346" s="50"/>
      <c r="KBE346" s="50"/>
      <c r="KBF346" s="50"/>
      <c r="KBG346" s="50"/>
      <c r="KBH346" s="50"/>
      <c r="KBI346" s="50"/>
      <c r="KBJ346" s="50"/>
      <c r="KBK346" s="50"/>
      <c r="KBL346" s="50"/>
      <c r="KBM346" s="50"/>
      <c r="KBN346" s="50"/>
      <c r="KBO346" s="50"/>
      <c r="KBP346" s="50"/>
      <c r="KBQ346" s="50"/>
      <c r="KBR346" s="50"/>
      <c r="KBS346" s="50"/>
      <c r="KBT346" s="50"/>
      <c r="KBU346" s="50"/>
      <c r="KBV346" s="50"/>
      <c r="KBW346" s="50"/>
      <c r="KBX346" s="50"/>
      <c r="KBY346" s="50"/>
      <c r="KBZ346" s="50"/>
      <c r="KCA346" s="50"/>
      <c r="KCB346" s="50"/>
      <c r="KCC346" s="50"/>
      <c r="KCD346" s="50"/>
      <c r="KCE346" s="50"/>
      <c r="KCF346" s="50"/>
      <c r="KCG346" s="50"/>
      <c r="KCH346" s="50"/>
      <c r="KCI346" s="50"/>
      <c r="KCJ346" s="50"/>
      <c r="KCK346" s="50"/>
      <c r="KCL346" s="50"/>
      <c r="KCM346" s="50"/>
      <c r="KCN346" s="50"/>
      <c r="KCO346" s="50"/>
      <c r="KCP346" s="50"/>
      <c r="KCQ346" s="50"/>
      <c r="KCR346" s="50"/>
      <c r="KCS346" s="50"/>
      <c r="KCT346" s="50"/>
      <c r="KCU346" s="50"/>
      <c r="KCV346" s="50"/>
      <c r="KCW346" s="50"/>
      <c r="KCX346" s="50"/>
      <c r="KCY346" s="50"/>
      <c r="KCZ346" s="50"/>
      <c r="KDA346" s="50"/>
      <c r="KDB346" s="50"/>
      <c r="KDC346" s="50"/>
      <c r="KDD346" s="50"/>
      <c r="KDE346" s="50"/>
      <c r="KDF346" s="50"/>
      <c r="KDG346" s="50"/>
      <c r="KDH346" s="50"/>
      <c r="KDI346" s="50"/>
      <c r="KDJ346" s="50"/>
      <c r="KDK346" s="50"/>
      <c r="KDL346" s="50"/>
      <c r="KDM346" s="50"/>
      <c r="KDN346" s="50"/>
      <c r="KDO346" s="50"/>
      <c r="KDP346" s="50"/>
      <c r="KDQ346" s="50"/>
      <c r="KDR346" s="50"/>
      <c r="KDS346" s="50"/>
      <c r="KDT346" s="50"/>
      <c r="KDU346" s="50"/>
      <c r="KDV346" s="50"/>
      <c r="KDW346" s="50"/>
      <c r="KDX346" s="50"/>
      <c r="KDY346" s="50"/>
      <c r="KDZ346" s="50"/>
      <c r="KEA346" s="50"/>
      <c r="KEB346" s="50"/>
      <c r="KEC346" s="50"/>
      <c r="KED346" s="50"/>
      <c r="KEE346" s="50"/>
      <c r="KEF346" s="50"/>
      <c r="KEG346" s="50"/>
      <c r="KEH346" s="50"/>
      <c r="KEI346" s="50"/>
      <c r="KEJ346" s="50"/>
      <c r="KEK346" s="50"/>
      <c r="KEL346" s="50"/>
      <c r="KEM346" s="50"/>
      <c r="KEN346" s="50"/>
      <c r="KEO346" s="50"/>
      <c r="KEP346" s="50"/>
      <c r="KEQ346" s="50"/>
      <c r="KER346" s="50"/>
      <c r="KES346" s="50"/>
      <c r="KET346" s="50"/>
      <c r="KEU346" s="50"/>
      <c r="KEV346" s="50"/>
      <c r="KEW346" s="50"/>
      <c r="KEX346" s="50"/>
      <c r="KEY346" s="50"/>
      <c r="KEZ346" s="50"/>
      <c r="KFA346" s="50"/>
      <c r="KFB346" s="50"/>
      <c r="KFC346" s="50"/>
      <c r="KFD346" s="50"/>
      <c r="KFE346" s="50"/>
      <c r="KFF346" s="50"/>
      <c r="KFG346" s="50"/>
      <c r="KFH346" s="50"/>
      <c r="KFI346" s="50"/>
      <c r="KFJ346" s="50"/>
      <c r="KFK346" s="50"/>
      <c r="KFL346" s="50"/>
      <c r="KFM346" s="50"/>
      <c r="KFN346" s="50"/>
      <c r="KFO346" s="50"/>
      <c r="KFP346" s="50"/>
      <c r="KFQ346" s="50"/>
      <c r="KFR346" s="50"/>
      <c r="KFS346" s="50"/>
      <c r="KFT346" s="50"/>
      <c r="KFU346" s="50"/>
      <c r="KFV346" s="50"/>
      <c r="KFW346" s="50"/>
      <c r="KFX346" s="50"/>
      <c r="KFY346" s="50"/>
      <c r="KFZ346" s="50"/>
      <c r="KGA346" s="50"/>
      <c r="KGB346" s="50"/>
      <c r="KGC346" s="50"/>
      <c r="KGD346" s="50"/>
      <c r="KGE346" s="50"/>
      <c r="KGF346" s="50"/>
      <c r="KGG346" s="50"/>
      <c r="KGH346" s="50"/>
      <c r="KGI346" s="50"/>
      <c r="KGJ346" s="50"/>
      <c r="KGK346" s="50"/>
      <c r="KGL346" s="50"/>
      <c r="KGM346" s="50"/>
      <c r="KGN346" s="50"/>
      <c r="KGO346" s="50"/>
      <c r="KGP346" s="50"/>
      <c r="KGQ346" s="50"/>
      <c r="KGR346" s="50"/>
      <c r="KGS346" s="50"/>
      <c r="KGT346" s="50"/>
      <c r="KGU346" s="50"/>
      <c r="KGV346" s="50"/>
      <c r="KGW346" s="50"/>
      <c r="KGX346" s="50"/>
      <c r="KGY346" s="50"/>
      <c r="KGZ346" s="50"/>
      <c r="KHA346" s="50"/>
      <c r="KHB346" s="50"/>
      <c r="KHC346" s="50"/>
      <c r="KHD346" s="50"/>
      <c r="KHE346" s="50"/>
      <c r="KHF346" s="50"/>
      <c r="KHG346" s="50"/>
      <c r="KHH346" s="50"/>
      <c r="KHI346" s="50"/>
      <c r="KHJ346" s="50"/>
      <c r="KHK346" s="50"/>
      <c r="KHL346" s="50"/>
      <c r="KHM346" s="50"/>
      <c r="KHN346" s="50"/>
      <c r="KHO346" s="50"/>
      <c r="KHP346" s="50"/>
      <c r="KHQ346" s="50"/>
      <c r="KHR346" s="50"/>
      <c r="KHS346" s="50"/>
      <c r="KHT346" s="50"/>
      <c r="KHU346" s="50"/>
      <c r="KHV346" s="50"/>
      <c r="KHW346" s="50"/>
      <c r="KHX346" s="50"/>
      <c r="KHY346" s="50"/>
      <c r="KHZ346" s="50"/>
      <c r="KIA346" s="50"/>
      <c r="KIB346" s="50"/>
      <c r="KIC346" s="50"/>
      <c r="KID346" s="50"/>
      <c r="KIE346" s="50"/>
      <c r="KIF346" s="50"/>
      <c r="KIG346" s="50"/>
      <c r="KIH346" s="50"/>
      <c r="KII346" s="50"/>
      <c r="KIJ346" s="50"/>
      <c r="KIK346" s="50"/>
      <c r="KIL346" s="50"/>
      <c r="KIM346" s="50"/>
      <c r="KIN346" s="50"/>
      <c r="KIO346" s="50"/>
      <c r="KIP346" s="50"/>
      <c r="KIQ346" s="50"/>
      <c r="KIR346" s="50"/>
      <c r="KIS346" s="50"/>
      <c r="KIT346" s="50"/>
      <c r="KIU346" s="50"/>
      <c r="KIV346" s="50"/>
      <c r="KIW346" s="50"/>
      <c r="KIX346" s="50"/>
      <c r="KIY346" s="50"/>
      <c r="KIZ346" s="50"/>
      <c r="KJA346" s="50"/>
      <c r="KJB346" s="50"/>
      <c r="KJC346" s="50"/>
      <c r="KJD346" s="50"/>
      <c r="KJE346" s="50"/>
      <c r="KJF346" s="50"/>
      <c r="KJG346" s="50"/>
      <c r="KJH346" s="50"/>
      <c r="KJI346" s="50"/>
      <c r="KJJ346" s="50"/>
      <c r="KJK346" s="50"/>
      <c r="KJL346" s="50"/>
      <c r="KJM346" s="50"/>
      <c r="KJN346" s="50"/>
      <c r="KJO346" s="50"/>
      <c r="KJP346" s="50"/>
      <c r="KJQ346" s="50"/>
      <c r="KJR346" s="50"/>
      <c r="KJS346" s="50"/>
      <c r="KJT346" s="50"/>
      <c r="KJU346" s="50"/>
      <c r="KJV346" s="50"/>
      <c r="KJW346" s="50"/>
      <c r="KJX346" s="50"/>
      <c r="KJY346" s="50"/>
      <c r="KJZ346" s="50"/>
      <c r="KKA346" s="50"/>
      <c r="KKB346" s="50"/>
      <c r="KKC346" s="50"/>
      <c r="KKD346" s="50"/>
      <c r="KKE346" s="50"/>
      <c r="KKF346" s="50"/>
      <c r="KKG346" s="50"/>
      <c r="KKH346" s="50"/>
      <c r="KKI346" s="50"/>
      <c r="KKJ346" s="50"/>
      <c r="KKK346" s="50"/>
      <c r="KKL346" s="50"/>
      <c r="KKM346" s="50"/>
      <c r="KKN346" s="50"/>
      <c r="KKO346" s="50"/>
      <c r="KKP346" s="50"/>
      <c r="KKQ346" s="50"/>
      <c r="KKR346" s="50"/>
      <c r="KKS346" s="50"/>
      <c r="KKT346" s="50"/>
      <c r="KKU346" s="50"/>
      <c r="KKV346" s="50"/>
      <c r="KKW346" s="50"/>
      <c r="KKX346" s="50"/>
      <c r="KKY346" s="50"/>
      <c r="KKZ346" s="50"/>
      <c r="KLA346" s="50"/>
      <c r="KLB346" s="50"/>
      <c r="KLC346" s="50"/>
      <c r="KLD346" s="50"/>
      <c r="KLE346" s="50"/>
      <c r="KLF346" s="50"/>
      <c r="KLG346" s="50"/>
      <c r="KLH346" s="50"/>
      <c r="KLI346" s="50"/>
      <c r="KLJ346" s="50"/>
      <c r="KLK346" s="50"/>
      <c r="KLL346" s="50"/>
      <c r="KLM346" s="50"/>
      <c r="KLN346" s="50"/>
      <c r="KLO346" s="50"/>
      <c r="KLP346" s="50"/>
      <c r="KLQ346" s="50"/>
      <c r="KLR346" s="50"/>
      <c r="KLS346" s="50"/>
      <c r="KLT346" s="50"/>
      <c r="KLU346" s="50"/>
      <c r="KLV346" s="50"/>
      <c r="KLW346" s="50"/>
      <c r="KLX346" s="50"/>
      <c r="KLY346" s="50"/>
      <c r="KLZ346" s="50"/>
      <c r="KMA346" s="50"/>
      <c r="KMB346" s="50"/>
      <c r="KMC346" s="50"/>
      <c r="KMD346" s="50"/>
      <c r="KME346" s="50"/>
      <c r="KMF346" s="50"/>
      <c r="KMG346" s="50"/>
      <c r="KMH346" s="50"/>
      <c r="KMI346" s="50"/>
      <c r="KMJ346" s="50"/>
      <c r="KMK346" s="50"/>
      <c r="KML346" s="50"/>
      <c r="KMM346" s="50"/>
      <c r="KMN346" s="50"/>
      <c r="KMO346" s="50"/>
      <c r="KMP346" s="50"/>
      <c r="KMQ346" s="50"/>
      <c r="KMR346" s="50"/>
      <c r="KMS346" s="50"/>
      <c r="KMT346" s="50"/>
      <c r="KMU346" s="50"/>
      <c r="KMV346" s="50"/>
      <c r="KMW346" s="50"/>
      <c r="KMX346" s="50"/>
      <c r="KMY346" s="50"/>
      <c r="KMZ346" s="50"/>
      <c r="KNA346" s="50"/>
      <c r="KNB346" s="50"/>
      <c r="KNC346" s="50"/>
      <c r="KND346" s="50"/>
      <c r="KNE346" s="50"/>
      <c r="KNF346" s="50"/>
      <c r="KNG346" s="50"/>
      <c r="KNH346" s="50"/>
      <c r="KNI346" s="50"/>
      <c r="KNJ346" s="50"/>
      <c r="KNK346" s="50"/>
      <c r="KNL346" s="50"/>
      <c r="KNM346" s="50"/>
      <c r="KNN346" s="50"/>
      <c r="KNO346" s="50"/>
      <c r="KNP346" s="50"/>
      <c r="KNQ346" s="50"/>
      <c r="KNR346" s="50"/>
      <c r="KNS346" s="50"/>
      <c r="KNT346" s="50"/>
      <c r="KNU346" s="50"/>
      <c r="KNV346" s="50"/>
      <c r="KNW346" s="50"/>
      <c r="KNX346" s="50"/>
      <c r="KNY346" s="50"/>
      <c r="KNZ346" s="50"/>
      <c r="KOA346" s="50"/>
      <c r="KOB346" s="50"/>
      <c r="KOC346" s="50"/>
      <c r="KOD346" s="50"/>
      <c r="KOE346" s="50"/>
      <c r="KOF346" s="50"/>
      <c r="KOG346" s="50"/>
      <c r="KOH346" s="50"/>
      <c r="KOI346" s="50"/>
      <c r="KOJ346" s="50"/>
      <c r="KOK346" s="50"/>
      <c r="KOL346" s="50"/>
      <c r="KOM346" s="50"/>
      <c r="KON346" s="50"/>
      <c r="KOO346" s="50"/>
      <c r="KOP346" s="50"/>
      <c r="KOQ346" s="50"/>
      <c r="KOR346" s="50"/>
      <c r="KOS346" s="50"/>
      <c r="KOT346" s="50"/>
      <c r="KOU346" s="50"/>
      <c r="KOV346" s="50"/>
      <c r="KOW346" s="50"/>
      <c r="KOX346" s="50"/>
      <c r="KOY346" s="50"/>
      <c r="KOZ346" s="50"/>
      <c r="KPA346" s="50"/>
      <c r="KPB346" s="50"/>
      <c r="KPC346" s="50"/>
      <c r="KPD346" s="50"/>
      <c r="KPE346" s="50"/>
      <c r="KPF346" s="50"/>
      <c r="KPG346" s="50"/>
      <c r="KPH346" s="50"/>
      <c r="KPI346" s="50"/>
      <c r="KPJ346" s="50"/>
      <c r="KPK346" s="50"/>
      <c r="KPL346" s="50"/>
      <c r="KPM346" s="50"/>
      <c r="KPN346" s="50"/>
      <c r="KPO346" s="50"/>
      <c r="KPP346" s="50"/>
      <c r="KPQ346" s="50"/>
      <c r="KPR346" s="50"/>
      <c r="KPS346" s="50"/>
      <c r="KPT346" s="50"/>
      <c r="KPU346" s="50"/>
      <c r="KPV346" s="50"/>
      <c r="KPW346" s="50"/>
      <c r="KPX346" s="50"/>
      <c r="KPY346" s="50"/>
      <c r="KPZ346" s="50"/>
      <c r="KQA346" s="50"/>
      <c r="KQB346" s="50"/>
      <c r="KQC346" s="50"/>
      <c r="KQD346" s="50"/>
      <c r="KQE346" s="50"/>
      <c r="KQF346" s="50"/>
      <c r="KQG346" s="50"/>
      <c r="KQH346" s="50"/>
      <c r="KQI346" s="50"/>
      <c r="KQJ346" s="50"/>
      <c r="KQK346" s="50"/>
      <c r="KQL346" s="50"/>
      <c r="KQM346" s="50"/>
      <c r="KQN346" s="50"/>
      <c r="KQO346" s="50"/>
      <c r="KQP346" s="50"/>
      <c r="KQQ346" s="50"/>
      <c r="KQR346" s="50"/>
      <c r="KQS346" s="50"/>
      <c r="KQT346" s="50"/>
      <c r="KQU346" s="50"/>
      <c r="KQV346" s="50"/>
      <c r="KQW346" s="50"/>
      <c r="KQX346" s="50"/>
      <c r="KQY346" s="50"/>
      <c r="KQZ346" s="50"/>
      <c r="KRA346" s="50"/>
      <c r="KRB346" s="50"/>
      <c r="KRC346" s="50"/>
      <c r="KRD346" s="50"/>
      <c r="KRE346" s="50"/>
      <c r="KRF346" s="50"/>
      <c r="KRG346" s="50"/>
      <c r="KRH346" s="50"/>
      <c r="KRI346" s="50"/>
      <c r="KRJ346" s="50"/>
      <c r="KRK346" s="50"/>
      <c r="KRL346" s="50"/>
      <c r="KRM346" s="50"/>
      <c r="KRN346" s="50"/>
      <c r="KRO346" s="50"/>
      <c r="KRP346" s="50"/>
      <c r="KRQ346" s="50"/>
      <c r="KRR346" s="50"/>
      <c r="KRS346" s="50"/>
      <c r="KRT346" s="50"/>
      <c r="KRU346" s="50"/>
      <c r="KRV346" s="50"/>
      <c r="KRW346" s="50"/>
      <c r="KRX346" s="50"/>
      <c r="KRY346" s="50"/>
      <c r="KRZ346" s="50"/>
      <c r="KSA346" s="50"/>
      <c r="KSB346" s="50"/>
      <c r="KSC346" s="50"/>
      <c r="KSD346" s="50"/>
      <c r="KSE346" s="50"/>
      <c r="KSF346" s="50"/>
      <c r="KSG346" s="50"/>
      <c r="KSH346" s="50"/>
      <c r="KSI346" s="50"/>
      <c r="KSJ346" s="50"/>
      <c r="KSK346" s="50"/>
      <c r="KSL346" s="50"/>
      <c r="KSM346" s="50"/>
      <c r="KSN346" s="50"/>
      <c r="KSO346" s="50"/>
      <c r="KSP346" s="50"/>
      <c r="KSQ346" s="50"/>
      <c r="KSR346" s="50"/>
      <c r="KSS346" s="50"/>
      <c r="KST346" s="50"/>
      <c r="KSU346" s="50"/>
      <c r="KSV346" s="50"/>
      <c r="KSW346" s="50"/>
      <c r="KSX346" s="50"/>
      <c r="KSY346" s="50"/>
      <c r="KSZ346" s="50"/>
      <c r="KTA346" s="50"/>
      <c r="KTB346" s="50"/>
      <c r="KTC346" s="50"/>
      <c r="KTD346" s="50"/>
      <c r="KTE346" s="50"/>
      <c r="KTF346" s="50"/>
      <c r="KTG346" s="50"/>
      <c r="KTH346" s="50"/>
      <c r="KTI346" s="50"/>
      <c r="KTJ346" s="50"/>
      <c r="KTK346" s="50"/>
      <c r="KTL346" s="50"/>
      <c r="KTM346" s="50"/>
      <c r="KTN346" s="50"/>
      <c r="KTO346" s="50"/>
      <c r="KTP346" s="50"/>
      <c r="KTQ346" s="50"/>
      <c r="KTR346" s="50"/>
      <c r="KTS346" s="50"/>
      <c r="KTT346" s="50"/>
      <c r="KTU346" s="50"/>
      <c r="KTV346" s="50"/>
      <c r="KTW346" s="50"/>
      <c r="KTX346" s="50"/>
      <c r="KTY346" s="50"/>
      <c r="KTZ346" s="50"/>
      <c r="KUA346" s="50"/>
      <c r="KUB346" s="50"/>
      <c r="KUC346" s="50"/>
      <c r="KUD346" s="50"/>
      <c r="KUE346" s="50"/>
      <c r="KUF346" s="50"/>
      <c r="KUG346" s="50"/>
      <c r="KUH346" s="50"/>
      <c r="KUI346" s="50"/>
      <c r="KUJ346" s="50"/>
      <c r="KUK346" s="50"/>
      <c r="KUL346" s="50"/>
      <c r="KUM346" s="50"/>
      <c r="KUN346" s="50"/>
      <c r="KUO346" s="50"/>
      <c r="KUP346" s="50"/>
      <c r="KUQ346" s="50"/>
      <c r="KUR346" s="50"/>
      <c r="KUS346" s="50"/>
      <c r="KUT346" s="50"/>
      <c r="KUU346" s="50"/>
      <c r="KUV346" s="50"/>
      <c r="KUW346" s="50"/>
      <c r="KUX346" s="50"/>
      <c r="KUY346" s="50"/>
      <c r="KUZ346" s="50"/>
      <c r="KVA346" s="50"/>
      <c r="KVB346" s="50"/>
      <c r="KVC346" s="50"/>
      <c r="KVD346" s="50"/>
      <c r="KVE346" s="50"/>
      <c r="KVF346" s="50"/>
      <c r="KVG346" s="50"/>
      <c r="KVH346" s="50"/>
      <c r="KVI346" s="50"/>
      <c r="KVJ346" s="50"/>
      <c r="KVK346" s="50"/>
      <c r="KVL346" s="50"/>
      <c r="KVM346" s="50"/>
      <c r="KVN346" s="50"/>
      <c r="KVO346" s="50"/>
      <c r="KVP346" s="50"/>
      <c r="KVQ346" s="50"/>
      <c r="KVR346" s="50"/>
      <c r="KVS346" s="50"/>
      <c r="KVT346" s="50"/>
      <c r="KVU346" s="50"/>
      <c r="KVV346" s="50"/>
      <c r="KVW346" s="50"/>
      <c r="KVX346" s="50"/>
      <c r="KVY346" s="50"/>
      <c r="KVZ346" s="50"/>
      <c r="KWA346" s="50"/>
      <c r="KWB346" s="50"/>
      <c r="KWC346" s="50"/>
      <c r="KWD346" s="50"/>
      <c r="KWE346" s="50"/>
      <c r="KWF346" s="50"/>
      <c r="KWG346" s="50"/>
      <c r="KWH346" s="50"/>
      <c r="KWI346" s="50"/>
      <c r="KWJ346" s="50"/>
      <c r="KWK346" s="50"/>
      <c r="KWL346" s="50"/>
      <c r="KWM346" s="50"/>
      <c r="KWN346" s="50"/>
      <c r="KWO346" s="50"/>
      <c r="KWP346" s="50"/>
      <c r="KWQ346" s="50"/>
      <c r="KWR346" s="50"/>
      <c r="KWS346" s="50"/>
      <c r="KWT346" s="50"/>
      <c r="KWU346" s="50"/>
      <c r="KWV346" s="50"/>
      <c r="KWW346" s="50"/>
      <c r="KWX346" s="50"/>
      <c r="KWY346" s="50"/>
      <c r="KWZ346" s="50"/>
      <c r="KXA346" s="50"/>
      <c r="KXB346" s="50"/>
      <c r="KXC346" s="50"/>
      <c r="KXD346" s="50"/>
      <c r="KXE346" s="50"/>
      <c r="KXF346" s="50"/>
      <c r="KXG346" s="50"/>
      <c r="KXH346" s="50"/>
      <c r="KXI346" s="50"/>
      <c r="KXJ346" s="50"/>
      <c r="KXK346" s="50"/>
      <c r="KXL346" s="50"/>
      <c r="KXM346" s="50"/>
      <c r="KXN346" s="50"/>
      <c r="KXO346" s="50"/>
      <c r="KXP346" s="50"/>
      <c r="KXQ346" s="50"/>
      <c r="KXR346" s="50"/>
      <c r="KXS346" s="50"/>
      <c r="KXT346" s="50"/>
      <c r="KXU346" s="50"/>
      <c r="KXV346" s="50"/>
      <c r="KXW346" s="50"/>
      <c r="KXX346" s="50"/>
      <c r="KXY346" s="50"/>
      <c r="KXZ346" s="50"/>
      <c r="KYA346" s="50"/>
      <c r="KYB346" s="50"/>
      <c r="KYC346" s="50"/>
      <c r="KYD346" s="50"/>
      <c r="KYE346" s="50"/>
      <c r="KYF346" s="50"/>
      <c r="KYG346" s="50"/>
      <c r="KYH346" s="50"/>
      <c r="KYI346" s="50"/>
      <c r="KYJ346" s="50"/>
      <c r="KYK346" s="50"/>
      <c r="KYL346" s="50"/>
      <c r="KYM346" s="50"/>
      <c r="KYN346" s="50"/>
      <c r="KYO346" s="50"/>
      <c r="KYP346" s="50"/>
      <c r="KYQ346" s="50"/>
      <c r="KYR346" s="50"/>
      <c r="KYS346" s="50"/>
      <c r="KYT346" s="50"/>
      <c r="KYU346" s="50"/>
      <c r="KYV346" s="50"/>
      <c r="KYW346" s="50"/>
      <c r="KYX346" s="50"/>
      <c r="KYY346" s="50"/>
      <c r="KYZ346" s="50"/>
      <c r="KZA346" s="50"/>
      <c r="KZB346" s="50"/>
      <c r="KZC346" s="50"/>
      <c r="KZD346" s="50"/>
      <c r="KZE346" s="50"/>
      <c r="KZF346" s="50"/>
      <c r="KZG346" s="50"/>
      <c r="KZH346" s="50"/>
      <c r="KZI346" s="50"/>
      <c r="KZJ346" s="50"/>
      <c r="KZK346" s="50"/>
      <c r="KZL346" s="50"/>
      <c r="KZM346" s="50"/>
      <c r="KZN346" s="50"/>
      <c r="KZO346" s="50"/>
      <c r="KZP346" s="50"/>
      <c r="KZQ346" s="50"/>
      <c r="KZR346" s="50"/>
      <c r="KZS346" s="50"/>
      <c r="KZT346" s="50"/>
      <c r="KZU346" s="50"/>
      <c r="KZV346" s="50"/>
      <c r="KZW346" s="50"/>
      <c r="KZX346" s="50"/>
      <c r="KZY346" s="50"/>
      <c r="KZZ346" s="50"/>
      <c r="LAA346" s="50"/>
      <c r="LAB346" s="50"/>
      <c r="LAC346" s="50"/>
      <c r="LAD346" s="50"/>
      <c r="LAE346" s="50"/>
      <c r="LAF346" s="50"/>
      <c r="LAG346" s="50"/>
      <c r="LAH346" s="50"/>
      <c r="LAI346" s="50"/>
      <c r="LAJ346" s="50"/>
      <c r="LAK346" s="50"/>
      <c r="LAL346" s="50"/>
      <c r="LAM346" s="50"/>
      <c r="LAN346" s="50"/>
      <c r="LAO346" s="50"/>
      <c r="LAP346" s="50"/>
      <c r="LAQ346" s="50"/>
      <c r="LAR346" s="50"/>
      <c r="LAS346" s="50"/>
      <c r="LAT346" s="50"/>
      <c r="LAU346" s="50"/>
      <c r="LAV346" s="50"/>
      <c r="LAW346" s="50"/>
      <c r="LAX346" s="50"/>
      <c r="LAY346" s="50"/>
      <c r="LAZ346" s="50"/>
      <c r="LBA346" s="50"/>
      <c r="LBB346" s="50"/>
      <c r="LBC346" s="50"/>
      <c r="LBD346" s="50"/>
      <c r="LBE346" s="50"/>
      <c r="LBF346" s="50"/>
      <c r="LBG346" s="50"/>
      <c r="LBH346" s="50"/>
      <c r="LBI346" s="50"/>
      <c r="LBJ346" s="50"/>
      <c r="LBK346" s="50"/>
      <c r="LBL346" s="50"/>
      <c r="LBM346" s="50"/>
      <c r="LBN346" s="50"/>
      <c r="LBO346" s="50"/>
      <c r="LBP346" s="50"/>
      <c r="LBQ346" s="50"/>
      <c r="LBR346" s="50"/>
      <c r="LBS346" s="50"/>
      <c r="LBT346" s="50"/>
      <c r="LBU346" s="50"/>
      <c r="LBV346" s="50"/>
      <c r="LBW346" s="50"/>
      <c r="LBX346" s="50"/>
      <c r="LBY346" s="50"/>
      <c r="LBZ346" s="50"/>
      <c r="LCA346" s="50"/>
      <c r="LCB346" s="50"/>
      <c r="LCC346" s="50"/>
      <c r="LCD346" s="50"/>
      <c r="LCE346" s="50"/>
      <c r="LCF346" s="50"/>
      <c r="LCG346" s="50"/>
      <c r="LCH346" s="50"/>
      <c r="LCI346" s="50"/>
      <c r="LCJ346" s="50"/>
      <c r="LCK346" s="50"/>
      <c r="LCL346" s="50"/>
      <c r="LCM346" s="50"/>
      <c r="LCN346" s="50"/>
      <c r="LCO346" s="50"/>
      <c r="LCP346" s="50"/>
      <c r="LCQ346" s="50"/>
      <c r="LCR346" s="50"/>
      <c r="LCS346" s="50"/>
      <c r="LCT346" s="50"/>
      <c r="LCU346" s="50"/>
      <c r="LCV346" s="50"/>
      <c r="LCW346" s="50"/>
      <c r="LCX346" s="50"/>
      <c r="LCY346" s="50"/>
      <c r="LCZ346" s="50"/>
      <c r="LDA346" s="50"/>
      <c r="LDB346" s="50"/>
      <c r="LDC346" s="50"/>
      <c r="LDD346" s="50"/>
      <c r="LDE346" s="50"/>
      <c r="LDF346" s="50"/>
      <c r="LDG346" s="50"/>
      <c r="LDH346" s="50"/>
      <c r="LDI346" s="50"/>
      <c r="LDJ346" s="50"/>
      <c r="LDK346" s="50"/>
      <c r="LDL346" s="50"/>
      <c r="LDM346" s="50"/>
      <c r="LDN346" s="50"/>
      <c r="LDO346" s="50"/>
      <c r="LDP346" s="50"/>
      <c r="LDQ346" s="50"/>
      <c r="LDR346" s="50"/>
      <c r="LDS346" s="50"/>
      <c r="LDT346" s="50"/>
      <c r="LDU346" s="50"/>
      <c r="LDV346" s="50"/>
      <c r="LDW346" s="50"/>
      <c r="LDX346" s="50"/>
      <c r="LDY346" s="50"/>
      <c r="LDZ346" s="50"/>
      <c r="LEA346" s="50"/>
      <c r="LEB346" s="50"/>
      <c r="LEC346" s="50"/>
      <c r="LED346" s="50"/>
      <c r="LEE346" s="50"/>
      <c r="LEF346" s="50"/>
      <c r="LEG346" s="50"/>
      <c r="LEH346" s="50"/>
      <c r="LEI346" s="50"/>
      <c r="LEJ346" s="50"/>
      <c r="LEK346" s="50"/>
      <c r="LEL346" s="50"/>
      <c r="LEM346" s="50"/>
      <c r="LEN346" s="50"/>
      <c r="LEO346" s="50"/>
      <c r="LEP346" s="50"/>
      <c r="LEQ346" s="50"/>
      <c r="LER346" s="50"/>
      <c r="LES346" s="50"/>
      <c r="LET346" s="50"/>
      <c r="LEU346" s="50"/>
      <c r="LEV346" s="50"/>
      <c r="LEW346" s="50"/>
      <c r="LEX346" s="50"/>
      <c r="LEY346" s="50"/>
      <c r="LEZ346" s="50"/>
      <c r="LFA346" s="50"/>
      <c r="LFB346" s="50"/>
      <c r="LFC346" s="50"/>
      <c r="LFD346" s="50"/>
      <c r="LFE346" s="50"/>
      <c r="LFF346" s="50"/>
      <c r="LFG346" s="50"/>
      <c r="LFH346" s="50"/>
      <c r="LFI346" s="50"/>
      <c r="LFJ346" s="50"/>
      <c r="LFK346" s="50"/>
      <c r="LFL346" s="50"/>
      <c r="LFM346" s="50"/>
      <c r="LFN346" s="50"/>
      <c r="LFO346" s="50"/>
      <c r="LFP346" s="50"/>
      <c r="LFQ346" s="50"/>
      <c r="LFR346" s="50"/>
      <c r="LFS346" s="50"/>
      <c r="LFT346" s="50"/>
      <c r="LFU346" s="50"/>
      <c r="LFV346" s="50"/>
      <c r="LFW346" s="50"/>
      <c r="LFX346" s="50"/>
      <c r="LFY346" s="50"/>
      <c r="LFZ346" s="50"/>
      <c r="LGA346" s="50"/>
      <c r="LGB346" s="50"/>
      <c r="LGC346" s="50"/>
      <c r="LGD346" s="50"/>
      <c r="LGE346" s="50"/>
      <c r="LGF346" s="50"/>
      <c r="LGG346" s="50"/>
      <c r="LGH346" s="50"/>
      <c r="LGI346" s="50"/>
      <c r="LGJ346" s="50"/>
      <c r="LGK346" s="50"/>
      <c r="LGL346" s="50"/>
      <c r="LGM346" s="50"/>
      <c r="LGN346" s="50"/>
      <c r="LGO346" s="50"/>
      <c r="LGP346" s="50"/>
      <c r="LGQ346" s="50"/>
      <c r="LGR346" s="50"/>
      <c r="LGS346" s="50"/>
      <c r="LGT346" s="50"/>
      <c r="LGU346" s="50"/>
      <c r="LGV346" s="50"/>
      <c r="LGW346" s="50"/>
      <c r="LGX346" s="50"/>
      <c r="LGY346" s="50"/>
      <c r="LGZ346" s="50"/>
      <c r="LHA346" s="50"/>
      <c r="LHB346" s="50"/>
      <c r="LHC346" s="50"/>
      <c r="LHD346" s="50"/>
      <c r="LHE346" s="50"/>
      <c r="LHF346" s="50"/>
      <c r="LHG346" s="50"/>
      <c r="LHH346" s="50"/>
      <c r="LHI346" s="50"/>
      <c r="LHJ346" s="50"/>
      <c r="LHK346" s="50"/>
      <c r="LHL346" s="50"/>
      <c r="LHM346" s="50"/>
      <c r="LHN346" s="50"/>
      <c r="LHO346" s="50"/>
      <c r="LHP346" s="50"/>
      <c r="LHQ346" s="50"/>
      <c r="LHR346" s="50"/>
      <c r="LHS346" s="50"/>
      <c r="LHT346" s="50"/>
      <c r="LHU346" s="50"/>
      <c r="LHV346" s="50"/>
      <c r="LHW346" s="50"/>
      <c r="LHX346" s="50"/>
      <c r="LHY346" s="50"/>
      <c r="LHZ346" s="50"/>
      <c r="LIA346" s="50"/>
      <c r="LIB346" s="50"/>
      <c r="LIC346" s="50"/>
      <c r="LID346" s="50"/>
      <c r="LIE346" s="50"/>
      <c r="LIF346" s="50"/>
      <c r="LIG346" s="50"/>
      <c r="LIH346" s="50"/>
      <c r="LII346" s="50"/>
      <c r="LIJ346" s="50"/>
      <c r="LIK346" s="50"/>
      <c r="LIL346" s="50"/>
      <c r="LIM346" s="50"/>
      <c r="LIN346" s="50"/>
      <c r="LIO346" s="50"/>
      <c r="LIP346" s="50"/>
      <c r="LIQ346" s="50"/>
      <c r="LIR346" s="50"/>
      <c r="LIS346" s="50"/>
      <c r="LIT346" s="50"/>
      <c r="LIU346" s="50"/>
      <c r="LIV346" s="50"/>
      <c r="LIW346" s="50"/>
      <c r="LIX346" s="50"/>
      <c r="LIY346" s="50"/>
      <c r="LIZ346" s="50"/>
      <c r="LJA346" s="50"/>
      <c r="LJB346" s="50"/>
      <c r="LJC346" s="50"/>
      <c r="LJD346" s="50"/>
      <c r="LJE346" s="50"/>
      <c r="LJF346" s="50"/>
      <c r="LJG346" s="50"/>
      <c r="LJH346" s="50"/>
      <c r="LJI346" s="50"/>
      <c r="LJJ346" s="50"/>
      <c r="LJK346" s="50"/>
      <c r="LJL346" s="50"/>
      <c r="LJM346" s="50"/>
      <c r="LJN346" s="50"/>
      <c r="LJO346" s="50"/>
      <c r="LJP346" s="50"/>
      <c r="LJQ346" s="50"/>
      <c r="LJR346" s="50"/>
      <c r="LJS346" s="50"/>
      <c r="LJT346" s="50"/>
      <c r="LJU346" s="50"/>
      <c r="LJV346" s="50"/>
      <c r="LJW346" s="50"/>
      <c r="LJX346" s="50"/>
      <c r="LJY346" s="50"/>
      <c r="LJZ346" s="50"/>
      <c r="LKA346" s="50"/>
      <c r="LKB346" s="50"/>
      <c r="LKC346" s="50"/>
      <c r="LKD346" s="50"/>
      <c r="LKE346" s="50"/>
      <c r="LKF346" s="50"/>
      <c r="LKG346" s="50"/>
      <c r="LKH346" s="50"/>
      <c r="LKI346" s="50"/>
      <c r="LKJ346" s="50"/>
      <c r="LKK346" s="50"/>
      <c r="LKL346" s="50"/>
      <c r="LKM346" s="50"/>
      <c r="LKN346" s="50"/>
      <c r="LKO346" s="50"/>
      <c r="LKP346" s="50"/>
      <c r="LKQ346" s="50"/>
      <c r="LKR346" s="50"/>
      <c r="LKS346" s="50"/>
      <c r="LKT346" s="50"/>
      <c r="LKU346" s="50"/>
      <c r="LKV346" s="50"/>
      <c r="LKW346" s="50"/>
      <c r="LKX346" s="50"/>
      <c r="LKY346" s="50"/>
      <c r="LKZ346" s="50"/>
      <c r="LLA346" s="50"/>
      <c r="LLB346" s="50"/>
      <c r="LLC346" s="50"/>
      <c r="LLD346" s="50"/>
      <c r="LLE346" s="50"/>
      <c r="LLF346" s="50"/>
      <c r="LLG346" s="50"/>
      <c r="LLH346" s="50"/>
      <c r="LLI346" s="50"/>
      <c r="LLJ346" s="50"/>
      <c r="LLK346" s="50"/>
      <c r="LLL346" s="50"/>
      <c r="LLM346" s="50"/>
      <c r="LLN346" s="50"/>
      <c r="LLO346" s="50"/>
      <c r="LLP346" s="50"/>
      <c r="LLQ346" s="50"/>
      <c r="LLR346" s="50"/>
      <c r="LLS346" s="50"/>
      <c r="LLT346" s="50"/>
      <c r="LLU346" s="50"/>
      <c r="LLV346" s="50"/>
      <c r="LLW346" s="50"/>
      <c r="LLX346" s="50"/>
      <c r="LLY346" s="50"/>
      <c r="LLZ346" s="50"/>
      <c r="LMA346" s="50"/>
      <c r="LMB346" s="50"/>
      <c r="LMC346" s="50"/>
      <c r="LMD346" s="50"/>
      <c r="LME346" s="50"/>
      <c r="LMF346" s="50"/>
      <c r="LMG346" s="50"/>
      <c r="LMH346" s="50"/>
      <c r="LMI346" s="50"/>
      <c r="LMJ346" s="50"/>
      <c r="LMK346" s="50"/>
      <c r="LML346" s="50"/>
      <c r="LMM346" s="50"/>
      <c r="LMN346" s="50"/>
      <c r="LMO346" s="50"/>
      <c r="LMP346" s="50"/>
      <c r="LMQ346" s="50"/>
      <c r="LMR346" s="50"/>
      <c r="LMS346" s="50"/>
      <c r="LMT346" s="50"/>
      <c r="LMU346" s="50"/>
      <c r="LMV346" s="50"/>
      <c r="LMW346" s="50"/>
      <c r="LMX346" s="50"/>
      <c r="LMY346" s="50"/>
      <c r="LMZ346" s="50"/>
      <c r="LNA346" s="50"/>
      <c r="LNB346" s="50"/>
      <c r="LNC346" s="50"/>
      <c r="LND346" s="50"/>
      <c r="LNE346" s="50"/>
      <c r="LNF346" s="50"/>
      <c r="LNG346" s="50"/>
      <c r="LNH346" s="50"/>
      <c r="LNI346" s="50"/>
      <c r="LNJ346" s="50"/>
      <c r="LNK346" s="50"/>
      <c r="LNL346" s="50"/>
      <c r="LNM346" s="50"/>
      <c r="LNN346" s="50"/>
      <c r="LNO346" s="50"/>
      <c r="LNP346" s="50"/>
      <c r="LNQ346" s="50"/>
      <c r="LNR346" s="50"/>
      <c r="LNS346" s="50"/>
      <c r="LNT346" s="50"/>
      <c r="LNU346" s="50"/>
      <c r="LNV346" s="50"/>
      <c r="LNW346" s="50"/>
      <c r="LNX346" s="50"/>
      <c r="LNY346" s="50"/>
      <c r="LNZ346" s="50"/>
      <c r="LOA346" s="50"/>
      <c r="LOB346" s="50"/>
      <c r="LOC346" s="50"/>
      <c r="LOD346" s="50"/>
      <c r="LOE346" s="50"/>
      <c r="LOF346" s="50"/>
      <c r="LOG346" s="50"/>
      <c r="LOH346" s="50"/>
      <c r="LOI346" s="50"/>
      <c r="LOJ346" s="50"/>
      <c r="LOK346" s="50"/>
      <c r="LOL346" s="50"/>
      <c r="LOM346" s="50"/>
      <c r="LON346" s="50"/>
      <c r="LOO346" s="50"/>
      <c r="LOP346" s="50"/>
      <c r="LOQ346" s="50"/>
      <c r="LOR346" s="50"/>
      <c r="LOS346" s="50"/>
      <c r="LOT346" s="50"/>
      <c r="LOU346" s="50"/>
      <c r="LOV346" s="50"/>
      <c r="LOW346" s="50"/>
      <c r="LOX346" s="50"/>
      <c r="LOY346" s="50"/>
      <c r="LOZ346" s="50"/>
      <c r="LPA346" s="50"/>
      <c r="LPB346" s="50"/>
      <c r="LPC346" s="50"/>
      <c r="LPD346" s="50"/>
      <c r="LPE346" s="50"/>
      <c r="LPF346" s="50"/>
      <c r="LPG346" s="50"/>
      <c r="LPH346" s="50"/>
      <c r="LPI346" s="50"/>
      <c r="LPJ346" s="50"/>
      <c r="LPK346" s="50"/>
      <c r="LPL346" s="50"/>
      <c r="LPM346" s="50"/>
      <c r="LPN346" s="50"/>
      <c r="LPO346" s="50"/>
      <c r="LPP346" s="50"/>
      <c r="LPQ346" s="50"/>
      <c r="LPR346" s="50"/>
      <c r="LPS346" s="50"/>
      <c r="LPT346" s="50"/>
      <c r="LPU346" s="50"/>
      <c r="LPV346" s="50"/>
      <c r="LPW346" s="50"/>
      <c r="LPX346" s="50"/>
      <c r="LPY346" s="50"/>
      <c r="LPZ346" s="50"/>
      <c r="LQA346" s="50"/>
      <c r="LQB346" s="50"/>
      <c r="LQC346" s="50"/>
      <c r="LQD346" s="50"/>
      <c r="LQE346" s="50"/>
      <c r="LQF346" s="50"/>
      <c r="LQG346" s="50"/>
      <c r="LQH346" s="50"/>
      <c r="LQI346" s="50"/>
      <c r="LQJ346" s="50"/>
      <c r="LQK346" s="50"/>
      <c r="LQL346" s="50"/>
      <c r="LQM346" s="50"/>
      <c r="LQN346" s="50"/>
      <c r="LQO346" s="50"/>
      <c r="LQP346" s="50"/>
      <c r="LQQ346" s="50"/>
      <c r="LQR346" s="50"/>
      <c r="LQS346" s="50"/>
      <c r="LQT346" s="50"/>
      <c r="LQU346" s="50"/>
      <c r="LQV346" s="50"/>
      <c r="LQW346" s="50"/>
      <c r="LQX346" s="50"/>
      <c r="LQY346" s="50"/>
      <c r="LQZ346" s="50"/>
      <c r="LRA346" s="50"/>
      <c r="LRB346" s="50"/>
      <c r="LRC346" s="50"/>
      <c r="LRD346" s="50"/>
      <c r="LRE346" s="50"/>
      <c r="LRF346" s="50"/>
      <c r="LRG346" s="50"/>
      <c r="LRH346" s="50"/>
      <c r="LRI346" s="50"/>
      <c r="LRJ346" s="50"/>
      <c r="LRK346" s="50"/>
      <c r="LRL346" s="50"/>
      <c r="LRM346" s="50"/>
      <c r="LRN346" s="50"/>
      <c r="LRO346" s="50"/>
      <c r="LRP346" s="50"/>
      <c r="LRQ346" s="50"/>
      <c r="LRR346" s="50"/>
      <c r="LRS346" s="50"/>
      <c r="LRT346" s="50"/>
      <c r="LRU346" s="50"/>
      <c r="LRV346" s="50"/>
      <c r="LRW346" s="50"/>
      <c r="LRX346" s="50"/>
      <c r="LRY346" s="50"/>
      <c r="LRZ346" s="50"/>
      <c r="LSA346" s="50"/>
      <c r="LSB346" s="50"/>
      <c r="LSC346" s="50"/>
      <c r="LSD346" s="50"/>
      <c r="LSE346" s="50"/>
      <c r="LSF346" s="50"/>
      <c r="LSG346" s="50"/>
      <c r="LSH346" s="50"/>
      <c r="LSI346" s="50"/>
      <c r="LSJ346" s="50"/>
      <c r="LSK346" s="50"/>
      <c r="LSL346" s="50"/>
      <c r="LSM346" s="50"/>
      <c r="LSN346" s="50"/>
      <c r="LSO346" s="50"/>
      <c r="LSP346" s="50"/>
      <c r="LSQ346" s="50"/>
      <c r="LSR346" s="50"/>
      <c r="LSS346" s="50"/>
      <c r="LST346" s="50"/>
      <c r="LSU346" s="50"/>
      <c r="LSV346" s="50"/>
      <c r="LSW346" s="50"/>
      <c r="LSX346" s="50"/>
      <c r="LSY346" s="50"/>
      <c r="LSZ346" s="50"/>
      <c r="LTA346" s="50"/>
      <c r="LTB346" s="50"/>
      <c r="LTC346" s="50"/>
      <c r="LTD346" s="50"/>
      <c r="LTE346" s="50"/>
      <c r="LTF346" s="50"/>
      <c r="LTG346" s="50"/>
      <c r="LTH346" s="50"/>
      <c r="LTI346" s="50"/>
      <c r="LTJ346" s="50"/>
      <c r="LTK346" s="50"/>
      <c r="LTL346" s="50"/>
      <c r="LTM346" s="50"/>
      <c r="LTN346" s="50"/>
      <c r="LTO346" s="50"/>
      <c r="LTP346" s="50"/>
      <c r="LTQ346" s="50"/>
      <c r="LTR346" s="50"/>
      <c r="LTS346" s="50"/>
      <c r="LTT346" s="50"/>
      <c r="LTU346" s="50"/>
      <c r="LTV346" s="50"/>
      <c r="LTW346" s="50"/>
      <c r="LTX346" s="50"/>
      <c r="LTY346" s="50"/>
      <c r="LTZ346" s="50"/>
      <c r="LUA346" s="50"/>
      <c r="LUB346" s="50"/>
      <c r="LUC346" s="50"/>
      <c r="LUD346" s="50"/>
      <c r="LUE346" s="50"/>
      <c r="LUF346" s="50"/>
      <c r="LUG346" s="50"/>
      <c r="LUH346" s="50"/>
      <c r="LUI346" s="50"/>
      <c r="LUJ346" s="50"/>
      <c r="LUK346" s="50"/>
      <c r="LUL346" s="50"/>
      <c r="LUM346" s="50"/>
      <c r="LUN346" s="50"/>
      <c r="LUO346" s="50"/>
      <c r="LUP346" s="50"/>
      <c r="LUQ346" s="50"/>
      <c r="LUR346" s="50"/>
      <c r="LUS346" s="50"/>
      <c r="LUT346" s="50"/>
      <c r="LUU346" s="50"/>
      <c r="LUV346" s="50"/>
      <c r="LUW346" s="50"/>
      <c r="LUX346" s="50"/>
      <c r="LUY346" s="50"/>
      <c r="LUZ346" s="50"/>
      <c r="LVA346" s="50"/>
      <c r="LVB346" s="50"/>
      <c r="LVC346" s="50"/>
      <c r="LVD346" s="50"/>
      <c r="LVE346" s="50"/>
      <c r="LVF346" s="50"/>
      <c r="LVG346" s="50"/>
      <c r="LVH346" s="50"/>
      <c r="LVI346" s="50"/>
      <c r="LVJ346" s="50"/>
      <c r="LVK346" s="50"/>
      <c r="LVL346" s="50"/>
      <c r="LVM346" s="50"/>
      <c r="LVN346" s="50"/>
      <c r="LVO346" s="50"/>
      <c r="LVP346" s="50"/>
      <c r="LVQ346" s="50"/>
      <c r="LVR346" s="50"/>
      <c r="LVS346" s="50"/>
      <c r="LVT346" s="50"/>
      <c r="LVU346" s="50"/>
      <c r="LVV346" s="50"/>
      <c r="LVW346" s="50"/>
      <c r="LVX346" s="50"/>
      <c r="LVY346" s="50"/>
      <c r="LVZ346" s="50"/>
      <c r="LWA346" s="50"/>
      <c r="LWB346" s="50"/>
      <c r="LWC346" s="50"/>
      <c r="LWD346" s="50"/>
      <c r="LWE346" s="50"/>
      <c r="LWF346" s="50"/>
      <c r="LWG346" s="50"/>
      <c r="LWH346" s="50"/>
      <c r="LWI346" s="50"/>
      <c r="LWJ346" s="50"/>
      <c r="LWK346" s="50"/>
      <c r="LWL346" s="50"/>
      <c r="LWM346" s="50"/>
      <c r="LWN346" s="50"/>
      <c r="LWO346" s="50"/>
      <c r="LWP346" s="50"/>
      <c r="LWQ346" s="50"/>
      <c r="LWR346" s="50"/>
      <c r="LWS346" s="50"/>
      <c r="LWT346" s="50"/>
      <c r="LWU346" s="50"/>
      <c r="LWV346" s="50"/>
      <c r="LWW346" s="50"/>
      <c r="LWX346" s="50"/>
      <c r="LWY346" s="50"/>
      <c r="LWZ346" s="50"/>
      <c r="LXA346" s="50"/>
      <c r="LXB346" s="50"/>
      <c r="LXC346" s="50"/>
      <c r="LXD346" s="50"/>
      <c r="LXE346" s="50"/>
      <c r="LXF346" s="50"/>
      <c r="LXG346" s="50"/>
      <c r="LXH346" s="50"/>
      <c r="LXI346" s="50"/>
      <c r="LXJ346" s="50"/>
      <c r="LXK346" s="50"/>
      <c r="LXL346" s="50"/>
      <c r="LXM346" s="50"/>
      <c r="LXN346" s="50"/>
      <c r="LXO346" s="50"/>
      <c r="LXP346" s="50"/>
      <c r="LXQ346" s="50"/>
      <c r="LXR346" s="50"/>
      <c r="LXS346" s="50"/>
      <c r="LXT346" s="50"/>
      <c r="LXU346" s="50"/>
      <c r="LXV346" s="50"/>
      <c r="LXW346" s="50"/>
      <c r="LXX346" s="50"/>
      <c r="LXY346" s="50"/>
      <c r="LXZ346" s="50"/>
      <c r="LYA346" s="50"/>
      <c r="LYB346" s="50"/>
      <c r="LYC346" s="50"/>
      <c r="LYD346" s="50"/>
      <c r="LYE346" s="50"/>
      <c r="LYF346" s="50"/>
      <c r="LYG346" s="50"/>
      <c r="LYH346" s="50"/>
      <c r="LYI346" s="50"/>
      <c r="LYJ346" s="50"/>
      <c r="LYK346" s="50"/>
      <c r="LYL346" s="50"/>
      <c r="LYM346" s="50"/>
      <c r="LYN346" s="50"/>
      <c r="LYO346" s="50"/>
      <c r="LYP346" s="50"/>
      <c r="LYQ346" s="50"/>
      <c r="LYR346" s="50"/>
      <c r="LYS346" s="50"/>
      <c r="LYT346" s="50"/>
      <c r="LYU346" s="50"/>
      <c r="LYV346" s="50"/>
      <c r="LYW346" s="50"/>
      <c r="LYX346" s="50"/>
      <c r="LYY346" s="50"/>
      <c r="LYZ346" s="50"/>
      <c r="LZA346" s="50"/>
      <c r="LZB346" s="50"/>
      <c r="LZC346" s="50"/>
      <c r="LZD346" s="50"/>
      <c r="LZE346" s="50"/>
      <c r="LZF346" s="50"/>
      <c r="LZG346" s="50"/>
      <c r="LZH346" s="50"/>
      <c r="LZI346" s="50"/>
      <c r="LZJ346" s="50"/>
      <c r="LZK346" s="50"/>
      <c r="LZL346" s="50"/>
      <c r="LZM346" s="50"/>
      <c r="LZN346" s="50"/>
      <c r="LZO346" s="50"/>
      <c r="LZP346" s="50"/>
      <c r="LZQ346" s="50"/>
      <c r="LZR346" s="50"/>
      <c r="LZS346" s="50"/>
      <c r="LZT346" s="50"/>
      <c r="LZU346" s="50"/>
      <c r="LZV346" s="50"/>
      <c r="LZW346" s="50"/>
      <c r="LZX346" s="50"/>
      <c r="LZY346" s="50"/>
      <c r="LZZ346" s="50"/>
      <c r="MAA346" s="50"/>
      <c r="MAB346" s="50"/>
      <c r="MAC346" s="50"/>
      <c r="MAD346" s="50"/>
      <c r="MAE346" s="50"/>
      <c r="MAF346" s="50"/>
      <c r="MAG346" s="50"/>
      <c r="MAH346" s="50"/>
      <c r="MAI346" s="50"/>
      <c r="MAJ346" s="50"/>
      <c r="MAK346" s="50"/>
      <c r="MAL346" s="50"/>
      <c r="MAM346" s="50"/>
      <c r="MAN346" s="50"/>
      <c r="MAO346" s="50"/>
      <c r="MAP346" s="50"/>
      <c r="MAQ346" s="50"/>
      <c r="MAR346" s="50"/>
      <c r="MAS346" s="50"/>
      <c r="MAT346" s="50"/>
      <c r="MAU346" s="50"/>
      <c r="MAV346" s="50"/>
      <c r="MAW346" s="50"/>
      <c r="MAX346" s="50"/>
      <c r="MAY346" s="50"/>
      <c r="MAZ346" s="50"/>
      <c r="MBA346" s="50"/>
      <c r="MBB346" s="50"/>
      <c r="MBC346" s="50"/>
      <c r="MBD346" s="50"/>
      <c r="MBE346" s="50"/>
      <c r="MBF346" s="50"/>
      <c r="MBG346" s="50"/>
      <c r="MBH346" s="50"/>
      <c r="MBI346" s="50"/>
      <c r="MBJ346" s="50"/>
      <c r="MBK346" s="50"/>
      <c r="MBL346" s="50"/>
      <c r="MBM346" s="50"/>
      <c r="MBN346" s="50"/>
      <c r="MBO346" s="50"/>
      <c r="MBP346" s="50"/>
      <c r="MBQ346" s="50"/>
      <c r="MBR346" s="50"/>
      <c r="MBS346" s="50"/>
      <c r="MBT346" s="50"/>
      <c r="MBU346" s="50"/>
      <c r="MBV346" s="50"/>
      <c r="MBW346" s="50"/>
      <c r="MBX346" s="50"/>
      <c r="MBY346" s="50"/>
      <c r="MBZ346" s="50"/>
      <c r="MCA346" s="50"/>
      <c r="MCB346" s="50"/>
      <c r="MCC346" s="50"/>
      <c r="MCD346" s="50"/>
      <c r="MCE346" s="50"/>
      <c r="MCF346" s="50"/>
      <c r="MCG346" s="50"/>
      <c r="MCH346" s="50"/>
      <c r="MCI346" s="50"/>
      <c r="MCJ346" s="50"/>
      <c r="MCK346" s="50"/>
      <c r="MCL346" s="50"/>
      <c r="MCM346" s="50"/>
      <c r="MCN346" s="50"/>
      <c r="MCO346" s="50"/>
      <c r="MCP346" s="50"/>
      <c r="MCQ346" s="50"/>
      <c r="MCR346" s="50"/>
      <c r="MCS346" s="50"/>
      <c r="MCT346" s="50"/>
      <c r="MCU346" s="50"/>
      <c r="MCV346" s="50"/>
      <c r="MCW346" s="50"/>
      <c r="MCX346" s="50"/>
      <c r="MCY346" s="50"/>
      <c r="MCZ346" s="50"/>
      <c r="MDA346" s="50"/>
      <c r="MDB346" s="50"/>
      <c r="MDC346" s="50"/>
      <c r="MDD346" s="50"/>
      <c r="MDE346" s="50"/>
      <c r="MDF346" s="50"/>
      <c r="MDG346" s="50"/>
      <c r="MDH346" s="50"/>
      <c r="MDI346" s="50"/>
      <c r="MDJ346" s="50"/>
      <c r="MDK346" s="50"/>
      <c r="MDL346" s="50"/>
      <c r="MDM346" s="50"/>
      <c r="MDN346" s="50"/>
      <c r="MDO346" s="50"/>
      <c r="MDP346" s="50"/>
      <c r="MDQ346" s="50"/>
      <c r="MDR346" s="50"/>
      <c r="MDS346" s="50"/>
      <c r="MDT346" s="50"/>
      <c r="MDU346" s="50"/>
      <c r="MDV346" s="50"/>
      <c r="MDW346" s="50"/>
      <c r="MDX346" s="50"/>
      <c r="MDY346" s="50"/>
      <c r="MDZ346" s="50"/>
      <c r="MEA346" s="50"/>
      <c r="MEB346" s="50"/>
      <c r="MEC346" s="50"/>
      <c r="MED346" s="50"/>
      <c r="MEE346" s="50"/>
      <c r="MEF346" s="50"/>
      <c r="MEG346" s="50"/>
      <c r="MEH346" s="50"/>
      <c r="MEI346" s="50"/>
      <c r="MEJ346" s="50"/>
      <c r="MEK346" s="50"/>
      <c r="MEL346" s="50"/>
      <c r="MEM346" s="50"/>
      <c r="MEN346" s="50"/>
      <c r="MEO346" s="50"/>
      <c r="MEP346" s="50"/>
      <c r="MEQ346" s="50"/>
      <c r="MER346" s="50"/>
      <c r="MES346" s="50"/>
      <c r="MET346" s="50"/>
      <c r="MEU346" s="50"/>
      <c r="MEV346" s="50"/>
      <c r="MEW346" s="50"/>
      <c r="MEX346" s="50"/>
      <c r="MEY346" s="50"/>
      <c r="MEZ346" s="50"/>
      <c r="MFA346" s="50"/>
      <c r="MFB346" s="50"/>
      <c r="MFC346" s="50"/>
      <c r="MFD346" s="50"/>
      <c r="MFE346" s="50"/>
      <c r="MFF346" s="50"/>
      <c r="MFG346" s="50"/>
      <c r="MFH346" s="50"/>
      <c r="MFI346" s="50"/>
      <c r="MFJ346" s="50"/>
      <c r="MFK346" s="50"/>
      <c r="MFL346" s="50"/>
      <c r="MFM346" s="50"/>
      <c r="MFN346" s="50"/>
      <c r="MFO346" s="50"/>
      <c r="MFP346" s="50"/>
      <c r="MFQ346" s="50"/>
      <c r="MFR346" s="50"/>
      <c r="MFS346" s="50"/>
      <c r="MFT346" s="50"/>
      <c r="MFU346" s="50"/>
      <c r="MFV346" s="50"/>
      <c r="MFW346" s="50"/>
      <c r="MFX346" s="50"/>
      <c r="MFY346" s="50"/>
      <c r="MFZ346" s="50"/>
      <c r="MGA346" s="50"/>
      <c r="MGB346" s="50"/>
      <c r="MGC346" s="50"/>
      <c r="MGD346" s="50"/>
      <c r="MGE346" s="50"/>
      <c r="MGF346" s="50"/>
      <c r="MGG346" s="50"/>
      <c r="MGH346" s="50"/>
      <c r="MGI346" s="50"/>
      <c r="MGJ346" s="50"/>
      <c r="MGK346" s="50"/>
      <c r="MGL346" s="50"/>
      <c r="MGM346" s="50"/>
      <c r="MGN346" s="50"/>
      <c r="MGO346" s="50"/>
      <c r="MGP346" s="50"/>
      <c r="MGQ346" s="50"/>
      <c r="MGR346" s="50"/>
      <c r="MGS346" s="50"/>
      <c r="MGT346" s="50"/>
      <c r="MGU346" s="50"/>
      <c r="MGV346" s="50"/>
      <c r="MGW346" s="50"/>
      <c r="MGX346" s="50"/>
      <c r="MGY346" s="50"/>
      <c r="MGZ346" s="50"/>
      <c r="MHA346" s="50"/>
      <c r="MHB346" s="50"/>
      <c r="MHC346" s="50"/>
      <c r="MHD346" s="50"/>
      <c r="MHE346" s="50"/>
      <c r="MHF346" s="50"/>
      <c r="MHG346" s="50"/>
      <c r="MHH346" s="50"/>
      <c r="MHI346" s="50"/>
      <c r="MHJ346" s="50"/>
      <c r="MHK346" s="50"/>
      <c r="MHL346" s="50"/>
      <c r="MHM346" s="50"/>
      <c r="MHN346" s="50"/>
      <c r="MHO346" s="50"/>
      <c r="MHP346" s="50"/>
      <c r="MHQ346" s="50"/>
      <c r="MHR346" s="50"/>
      <c r="MHS346" s="50"/>
      <c r="MHT346" s="50"/>
      <c r="MHU346" s="50"/>
      <c r="MHV346" s="50"/>
      <c r="MHW346" s="50"/>
      <c r="MHX346" s="50"/>
      <c r="MHY346" s="50"/>
      <c r="MHZ346" s="50"/>
      <c r="MIA346" s="50"/>
      <c r="MIB346" s="50"/>
      <c r="MIC346" s="50"/>
      <c r="MID346" s="50"/>
      <c r="MIE346" s="50"/>
      <c r="MIF346" s="50"/>
      <c r="MIG346" s="50"/>
      <c r="MIH346" s="50"/>
      <c r="MII346" s="50"/>
      <c r="MIJ346" s="50"/>
      <c r="MIK346" s="50"/>
      <c r="MIL346" s="50"/>
      <c r="MIM346" s="50"/>
      <c r="MIN346" s="50"/>
      <c r="MIO346" s="50"/>
      <c r="MIP346" s="50"/>
      <c r="MIQ346" s="50"/>
      <c r="MIR346" s="50"/>
      <c r="MIS346" s="50"/>
      <c r="MIT346" s="50"/>
      <c r="MIU346" s="50"/>
      <c r="MIV346" s="50"/>
      <c r="MIW346" s="50"/>
      <c r="MIX346" s="50"/>
      <c r="MIY346" s="50"/>
      <c r="MIZ346" s="50"/>
      <c r="MJA346" s="50"/>
      <c r="MJB346" s="50"/>
      <c r="MJC346" s="50"/>
      <c r="MJD346" s="50"/>
      <c r="MJE346" s="50"/>
      <c r="MJF346" s="50"/>
      <c r="MJG346" s="50"/>
      <c r="MJH346" s="50"/>
      <c r="MJI346" s="50"/>
      <c r="MJJ346" s="50"/>
      <c r="MJK346" s="50"/>
      <c r="MJL346" s="50"/>
      <c r="MJM346" s="50"/>
      <c r="MJN346" s="50"/>
      <c r="MJO346" s="50"/>
      <c r="MJP346" s="50"/>
      <c r="MJQ346" s="50"/>
      <c r="MJR346" s="50"/>
      <c r="MJS346" s="50"/>
      <c r="MJT346" s="50"/>
      <c r="MJU346" s="50"/>
      <c r="MJV346" s="50"/>
      <c r="MJW346" s="50"/>
      <c r="MJX346" s="50"/>
      <c r="MJY346" s="50"/>
      <c r="MJZ346" s="50"/>
      <c r="MKA346" s="50"/>
      <c r="MKB346" s="50"/>
      <c r="MKC346" s="50"/>
      <c r="MKD346" s="50"/>
      <c r="MKE346" s="50"/>
      <c r="MKF346" s="50"/>
      <c r="MKG346" s="50"/>
      <c r="MKH346" s="50"/>
      <c r="MKI346" s="50"/>
      <c r="MKJ346" s="50"/>
      <c r="MKK346" s="50"/>
      <c r="MKL346" s="50"/>
      <c r="MKM346" s="50"/>
      <c r="MKN346" s="50"/>
      <c r="MKO346" s="50"/>
      <c r="MKP346" s="50"/>
      <c r="MKQ346" s="50"/>
      <c r="MKR346" s="50"/>
      <c r="MKS346" s="50"/>
      <c r="MKT346" s="50"/>
      <c r="MKU346" s="50"/>
      <c r="MKV346" s="50"/>
      <c r="MKW346" s="50"/>
      <c r="MKX346" s="50"/>
      <c r="MKY346" s="50"/>
      <c r="MKZ346" s="50"/>
      <c r="MLA346" s="50"/>
      <c r="MLB346" s="50"/>
      <c r="MLC346" s="50"/>
      <c r="MLD346" s="50"/>
      <c r="MLE346" s="50"/>
      <c r="MLF346" s="50"/>
      <c r="MLG346" s="50"/>
      <c r="MLH346" s="50"/>
      <c r="MLI346" s="50"/>
      <c r="MLJ346" s="50"/>
      <c r="MLK346" s="50"/>
      <c r="MLL346" s="50"/>
      <c r="MLM346" s="50"/>
      <c r="MLN346" s="50"/>
      <c r="MLO346" s="50"/>
      <c r="MLP346" s="50"/>
      <c r="MLQ346" s="50"/>
      <c r="MLR346" s="50"/>
      <c r="MLS346" s="50"/>
      <c r="MLT346" s="50"/>
      <c r="MLU346" s="50"/>
      <c r="MLV346" s="50"/>
      <c r="MLW346" s="50"/>
      <c r="MLX346" s="50"/>
      <c r="MLY346" s="50"/>
      <c r="MLZ346" s="50"/>
      <c r="MMA346" s="50"/>
      <c r="MMB346" s="50"/>
      <c r="MMC346" s="50"/>
      <c r="MMD346" s="50"/>
      <c r="MME346" s="50"/>
      <c r="MMF346" s="50"/>
      <c r="MMG346" s="50"/>
      <c r="MMH346" s="50"/>
      <c r="MMI346" s="50"/>
      <c r="MMJ346" s="50"/>
      <c r="MMK346" s="50"/>
      <c r="MML346" s="50"/>
      <c r="MMM346" s="50"/>
      <c r="MMN346" s="50"/>
      <c r="MMO346" s="50"/>
      <c r="MMP346" s="50"/>
      <c r="MMQ346" s="50"/>
      <c r="MMR346" s="50"/>
      <c r="MMS346" s="50"/>
      <c r="MMT346" s="50"/>
      <c r="MMU346" s="50"/>
      <c r="MMV346" s="50"/>
      <c r="MMW346" s="50"/>
      <c r="MMX346" s="50"/>
      <c r="MMY346" s="50"/>
      <c r="MMZ346" s="50"/>
      <c r="MNA346" s="50"/>
      <c r="MNB346" s="50"/>
      <c r="MNC346" s="50"/>
      <c r="MND346" s="50"/>
      <c r="MNE346" s="50"/>
      <c r="MNF346" s="50"/>
      <c r="MNG346" s="50"/>
      <c r="MNH346" s="50"/>
      <c r="MNI346" s="50"/>
      <c r="MNJ346" s="50"/>
      <c r="MNK346" s="50"/>
      <c r="MNL346" s="50"/>
      <c r="MNM346" s="50"/>
      <c r="MNN346" s="50"/>
      <c r="MNO346" s="50"/>
      <c r="MNP346" s="50"/>
      <c r="MNQ346" s="50"/>
      <c r="MNR346" s="50"/>
      <c r="MNS346" s="50"/>
      <c r="MNT346" s="50"/>
      <c r="MNU346" s="50"/>
      <c r="MNV346" s="50"/>
      <c r="MNW346" s="50"/>
      <c r="MNX346" s="50"/>
      <c r="MNY346" s="50"/>
      <c r="MNZ346" s="50"/>
      <c r="MOA346" s="50"/>
      <c r="MOB346" s="50"/>
      <c r="MOC346" s="50"/>
      <c r="MOD346" s="50"/>
      <c r="MOE346" s="50"/>
      <c r="MOF346" s="50"/>
      <c r="MOG346" s="50"/>
      <c r="MOH346" s="50"/>
      <c r="MOI346" s="50"/>
      <c r="MOJ346" s="50"/>
      <c r="MOK346" s="50"/>
      <c r="MOL346" s="50"/>
      <c r="MOM346" s="50"/>
      <c r="MON346" s="50"/>
      <c r="MOO346" s="50"/>
      <c r="MOP346" s="50"/>
      <c r="MOQ346" s="50"/>
      <c r="MOR346" s="50"/>
      <c r="MOS346" s="50"/>
      <c r="MOT346" s="50"/>
      <c r="MOU346" s="50"/>
      <c r="MOV346" s="50"/>
      <c r="MOW346" s="50"/>
      <c r="MOX346" s="50"/>
      <c r="MOY346" s="50"/>
      <c r="MOZ346" s="50"/>
      <c r="MPA346" s="50"/>
      <c r="MPB346" s="50"/>
      <c r="MPC346" s="50"/>
      <c r="MPD346" s="50"/>
      <c r="MPE346" s="50"/>
      <c r="MPF346" s="50"/>
      <c r="MPG346" s="50"/>
      <c r="MPH346" s="50"/>
      <c r="MPI346" s="50"/>
      <c r="MPJ346" s="50"/>
      <c r="MPK346" s="50"/>
      <c r="MPL346" s="50"/>
      <c r="MPM346" s="50"/>
      <c r="MPN346" s="50"/>
      <c r="MPO346" s="50"/>
      <c r="MPP346" s="50"/>
      <c r="MPQ346" s="50"/>
      <c r="MPR346" s="50"/>
      <c r="MPS346" s="50"/>
      <c r="MPT346" s="50"/>
      <c r="MPU346" s="50"/>
      <c r="MPV346" s="50"/>
      <c r="MPW346" s="50"/>
      <c r="MPX346" s="50"/>
      <c r="MPY346" s="50"/>
      <c r="MPZ346" s="50"/>
      <c r="MQA346" s="50"/>
      <c r="MQB346" s="50"/>
      <c r="MQC346" s="50"/>
      <c r="MQD346" s="50"/>
      <c r="MQE346" s="50"/>
      <c r="MQF346" s="50"/>
      <c r="MQG346" s="50"/>
      <c r="MQH346" s="50"/>
      <c r="MQI346" s="50"/>
      <c r="MQJ346" s="50"/>
      <c r="MQK346" s="50"/>
      <c r="MQL346" s="50"/>
      <c r="MQM346" s="50"/>
      <c r="MQN346" s="50"/>
      <c r="MQO346" s="50"/>
      <c r="MQP346" s="50"/>
      <c r="MQQ346" s="50"/>
      <c r="MQR346" s="50"/>
      <c r="MQS346" s="50"/>
      <c r="MQT346" s="50"/>
      <c r="MQU346" s="50"/>
      <c r="MQV346" s="50"/>
      <c r="MQW346" s="50"/>
      <c r="MQX346" s="50"/>
      <c r="MQY346" s="50"/>
      <c r="MQZ346" s="50"/>
      <c r="MRA346" s="50"/>
      <c r="MRB346" s="50"/>
      <c r="MRC346" s="50"/>
      <c r="MRD346" s="50"/>
      <c r="MRE346" s="50"/>
      <c r="MRF346" s="50"/>
      <c r="MRG346" s="50"/>
      <c r="MRH346" s="50"/>
      <c r="MRI346" s="50"/>
      <c r="MRJ346" s="50"/>
      <c r="MRK346" s="50"/>
      <c r="MRL346" s="50"/>
      <c r="MRM346" s="50"/>
      <c r="MRN346" s="50"/>
      <c r="MRO346" s="50"/>
      <c r="MRP346" s="50"/>
      <c r="MRQ346" s="50"/>
      <c r="MRR346" s="50"/>
      <c r="MRS346" s="50"/>
      <c r="MRT346" s="50"/>
      <c r="MRU346" s="50"/>
      <c r="MRV346" s="50"/>
      <c r="MRW346" s="50"/>
      <c r="MRX346" s="50"/>
      <c r="MRY346" s="50"/>
      <c r="MRZ346" s="50"/>
      <c r="MSA346" s="50"/>
      <c r="MSB346" s="50"/>
      <c r="MSC346" s="50"/>
      <c r="MSD346" s="50"/>
      <c r="MSE346" s="50"/>
      <c r="MSF346" s="50"/>
      <c r="MSG346" s="50"/>
      <c r="MSH346" s="50"/>
      <c r="MSI346" s="50"/>
      <c r="MSJ346" s="50"/>
      <c r="MSK346" s="50"/>
      <c r="MSL346" s="50"/>
      <c r="MSM346" s="50"/>
      <c r="MSN346" s="50"/>
      <c r="MSO346" s="50"/>
      <c r="MSP346" s="50"/>
      <c r="MSQ346" s="50"/>
      <c r="MSR346" s="50"/>
      <c r="MSS346" s="50"/>
      <c r="MST346" s="50"/>
      <c r="MSU346" s="50"/>
      <c r="MSV346" s="50"/>
      <c r="MSW346" s="50"/>
      <c r="MSX346" s="50"/>
      <c r="MSY346" s="50"/>
      <c r="MSZ346" s="50"/>
      <c r="MTA346" s="50"/>
      <c r="MTB346" s="50"/>
      <c r="MTC346" s="50"/>
      <c r="MTD346" s="50"/>
      <c r="MTE346" s="50"/>
      <c r="MTF346" s="50"/>
      <c r="MTG346" s="50"/>
      <c r="MTH346" s="50"/>
      <c r="MTI346" s="50"/>
      <c r="MTJ346" s="50"/>
      <c r="MTK346" s="50"/>
      <c r="MTL346" s="50"/>
      <c r="MTM346" s="50"/>
      <c r="MTN346" s="50"/>
      <c r="MTO346" s="50"/>
      <c r="MTP346" s="50"/>
      <c r="MTQ346" s="50"/>
      <c r="MTR346" s="50"/>
      <c r="MTS346" s="50"/>
      <c r="MTT346" s="50"/>
      <c r="MTU346" s="50"/>
      <c r="MTV346" s="50"/>
      <c r="MTW346" s="50"/>
      <c r="MTX346" s="50"/>
      <c r="MTY346" s="50"/>
      <c r="MTZ346" s="50"/>
      <c r="MUA346" s="50"/>
      <c r="MUB346" s="50"/>
      <c r="MUC346" s="50"/>
      <c r="MUD346" s="50"/>
      <c r="MUE346" s="50"/>
      <c r="MUF346" s="50"/>
      <c r="MUG346" s="50"/>
      <c r="MUH346" s="50"/>
      <c r="MUI346" s="50"/>
      <c r="MUJ346" s="50"/>
      <c r="MUK346" s="50"/>
      <c r="MUL346" s="50"/>
      <c r="MUM346" s="50"/>
      <c r="MUN346" s="50"/>
      <c r="MUO346" s="50"/>
      <c r="MUP346" s="50"/>
      <c r="MUQ346" s="50"/>
      <c r="MUR346" s="50"/>
      <c r="MUS346" s="50"/>
      <c r="MUT346" s="50"/>
      <c r="MUU346" s="50"/>
      <c r="MUV346" s="50"/>
      <c r="MUW346" s="50"/>
      <c r="MUX346" s="50"/>
      <c r="MUY346" s="50"/>
      <c r="MUZ346" s="50"/>
      <c r="MVA346" s="50"/>
      <c r="MVB346" s="50"/>
      <c r="MVC346" s="50"/>
      <c r="MVD346" s="50"/>
      <c r="MVE346" s="50"/>
      <c r="MVF346" s="50"/>
      <c r="MVG346" s="50"/>
      <c r="MVH346" s="50"/>
      <c r="MVI346" s="50"/>
      <c r="MVJ346" s="50"/>
      <c r="MVK346" s="50"/>
      <c r="MVL346" s="50"/>
      <c r="MVM346" s="50"/>
      <c r="MVN346" s="50"/>
      <c r="MVO346" s="50"/>
      <c r="MVP346" s="50"/>
      <c r="MVQ346" s="50"/>
      <c r="MVR346" s="50"/>
      <c r="MVS346" s="50"/>
      <c r="MVT346" s="50"/>
      <c r="MVU346" s="50"/>
      <c r="MVV346" s="50"/>
      <c r="MVW346" s="50"/>
      <c r="MVX346" s="50"/>
      <c r="MVY346" s="50"/>
      <c r="MVZ346" s="50"/>
      <c r="MWA346" s="50"/>
      <c r="MWB346" s="50"/>
      <c r="MWC346" s="50"/>
      <c r="MWD346" s="50"/>
      <c r="MWE346" s="50"/>
      <c r="MWF346" s="50"/>
      <c r="MWG346" s="50"/>
      <c r="MWH346" s="50"/>
      <c r="MWI346" s="50"/>
      <c r="MWJ346" s="50"/>
      <c r="MWK346" s="50"/>
      <c r="MWL346" s="50"/>
      <c r="MWM346" s="50"/>
      <c r="MWN346" s="50"/>
      <c r="MWO346" s="50"/>
      <c r="MWP346" s="50"/>
      <c r="MWQ346" s="50"/>
      <c r="MWR346" s="50"/>
      <c r="MWS346" s="50"/>
      <c r="MWT346" s="50"/>
      <c r="MWU346" s="50"/>
      <c r="MWV346" s="50"/>
      <c r="MWW346" s="50"/>
      <c r="MWX346" s="50"/>
      <c r="MWY346" s="50"/>
      <c r="MWZ346" s="50"/>
      <c r="MXA346" s="50"/>
      <c r="MXB346" s="50"/>
      <c r="MXC346" s="50"/>
      <c r="MXD346" s="50"/>
      <c r="MXE346" s="50"/>
      <c r="MXF346" s="50"/>
      <c r="MXG346" s="50"/>
      <c r="MXH346" s="50"/>
      <c r="MXI346" s="50"/>
      <c r="MXJ346" s="50"/>
      <c r="MXK346" s="50"/>
      <c r="MXL346" s="50"/>
      <c r="MXM346" s="50"/>
      <c r="MXN346" s="50"/>
      <c r="MXO346" s="50"/>
      <c r="MXP346" s="50"/>
      <c r="MXQ346" s="50"/>
      <c r="MXR346" s="50"/>
      <c r="MXS346" s="50"/>
      <c r="MXT346" s="50"/>
      <c r="MXU346" s="50"/>
      <c r="MXV346" s="50"/>
      <c r="MXW346" s="50"/>
      <c r="MXX346" s="50"/>
      <c r="MXY346" s="50"/>
      <c r="MXZ346" s="50"/>
      <c r="MYA346" s="50"/>
      <c r="MYB346" s="50"/>
      <c r="MYC346" s="50"/>
      <c r="MYD346" s="50"/>
      <c r="MYE346" s="50"/>
      <c r="MYF346" s="50"/>
      <c r="MYG346" s="50"/>
      <c r="MYH346" s="50"/>
      <c r="MYI346" s="50"/>
      <c r="MYJ346" s="50"/>
      <c r="MYK346" s="50"/>
      <c r="MYL346" s="50"/>
      <c r="MYM346" s="50"/>
      <c r="MYN346" s="50"/>
      <c r="MYO346" s="50"/>
      <c r="MYP346" s="50"/>
      <c r="MYQ346" s="50"/>
      <c r="MYR346" s="50"/>
      <c r="MYS346" s="50"/>
      <c r="MYT346" s="50"/>
      <c r="MYU346" s="50"/>
      <c r="MYV346" s="50"/>
      <c r="MYW346" s="50"/>
      <c r="MYX346" s="50"/>
      <c r="MYY346" s="50"/>
      <c r="MYZ346" s="50"/>
      <c r="MZA346" s="50"/>
      <c r="MZB346" s="50"/>
      <c r="MZC346" s="50"/>
      <c r="MZD346" s="50"/>
      <c r="MZE346" s="50"/>
      <c r="MZF346" s="50"/>
      <c r="MZG346" s="50"/>
      <c r="MZH346" s="50"/>
      <c r="MZI346" s="50"/>
      <c r="MZJ346" s="50"/>
      <c r="MZK346" s="50"/>
      <c r="MZL346" s="50"/>
      <c r="MZM346" s="50"/>
      <c r="MZN346" s="50"/>
      <c r="MZO346" s="50"/>
      <c r="MZP346" s="50"/>
      <c r="MZQ346" s="50"/>
      <c r="MZR346" s="50"/>
      <c r="MZS346" s="50"/>
      <c r="MZT346" s="50"/>
      <c r="MZU346" s="50"/>
      <c r="MZV346" s="50"/>
      <c r="MZW346" s="50"/>
      <c r="MZX346" s="50"/>
      <c r="MZY346" s="50"/>
      <c r="MZZ346" s="50"/>
      <c r="NAA346" s="50"/>
      <c r="NAB346" s="50"/>
      <c r="NAC346" s="50"/>
      <c r="NAD346" s="50"/>
      <c r="NAE346" s="50"/>
      <c r="NAF346" s="50"/>
      <c r="NAG346" s="50"/>
      <c r="NAH346" s="50"/>
      <c r="NAI346" s="50"/>
      <c r="NAJ346" s="50"/>
      <c r="NAK346" s="50"/>
      <c r="NAL346" s="50"/>
      <c r="NAM346" s="50"/>
      <c r="NAN346" s="50"/>
      <c r="NAO346" s="50"/>
      <c r="NAP346" s="50"/>
      <c r="NAQ346" s="50"/>
      <c r="NAR346" s="50"/>
      <c r="NAS346" s="50"/>
      <c r="NAT346" s="50"/>
      <c r="NAU346" s="50"/>
      <c r="NAV346" s="50"/>
      <c r="NAW346" s="50"/>
      <c r="NAX346" s="50"/>
      <c r="NAY346" s="50"/>
      <c r="NAZ346" s="50"/>
      <c r="NBA346" s="50"/>
      <c r="NBB346" s="50"/>
      <c r="NBC346" s="50"/>
      <c r="NBD346" s="50"/>
      <c r="NBE346" s="50"/>
      <c r="NBF346" s="50"/>
      <c r="NBG346" s="50"/>
      <c r="NBH346" s="50"/>
      <c r="NBI346" s="50"/>
      <c r="NBJ346" s="50"/>
      <c r="NBK346" s="50"/>
      <c r="NBL346" s="50"/>
      <c r="NBM346" s="50"/>
      <c r="NBN346" s="50"/>
      <c r="NBO346" s="50"/>
      <c r="NBP346" s="50"/>
      <c r="NBQ346" s="50"/>
      <c r="NBR346" s="50"/>
      <c r="NBS346" s="50"/>
      <c r="NBT346" s="50"/>
      <c r="NBU346" s="50"/>
      <c r="NBV346" s="50"/>
      <c r="NBW346" s="50"/>
      <c r="NBX346" s="50"/>
      <c r="NBY346" s="50"/>
      <c r="NBZ346" s="50"/>
      <c r="NCA346" s="50"/>
      <c r="NCB346" s="50"/>
      <c r="NCC346" s="50"/>
      <c r="NCD346" s="50"/>
      <c r="NCE346" s="50"/>
      <c r="NCF346" s="50"/>
      <c r="NCG346" s="50"/>
      <c r="NCH346" s="50"/>
      <c r="NCI346" s="50"/>
      <c r="NCJ346" s="50"/>
      <c r="NCK346" s="50"/>
      <c r="NCL346" s="50"/>
      <c r="NCM346" s="50"/>
      <c r="NCN346" s="50"/>
      <c r="NCO346" s="50"/>
      <c r="NCP346" s="50"/>
      <c r="NCQ346" s="50"/>
      <c r="NCR346" s="50"/>
      <c r="NCS346" s="50"/>
      <c r="NCT346" s="50"/>
      <c r="NCU346" s="50"/>
      <c r="NCV346" s="50"/>
      <c r="NCW346" s="50"/>
      <c r="NCX346" s="50"/>
      <c r="NCY346" s="50"/>
      <c r="NCZ346" s="50"/>
      <c r="NDA346" s="50"/>
      <c r="NDB346" s="50"/>
      <c r="NDC346" s="50"/>
      <c r="NDD346" s="50"/>
      <c r="NDE346" s="50"/>
      <c r="NDF346" s="50"/>
      <c r="NDG346" s="50"/>
      <c r="NDH346" s="50"/>
      <c r="NDI346" s="50"/>
      <c r="NDJ346" s="50"/>
      <c r="NDK346" s="50"/>
      <c r="NDL346" s="50"/>
      <c r="NDM346" s="50"/>
      <c r="NDN346" s="50"/>
      <c r="NDO346" s="50"/>
      <c r="NDP346" s="50"/>
      <c r="NDQ346" s="50"/>
      <c r="NDR346" s="50"/>
      <c r="NDS346" s="50"/>
      <c r="NDT346" s="50"/>
      <c r="NDU346" s="50"/>
      <c r="NDV346" s="50"/>
      <c r="NDW346" s="50"/>
      <c r="NDX346" s="50"/>
      <c r="NDY346" s="50"/>
      <c r="NDZ346" s="50"/>
      <c r="NEA346" s="50"/>
      <c r="NEB346" s="50"/>
      <c r="NEC346" s="50"/>
      <c r="NED346" s="50"/>
      <c r="NEE346" s="50"/>
      <c r="NEF346" s="50"/>
      <c r="NEG346" s="50"/>
      <c r="NEH346" s="50"/>
      <c r="NEI346" s="50"/>
      <c r="NEJ346" s="50"/>
      <c r="NEK346" s="50"/>
      <c r="NEL346" s="50"/>
      <c r="NEM346" s="50"/>
      <c r="NEN346" s="50"/>
      <c r="NEO346" s="50"/>
      <c r="NEP346" s="50"/>
      <c r="NEQ346" s="50"/>
      <c r="NER346" s="50"/>
      <c r="NES346" s="50"/>
      <c r="NET346" s="50"/>
      <c r="NEU346" s="50"/>
      <c r="NEV346" s="50"/>
      <c r="NEW346" s="50"/>
      <c r="NEX346" s="50"/>
      <c r="NEY346" s="50"/>
      <c r="NEZ346" s="50"/>
      <c r="NFA346" s="50"/>
      <c r="NFB346" s="50"/>
      <c r="NFC346" s="50"/>
      <c r="NFD346" s="50"/>
      <c r="NFE346" s="50"/>
      <c r="NFF346" s="50"/>
      <c r="NFG346" s="50"/>
      <c r="NFH346" s="50"/>
      <c r="NFI346" s="50"/>
      <c r="NFJ346" s="50"/>
      <c r="NFK346" s="50"/>
      <c r="NFL346" s="50"/>
      <c r="NFM346" s="50"/>
      <c r="NFN346" s="50"/>
      <c r="NFO346" s="50"/>
      <c r="NFP346" s="50"/>
      <c r="NFQ346" s="50"/>
      <c r="NFR346" s="50"/>
      <c r="NFS346" s="50"/>
      <c r="NFT346" s="50"/>
      <c r="NFU346" s="50"/>
      <c r="NFV346" s="50"/>
      <c r="NFW346" s="50"/>
      <c r="NFX346" s="50"/>
      <c r="NFY346" s="50"/>
      <c r="NFZ346" s="50"/>
      <c r="NGA346" s="50"/>
      <c r="NGB346" s="50"/>
      <c r="NGC346" s="50"/>
      <c r="NGD346" s="50"/>
      <c r="NGE346" s="50"/>
      <c r="NGF346" s="50"/>
      <c r="NGG346" s="50"/>
      <c r="NGH346" s="50"/>
      <c r="NGI346" s="50"/>
      <c r="NGJ346" s="50"/>
      <c r="NGK346" s="50"/>
      <c r="NGL346" s="50"/>
      <c r="NGM346" s="50"/>
      <c r="NGN346" s="50"/>
      <c r="NGO346" s="50"/>
      <c r="NGP346" s="50"/>
      <c r="NGQ346" s="50"/>
      <c r="NGR346" s="50"/>
      <c r="NGS346" s="50"/>
      <c r="NGT346" s="50"/>
      <c r="NGU346" s="50"/>
      <c r="NGV346" s="50"/>
      <c r="NGW346" s="50"/>
      <c r="NGX346" s="50"/>
      <c r="NGY346" s="50"/>
      <c r="NGZ346" s="50"/>
      <c r="NHA346" s="50"/>
      <c r="NHB346" s="50"/>
      <c r="NHC346" s="50"/>
      <c r="NHD346" s="50"/>
      <c r="NHE346" s="50"/>
      <c r="NHF346" s="50"/>
      <c r="NHG346" s="50"/>
      <c r="NHH346" s="50"/>
      <c r="NHI346" s="50"/>
      <c r="NHJ346" s="50"/>
      <c r="NHK346" s="50"/>
      <c r="NHL346" s="50"/>
      <c r="NHM346" s="50"/>
      <c r="NHN346" s="50"/>
      <c r="NHO346" s="50"/>
      <c r="NHP346" s="50"/>
      <c r="NHQ346" s="50"/>
      <c r="NHR346" s="50"/>
      <c r="NHS346" s="50"/>
      <c r="NHT346" s="50"/>
      <c r="NHU346" s="50"/>
      <c r="NHV346" s="50"/>
      <c r="NHW346" s="50"/>
      <c r="NHX346" s="50"/>
      <c r="NHY346" s="50"/>
      <c r="NHZ346" s="50"/>
      <c r="NIA346" s="50"/>
      <c r="NIB346" s="50"/>
      <c r="NIC346" s="50"/>
      <c r="NID346" s="50"/>
      <c r="NIE346" s="50"/>
      <c r="NIF346" s="50"/>
      <c r="NIG346" s="50"/>
      <c r="NIH346" s="50"/>
      <c r="NII346" s="50"/>
      <c r="NIJ346" s="50"/>
      <c r="NIK346" s="50"/>
      <c r="NIL346" s="50"/>
      <c r="NIM346" s="50"/>
      <c r="NIN346" s="50"/>
      <c r="NIO346" s="50"/>
      <c r="NIP346" s="50"/>
      <c r="NIQ346" s="50"/>
      <c r="NIR346" s="50"/>
      <c r="NIS346" s="50"/>
      <c r="NIT346" s="50"/>
      <c r="NIU346" s="50"/>
      <c r="NIV346" s="50"/>
      <c r="NIW346" s="50"/>
      <c r="NIX346" s="50"/>
      <c r="NIY346" s="50"/>
      <c r="NIZ346" s="50"/>
      <c r="NJA346" s="50"/>
      <c r="NJB346" s="50"/>
      <c r="NJC346" s="50"/>
      <c r="NJD346" s="50"/>
      <c r="NJE346" s="50"/>
      <c r="NJF346" s="50"/>
      <c r="NJG346" s="50"/>
      <c r="NJH346" s="50"/>
      <c r="NJI346" s="50"/>
      <c r="NJJ346" s="50"/>
      <c r="NJK346" s="50"/>
      <c r="NJL346" s="50"/>
      <c r="NJM346" s="50"/>
      <c r="NJN346" s="50"/>
      <c r="NJO346" s="50"/>
      <c r="NJP346" s="50"/>
      <c r="NJQ346" s="50"/>
      <c r="NJR346" s="50"/>
      <c r="NJS346" s="50"/>
      <c r="NJT346" s="50"/>
      <c r="NJU346" s="50"/>
      <c r="NJV346" s="50"/>
      <c r="NJW346" s="50"/>
      <c r="NJX346" s="50"/>
      <c r="NJY346" s="50"/>
      <c r="NJZ346" s="50"/>
      <c r="NKA346" s="50"/>
      <c r="NKB346" s="50"/>
      <c r="NKC346" s="50"/>
      <c r="NKD346" s="50"/>
      <c r="NKE346" s="50"/>
      <c r="NKF346" s="50"/>
      <c r="NKG346" s="50"/>
      <c r="NKH346" s="50"/>
      <c r="NKI346" s="50"/>
      <c r="NKJ346" s="50"/>
      <c r="NKK346" s="50"/>
      <c r="NKL346" s="50"/>
      <c r="NKM346" s="50"/>
      <c r="NKN346" s="50"/>
      <c r="NKO346" s="50"/>
      <c r="NKP346" s="50"/>
      <c r="NKQ346" s="50"/>
      <c r="NKR346" s="50"/>
      <c r="NKS346" s="50"/>
      <c r="NKT346" s="50"/>
      <c r="NKU346" s="50"/>
      <c r="NKV346" s="50"/>
      <c r="NKW346" s="50"/>
      <c r="NKX346" s="50"/>
      <c r="NKY346" s="50"/>
      <c r="NKZ346" s="50"/>
      <c r="NLA346" s="50"/>
      <c r="NLB346" s="50"/>
      <c r="NLC346" s="50"/>
      <c r="NLD346" s="50"/>
      <c r="NLE346" s="50"/>
      <c r="NLF346" s="50"/>
      <c r="NLG346" s="50"/>
      <c r="NLH346" s="50"/>
      <c r="NLI346" s="50"/>
      <c r="NLJ346" s="50"/>
      <c r="NLK346" s="50"/>
      <c r="NLL346" s="50"/>
      <c r="NLM346" s="50"/>
      <c r="NLN346" s="50"/>
      <c r="NLO346" s="50"/>
      <c r="NLP346" s="50"/>
      <c r="NLQ346" s="50"/>
      <c r="NLR346" s="50"/>
      <c r="NLS346" s="50"/>
      <c r="NLT346" s="50"/>
      <c r="NLU346" s="50"/>
      <c r="NLV346" s="50"/>
      <c r="NLW346" s="50"/>
      <c r="NLX346" s="50"/>
      <c r="NLY346" s="50"/>
      <c r="NLZ346" s="50"/>
      <c r="NMA346" s="50"/>
      <c r="NMB346" s="50"/>
      <c r="NMC346" s="50"/>
      <c r="NMD346" s="50"/>
      <c r="NME346" s="50"/>
      <c r="NMF346" s="50"/>
      <c r="NMG346" s="50"/>
      <c r="NMH346" s="50"/>
      <c r="NMI346" s="50"/>
      <c r="NMJ346" s="50"/>
      <c r="NMK346" s="50"/>
      <c r="NML346" s="50"/>
      <c r="NMM346" s="50"/>
      <c r="NMN346" s="50"/>
      <c r="NMO346" s="50"/>
      <c r="NMP346" s="50"/>
      <c r="NMQ346" s="50"/>
      <c r="NMR346" s="50"/>
      <c r="NMS346" s="50"/>
      <c r="NMT346" s="50"/>
      <c r="NMU346" s="50"/>
      <c r="NMV346" s="50"/>
      <c r="NMW346" s="50"/>
      <c r="NMX346" s="50"/>
      <c r="NMY346" s="50"/>
      <c r="NMZ346" s="50"/>
      <c r="NNA346" s="50"/>
      <c r="NNB346" s="50"/>
      <c r="NNC346" s="50"/>
      <c r="NND346" s="50"/>
      <c r="NNE346" s="50"/>
      <c r="NNF346" s="50"/>
      <c r="NNG346" s="50"/>
      <c r="NNH346" s="50"/>
      <c r="NNI346" s="50"/>
      <c r="NNJ346" s="50"/>
      <c r="NNK346" s="50"/>
      <c r="NNL346" s="50"/>
      <c r="NNM346" s="50"/>
      <c r="NNN346" s="50"/>
      <c r="NNO346" s="50"/>
      <c r="NNP346" s="50"/>
      <c r="NNQ346" s="50"/>
      <c r="NNR346" s="50"/>
      <c r="NNS346" s="50"/>
      <c r="NNT346" s="50"/>
      <c r="NNU346" s="50"/>
      <c r="NNV346" s="50"/>
      <c r="NNW346" s="50"/>
      <c r="NNX346" s="50"/>
      <c r="NNY346" s="50"/>
      <c r="NNZ346" s="50"/>
      <c r="NOA346" s="50"/>
      <c r="NOB346" s="50"/>
      <c r="NOC346" s="50"/>
      <c r="NOD346" s="50"/>
      <c r="NOE346" s="50"/>
      <c r="NOF346" s="50"/>
      <c r="NOG346" s="50"/>
      <c r="NOH346" s="50"/>
      <c r="NOI346" s="50"/>
      <c r="NOJ346" s="50"/>
      <c r="NOK346" s="50"/>
      <c r="NOL346" s="50"/>
      <c r="NOM346" s="50"/>
      <c r="NON346" s="50"/>
      <c r="NOO346" s="50"/>
      <c r="NOP346" s="50"/>
      <c r="NOQ346" s="50"/>
      <c r="NOR346" s="50"/>
      <c r="NOS346" s="50"/>
      <c r="NOT346" s="50"/>
      <c r="NOU346" s="50"/>
      <c r="NOV346" s="50"/>
      <c r="NOW346" s="50"/>
      <c r="NOX346" s="50"/>
      <c r="NOY346" s="50"/>
      <c r="NOZ346" s="50"/>
      <c r="NPA346" s="50"/>
      <c r="NPB346" s="50"/>
      <c r="NPC346" s="50"/>
      <c r="NPD346" s="50"/>
      <c r="NPE346" s="50"/>
      <c r="NPF346" s="50"/>
      <c r="NPG346" s="50"/>
      <c r="NPH346" s="50"/>
      <c r="NPI346" s="50"/>
      <c r="NPJ346" s="50"/>
      <c r="NPK346" s="50"/>
      <c r="NPL346" s="50"/>
      <c r="NPM346" s="50"/>
      <c r="NPN346" s="50"/>
      <c r="NPO346" s="50"/>
      <c r="NPP346" s="50"/>
      <c r="NPQ346" s="50"/>
      <c r="NPR346" s="50"/>
      <c r="NPS346" s="50"/>
      <c r="NPT346" s="50"/>
      <c r="NPU346" s="50"/>
      <c r="NPV346" s="50"/>
      <c r="NPW346" s="50"/>
      <c r="NPX346" s="50"/>
      <c r="NPY346" s="50"/>
      <c r="NPZ346" s="50"/>
      <c r="NQA346" s="50"/>
      <c r="NQB346" s="50"/>
      <c r="NQC346" s="50"/>
      <c r="NQD346" s="50"/>
      <c r="NQE346" s="50"/>
      <c r="NQF346" s="50"/>
      <c r="NQG346" s="50"/>
      <c r="NQH346" s="50"/>
      <c r="NQI346" s="50"/>
      <c r="NQJ346" s="50"/>
      <c r="NQK346" s="50"/>
      <c r="NQL346" s="50"/>
      <c r="NQM346" s="50"/>
      <c r="NQN346" s="50"/>
      <c r="NQO346" s="50"/>
      <c r="NQP346" s="50"/>
      <c r="NQQ346" s="50"/>
      <c r="NQR346" s="50"/>
      <c r="NQS346" s="50"/>
      <c r="NQT346" s="50"/>
      <c r="NQU346" s="50"/>
      <c r="NQV346" s="50"/>
      <c r="NQW346" s="50"/>
      <c r="NQX346" s="50"/>
      <c r="NQY346" s="50"/>
      <c r="NQZ346" s="50"/>
      <c r="NRA346" s="50"/>
      <c r="NRB346" s="50"/>
      <c r="NRC346" s="50"/>
      <c r="NRD346" s="50"/>
      <c r="NRE346" s="50"/>
      <c r="NRF346" s="50"/>
      <c r="NRG346" s="50"/>
      <c r="NRH346" s="50"/>
      <c r="NRI346" s="50"/>
      <c r="NRJ346" s="50"/>
      <c r="NRK346" s="50"/>
      <c r="NRL346" s="50"/>
      <c r="NRM346" s="50"/>
      <c r="NRN346" s="50"/>
      <c r="NRO346" s="50"/>
      <c r="NRP346" s="50"/>
      <c r="NRQ346" s="50"/>
      <c r="NRR346" s="50"/>
      <c r="NRS346" s="50"/>
      <c r="NRT346" s="50"/>
      <c r="NRU346" s="50"/>
      <c r="NRV346" s="50"/>
      <c r="NRW346" s="50"/>
      <c r="NRX346" s="50"/>
      <c r="NRY346" s="50"/>
      <c r="NRZ346" s="50"/>
      <c r="NSA346" s="50"/>
      <c r="NSB346" s="50"/>
      <c r="NSC346" s="50"/>
      <c r="NSD346" s="50"/>
      <c r="NSE346" s="50"/>
      <c r="NSF346" s="50"/>
      <c r="NSG346" s="50"/>
      <c r="NSH346" s="50"/>
      <c r="NSI346" s="50"/>
      <c r="NSJ346" s="50"/>
      <c r="NSK346" s="50"/>
      <c r="NSL346" s="50"/>
      <c r="NSM346" s="50"/>
      <c r="NSN346" s="50"/>
      <c r="NSO346" s="50"/>
      <c r="NSP346" s="50"/>
      <c r="NSQ346" s="50"/>
      <c r="NSR346" s="50"/>
      <c r="NSS346" s="50"/>
      <c r="NST346" s="50"/>
      <c r="NSU346" s="50"/>
      <c r="NSV346" s="50"/>
      <c r="NSW346" s="50"/>
      <c r="NSX346" s="50"/>
      <c r="NSY346" s="50"/>
      <c r="NSZ346" s="50"/>
      <c r="NTA346" s="50"/>
      <c r="NTB346" s="50"/>
      <c r="NTC346" s="50"/>
      <c r="NTD346" s="50"/>
      <c r="NTE346" s="50"/>
      <c r="NTF346" s="50"/>
      <c r="NTG346" s="50"/>
      <c r="NTH346" s="50"/>
      <c r="NTI346" s="50"/>
      <c r="NTJ346" s="50"/>
      <c r="NTK346" s="50"/>
      <c r="NTL346" s="50"/>
      <c r="NTM346" s="50"/>
      <c r="NTN346" s="50"/>
      <c r="NTO346" s="50"/>
      <c r="NTP346" s="50"/>
      <c r="NTQ346" s="50"/>
      <c r="NTR346" s="50"/>
      <c r="NTS346" s="50"/>
      <c r="NTT346" s="50"/>
      <c r="NTU346" s="50"/>
      <c r="NTV346" s="50"/>
      <c r="NTW346" s="50"/>
      <c r="NTX346" s="50"/>
      <c r="NTY346" s="50"/>
      <c r="NTZ346" s="50"/>
      <c r="NUA346" s="50"/>
      <c r="NUB346" s="50"/>
      <c r="NUC346" s="50"/>
      <c r="NUD346" s="50"/>
      <c r="NUE346" s="50"/>
      <c r="NUF346" s="50"/>
      <c r="NUG346" s="50"/>
      <c r="NUH346" s="50"/>
      <c r="NUI346" s="50"/>
      <c r="NUJ346" s="50"/>
      <c r="NUK346" s="50"/>
      <c r="NUL346" s="50"/>
      <c r="NUM346" s="50"/>
      <c r="NUN346" s="50"/>
      <c r="NUO346" s="50"/>
      <c r="NUP346" s="50"/>
      <c r="NUQ346" s="50"/>
      <c r="NUR346" s="50"/>
      <c r="NUS346" s="50"/>
      <c r="NUT346" s="50"/>
      <c r="NUU346" s="50"/>
      <c r="NUV346" s="50"/>
      <c r="NUW346" s="50"/>
      <c r="NUX346" s="50"/>
      <c r="NUY346" s="50"/>
      <c r="NUZ346" s="50"/>
      <c r="NVA346" s="50"/>
      <c r="NVB346" s="50"/>
      <c r="NVC346" s="50"/>
      <c r="NVD346" s="50"/>
      <c r="NVE346" s="50"/>
      <c r="NVF346" s="50"/>
      <c r="NVG346" s="50"/>
      <c r="NVH346" s="50"/>
      <c r="NVI346" s="50"/>
      <c r="NVJ346" s="50"/>
      <c r="NVK346" s="50"/>
      <c r="NVL346" s="50"/>
      <c r="NVM346" s="50"/>
      <c r="NVN346" s="50"/>
      <c r="NVO346" s="50"/>
      <c r="NVP346" s="50"/>
      <c r="NVQ346" s="50"/>
      <c r="NVR346" s="50"/>
      <c r="NVS346" s="50"/>
      <c r="NVT346" s="50"/>
      <c r="NVU346" s="50"/>
      <c r="NVV346" s="50"/>
      <c r="NVW346" s="50"/>
      <c r="NVX346" s="50"/>
      <c r="NVY346" s="50"/>
      <c r="NVZ346" s="50"/>
      <c r="NWA346" s="50"/>
      <c r="NWB346" s="50"/>
      <c r="NWC346" s="50"/>
      <c r="NWD346" s="50"/>
      <c r="NWE346" s="50"/>
      <c r="NWF346" s="50"/>
      <c r="NWG346" s="50"/>
      <c r="NWH346" s="50"/>
      <c r="NWI346" s="50"/>
      <c r="NWJ346" s="50"/>
      <c r="NWK346" s="50"/>
      <c r="NWL346" s="50"/>
      <c r="NWM346" s="50"/>
      <c r="NWN346" s="50"/>
      <c r="NWO346" s="50"/>
      <c r="NWP346" s="50"/>
      <c r="NWQ346" s="50"/>
      <c r="NWR346" s="50"/>
      <c r="NWS346" s="50"/>
      <c r="NWT346" s="50"/>
      <c r="NWU346" s="50"/>
      <c r="NWV346" s="50"/>
      <c r="NWW346" s="50"/>
      <c r="NWX346" s="50"/>
      <c r="NWY346" s="50"/>
      <c r="NWZ346" s="50"/>
      <c r="NXA346" s="50"/>
      <c r="NXB346" s="50"/>
      <c r="NXC346" s="50"/>
      <c r="NXD346" s="50"/>
      <c r="NXE346" s="50"/>
      <c r="NXF346" s="50"/>
      <c r="NXG346" s="50"/>
      <c r="NXH346" s="50"/>
      <c r="NXI346" s="50"/>
      <c r="NXJ346" s="50"/>
      <c r="NXK346" s="50"/>
      <c r="NXL346" s="50"/>
      <c r="NXM346" s="50"/>
      <c r="NXN346" s="50"/>
      <c r="NXO346" s="50"/>
      <c r="NXP346" s="50"/>
      <c r="NXQ346" s="50"/>
      <c r="NXR346" s="50"/>
      <c r="NXS346" s="50"/>
      <c r="NXT346" s="50"/>
      <c r="NXU346" s="50"/>
      <c r="NXV346" s="50"/>
      <c r="NXW346" s="50"/>
      <c r="NXX346" s="50"/>
      <c r="NXY346" s="50"/>
      <c r="NXZ346" s="50"/>
      <c r="NYA346" s="50"/>
      <c r="NYB346" s="50"/>
      <c r="NYC346" s="50"/>
      <c r="NYD346" s="50"/>
      <c r="NYE346" s="50"/>
      <c r="NYF346" s="50"/>
      <c r="NYG346" s="50"/>
      <c r="NYH346" s="50"/>
      <c r="NYI346" s="50"/>
      <c r="NYJ346" s="50"/>
      <c r="NYK346" s="50"/>
      <c r="NYL346" s="50"/>
      <c r="NYM346" s="50"/>
      <c r="NYN346" s="50"/>
      <c r="NYO346" s="50"/>
      <c r="NYP346" s="50"/>
      <c r="NYQ346" s="50"/>
      <c r="NYR346" s="50"/>
      <c r="NYS346" s="50"/>
      <c r="NYT346" s="50"/>
      <c r="NYU346" s="50"/>
      <c r="NYV346" s="50"/>
      <c r="NYW346" s="50"/>
      <c r="NYX346" s="50"/>
      <c r="NYY346" s="50"/>
      <c r="NYZ346" s="50"/>
      <c r="NZA346" s="50"/>
      <c r="NZB346" s="50"/>
      <c r="NZC346" s="50"/>
      <c r="NZD346" s="50"/>
      <c r="NZE346" s="50"/>
      <c r="NZF346" s="50"/>
      <c r="NZG346" s="50"/>
      <c r="NZH346" s="50"/>
      <c r="NZI346" s="50"/>
      <c r="NZJ346" s="50"/>
      <c r="NZK346" s="50"/>
      <c r="NZL346" s="50"/>
      <c r="NZM346" s="50"/>
      <c r="NZN346" s="50"/>
      <c r="NZO346" s="50"/>
      <c r="NZP346" s="50"/>
      <c r="NZQ346" s="50"/>
      <c r="NZR346" s="50"/>
      <c r="NZS346" s="50"/>
      <c r="NZT346" s="50"/>
      <c r="NZU346" s="50"/>
      <c r="NZV346" s="50"/>
      <c r="NZW346" s="50"/>
      <c r="NZX346" s="50"/>
      <c r="NZY346" s="50"/>
      <c r="NZZ346" s="50"/>
      <c r="OAA346" s="50"/>
      <c r="OAB346" s="50"/>
      <c r="OAC346" s="50"/>
      <c r="OAD346" s="50"/>
      <c r="OAE346" s="50"/>
      <c r="OAF346" s="50"/>
      <c r="OAG346" s="50"/>
      <c r="OAH346" s="50"/>
      <c r="OAI346" s="50"/>
      <c r="OAJ346" s="50"/>
      <c r="OAK346" s="50"/>
      <c r="OAL346" s="50"/>
      <c r="OAM346" s="50"/>
      <c r="OAN346" s="50"/>
      <c r="OAO346" s="50"/>
      <c r="OAP346" s="50"/>
      <c r="OAQ346" s="50"/>
      <c r="OAR346" s="50"/>
      <c r="OAS346" s="50"/>
      <c r="OAT346" s="50"/>
      <c r="OAU346" s="50"/>
      <c r="OAV346" s="50"/>
      <c r="OAW346" s="50"/>
      <c r="OAX346" s="50"/>
      <c r="OAY346" s="50"/>
      <c r="OAZ346" s="50"/>
      <c r="OBA346" s="50"/>
      <c r="OBB346" s="50"/>
      <c r="OBC346" s="50"/>
      <c r="OBD346" s="50"/>
      <c r="OBE346" s="50"/>
      <c r="OBF346" s="50"/>
      <c r="OBG346" s="50"/>
      <c r="OBH346" s="50"/>
      <c r="OBI346" s="50"/>
      <c r="OBJ346" s="50"/>
      <c r="OBK346" s="50"/>
      <c r="OBL346" s="50"/>
      <c r="OBM346" s="50"/>
      <c r="OBN346" s="50"/>
      <c r="OBO346" s="50"/>
      <c r="OBP346" s="50"/>
      <c r="OBQ346" s="50"/>
      <c r="OBR346" s="50"/>
      <c r="OBS346" s="50"/>
      <c r="OBT346" s="50"/>
      <c r="OBU346" s="50"/>
      <c r="OBV346" s="50"/>
      <c r="OBW346" s="50"/>
      <c r="OBX346" s="50"/>
      <c r="OBY346" s="50"/>
      <c r="OBZ346" s="50"/>
      <c r="OCA346" s="50"/>
      <c r="OCB346" s="50"/>
      <c r="OCC346" s="50"/>
      <c r="OCD346" s="50"/>
      <c r="OCE346" s="50"/>
      <c r="OCF346" s="50"/>
      <c r="OCG346" s="50"/>
      <c r="OCH346" s="50"/>
      <c r="OCI346" s="50"/>
      <c r="OCJ346" s="50"/>
      <c r="OCK346" s="50"/>
      <c r="OCL346" s="50"/>
      <c r="OCM346" s="50"/>
      <c r="OCN346" s="50"/>
      <c r="OCO346" s="50"/>
      <c r="OCP346" s="50"/>
      <c r="OCQ346" s="50"/>
      <c r="OCR346" s="50"/>
      <c r="OCS346" s="50"/>
      <c r="OCT346" s="50"/>
      <c r="OCU346" s="50"/>
      <c r="OCV346" s="50"/>
      <c r="OCW346" s="50"/>
      <c r="OCX346" s="50"/>
      <c r="OCY346" s="50"/>
      <c r="OCZ346" s="50"/>
      <c r="ODA346" s="50"/>
      <c r="ODB346" s="50"/>
      <c r="ODC346" s="50"/>
      <c r="ODD346" s="50"/>
      <c r="ODE346" s="50"/>
      <c r="ODF346" s="50"/>
      <c r="ODG346" s="50"/>
      <c r="ODH346" s="50"/>
      <c r="ODI346" s="50"/>
      <c r="ODJ346" s="50"/>
      <c r="ODK346" s="50"/>
      <c r="ODL346" s="50"/>
      <c r="ODM346" s="50"/>
      <c r="ODN346" s="50"/>
      <c r="ODO346" s="50"/>
      <c r="ODP346" s="50"/>
      <c r="ODQ346" s="50"/>
      <c r="ODR346" s="50"/>
      <c r="ODS346" s="50"/>
      <c r="ODT346" s="50"/>
      <c r="ODU346" s="50"/>
      <c r="ODV346" s="50"/>
      <c r="ODW346" s="50"/>
      <c r="ODX346" s="50"/>
      <c r="ODY346" s="50"/>
      <c r="ODZ346" s="50"/>
      <c r="OEA346" s="50"/>
      <c r="OEB346" s="50"/>
      <c r="OEC346" s="50"/>
      <c r="OED346" s="50"/>
      <c r="OEE346" s="50"/>
      <c r="OEF346" s="50"/>
      <c r="OEG346" s="50"/>
      <c r="OEH346" s="50"/>
      <c r="OEI346" s="50"/>
      <c r="OEJ346" s="50"/>
      <c r="OEK346" s="50"/>
      <c r="OEL346" s="50"/>
      <c r="OEM346" s="50"/>
      <c r="OEN346" s="50"/>
      <c r="OEO346" s="50"/>
      <c r="OEP346" s="50"/>
      <c r="OEQ346" s="50"/>
      <c r="OER346" s="50"/>
      <c r="OES346" s="50"/>
      <c r="OET346" s="50"/>
      <c r="OEU346" s="50"/>
      <c r="OEV346" s="50"/>
      <c r="OEW346" s="50"/>
      <c r="OEX346" s="50"/>
      <c r="OEY346" s="50"/>
      <c r="OEZ346" s="50"/>
      <c r="OFA346" s="50"/>
      <c r="OFB346" s="50"/>
      <c r="OFC346" s="50"/>
      <c r="OFD346" s="50"/>
      <c r="OFE346" s="50"/>
      <c r="OFF346" s="50"/>
      <c r="OFG346" s="50"/>
      <c r="OFH346" s="50"/>
      <c r="OFI346" s="50"/>
      <c r="OFJ346" s="50"/>
      <c r="OFK346" s="50"/>
      <c r="OFL346" s="50"/>
      <c r="OFM346" s="50"/>
      <c r="OFN346" s="50"/>
      <c r="OFO346" s="50"/>
      <c r="OFP346" s="50"/>
      <c r="OFQ346" s="50"/>
      <c r="OFR346" s="50"/>
      <c r="OFS346" s="50"/>
      <c r="OFT346" s="50"/>
      <c r="OFU346" s="50"/>
      <c r="OFV346" s="50"/>
      <c r="OFW346" s="50"/>
      <c r="OFX346" s="50"/>
      <c r="OFY346" s="50"/>
      <c r="OFZ346" s="50"/>
      <c r="OGA346" s="50"/>
      <c r="OGB346" s="50"/>
      <c r="OGC346" s="50"/>
      <c r="OGD346" s="50"/>
      <c r="OGE346" s="50"/>
      <c r="OGF346" s="50"/>
      <c r="OGG346" s="50"/>
      <c r="OGH346" s="50"/>
      <c r="OGI346" s="50"/>
      <c r="OGJ346" s="50"/>
      <c r="OGK346" s="50"/>
      <c r="OGL346" s="50"/>
      <c r="OGM346" s="50"/>
      <c r="OGN346" s="50"/>
      <c r="OGO346" s="50"/>
      <c r="OGP346" s="50"/>
      <c r="OGQ346" s="50"/>
      <c r="OGR346" s="50"/>
      <c r="OGS346" s="50"/>
      <c r="OGT346" s="50"/>
      <c r="OGU346" s="50"/>
      <c r="OGV346" s="50"/>
      <c r="OGW346" s="50"/>
      <c r="OGX346" s="50"/>
      <c r="OGY346" s="50"/>
      <c r="OGZ346" s="50"/>
      <c r="OHA346" s="50"/>
      <c r="OHB346" s="50"/>
      <c r="OHC346" s="50"/>
      <c r="OHD346" s="50"/>
      <c r="OHE346" s="50"/>
      <c r="OHF346" s="50"/>
      <c r="OHG346" s="50"/>
      <c r="OHH346" s="50"/>
      <c r="OHI346" s="50"/>
      <c r="OHJ346" s="50"/>
      <c r="OHK346" s="50"/>
      <c r="OHL346" s="50"/>
      <c r="OHM346" s="50"/>
      <c r="OHN346" s="50"/>
      <c r="OHO346" s="50"/>
      <c r="OHP346" s="50"/>
      <c r="OHQ346" s="50"/>
      <c r="OHR346" s="50"/>
      <c r="OHS346" s="50"/>
      <c r="OHT346" s="50"/>
      <c r="OHU346" s="50"/>
      <c r="OHV346" s="50"/>
      <c r="OHW346" s="50"/>
      <c r="OHX346" s="50"/>
      <c r="OHY346" s="50"/>
      <c r="OHZ346" s="50"/>
      <c r="OIA346" s="50"/>
      <c r="OIB346" s="50"/>
      <c r="OIC346" s="50"/>
      <c r="OID346" s="50"/>
      <c r="OIE346" s="50"/>
      <c r="OIF346" s="50"/>
      <c r="OIG346" s="50"/>
      <c r="OIH346" s="50"/>
      <c r="OII346" s="50"/>
      <c r="OIJ346" s="50"/>
      <c r="OIK346" s="50"/>
      <c r="OIL346" s="50"/>
      <c r="OIM346" s="50"/>
      <c r="OIN346" s="50"/>
      <c r="OIO346" s="50"/>
      <c r="OIP346" s="50"/>
      <c r="OIQ346" s="50"/>
      <c r="OIR346" s="50"/>
      <c r="OIS346" s="50"/>
      <c r="OIT346" s="50"/>
      <c r="OIU346" s="50"/>
      <c r="OIV346" s="50"/>
      <c r="OIW346" s="50"/>
      <c r="OIX346" s="50"/>
      <c r="OIY346" s="50"/>
      <c r="OIZ346" s="50"/>
      <c r="OJA346" s="50"/>
      <c r="OJB346" s="50"/>
      <c r="OJC346" s="50"/>
      <c r="OJD346" s="50"/>
      <c r="OJE346" s="50"/>
      <c r="OJF346" s="50"/>
      <c r="OJG346" s="50"/>
      <c r="OJH346" s="50"/>
      <c r="OJI346" s="50"/>
      <c r="OJJ346" s="50"/>
      <c r="OJK346" s="50"/>
      <c r="OJL346" s="50"/>
      <c r="OJM346" s="50"/>
      <c r="OJN346" s="50"/>
      <c r="OJO346" s="50"/>
      <c r="OJP346" s="50"/>
      <c r="OJQ346" s="50"/>
      <c r="OJR346" s="50"/>
      <c r="OJS346" s="50"/>
      <c r="OJT346" s="50"/>
      <c r="OJU346" s="50"/>
      <c r="OJV346" s="50"/>
      <c r="OJW346" s="50"/>
      <c r="OJX346" s="50"/>
      <c r="OJY346" s="50"/>
      <c r="OJZ346" s="50"/>
      <c r="OKA346" s="50"/>
      <c r="OKB346" s="50"/>
      <c r="OKC346" s="50"/>
      <c r="OKD346" s="50"/>
      <c r="OKE346" s="50"/>
      <c r="OKF346" s="50"/>
      <c r="OKG346" s="50"/>
      <c r="OKH346" s="50"/>
      <c r="OKI346" s="50"/>
      <c r="OKJ346" s="50"/>
      <c r="OKK346" s="50"/>
      <c r="OKL346" s="50"/>
      <c r="OKM346" s="50"/>
      <c r="OKN346" s="50"/>
      <c r="OKO346" s="50"/>
      <c r="OKP346" s="50"/>
      <c r="OKQ346" s="50"/>
      <c r="OKR346" s="50"/>
      <c r="OKS346" s="50"/>
      <c r="OKT346" s="50"/>
      <c r="OKU346" s="50"/>
      <c r="OKV346" s="50"/>
      <c r="OKW346" s="50"/>
      <c r="OKX346" s="50"/>
      <c r="OKY346" s="50"/>
      <c r="OKZ346" s="50"/>
      <c r="OLA346" s="50"/>
      <c r="OLB346" s="50"/>
      <c r="OLC346" s="50"/>
      <c r="OLD346" s="50"/>
      <c r="OLE346" s="50"/>
      <c r="OLF346" s="50"/>
      <c r="OLG346" s="50"/>
      <c r="OLH346" s="50"/>
      <c r="OLI346" s="50"/>
      <c r="OLJ346" s="50"/>
      <c r="OLK346" s="50"/>
      <c r="OLL346" s="50"/>
      <c r="OLM346" s="50"/>
      <c r="OLN346" s="50"/>
      <c r="OLO346" s="50"/>
      <c r="OLP346" s="50"/>
      <c r="OLQ346" s="50"/>
      <c r="OLR346" s="50"/>
      <c r="OLS346" s="50"/>
      <c r="OLT346" s="50"/>
      <c r="OLU346" s="50"/>
      <c r="OLV346" s="50"/>
      <c r="OLW346" s="50"/>
      <c r="OLX346" s="50"/>
      <c r="OLY346" s="50"/>
      <c r="OLZ346" s="50"/>
      <c r="OMA346" s="50"/>
      <c r="OMB346" s="50"/>
      <c r="OMC346" s="50"/>
      <c r="OMD346" s="50"/>
      <c r="OME346" s="50"/>
      <c r="OMF346" s="50"/>
      <c r="OMG346" s="50"/>
      <c r="OMH346" s="50"/>
      <c r="OMI346" s="50"/>
      <c r="OMJ346" s="50"/>
      <c r="OMK346" s="50"/>
      <c r="OML346" s="50"/>
      <c r="OMM346" s="50"/>
      <c r="OMN346" s="50"/>
      <c r="OMO346" s="50"/>
      <c r="OMP346" s="50"/>
      <c r="OMQ346" s="50"/>
      <c r="OMR346" s="50"/>
      <c r="OMS346" s="50"/>
      <c r="OMT346" s="50"/>
      <c r="OMU346" s="50"/>
      <c r="OMV346" s="50"/>
      <c r="OMW346" s="50"/>
      <c r="OMX346" s="50"/>
      <c r="OMY346" s="50"/>
      <c r="OMZ346" s="50"/>
      <c r="ONA346" s="50"/>
      <c r="ONB346" s="50"/>
      <c r="ONC346" s="50"/>
      <c r="OND346" s="50"/>
      <c r="ONE346" s="50"/>
      <c r="ONF346" s="50"/>
      <c r="ONG346" s="50"/>
      <c r="ONH346" s="50"/>
      <c r="ONI346" s="50"/>
      <c r="ONJ346" s="50"/>
      <c r="ONK346" s="50"/>
      <c r="ONL346" s="50"/>
      <c r="ONM346" s="50"/>
      <c r="ONN346" s="50"/>
      <c r="ONO346" s="50"/>
      <c r="ONP346" s="50"/>
      <c r="ONQ346" s="50"/>
      <c r="ONR346" s="50"/>
      <c r="ONS346" s="50"/>
      <c r="ONT346" s="50"/>
      <c r="ONU346" s="50"/>
      <c r="ONV346" s="50"/>
      <c r="ONW346" s="50"/>
      <c r="ONX346" s="50"/>
      <c r="ONY346" s="50"/>
      <c r="ONZ346" s="50"/>
      <c r="OOA346" s="50"/>
      <c r="OOB346" s="50"/>
      <c r="OOC346" s="50"/>
      <c r="OOD346" s="50"/>
      <c r="OOE346" s="50"/>
      <c r="OOF346" s="50"/>
      <c r="OOG346" s="50"/>
      <c r="OOH346" s="50"/>
      <c r="OOI346" s="50"/>
      <c r="OOJ346" s="50"/>
      <c r="OOK346" s="50"/>
      <c r="OOL346" s="50"/>
      <c r="OOM346" s="50"/>
      <c r="OON346" s="50"/>
      <c r="OOO346" s="50"/>
      <c r="OOP346" s="50"/>
      <c r="OOQ346" s="50"/>
      <c r="OOR346" s="50"/>
      <c r="OOS346" s="50"/>
      <c r="OOT346" s="50"/>
      <c r="OOU346" s="50"/>
      <c r="OOV346" s="50"/>
      <c r="OOW346" s="50"/>
      <c r="OOX346" s="50"/>
      <c r="OOY346" s="50"/>
      <c r="OOZ346" s="50"/>
      <c r="OPA346" s="50"/>
      <c r="OPB346" s="50"/>
      <c r="OPC346" s="50"/>
      <c r="OPD346" s="50"/>
      <c r="OPE346" s="50"/>
      <c r="OPF346" s="50"/>
      <c r="OPG346" s="50"/>
      <c r="OPH346" s="50"/>
      <c r="OPI346" s="50"/>
      <c r="OPJ346" s="50"/>
      <c r="OPK346" s="50"/>
      <c r="OPL346" s="50"/>
      <c r="OPM346" s="50"/>
      <c r="OPN346" s="50"/>
      <c r="OPO346" s="50"/>
      <c r="OPP346" s="50"/>
      <c r="OPQ346" s="50"/>
      <c r="OPR346" s="50"/>
      <c r="OPS346" s="50"/>
      <c r="OPT346" s="50"/>
      <c r="OPU346" s="50"/>
      <c r="OPV346" s="50"/>
      <c r="OPW346" s="50"/>
      <c r="OPX346" s="50"/>
      <c r="OPY346" s="50"/>
      <c r="OPZ346" s="50"/>
      <c r="OQA346" s="50"/>
      <c r="OQB346" s="50"/>
      <c r="OQC346" s="50"/>
      <c r="OQD346" s="50"/>
      <c r="OQE346" s="50"/>
      <c r="OQF346" s="50"/>
      <c r="OQG346" s="50"/>
      <c r="OQH346" s="50"/>
      <c r="OQI346" s="50"/>
      <c r="OQJ346" s="50"/>
      <c r="OQK346" s="50"/>
      <c r="OQL346" s="50"/>
      <c r="OQM346" s="50"/>
      <c r="OQN346" s="50"/>
      <c r="OQO346" s="50"/>
      <c r="OQP346" s="50"/>
      <c r="OQQ346" s="50"/>
      <c r="OQR346" s="50"/>
      <c r="OQS346" s="50"/>
      <c r="OQT346" s="50"/>
      <c r="OQU346" s="50"/>
      <c r="OQV346" s="50"/>
      <c r="OQW346" s="50"/>
      <c r="OQX346" s="50"/>
      <c r="OQY346" s="50"/>
      <c r="OQZ346" s="50"/>
      <c r="ORA346" s="50"/>
      <c r="ORB346" s="50"/>
      <c r="ORC346" s="50"/>
      <c r="ORD346" s="50"/>
      <c r="ORE346" s="50"/>
      <c r="ORF346" s="50"/>
      <c r="ORG346" s="50"/>
      <c r="ORH346" s="50"/>
      <c r="ORI346" s="50"/>
      <c r="ORJ346" s="50"/>
      <c r="ORK346" s="50"/>
      <c r="ORL346" s="50"/>
      <c r="ORM346" s="50"/>
      <c r="ORN346" s="50"/>
      <c r="ORO346" s="50"/>
      <c r="ORP346" s="50"/>
      <c r="ORQ346" s="50"/>
      <c r="ORR346" s="50"/>
      <c r="ORS346" s="50"/>
      <c r="ORT346" s="50"/>
      <c r="ORU346" s="50"/>
      <c r="ORV346" s="50"/>
      <c r="ORW346" s="50"/>
      <c r="ORX346" s="50"/>
      <c r="ORY346" s="50"/>
      <c r="ORZ346" s="50"/>
      <c r="OSA346" s="50"/>
      <c r="OSB346" s="50"/>
      <c r="OSC346" s="50"/>
      <c r="OSD346" s="50"/>
      <c r="OSE346" s="50"/>
      <c r="OSF346" s="50"/>
      <c r="OSG346" s="50"/>
      <c r="OSH346" s="50"/>
      <c r="OSI346" s="50"/>
      <c r="OSJ346" s="50"/>
      <c r="OSK346" s="50"/>
      <c r="OSL346" s="50"/>
      <c r="OSM346" s="50"/>
      <c r="OSN346" s="50"/>
      <c r="OSO346" s="50"/>
      <c r="OSP346" s="50"/>
      <c r="OSQ346" s="50"/>
      <c r="OSR346" s="50"/>
      <c r="OSS346" s="50"/>
      <c r="OST346" s="50"/>
      <c r="OSU346" s="50"/>
      <c r="OSV346" s="50"/>
      <c r="OSW346" s="50"/>
      <c r="OSX346" s="50"/>
      <c r="OSY346" s="50"/>
      <c r="OSZ346" s="50"/>
      <c r="OTA346" s="50"/>
      <c r="OTB346" s="50"/>
      <c r="OTC346" s="50"/>
      <c r="OTD346" s="50"/>
      <c r="OTE346" s="50"/>
      <c r="OTF346" s="50"/>
      <c r="OTG346" s="50"/>
      <c r="OTH346" s="50"/>
      <c r="OTI346" s="50"/>
      <c r="OTJ346" s="50"/>
      <c r="OTK346" s="50"/>
      <c r="OTL346" s="50"/>
      <c r="OTM346" s="50"/>
      <c r="OTN346" s="50"/>
      <c r="OTO346" s="50"/>
      <c r="OTP346" s="50"/>
      <c r="OTQ346" s="50"/>
      <c r="OTR346" s="50"/>
      <c r="OTS346" s="50"/>
      <c r="OTT346" s="50"/>
      <c r="OTU346" s="50"/>
      <c r="OTV346" s="50"/>
      <c r="OTW346" s="50"/>
      <c r="OTX346" s="50"/>
      <c r="OTY346" s="50"/>
      <c r="OTZ346" s="50"/>
      <c r="OUA346" s="50"/>
      <c r="OUB346" s="50"/>
      <c r="OUC346" s="50"/>
      <c r="OUD346" s="50"/>
      <c r="OUE346" s="50"/>
      <c r="OUF346" s="50"/>
      <c r="OUG346" s="50"/>
      <c r="OUH346" s="50"/>
      <c r="OUI346" s="50"/>
      <c r="OUJ346" s="50"/>
      <c r="OUK346" s="50"/>
      <c r="OUL346" s="50"/>
      <c r="OUM346" s="50"/>
      <c r="OUN346" s="50"/>
      <c r="OUO346" s="50"/>
      <c r="OUP346" s="50"/>
      <c r="OUQ346" s="50"/>
      <c r="OUR346" s="50"/>
      <c r="OUS346" s="50"/>
      <c r="OUT346" s="50"/>
      <c r="OUU346" s="50"/>
      <c r="OUV346" s="50"/>
      <c r="OUW346" s="50"/>
      <c r="OUX346" s="50"/>
      <c r="OUY346" s="50"/>
      <c r="OUZ346" s="50"/>
      <c r="OVA346" s="50"/>
      <c r="OVB346" s="50"/>
      <c r="OVC346" s="50"/>
      <c r="OVD346" s="50"/>
      <c r="OVE346" s="50"/>
      <c r="OVF346" s="50"/>
      <c r="OVG346" s="50"/>
      <c r="OVH346" s="50"/>
      <c r="OVI346" s="50"/>
      <c r="OVJ346" s="50"/>
      <c r="OVK346" s="50"/>
      <c r="OVL346" s="50"/>
      <c r="OVM346" s="50"/>
      <c r="OVN346" s="50"/>
      <c r="OVO346" s="50"/>
      <c r="OVP346" s="50"/>
      <c r="OVQ346" s="50"/>
      <c r="OVR346" s="50"/>
      <c r="OVS346" s="50"/>
      <c r="OVT346" s="50"/>
      <c r="OVU346" s="50"/>
      <c r="OVV346" s="50"/>
      <c r="OVW346" s="50"/>
      <c r="OVX346" s="50"/>
      <c r="OVY346" s="50"/>
      <c r="OVZ346" s="50"/>
      <c r="OWA346" s="50"/>
      <c r="OWB346" s="50"/>
      <c r="OWC346" s="50"/>
      <c r="OWD346" s="50"/>
      <c r="OWE346" s="50"/>
      <c r="OWF346" s="50"/>
      <c r="OWG346" s="50"/>
      <c r="OWH346" s="50"/>
      <c r="OWI346" s="50"/>
      <c r="OWJ346" s="50"/>
      <c r="OWK346" s="50"/>
      <c r="OWL346" s="50"/>
      <c r="OWM346" s="50"/>
      <c r="OWN346" s="50"/>
      <c r="OWO346" s="50"/>
      <c r="OWP346" s="50"/>
      <c r="OWQ346" s="50"/>
      <c r="OWR346" s="50"/>
      <c r="OWS346" s="50"/>
      <c r="OWT346" s="50"/>
      <c r="OWU346" s="50"/>
      <c r="OWV346" s="50"/>
      <c r="OWW346" s="50"/>
      <c r="OWX346" s="50"/>
      <c r="OWY346" s="50"/>
      <c r="OWZ346" s="50"/>
      <c r="OXA346" s="50"/>
      <c r="OXB346" s="50"/>
      <c r="OXC346" s="50"/>
      <c r="OXD346" s="50"/>
      <c r="OXE346" s="50"/>
      <c r="OXF346" s="50"/>
      <c r="OXG346" s="50"/>
      <c r="OXH346" s="50"/>
      <c r="OXI346" s="50"/>
      <c r="OXJ346" s="50"/>
      <c r="OXK346" s="50"/>
      <c r="OXL346" s="50"/>
      <c r="OXM346" s="50"/>
      <c r="OXN346" s="50"/>
      <c r="OXO346" s="50"/>
      <c r="OXP346" s="50"/>
      <c r="OXQ346" s="50"/>
      <c r="OXR346" s="50"/>
      <c r="OXS346" s="50"/>
      <c r="OXT346" s="50"/>
      <c r="OXU346" s="50"/>
      <c r="OXV346" s="50"/>
      <c r="OXW346" s="50"/>
      <c r="OXX346" s="50"/>
      <c r="OXY346" s="50"/>
      <c r="OXZ346" s="50"/>
      <c r="OYA346" s="50"/>
      <c r="OYB346" s="50"/>
      <c r="OYC346" s="50"/>
      <c r="OYD346" s="50"/>
      <c r="OYE346" s="50"/>
      <c r="OYF346" s="50"/>
      <c r="OYG346" s="50"/>
      <c r="OYH346" s="50"/>
      <c r="OYI346" s="50"/>
      <c r="OYJ346" s="50"/>
      <c r="OYK346" s="50"/>
      <c r="OYL346" s="50"/>
      <c r="OYM346" s="50"/>
      <c r="OYN346" s="50"/>
      <c r="OYO346" s="50"/>
      <c r="OYP346" s="50"/>
      <c r="OYQ346" s="50"/>
      <c r="OYR346" s="50"/>
      <c r="OYS346" s="50"/>
      <c r="OYT346" s="50"/>
      <c r="OYU346" s="50"/>
      <c r="OYV346" s="50"/>
      <c r="OYW346" s="50"/>
      <c r="OYX346" s="50"/>
      <c r="OYY346" s="50"/>
      <c r="OYZ346" s="50"/>
      <c r="OZA346" s="50"/>
      <c r="OZB346" s="50"/>
      <c r="OZC346" s="50"/>
      <c r="OZD346" s="50"/>
      <c r="OZE346" s="50"/>
      <c r="OZF346" s="50"/>
      <c r="OZG346" s="50"/>
      <c r="OZH346" s="50"/>
      <c r="OZI346" s="50"/>
      <c r="OZJ346" s="50"/>
      <c r="OZK346" s="50"/>
      <c r="OZL346" s="50"/>
      <c r="OZM346" s="50"/>
      <c r="OZN346" s="50"/>
      <c r="OZO346" s="50"/>
      <c r="OZP346" s="50"/>
      <c r="OZQ346" s="50"/>
      <c r="OZR346" s="50"/>
      <c r="OZS346" s="50"/>
      <c r="OZT346" s="50"/>
      <c r="OZU346" s="50"/>
      <c r="OZV346" s="50"/>
      <c r="OZW346" s="50"/>
      <c r="OZX346" s="50"/>
      <c r="OZY346" s="50"/>
      <c r="OZZ346" s="50"/>
      <c r="PAA346" s="50"/>
      <c r="PAB346" s="50"/>
      <c r="PAC346" s="50"/>
      <c r="PAD346" s="50"/>
      <c r="PAE346" s="50"/>
      <c r="PAF346" s="50"/>
      <c r="PAG346" s="50"/>
      <c r="PAH346" s="50"/>
      <c r="PAI346" s="50"/>
      <c r="PAJ346" s="50"/>
      <c r="PAK346" s="50"/>
      <c r="PAL346" s="50"/>
      <c r="PAM346" s="50"/>
      <c r="PAN346" s="50"/>
      <c r="PAO346" s="50"/>
      <c r="PAP346" s="50"/>
      <c r="PAQ346" s="50"/>
      <c r="PAR346" s="50"/>
      <c r="PAS346" s="50"/>
      <c r="PAT346" s="50"/>
      <c r="PAU346" s="50"/>
      <c r="PAV346" s="50"/>
      <c r="PAW346" s="50"/>
      <c r="PAX346" s="50"/>
      <c r="PAY346" s="50"/>
      <c r="PAZ346" s="50"/>
      <c r="PBA346" s="50"/>
      <c r="PBB346" s="50"/>
      <c r="PBC346" s="50"/>
      <c r="PBD346" s="50"/>
      <c r="PBE346" s="50"/>
      <c r="PBF346" s="50"/>
      <c r="PBG346" s="50"/>
      <c r="PBH346" s="50"/>
      <c r="PBI346" s="50"/>
      <c r="PBJ346" s="50"/>
      <c r="PBK346" s="50"/>
      <c r="PBL346" s="50"/>
      <c r="PBM346" s="50"/>
      <c r="PBN346" s="50"/>
      <c r="PBO346" s="50"/>
      <c r="PBP346" s="50"/>
      <c r="PBQ346" s="50"/>
      <c r="PBR346" s="50"/>
      <c r="PBS346" s="50"/>
      <c r="PBT346" s="50"/>
      <c r="PBU346" s="50"/>
      <c r="PBV346" s="50"/>
      <c r="PBW346" s="50"/>
      <c r="PBX346" s="50"/>
      <c r="PBY346" s="50"/>
      <c r="PBZ346" s="50"/>
      <c r="PCA346" s="50"/>
      <c r="PCB346" s="50"/>
      <c r="PCC346" s="50"/>
      <c r="PCD346" s="50"/>
      <c r="PCE346" s="50"/>
      <c r="PCF346" s="50"/>
      <c r="PCG346" s="50"/>
      <c r="PCH346" s="50"/>
      <c r="PCI346" s="50"/>
      <c r="PCJ346" s="50"/>
      <c r="PCK346" s="50"/>
      <c r="PCL346" s="50"/>
      <c r="PCM346" s="50"/>
      <c r="PCN346" s="50"/>
      <c r="PCO346" s="50"/>
      <c r="PCP346" s="50"/>
      <c r="PCQ346" s="50"/>
      <c r="PCR346" s="50"/>
      <c r="PCS346" s="50"/>
      <c r="PCT346" s="50"/>
      <c r="PCU346" s="50"/>
      <c r="PCV346" s="50"/>
      <c r="PCW346" s="50"/>
      <c r="PCX346" s="50"/>
      <c r="PCY346" s="50"/>
      <c r="PCZ346" s="50"/>
      <c r="PDA346" s="50"/>
      <c r="PDB346" s="50"/>
      <c r="PDC346" s="50"/>
      <c r="PDD346" s="50"/>
      <c r="PDE346" s="50"/>
      <c r="PDF346" s="50"/>
      <c r="PDG346" s="50"/>
      <c r="PDH346" s="50"/>
      <c r="PDI346" s="50"/>
      <c r="PDJ346" s="50"/>
      <c r="PDK346" s="50"/>
      <c r="PDL346" s="50"/>
      <c r="PDM346" s="50"/>
      <c r="PDN346" s="50"/>
      <c r="PDO346" s="50"/>
      <c r="PDP346" s="50"/>
      <c r="PDQ346" s="50"/>
      <c r="PDR346" s="50"/>
      <c r="PDS346" s="50"/>
      <c r="PDT346" s="50"/>
      <c r="PDU346" s="50"/>
      <c r="PDV346" s="50"/>
      <c r="PDW346" s="50"/>
      <c r="PDX346" s="50"/>
      <c r="PDY346" s="50"/>
      <c r="PDZ346" s="50"/>
      <c r="PEA346" s="50"/>
      <c r="PEB346" s="50"/>
      <c r="PEC346" s="50"/>
      <c r="PED346" s="50"/>
      <c r="PEE346" s="50"/>
      <c r="PEF346" s="50"/>
      <c r="PEG346" s="50"/>
      <c r="PEH346" s="50"/>
      <c r="PEI346" s="50"/>
      <c r="PEJ346" s="50"/>
      <c r="PEK346" s="50"/>
      <c r="PEL346" s="50"/>
      <c r="PEM346" s="50"/>
      <c r="PEN346" s="50"/>
      <c r="PEO346" s="50"/>
      <c r="PEP346" s="50"/>
      <c r="PEQ346" s="50"/>
      <c r="PER346" s="50"/>
      <c r="PES346" s="50"/>
      <c r="PET346" s="50"/>
      <c r="PEU346" s="50"/>
      <c r="PEV346" s="50"/>
      <c r="PEW346" s="50"/>
      <c r="PEX346" s="50"/>
      <c r="PEY346" s="50"/>
      <c r="PEZ346" s="50"/>
      <c r="PFA346" s="50"/>
      <c r="PFB346" s="50"/>
      <c r="PFC346" s="50"/>
      <c r="PFD346" s="50"/>
      <c r="PFE346" s="50"/>
      <c r="PFF346" s="50"/>
      <c r="PFG346" s="50"/>
      <c r="PFH346" s="50"/>
      <c r="PFI346" s="50"/>
      <c r="PFJ346" s="50"/>
      <c r="PFK346" s="50"/>
      <c r="PFL346" s="50"/>
      <c r="PFM346" s="50"/>
      <c r="PFN346" s="50"/>
      <c r="PFO346" s="50"/>
      <c r="PFP346" s="50"/>
      <c r="PFQ346" s="50"/>
      <c r="PFR346" s="50"/>
      <c r="PFS346" s="50"/>
      <c r="PFT346" s="50"/>
      <c r="PFU346" s="50"/>
      <c r="PFV346" s="50"/>
      <c r="PFW346" s="50"/>
      <c r="PFX346" s="50"/>
      <c r="PFY346" s="50"/>
      <c r="PFZ346" s="50"/>
      <c r="PGA346" s="50"/>
      <c r="PGB346" s="50"/>
      <c r="PGC346" s="50"/>
      <c r="PGD346" s="50"/>
      <c r="PGE346" s="50"/>
      <c r="PGF346" s="50"/>
      <c r="PGG346" s="50"/>
      <c r="PGH346" s="50"/>
      <c r="PGI346" s="50"/>
      <c r="PGJ346" s="50"/>
      <c r="PGK346" s="50"/>
      <c r="PGL346" s="50"/>
      <c r="PGM346" s="50"/>
      <c r="PGN346" s="50"/>
      <c r="PGO346" s="50"/>
      <c r="PGP346" s="50"/>
      <c r="PGQ346" s="50"/>
      <c r="PGR346" s="50"/>
      <c r="PGS346" s="50"/>
      <c r="PGT346" s="50"/>
      <c r="PGU346" s="50"/>
      <c r="PGV346" s="50"/>
      <c r="PGW346" s="50"/>
      <c r="PGX346" s="50"/>
      <c r="PGY346" s="50"/>
      <c r="PGZ346" s="50"/>
      <c r="PHA346" s="50"/>
      <c r="PHB346" s="50"/>
      <c r="PHC346" s="50"/>
      <c r="PHD346" s="50"/>
      <c r="PHE346" s="50"/>
      <c r="PHF346" s="50"/>
      <c r="PHG346" s="50"/>
      <c r="PHH346" s="50"/>
      <c r="PHI346" s="50"/>
      <c r="PHJ346" s="50"/>
      <c r="PHK346" s="50"/>
      <c r="PHL346" s="50"/>
      <c r="PHM346" s="50"/>
      <c r="PHN346" s="50"/>
      <c r="PHO346" s="50"/>
      <c r="PHP346" s="50"/>
      <c r="PHQ346" s="50"/>
      <c r="PHR346" s="50"/>
      <c r="PHS346" s="50"/>
      <c r="PHT346" s="50"/>
      <c r="PHU346" s="50"/>
      <c r="PHV346" s="50"/>
      <c r="PHW346" s="50"/>
      <c r="PHX346" s="50"/>
      <c r="PHY346" s="50"/>
      <c r="PHZ346" s="50"/>
      <c r="PIA346" s="50"/>
      <c r="PIB346" s="50"/>
      <c r="PIC346" s="50"/>
      <c r="PID346" s="50"/>
      <c r="PIE346" s="50"/>
      <c r="PIF346" s="50"/>
      <c r="PIG346" s="50"/>
      <c r="PIH346" s="50"/>
      <c r="PII346" s="50"/>
      <c r="PIJ346" s="50"/>
      <c r="PIK346" s="50"/>
      <c r="PIL346" s="50"/>
      <c r="PIM346" s="50"/>
      <c r="PIN346" s="50"/>
      <c r="PIO346" s="50"/>
      <c r="PIP346" s="50"/>
      <c r="PIQ346" s="50"/>
      <c r="PIR346" s="50"/>
      <c r="PIS346" s="50"/>
      <c r="PIT346" s="50"/>
      <c r="PIU346" s="50"/>
      <c r="PIV346" s="50"/>
      <c r="PIW346" s="50"/>
      <c r="PIX346" s="50"/>
      <c r="PIY346" s="50"/>
      <c r="PIZ346" s="50"/>
      <c r="PJA346" s="50"/>
      <c r="PJB346" s="50"/>
      <c r="PJC346" s="50"/>
      <c r="PJD346" s="50"/>
      <c r="PJE346" s="50"/>
      <c r="PJF346" s="50"/>
      <c r="PJG346" s="50"/>
      <c r="PJH346" s="50"/>
      <c r="PJI346" s="50"/>
      <c r="PJJ346" s="50"/>
      <c r="PJK346" s="50"/>
      <c r="PJL346" s="50"/>
      <c r="PJM346" s="50"/>
      <c r="PJN346" s="50"/>
      <c r="PJO346" s="50"/>
      <c r="PJP346" s="50"/>
      <c r="PJQ346" s="50"/>
      <c r="PJR346" s="50"/>
      <c r="PJS346" s="50"/>
      <c r="PJT346" s="50"/>
      <c r="PJU346" s="50"/>
      <c r="PJV346" s="50"/>
      <c r="PJW346" s="50"/>
      <c r="PJX346" s="50"/>
      <c r="PJY346" s="50"/>
      <c r="PJZ346" s="50"/>
      <c r="PKA346" s="50"/>
      <c r="PKB346" s="50"/>
      <c r="PKC346" s="50"/>
      <c r="PKD346" s="50"/>
      <c r="PKE346" s="50"/>
      <c r="PKF346" s="50"/>
      <c r="PKG346" s="50"/>
      <c r="PKH346" s="50"/>
      <c r="PKI346" s="50"/>
      <c r="PKJ346" s="50"/>
      <c r="PKK346" s="50"/>
      <c r="PKL346" s="50"/>
      <c r="PKM346" s="50"/>
      <c r="PKN346" s="50"/>
      <c r="PKO346" s="50"/>
      <c r="PKP346" s="50"/>
      <c r="PKQ346" s="50"/>
      <c r="PKR346" s="50"/>
      <c r="PKS346" s="50"/>
      <c r="PKT346" s="50"/>
      <c r="PKU346" s="50"/>
      <c r="PKV346" s="50"/>
      <c r="PKW346" s="50"/>
      <c r="PKX346" s="50"/>
      <c r="PKY346" s="50"/>
      <c r="PKZ346" s="50"/>
      <c r="PLA346" s="50"/>
      <c r="PLB346" s="50"/>
      <c r="PLC346" s="50"/>
      <c r="PLD346" s="50"/>
      <c r="PLE346" s="50"/>
      <c r="PLF346" s="50"/>
      <c r="PLG346" s="50"/>
      <c r="PLH346" s="50"/>
      <c r="PLI346" s="50"/>
      <c r="PLJ346" s="50"/>
      <c r="PLK346" s="50"/>
      <c r="PLL346" s="50"/>
      <c r="PLM346" s="50"/>
      <c r="PLN346" s="50"/>
      <c r="PLO346" s="50"/>
      <c r="PLP346" s="50"/>
      <c r="PLQ346" s="50"/>
      <c r="PLR346" s="50"/>
      <c r="PLS346" s="50"/>
      <c r="PLT346" s="50"/>
      <c r="PLU346" s="50"/>
      <c r="PLV346" s="50"/>
      <c r="PLW346" s="50"/>
      <c r="PLX346" s="50"/>
      <c r="PLY346" s="50"/>
      <c r="PLZ346" s="50"/>
      <c r="PMA346" s="50"/>
      <c r="PMB346" s="50"/>
      <c r="PMC346" s="50"/>
      <c r="PMD346" s="50"/>
      <c r="PME346" s="50"/>
      <c r="PMF346" s="50"/>
      <c r="PMG346" s="50"/>
      <c r="PMH346" s="50"/>
      <c r="PMI346" s="50"/>
      <c r="PMJ346" s="50"/>
      <c r="PMK346" s="50"/>
      <c r="PML346" s="50"/>
      <c r="PMM346" s="50"/>
      <c r="PMN346" s="50"/>
      <c r="PMO346" s="50"/>
      <c r="PMP346" s="50"/>
      <c r="PMQ346" s="50"/>
      <c r="PMR346" s="50"/>
      <c r="PMS346" s="50"/>
      <c r="PMT346" s="50"/>
      <c r="PMU346" s="50"/>
      <c r="PMV346" s="50"/>
      <c r="PMW346" s="50"/>
      <c r="PMX346" s="50"/>
      <c r="PMY346" s="50"/>
      <c r="PMZ346" s="50"/>
      <c r="PNA346" s="50"/>
      <c r="PNB346" s="50"/>
      <c r="PNC346" s="50"/>
      <c r="PND346" s="50"/>
      <c r="PNE346" s="50"/>
      <c r="PNF346" s="50"/>
      <c r="PNG346" s="50"/>
      <c r="PNH346" s="50"/>
      <c r="PNI346" s="50"/>
      <c r="PNJ346" s="50"/>
      <c r="PNK346" s="50"/>
      <c r="PNL346" s="50"/>
      <c r="PNM346" s="50"/>
      <c r="PNN346" s="50"/>
      <c r="PNO346" s="50"/>
      <c r="PNP346" s="50"/>
      <c r="PNQ346" s="50"/>
      <c r="PNR346" s="50"/>
      <c r="PNS346" s="50"/>
      <c r="PNT346" s="50"/>
      <c r="PNU346" s="50"/>
      <c r="PNV346" s="50"/>
      <c r="PNW346" s="50"/>
      <c r="PNX346" s="50"/>
      <c r="PNY346" s="50"/>
      <c r="PNZ346" s="50"/>
      <c r="POA346" s="50"/>
      <c r="POB346" s="50"/>
      <c r="POC346" s="50"/>
      <c r="POD346" s="50"/>
      <c r="POE346" s="50"/>
      <c r="POF346" s="50"/>
      <c r="POG346" s="50"/>
      <c r="POH346" s="50"/>
      <c r="POI346" s="50"/>
      <c r="POJ346" s="50"/>
      <c r="POK346" s="50"/>
      <c r="POL346" s="50"/>
      <c r="POM346" s="50"/>
      <c r="PON346" s="50"/>
      <c r="POO346" s="50"/>
      <c r="POP346" s="50"/>
      <c r="POQ346" s="50"/>
      <c r="POR346" s="50"/>
      <c r="POS346" s="50"/>
      <c r="POT346" s="50"/>
      <c r="POU346" s="50"/>
      <c r="POV346" s="50"/>
      <c r="POW346" s="50"/>
      <c r="POX346" s="50"/>
      <c r="POY346" s="50"/>
      <c r="POZ346" s="50"/>
      <c r="PPA346" s="50"/>
      <c r="PPB346" s="50"/>
      <c r="PPC346" s="50"/>
      <c r="PPD346" s="50"/>
      <c r="PPE346" s="50"/>
      <c r="PPF346" s="50"/>
      <c r="PPG346" s="50"/>
      <c r="PPH346" s="50"/>
      <c r="PPI346" s="50"/>
      <c r="PPJ346" s="50"/>
      <c r="PPK346" s="50"/>
      <c r="PPL346" s="50"/>
      <c r="PPM346" s="50"/>
      <c r="PPN346" s="50"/>
      <c r="PPO346" s="50"/>
      <c r="PPP346" s="50"/>
      <c r="PPQ346" s="50"/>
      <c r="PPR346" s="50"/>
      <c r="PPS346" s="50"/>
      <c r="PPT346" s="50"/>
      <c r="PPU346" s="50"/>
      <c r="PPV346" s="50"/>
      <c r="PPW346" s="50"/>
      <c r="PPX346" s="50"/>
      <c r="PPY346" s="50"/>
      <c r="PPZ346" s="50"/>
      <c r="PQA346" s="50"/>
      <c r="PQB346" s="50"/>
      <c r="PQC346" s="50"/>
      <c r="PQD346" s="50"/>
      <c r="PQE346" s="50"/>
      <c r="PQF346" s="50"/>
      <c r="PQG346" s="50"/>
      <c r="PQH346" s="50"/>
      <c r="PQI346" s="50"/>
      <c r="PQJ346" s="50"/>
      <c r="PQK346" s="50"/>
      <c r="PQL346" s="50"/>
      <c r="PQM346" s="50"/>
      <c r="PQN346" s="50"/>
      <c r="PQO346" s="50"/>
      <c r="PQP346" s="50"/>
      <c r="PQQ346" s="50"/>
      <c r="PQR346" s="50"/>
      <c r="PQS346" s="50"/>
      <c r="PQT346" s="50"/>
      <c r="PQU346" s="50"/>
      <c r="PQV346" s="50"/>
      <c r="PQW346" s="50"/>
      <c r="PQX346" s="50"/>
      <c r="PQY346" s="50"/>
      <c r="PQZ346" s="50"/>
      <c r="PRA346" s="50"/>
      <c r="PRB346" s="50"/>
      <c r="PRC346" s="50"/>
      <c r="PRD346" s="50"/>
      <c r="PRE346" s="50"/>
      <c r="PRF346" s="50"/>
      <c r="PRG346" s="50"/>
      <c r="PRH346" s="50"/>
      <c r="PRI346" s="50"/>
      <c r="PRJ346" s="50"/>
      <c r="PRK346" s="50"/>
      <c r="PRL346" s="50"/>
      <c r="PRM346" s="50"/>
      <c r="PRN346" s="50"/>
      <c r="PRO346" s="50"/>
      <c r="PRP346" s="50"/>
      <c r="PRQ346" s="50"/>
      <c r="PRR346" s="50"/>
      <c r="PRS346" s="50"/>
      <c r="PRT346" s="50"/>
      <c r="PRU346" s="50"/>
      <c r="PRV346" s="50"/>
      <c r="PRW346" s="50"/>
      <c r="PRX346" s="50"/>
      <c r="PRY346" s="50"/>
      <c r="PRZ346" s="50"/>
      <c r="PSA346" s="50"/>
      <c r="PSB346" s="50"/>
      <c r="PSC346" s="50"/>
      <c r="PSD346" s="50"/>
      <c r="PSE346" s="50"/>
      <c r="PSF346" s="50"/>
      <c r="PSG346" s="50"/>
      <c r="PSH346" s="50"/>
      <c r="PSI346" s="50"/>
      <c r="PSJ346" s="50"/>
      <c r="PSK346" s="50"/>
      <c r="PSL346" s="50"/>
      <c r="PSM346" s="50"/>
      <c r="PSN346" s="50"/>
      <c r="PSO346" s="50"/>
      <c r="PSP346" s="50"/>
      <c r="PSQ346" s="50"/>
      <c r="PSR346" s="50"/>
      <c r="PSS346" s="50"/>
      <c r="PST346" s="50"/>
      <c r="PSU346" s="50"/>
      <c r="PSV346" s="50"/>
      <c r="PSW346" s="50"/>
      <c r="PSX346" s="50"/>
      <c r="PSY346" s="50"/>
      <c r="PSZ346" s="50"/>
      <c r="PTA346" s="50"/>
      <c r="PTB346" s="50"/>
      <c r="PTC346" s="50"/>
      <c r="PTD346" s="50"/>
      <c r="PTE346" s="50"/>
      <c r="PTF346" s="50"/>
      <c r="PTG346" s="50"/>
      <c r="PTH346" s="50"/>
      <c r="PTI346" s="50"/>
      <c r="PTJ346" s="50"/>
      <c r="PTK346" s="50"/>
      <c r="PTL346" s="50"/>
      <c r="PTM346" s="50"/>
      <c r="PTN346" s="50"/>
      <c r="PTO346" s="50"/>
      <c r="PTP346" s="50"/>
      <c r="PTQ346" s="50"/>
      <c r="PTR346" s="50"/>
      <c r="PTS346" s="50"/>
      <c r="PTT346" s="50"/>
      <c r="PTU346" s="50"/>
      <c r="PTV346" s="50"/>
      <c r="PTW346" s="50"/>
      <c r="PTX346" s="50"/>
      <c r="PTY346" s="50"/>
      <c r="PTZ346" s="50"/>
      <c r="PUA346" s="50"/>
      <c r="PUB346" s="50"/>
      <c r="PUC346" s="50"/>
      <c r="PUD346" s="50"/>
      <c r="PUE346" s="50"/>
      <c r="PUF346" s="50"/>
      <c r="PUG346" s="50"/>
      <c r="PUH346" s="50"/>
      <c r="PUI346" s="50"/>
      <c r="PUJ346" s="50"/>
      <c r="PUK346" s="50"/>
      <c r="PUL346" s="50"/>
      <c r="PUM346" s="50"/>
      <c r="PUN346" s="50"/>
      <c r="PUO346" s="50"/>
      <c r="PUP346" s="50"/>
      <c r="PUQ346" s="50"/>
      <c r="PUR346" s="50"/>
      <c r="PUS346" s="50"/>
      <c r="PUT346" s="50"/>
      <c r="PUU346" s="50"/>
      <c r="PUV346" s="50"/>
      <c r="PUW346" s="50"/>
      <c r="PUX346" s="50"/>
      <c r="PUY346" s="50"/>
      <c r="PUZ346" s="50"/>
      <c r="PVA346" s="50"/>
      <c r="PVB346" s="50"/>
      <c r="PVC346" s="50"/>
      <c r="PVD346" s="50"/>
      <c r="PVE346" s="50"/>
      <c r="PVF346" s="50"/>
      <c r="PVG346" s="50"/>
      <c r="PVH346" s="50"/>
      <c r="PVI346" s="50"/>
      <c r="PVJ346" s="50"/>
      <c r="PVK346" s="50"/>
      <c r="PVL346" s="50"/>
      <c r="PVM346" s="50"/>
      <c r="PVN346" s="50"/>
      <c r="PVO346" s="50"/>
      <c r="PVP346" s="50"/>
      <c r="PVQ346" s="50"/>
      <c r="PVR346" s="50"/>
      <c r="PVS346" s="50"/>
      <c r="PVT346" s="50"/>
      <c r="PVU346" s="50"/>
      <c r="PVV346" s="50"/>
      <c r="PVW346" s="50"/>
      <c r="PVX346" s="50"/>
      <c r="PVY346" s="50"/>
      <c r="PVZ346" s="50"/>
      <c r="PWA346" s="50"/>
      <c r="PWB346" s="50"/>
      <c r="PWC346" s="50"/>
      <c r="PWD346" s="50"/>
      <c r="PWE346" s="50"/>
      <c r="PWF346" s="50"/>
      <c r="PWG346" s="50"/>
      <c r="PWH346" s="50"/>
      <c r="PWI346" s="50"/>
      <c r="PWJ346" s="50"/>
      <c r="PWK346" s="50"/>
      <c r="PWL346" s="50"/>
      <c r="PWM346" s="50"/>
      <c r="PWN346" s="50"/>
      <c r="PWO346" s="50"/>
      <c r="PWP346" s="50"/>
      <c r="PWQ346" s="50"/>
      <c r="PWR346" s="50"/>
      <c r="PWS346" s="50"/>
      <c r="PWT346" s="50"/>
      <c r="PWU346" s="50"/>
      <c r="PWV346" s="50"/>
      <c r="PWW346" s="50"/>
      <c r="PWX346" s="50"/>
      <c r="PWY346" s="50"/>
      <c r="PWZ346" s="50"/>
      <c r="PXA346" s="50"/>
      <c r="PXB346" s="50"/>
      <c r="PXC346" s="50"/>
      <c r="PXD346" s="50"/>
      <c r="PXE346" s="50"/>
      <c r="PXF346" s="50"/>
      <c r="PXG346" s="50"/>
      <c r="PXH346" s="50"/>
      <c r="PXI346" s="50"/>
      <c r="PXJ346" s="50"/>
      <c r="PXK346" s="50"/>
      <c r="PXL346" s="50"/>
      <c r="PXM346" s="50"/>
      <c r="PXN346" s="50"/>
      <c r="PXO346" s="50"/>
      <c r="PXP346" s="50"/>
      <c r="PXQ346" s="50"/>
      <c r="PXR346" s="50"/>
      <c r="PXS346" s="50"/>
      <c r="PXT346" s="50"/>
      <c r="PXU346" s="50"/>
      <c r="PXV346" s="50"/>
      <c r="PXW346" s="50"/>
      <c r="PXX346" s="50"/>
      <c r="PXY346" s="50"/>
      <c r="PXZ346" s="50"/>
      <c r="PYA346" s="50"/>
      <c r="PYB346" s="50"/>
      <c r="PYC346" s="50"/>
      <c r="PYD346" s="50"/>
      <c r="PYE346" s="50"/>
      <c r="PYF346" s="50"/>
      <c r="PYG346" s="50"/>
      <c r="PYH346" s="50"/>
      <c r="PYI346" s="50"/>
      <c r="PYJ346" s="50"/>
      <c r="PYK346" s="50"/>
      <c r="PYL346" s="50"/>
      <c r="PYM346" s="50"/>
      <c r="PYN346" s="50"/>
      <c r="PYO346" s="50"/>
      <c r="PYP346" s="50"/>
      <c r="PYQ346" s="50"/>
      <c r="PYR346" s="50"/>
      <c r="PYS346" s="50"/>
      <c r="PYT346" s="50"/>
      <c r="PYU346" s="50"/>
      <c r="PYV346" s="50"/>
      <c r="PYW346" s="50"/>
      <c r="PYX346" s="50"/>
      <c r="PYY346" s="50"/>
      <c r="PYZ346" s="50"/>
      <c r="PZA346" s="50"/>
      <c r="PZB346" s="50"/>
      <c r="PZC346" s="50"/>
      <c r="PZD346" s="50"/>
      <c r="PZE346" s="50"/>
      <c r="PZF346" s="50"/>
      <c r="PZG346" s="50"/>
      <c r="PZH346" s="50"/>
      <c r="PZI346" s="50"/>
      <c r="PZJ346" s="50"/>
      <c r="PZK346" s="50"/>
      <c r="PZL346" s="50"/>
      <c r="PZM346" s="50"/>
      <c r="PZN346" s="50"/>
      <c r="PZO346" s="50"/>
      <c r="PZP346" s="50"/>
      <c r="PZQ346" s="50"/>
      <c r="PZR346" s="50"/>
      <c r="PZS346" s="50"/>
      <c r="PZT346" s="50"/>
      <c r="PZU346" s="50"/>
      <c r="PZV346" s="50"/>
      <c r="PZW346" s="50"/>
      <c r="PZX346" s="50"/>
      <c r="PZY346" s="50"/>
      <c r="PZZ346" s="50"/>
      <c r="QAA346" s="50"/>
      <c r="QAB346" s="50"/>
      <c r="QAC346" s="50"/>
      <c r="QAD346" s="50"/>
      <c r="QAE346" s="50"/>
      <c r="QAF346" s="50"/>
      <c r="QAG346" s="50"/>
      <c r="QAH346" s="50"/>
      <c r="QAI346" s="50"/>
      <c r="QAJ346" s="50"/>
      <c r="QAK346" s="50"/>
      <c r="QAL346" s="50"/>
      <c r="QAM346" s="50"/>
      <c r="QAN346" s="50"/>
      <c r="QAO346" s="50"/>
      <c r="QAP346" s="50"/>
      <c r="QAQ346" s="50"/>
      <c r="QAR346" s="50"/>
      <c r="QAS346" s="50"/>
      <c r="QAT346" s="50"/>
      <c r="QAU346" s="50"/>
      <c r="QAV346" s="50"/>
      <c r="QAW346" s="50"/>
      <c r="QAX346" s="50"/>
      <c r="QAY346" s="50"/>
      <c r="QAZ346" s="50"/>
      <c r="QBA346" s="50"/>
      <c r="QBB346" s="50"/>
      <c r="QBC346" s="50"/>
      <c r="QBD346" s="50"/>
      <c r="QBE346" s="50"/>
      <c r="QBF346" s="50"/>
      <c r="QBG346" s="50"/>
      <c r="QBH346" s="50"/>
      <c r="QBI346" s="50"/>
      <c r="QBJ346" s="50"/>
      <c r="QBK346" s="50"/>
      <c r="QBL346" s="50"/>
      <c r="QBM346" s="50"/>
      <c r="QBN346" s="50"/>
      <c r="QBO346" s="50"/>
      <c r="QBP346" s="50"/>
      <c r="QBQ346" s="50"/>
      <c r="QBR346" s="50"/>
      <c r="QBS346" s="50"/>
      <c r="QBT346" s="50"/>
      <c r="QBU346" s="50"/>
      <c r="QBV346" s="50"/>
      <c r="QBW346" s="50"/>
      <c r="QBX346" s="50"/>
      <c r="QBY346" s="50"/>
      <c r="QBZ346" s="50"/>
      <c r="QCA346" s="50"/>
      <c r="QCB346" s="50"/>
      <c r="QCC346" s="50"/>
      <c r="QCD346" s="50"/>
      <c r="QCE346" s="50"/>
      <c r="QCF346" s="50"/>
      <c r="QCG346" s="50"/>
      <c r="QCH346" s="50"/>
      <c r="QCI346" s="50"/>
      <c r="QCJ346" s="50"/>
      <c r="QCK346" s="50"/>
      <c r="QCL346" s="50"/>
      <c r="QCM346" s="50"/>
      <c r="QCN346" s="50"/>
      <c r="QCO346" s="50"/>
      <c r="QCP346" s="50"/>
      <c r="QCQ346" s="50"/>
      <c r="QCR346" s="50"/>
      <c r="QCS346" s="50"/>
      <c r="QCT346" s="50"/>
      <c r="QCU346" s="50"/>
      <c r="QCV346" s="50"/>
      <c r="QCW346" s="50"/>
      <c r="QCX346" s="50"/>
      <c r="QCY346" s="50"/>
      <c r="QCZ346" s="50"/>
      <c r="QDA346" s="50"/>
      <c r="QDB346" s="50"/>
      <c r="QDC346" s="50"/>
      <c r="QDD346" s="50"/>
      <c r="QDE346" s="50"/>
      <c r="QDF346" s="50"/>
      <c r="QDG346" s="50"/>
      <c r="QDH346" s="50"/>
      <c r="QDI346" s="50"/>
      <c r="QDJ346" s="50"/>
      <c r="QDK346" s="50"/>
      <c r="QDL346" s="50"/>
      <c r="QDM346" s="50"/>
      <c r="QDN346" s="50"/>
      <c r="QDO346" s="50"/>
      <c r="QDP346" s="50"/>
      <c r="QDQ346" s="50"/>
      <c r="QDR346" s="50"/>
      <c r="QDS346" s="50"/>
      <c r="QDT346" s="50"/>
      <c r="QDU346" s="50"/>
      <c r="QDV346" s="50"/>
      <c r="QDW346" s="50"/>
      <c r="QDX346" s="50"/>
      <c r="QDY346" s="50"/>
      <c r="QDZ346" s="50"/>
      <c r="QEA346" s="50"/>
      <c r="QEB346" s="50"/>
      <c r="QEC346" s="50"/>
      <c r="QED346" s="50"/>
      <c r="QEE346" s="50"/>
      <c r="QEF346" s="50"/>
      <c r="QEG346" s="50"/>
      <c r="QEH346" s="50"/>
      <c r="QEI346" s="50"/>
      <c r="QEJ346" s="50"/>
      <c r="QEK346" s="50"/>
      <c r="QEL346" s="50"/>
      <c r="QEM346" s="50"/>
      <c r="QEN346" s="50"/>
      <c r="QEO346" s="50"/>
      <c r="QEP346" s="50"/>
      <c r="QEQ346" s="50"/>
      <c r="QER346" s="50"/>
      <c r="QES346" s="50"/>
      <c r="QET346" s="50"/>
      <c r="QEU346" s="50"/>
      <c r="QEV346" s="50"/>
      <c r="QEW346" s="50"/>
      <c r="QEX346" s="50"/>
      <c r="QEY346" s="50"/>
      <c r="QEZ346" s="50"/>
      <c r="QFA346" s="50"/>
      <c r="QFB346" s="50"/>
      <c r="QFC346" s="50"/>
      <c r="QFD346" s="50"/>
      <c r="QFE346" s="50"/>
      <c r="QFF346" s="50"/>
      <c r="QFG346" s="50"/>
      <c r="QFH346" s="50"/>
      <c r="QFI346" s="50"/>
      <c r="QFJ346" s="50"/>
      <c r="QFK346" s="50"/>
      <c r="QFL346" s="50"/>
      <c r="QFM346" s="50"/>
      <c r="QFN346" s="50"/>
      <c r="QFO346" s="50"/>
      <c r="QFP346" s="50"/>
      <c r="QFQ346" s="50"/>
      <c r="QFR346" s="50"/>
      <c r="QFS346" s="50"/>
      <c r="QFT346" s="50"/>
      <c r="QFU346" s="50"/>
      <c r="QFV346" s="50"/>
      <c r="QFW346" s="50"/>
      <c r="QFX346" s="50"/>
      <c r="QFY346" s="50"/>
      <c r="QFZ346" s="50"/>
      <c r="QGA346" s="50"/>
      <c r="QGB346" s="50"/>
      <c r="QGC346" s="50"/>
      <c r="QGD346" s="50"/>
      <c r="QGE346" s="50"/>
      <c r="QGF346" s="50"/>
      <c r="QGG346" s="50"/>
      <c r="QGH346" s="50"/>
      <c r="QGI346" s="50"/>
      <c r="QGJ346" s="50"/>
      <c r="QGK346" s="50"/>
      <c r="QGL346" s="50"/>
      <c r="QGM346" s="50"/>
      <c r="QGN346" s="50"/>
      <c r="QGO346" s="50"/>
      <c r="QGP346" s="50"/>
      <c r="QGQ346" s="50"/>
      <c r="QGR346" s="50"/>
      <c r="QGS346" s="50"/>
      <c r="QGT346" s="50"/>
      <c r="QGU346" s="50"/>
      <c r="QGV346" s="50"/>
      <c r="QGW346" s="50"/>
      <c r="QGX346" s="50"/>
      <c r="QGY346" s="50"/>
      <c r="QGZ346" s="50"/>
      <c r="QHA346" s="50"/>
      <c r="QHB346" s="50"/>
      <c r="QHC346" s="50"/>
      <c r="QHD346" s="50"/>
      <c r="QHE346" s="50"/>
      <c r="QHF346" s="50"/>
      <c r="QHG346" s="50"/>
      <c r="QHH346" s="50"/>
      <c r="QHI346" s="50"/>
      <c r="QHJ346" s="50"/>
      <c r="QHK346" s="50"/>
      <c r="QHL346" s="50"/>
      <c r="QHM346" s="50"/>
      <c r="QHN346" s="50"/>
      <c r="QHO346" s="50"/>
      <c r="QHP346" s="50"/>
      <c r="QHQ346" s="50"/>
      <c r="QHR346" s="50"/>
      <c r="QHS346" s="50"/>
      <c r="QHT346" s="50"/>
      <c r="QHU346" s="50"/>
      <c r="QHV346" s="50"/>
      <c r="QHW346" s="50"/>
      <c r="QHX346" s="50"/>
      <c r="QHY346" s="50"/>
      <c r="QHZ346" s="50"/>
      <c r="QIA346" s="50"/>
      <c r="QIB346" s="50"/>
      <c r="QIC346" s="50"/>
      <c r="QID346" s="50"/>
      <c r="QIE346" s="50"/>
      <c r="QIF346" s="50"/>
      <c r="QIG346" s="50"/>
      <c r="QIH346" s="50"/>
      <c r="QII346" s="50"/>
      <c r="QIJ346" s="50"/>
      <c r="QIK346" s="50"/>
      <c r="QIL346" s="50"/>
      <c r="QIM346" s="50"/>
      <c r="QIN346" s="50"/>
      <c r="QIO346" s="50"/>
      <c r="QIP346" s="50"/>
      <c r="QIQ346" s="50"/>
      <c r="QIR346" s="50"/>
      <c r="QIS346" s="50"/>
      <c r="QIT346" s="50"/>
      <c r="QIU346" s="50"/>
      <c r="QIV346" s="50"/>
      <c r="QIW346" s="50"/>
      <c r="QIX346" s="50"/>
      <c r="QIY346" s="50"/>
      <c r="QIZ346" s="50"/>
      <c r="QJA346" s="50"/>
      <c r="QJB346" s="50"/>
      <c r="QJC346" s="50"/>
      <c r="QJD346" s="50"/>
      <c r="QJE346" s="50"/>
      <c r="QJF346" s="50"/>
      <c r="QJG346" s="50"/>
      <c r="QJH346" s="50"/>
      <c r="QJI346" s="50"/>
      <c r="QJJ346" s="50"/>
      <c r="QJK346" s="50"/>
      <c r="QJL346" s="50"/>
      <c r="QJM346" s="50"/>
      <c r="QJN346" s="50"/>
      <c r="QJO346" s="50"/>
      <c r="QJP346" s="50"/>
      <c r="QJQ346" s="50"/>
      <c r="QJR346" s="50"/>
      <c r="QJS346" s="50"/>
      <c r="QJT346" s="50"/>
      <c r="QJU346" s="50"/>
      <c r="QJV346" s="50"/>
      <c r="QJW346" s="50"/>
      <c r="QJX346" s="50"/>
      <c r="QJY346" s="50"/>
      <c r="QJZ346" s="50"/>
      <c r="QKA346" s="50"/>
      <c r="QKB346" s="50"/>
      <c r="QKC346" s="50"/>
      <c r="QKD346" s="50"/>
      <c r="QKE346" s="50"/>
      <c r="QKF346" s="50"/>
      <c r="QKG346" s="50"/>
      <c r="QKH346" s="50"/>
      <c r="QKI346" s="50"/>
      <c r="QKJ346" s="50"/>
      <c r="QKK346" s="50"/>
      <c r="QKL346" s="50"/>
      <c r="QKM346" s="50"/>
      <c r="QKN346" s="50"/>
      <c r="QKO346" s="50"/>
      <c r="QKP346" s="50"/>
      <c r="QKQ346" s="50"/>
      <c r="QKR346" s="50"/>
      <c r="QKS346" s="50"/>
      <c r="QKT346" s="50"/>
      <c r="QKU346" s="50"/>
      <c r="QKV346" s="50"/>
      <c r="QKW346" s="50"/>
      <c r="QKX346" s="50"/>
      <c r="QKY346" s="50"/>
      <c r="QKZ346" s="50"/>
      <c r="QLA346" s="50"/>
      <c r="QLB346" s="50"/>
      <c r="QLC346" s="50"/>
      <c r="QLD346" s="50"/>
      <c r="QLE346" s="50"/>
      <c r="QLF346" s="50"/>
      <c r="QLG346" s="50"/>
      <c r="QLH346" s="50"/>
      <c r="QLI346" s="50"/>
      <c r="QLJ346" s="50"/>
      <c r="QLK346" s="50"/>
      <c r="QLL346" s="50"/>
      <c r="QLM346" s="50"/>
      <c r="QLN346" s="50"/>
      <c r="QLO346" s="50"/>
      <c r="QLP346" s="50"/>
      <c r="QLQ346" s="50"/>
      <c r="QLR346" s="50"/>
      <c r="QLS346" s="50"/>
      <c r="QLT346" s="50"/>
      <c r="QLU346" s="50"/>
      <c r="QLV346" s="50"/>
      <c r="QLW346" s="50"/>
      <c r="QLX346" s="50"/>
      <c r="QLY346" s="50"/>
      <c r="QLZ346" s="50"/>
      <c r="QMA346" s="50"/>
      <c r="QMB346" s="50"/>
      <c r="QMC346" s="50"/>
      <c r="QMD346" s="50"/>
      <c r="QME346" s="50"/>
      <c r="QMF346" s="50"/>
      <c r="QMG346" s="50"/>
      <c r="QMH346" s="50"/>
      <c r="QMI346" s="50"/>
      <c r="QMJ346" s="50"/>
      <c r="QMK346" s="50"/>
      <c r="QML346" s="50"/>
      <c r="QMM346" s="50"/>
      <c r="QMN346" s="50"/>
      <c r="QMO346" s="50"/>
      <c r="QMP346" s="50"/>
      <c r="QMQ346" s="50"/>
      <c r="QMR346" s="50"/>
      <c r="QMS346" s="50"/>
      <c r="QMT346" s="50"/>
      <c r="QMU346" s="50"/>
      <c r="QMV346" s="50"/>
      <c r="QMW346" s="50"/>
      <c r="QMX346" s="50"/>
      <c r="QMY346" s="50"/>
      <c r="QMZ346" s="50"/>
      <c r="QNA346" s="50"/>
      <c r="QNB346" s="50"/>
      <c r="QNC346" s="50"/>
      <c r="QND346" s="50"/>
      <c r="QNE346" s="50"/>
      <c r="QNF346" s="50"/>
      <c r="QNG346" s="50"/>
      <c r="QNH346" s="50"/>
      <c r="QNI346" s="50"/>
      <c r="QNJ346" s="50"/>
      <c r="QNK346" s="50"/>
      <c r="QNL346" s="50"/>
      <c r="QNM346" s="50"/>
      <c r="QNN346" s="50"/>
      <c r="QNO346" s="50"/>
      <c r="QNP346" s="50"/>
      <c r="QNQ346" s="50"/>
      <c r="QNR346" s="50"/>
      <c r="QNS346" s="50"/>
      <c r="QNT346" s="50"/>
      <c r="QNU346" s="50"/>
      <c r="QNV346" s="50"/>
      <c r="QNW346" s="50"/>
      <c r="QNX346" s="50"/>
      <c r="QNY346" s="50"/>
      <c r="QNZ346" s="50"/>
      <c r="QOA346" s="50"/>
      <c r="QOB346" s="50"/>
      <c r="QOC346" s="50"/>
      <c r="QOD346" s="50"/>
      <c r="QOE346" s="50"/>
      <c r="QOF346" s="50"/>
      <c r="QOG346" s="50"/>
      <c r="QOH346" s="50"/>
      <c r="QOI346" s="50"/>
      <c r="QOJ346" s="50"/>
      <c r="QOK346" s="50"/>
      <c r="QOL346" s="50"/>
      <c r="QOM346" s="50"/>
      <c r="QON346" s="50"/>
      <c r="QOO346" s="50"/>
      <c r="QOP346" s="50"/>
      <c r="QOQ346" s="50"/>
      <c r="QOR346" s="50"/>
      <c r="QOS346" s="50"/>
      <c r="QOT346" s="50"/>
      <c r="QOU346" s="50"/>
      <c r="QOV346" s="50"/>
      <c r="QOW346" s="50"/>
      <c r="QOX346" s="50"/>
      <c r="QOY346" s="50"/>
      <c r="QOZ346" s="50"/>
      <c r="QPA346" s="50"/>
      <c r="QPB346" s="50"/>
      <c r="QPC346" s="50"/>
      <c r="QPD346" s="50"/>
      <c r="QPE346" s="50"/>
      <c r="QPF346" s="50"/>
      <c r="QPG346" s="50"/>
      <c r="QPH346" s="50"/>
      <c r="QPI346" s="50"/>
      <c r="QPJ346" s="50"/>
      <c r="QPK346" s="50"/>
      <c r="QPL346" s="50"/>
      <c r="QPM346" s="50"/>
      <c r="QPN346" s="50"/>
      <c r="QPO346" s="50"/>
      <c r="QPP346" s="50"/>
      <c r="QPQ346" s="50"/>
      <c r="QPR346" s="50"/>
      <c r="QPS346" s="50"/>
      <c r="QPT346" s="50"/>
      <c r="QPU346" s="50"/>
      <c r="QPV346" s="50"/>
      <c r="QPW346" s="50"/>
      <c r="QPX346" s="50"/>
      <c r="QPY346" s="50"/>
      <c r="QPZ346" s="50"/>
      <c r="QQA346" s="50"/>
      <c r="QQB346" s="50"/>
      <c r="QQC346" s="50"/>
      <c r="QQD346" s="50"/>
      <c r="QQE346" s="50"/>
      <c r="QQF346" s="50"/>
      <c r="QQG346" s="50"/>
      <c r="QQH346" s="50"/>
      <c r="QQI346" s="50"/>
      <c r="QQJ346" s="50"/>
      <c r="QQK346" s="50"/>
      <c r="QQL346" s="50"/>
      <c r="QQM346" s="50"/>
      <c r="QQN346" s="50"/>
      <c r="QQO346" s="50"/>
      <c r="QQP346" s="50"/>
      <c r="QQQ346" s="50"/>
      <c r="QQR346" s="50"/>
      <c r="QQS346" s="50"/>
      <c r="QQT346" s="50"/>
      <c r="QQU346" s="50"/>
      <c r="QQV346" s="50"/>
      <c r="QQW346" s="50"/>
      <c r="QQX346" s="50"/>
      <c r="QQY346" s="50"/>
      <c r="QQZ346" s="50"/>
      <c r="QRA346" s="50"/>
      <c r="QRB346" s="50"/>
      <c r="QRC346" s="50"/>
      <c r="QRD346" s="50"/>
      <c r="QRE346" s="50"/>
      <c r="QRF346" s="50"/>
      <c r="QRG346" s="50"/>
      <c r="QRH346" s="50"/>
      <c r="QRI346" s="50"/>
      <c r="QRJ346" s="50"/>
      <c r="QRK346" s="50"/>
      <c r="QRL346" s="50"/>
      <c r="QRM346" s="50"/>
      <c r="QRN346" s="50"/>
      <c r="QRO346" s="50"/>
      <c r="QRP346" s="50"/>
      <c r="QRQ346" s="50"/>
      <c r="QRR346" s="50"/>
      <c r="QRS346" s="50"/>
      <c r="QRT346" s="50"/>
      <c r="QRU346" s="50"/>
      <c r="QRV346" s="50"/>
      <c r="QRW346" s="50"/>
      <c r="QRX346" s="50"/>
      <c r="QRY346" s="50"/>
      <c r="QRZ346" s="50"/>
      <c r="QSA346" s="50"/>
      <c r="QSB346" s="50"/>
      <c r="QSC346" s="50"/>
      <c r="QSD346" s="50"/>
      <c r="QSE346" s="50"/>
      <c r="QSF346" s="50"/>
      <c r="QSG346" s="50"/>
      <c r="QSH346" s="50"/>
      <c r="QSI346" s="50"/>
      <c r="QSJ346" s="50"/>
      <c r="QSK346" s="50"/>
      <c r="QSL346" s="50"/>
      <c r="QSM346" s="50"/>
      <c r="QSN346" s="50"/>
      <c r="QSO346" s="50"/>
      <c r="QSP346" s="50"/>
      <c r="QSQ346" s="50"/>
      <c r="QSR346" s="50"/>
      <c r="QSS346" s="50"/>
      <c r="QST346" s="50"/>
      <c r="QSU346" s="50"/>
      <c r="QSV346" s="50"/>
      <c r="QSW346" s="50"/>
      <c r="QSX346" s="50"/>
      <c r="QSY346" s="50"/>
      <c r="QSZ346" s="50"/>
      <c r="QTA346" s="50"/>
      <c r="QTB346" s="50"/>
      <c r="QTC346" s="50"/>
      <c r="QTD346" s="50"/>
      <c r="QTE346" s="50"/>
      <c r="QTF346" s="50"/>
      <c r="QTG346" s="50"/>
      <c r="QTH346" s="50"/>
      <c r="QTI346" s="50"/>
      <c r="QTJ346" s="50"/>
      <c r="QTK346" s="50"/>
      <c r="QTL346" s="50"/>
      <c r="QTM346" s="50"/>
      <c r="QTN346" s="50"/>
      <c r="QTO346" s="50"/>
      <c r="QTP346" s="50"/>
      <c r="QTQ346" s="50"/>
      <c r="QTR346" s="50"/>
      <c r="QTS346" s="50"/>
      <c r="QTT346" s="50"/>
      <c r="QTU346" s="50"/>
      <c r="QTV346" s="50"/>
      <c r="QTW346" s="50"/>
      <c r="QTX346" s="50"/>
      <c r="QTY346" s="50"/>
      <c r="QTZ346" s="50"/>
      <c r="QUA346" s="50"/>
      <c r="QUB346" s="50"/>
      <c r="QUC346" s="50"/>
      <c r="QUD346" s="50"/>
      <c r="QUE346" s="50"/>
      <c r="QUF346" s="50"/>
      <c r="QUG346" s="50"/>
      <c r="QUH346" s="50"/>
      <c r="QUI346" s="50"/>
      <c r="QUJ346" s="50"/>
      <c r="QUK346" s="50"/>
      <c r="QUL346" s="50"/>
      <c r="QUM346" s="50"/>
      <c r="QUN346" s="50"/>
      <c r="QUO346" s="50"/>
      <c r="QUP346" s="50"/>
      <c r="QUQ346" s="50"/>
      <c r="QUR346" s="50"/>
      <c r="QUS346" s="50"/>
      <c r="QUT346" s="50"/>
      <c r="QUU346" s="50"/>
      <c r="QUV346" s="50"/>
      <c r="QUW346" s="50"/>
      <c r="QUX346" s="50"/>
      <c r="QUY346" s="50"/>
      <c r="QUZ346" s="50"/>
      <c r="QVA346" s="50"/>
      <c r="QVB346" s="50"/>
      <c r="QVC346" s="50"/>
      <c r="QVD346" s="50"/>
      <c r="QVE346" s="50"/>
      <c r="QVF346" s="50"/>
      <c r="QVG346" s="50"/>
      <c r="QVH346" s="50"/>
      <c r="QVI346" s="50"/>
      <c r="QVJ346" s="50"/>
      <c r="QVK346" s="50"/>
      <c r="QVL346" s="50"/>
      <c r="QVM346" s="50"/>
      <c r="QVN346" s="50"/>
      <c r="QVO346" s="50"/>
      <c r="QVP346" s="50"/>
      <c r="QVQ346" s="50"/>
      <c r="QVR346" s="50"/>
      <c r="QVS346" s="50"/>
      <c r="QVT346" s="50"/>
      <c r="QVU346" s="50"/>
      <c r="QVV346" s="50"/>
      <c r="QVW346" s="50"/>
      <c r="QVX346" s="50"/>
      <c r="QVY346" s="50"/>
      <c r="QVZ346" s="50"/>
      <c r="QWA346" s="50"/>
      <c r="QWB346" s="50"/>
      <c r="QWC346" s="50"/>
      <c r="QWD346" s="50"/>
      <c r="QWE346" s="50"/>
      <c r="QWF346" s="50"/>
      <c r="QWG346" s="50"/>
      <c r="QWH346" s="50"/>
      <c r="QWI346" s="50"/>
      <c r="QWJ346" s="50"/>
      <c r="QWK346" s="50"/>
      <c r="QWL346" s="50"/>
      <c r="QWM346" s="50"/>
      <c r="QWN346" s="50"/>
      <c r="QWO346" s="50"/>
      <c r="QWP346" s="50"/>
      <c r="QWQ346" s="50"/>
      <c r="QWR346" s="50"/>
      <c r="QWS346" s="50"/>
      <c r="QWT346" s="50"/>
      <c r="QWU346" s="50"/>
      <c r="QWV346" s="50"/>
      <c r="QWW346" s="50"/>
      <c r="QWX346" s="50"/>
      <c r="QWY346" s="50"/>
      <c r="QWZ346" s="50"/>
      <c r="QXA346" s="50"/>
      <c r="QXB346" s="50"/>
      <c r="QXC346" s="50"/>
      <c r="QXD346" s="50"/>
      <c r="QXE346" s="50"/>
      <c r="QXF346" s="50"/>
      <c r="QXG346" s="50"/>
      <c r="QXH346" s="50"/>
      <c r="QXI346" s="50"/>
      <c r="QXJ346" s="50"/>
      <c r="QXK346" s="50"/>
      <c r="QXL346" s="50"/>
      <c r="QXM346" s="50"/>
      <c r="QXN346" s="50"/>
      <c r="QXO346" s="50"/>
      <c r="QXP346" s="50"/>
      <c r="QXQ346" s="50"/>
      <c r="QXR346" s="50"/>
      <c r="QXS346" s="50"/>
      <c r="QXT346" s="50"/>
      <c r="QXU346" s="50"/>
      <c r="QXV346" s="50"/>
      <c r="QXW346" s="50"/>
      <c r="QXX346" s="50"/>
      <c r="QXY346" s="50"/>
      <c r="QXZ346" s="50"/>
      <c r="QYA346" s="50"/>
      <c r="QYB346" s="50"/>
      <c r="QYC346" s="50"/>
      <c r="QYD346" s="50"/>
      <c r="QYE346" s="50"/>
      <c r="QYF346" s="50"/>
      <c r="QYG346" s="50"/>
      <c r="QYH346" s="50"/>
      <c r="QYI346" s="50"/>
      <c r="QYJ346" s="50"/>
      <c r="QYK346" s="50"/>
      <c r="QYL346" s="50"/>
      <c r="QYM346" s="50"/>
      <c r="QYN346" s="50"/>
      <c r="QYO346" s="50"/>
      <c r="QYP346" s="50"/>
      <c r="QYQ346" s="50"/>
      <c r="QYR346" s="50"/>
      <c r="QYS346" s="50"/>
      <c r="QYT346" s="50"/>
      <c r="QYU346" s="50"/>
      <c r="QYV346" s="50"/>
      <c r="QYW346" s="50"/>
      <c r="QYX346" s="50"/>
      <c r="QYY346" s="50"/>
      <c r="QYZ346" s="50"/>
      <c r="QZA346" s="50"/>
      <c r="QZB346" s="50"/>
      <c r="QZC346" s="50"/>
      <c r="QZD346" s="50"/>
      <c r="QZE346" s="50"/>
      <c r="QZF346" s="50"/>
      <c r="QZG346" s="50"/>
      <c r="QZH346" s="50"/>
      <c r="QZI346" s="50"/>
      <c r="QZJ346" s="50"/>
      <c r="QZK346" s="50"/>
      <c r="QZL346" s="50"/>
      <c r="QZM346" s="50"/>
      <c r="QZN346" s="50"/>
      <c r="QZO346" s="50"/>
      <c r="QZP346" s="50"/>
      <c r="QZQ346" s="50"/>
      <c r="QZR346" s="50"/>
      <c r="QZS346" s="50"/>
      <c r="QZT346" s="50"/>
      <c r="QZU346" s="50"/>
      <c r="QZV346" s="50"/>
      <c r="QZW346" s="50"/>
      <c r="QZX346" s="50"/>
      <c r="QZY346" s="50"/>
      <c r="QZZ346" s="50"/>
      <c r="RAA346" s="50"/>
      <c r="RAB346" s="50"/>
      <c r="RAC346" s="50"/>
      <c r="RAD346" s="50"/>
      <c r="RAE346" s="50"/>
      <c r="RAF346" s="50"/>
      <c r="RAG346" s="50"/>
      <c r="RAH346" s="50"/>
      <c r="RAI346" s="50"/>
      <c r="RAJ346" s="50"/>
      <c r="RAK346" s="50"/>
      <c r="RAL346" s="50"/>
      <c r="RAM346" s="50"/>
      <c r="RAN346" s="50"/>
      <c r="RAO346" s="50"/>
      <c r="RAP346" s="50"/>
      <c r="RAQ346" s="50"/>
      <c r="RAR346" s="50"/>
      <c r="RAS346" s="50"/>
      <c r="RAT346" s="50"/>
      <c r="RAU346" s="50"/>
      <c r="RAV346" s="50"/>
      <c r="RAW346" s="50"/>
      <c r="RAX346" s="50"/>
      <c r="RAY346" s="50"/>
      <c r="RAZ346" s="50"/>
      <c r="RBA346" s="50"/>
      <c r="RBB346" s="50"/>
      <c r="RBC346" s="50"/>
      <c r="RBD346" s="50"/>
      <c r="RBE346" s="50"/>
      <c r="RBF346" s="50"/>
      <c r="RBG346" s="50"/>
      <c r="RBH346" s="50"/>
      <c r="RBI346" s="50"/>
      <c r="RBJ346" s="50"/>
      <c r="RBK346" s="50"/>
      <c r="RBL346" s="50"/>
      <c r="RBM346" s="50"/>
      <c r="RBN346" s="50"/>
      <c r="RBO346" s="50"/>
      <c r="RBP346" s="50"/>
      <c r="RBQ346" s="50"/>
      <c r="RBR346" s="50"/>
      <c r="RBS346" s="50"/>
      <c r="RBT346" s="50"/>
      <c r="RBU346" s="50"/>
      <c r="RBV346" s="50"/>
      <c r="RBW346" s="50"/>
      <c r="RBX346" s="50"/>
      <c r="RBY346" s="50"/>
      <c r="RBZ346" s="50"/>
      <c r="RCA346" s="50"/>
      <c r="RCB346" s="50"/>
      <c r="RCC346" s="50"/>
      <c r="RCD346" s="50"/>
      <c r="RCE346" s="50"/>
      <c r="RCF346" s="50"/>
      <c r="RCG346" s="50"/>
      <c r="RCH346" s="50"/>
      <c r="RCI346" s="50"/>
      <c r="RCJ346" s="50"/>
      <c r="RCK346" s="50"/>
      <c r="RCL346" s="50"/>
      <c r="RCM346" s="50"/>
      <c r="RCN346" s="50"/>
      <c r="RCO346" s="50"/>
      <c r="RCP346" s="50"/>
      <c r="RCQ346" s="50"/>
      <c r="RCR346" s="50"/>
      <c r="RCS346" s="50"/>
      <c r="RCT346" s="50"/>
      <c r="RCU346" s="50"/>
      <c r="RCV346" s="50"/>
      <c r="RCW346" s="50"/>
      <c r="RCX346" s="50"/>
      <c r="RCY346" s="50"/>
      <c r="RCZ346" s="50"/>
      <c r="RDA346" s="50"/>
      <c r="RDB346" s="50"/>
      <c r="RDC346" s="50"/>
      <c r="RDD346" s="50"/>
      <c r="RDE346" s="50"/>
      <c r="RDF346" s="50"/>
      <c r="RDG346" s="50"/>
      <c r="RDH346" s="50"/>
      <c r="RDI346" s="50"/>
      <c r="RDJ346" s="50"/>
      <c r="RDK346" s="50"/>
      <c r="RDL346" s="50"/>
      <c r="RDM346" s="50"/>
      <c r="RDN346" s="50"/>
      <c r="RDO346" s="50"/>
      <c r="RDP346" s="50"/>
      <c r="RDQ346" s="50"/>
      <c r="RDR346" s="50"/>
      <c r="RDS346" s="50"/>
      <c r="RDT346" s="50"/>
      <c r="RDU346" s="50"/>
      <c r="RDV346" s="50"/>
      <c r="RDW346" s="50"/>
      <c r="RDX346" s="50"/>
      <c r="RDY346" s="50"/>
      <c r="RDZ346" s="50"/>
      <c r="REA346" s="50"/>
      <c r="REB346" s="50"/>
      <c r="REC346" s="50"/>
      <c r="RED346" s="50"/>
      <c r="REE346" s="50"/>
      <c r="REF346" s="50"/>
      <c r="REG346" s="50"/>
      <c r="REH346" s="50"/>
      <c r="REI346" s="50"/>
      <c r="REJ346" s="50"/>
      <c r="REK346" s="50"/>
      <c r="REL346" s="50"/>
      <c r="REM346" s="50"/>
      <c r="REN346" s="50"/>
      <c r="REO346" s="50"/>
      <c r="REP346" s="50"/>
      <c r="REQ346" s="50"/>
      <c r="RER346" s="50"/>
      <c r="RES346" s="50"/>
      <c r="RET346" s="50"/>
      <c r="REU346" s="50"/>
      <c r="REV346" s="50"/>
      <c r="REW346" s="50"/>
      <c r="REX346" s="50"/>
      <c r="REY346" s="50"/>
      <c r="REZ346" s="50"/>
      <c r="RFA346" s="50"/>
      <c r="RFB346" s="50"/>
      <c r="RFC346" s="50"/>
      <c r="RFD346" s="50"/>
      <c r="RFE346" s="50"/>
      <c r="RFF346" s="50"/>
      <c r="RFG346" s="50"/>
      <c r="RFH346" s="50"/>
      <c r="RFI346" s="50"/>
      <c r="RFJ346" s="50"/>
      <c r="RFK346" s="50"/>
      <c r="RFL346" s="50"/>
      <c r="RFM346" s="50"/>
      <c r="RFN346" s="50"/>
      <c r="RFO346" s="50"/>
      <c r="RFP346" s="50"/>
      <c r="RFQ346" s="50"/>
      <c r="RFR346" s="50"/>
      <c r="RFS346" s="50"/>
      <c r="RFT346" s="50"/>
      <c r="RFU346" s="50"/>
      <c r="RFV346" s="50"/>
      <c r="RFW346" s="50"/>
      <c r="RFX346" s="50"/>
      <c r="RFY346" s="50"/>
      <c r="RFZ346" s="50"/>
      <c r="RGA346" s="50"/>
      <c r="RGB346" s="50"/>
      <c r="RGC346" s="50"/>
      <c r="RGD346" s="50"/>
      <c r="RGE346" s="50"/>
      <c r="RGF346" s="50"/>
      <c r="RGG346" s="50"/>
      <c r="RGH346" s="50"/>
      <c r="RGI346" s="50"/>
      <c r="RGJ346" s="50"/>
      <c r="RGK346" s="50"/>
      <c r="RGL346" s="50"/>
      <c r="RGM346" s="50"/>
      <c r="RGN346" s="50"/>
      <c r="RGO346" s="50"/>
      <c r="RGP346" s="50"/>
      <c r="RGQ346" s="50"/>
      <c r="RGR346" s="50"/>
      <c r="RGS346" s="50"/>
      <c r="RGT346" s="50"/>
      <c r="RGU346" s="50"/>
      <c r="RGV346" s="50"/>
      <c r="RGW346" s="50"/>
      <c r="RGX346" s="50"/>
      <c r="RGY346" s="50"/>
      <c r="RGZ346" s="50"/>
      <c r="RHA346" s="50"/>
      <c r="RHB346" s="50"/>
      <c r="RHC346" s="50"/>
      <c r="RHD346" s="50"/>
      <c r="RHE346" s="50"/>
      <c r="RHF346" s="50"/>
      <c r="RHG346" s="50"/>
      <c r="RHH346" s="50"/>
      <c r="RHI346" s="50"/>
      <c r="RHJ346" s="50"/>
      <c r="RHK346" s="50"/>
      <c r="RHL346" s="50"/>
      <c r="RHM346" s="50"/>
      <c r="RHN346" s="50"/>
      <c r="RHO346" s="50"/>
      <c r="RHP346" s="50"/>
      <c r="RHQ346" s="50"/>
      <c r="RHR346" s="50"/>
      <c r="RHS346" s="50"/>
      <c r="RHT346" s="50"/>
      <c r="RHU346" s="50"/>
      <c r="RHV346" s="50"/>
      <c r="RHW346" s="50"/>
      <c r="RHX346" s="50"/>
      <c r="RHY346" s="50"/>
      <c r="RHZ346" s="50"/>
      <c r="RIA346" s="50"/>
      <c r="RIB346" s="50"/>
      <c r="RIC346" s="50"/>
      <c r="RID346" s="50"/>
      <c r="RIE346" s="50"/>
      <c r="RIF346" s="50"/>
      <c r="RIG346" s="50"/>
      <c r="RIH346" s="50"/>
      <c r="RII346" s="50"/>
      <c r="RIJ346" s="50"/>
      <c r="RIK346" s="50"/>
      <c r="RIL346" s="50"/>
      <c r="RIM346" s="50"/>
      <c r="RIN346" s="50"/>
      <c r="RIO346" s="50"/>
      <c r="RIP346" s="50"/>
      <c r="RIQ346" s="50"/>
      <c r="RIR346" s="50"/>
      <c r="RIS346" s="50"/>
      <c r="RIT346" s="50"/>
      <c r="RIU346" s="50"/>
      <c r="RIV346" s="50"/>
      <c r="RIW346" s="50"/>
      <c r="RIX346" s="50"/>
      <c r="RIY346" s="50"/>
      <c r="RIZ346" s="50"/>
      <c r="RJA346" s="50"/>
      <c r="RJB346" s="50"/>
      <c r="RJC346" s="50"/>
      <c r="RJD346" s="50"/>
      <c r="RJE346" s="50"/>
      <c r="RJF346" s="50"/>
      <c r="RJG346" s="50"/>
      <c r="RJH346" s="50"/>
      <c r="RJI346" s="50"/>
      <c r="RJJ346" s="50"/>
      <c r="RJK346" s="50"/>
      <c r="RJL346" s="50"/>
      <c r="RJM346" s="50"/>
      <c r="RJN346" s="50"/>
      <c r="RJO346" s="50"/>
      <c r="RJP346" s="50"/>
      <c r="RJQ346" s="50"/>
      <c r="RJR346" s="50"/>
      <c r="RJS346" s="50"/>
      <c r="RJT346" s="50"/>
      <c r="RJU346" s="50"/>
      <c r="RJV346" s="50"/>
      <c r="RJW346" s="50"/>
      <c r="RJX346" s="50"/>
      <c r="RJY346" s="50"/>
      <c r="RJZ346" s="50"/>
      <c r="RKA346" s="50"/>
      <c r="RKB346" s="50"/>
      <c r="RKC346" s="50"/>
      <c r="RKD346" s="50"/>
      <c r="RKE346" s="50"/>
      <c r="RKF346" s="50"/>
      <c r="RKG346" s="50"/>
      <c r="RKH346" s="50"/>
      <c r="RKI346" s="50"/>
      <c r="RKJ346" s="50"/>
      <c r="RKK346" s="50"/>
      <c r="RKL346" s="50"/>
      <c r="RKM346" s="50"/>
      <c r="RKN346" s="50"/>
      <c r="RKO346" s="50"/>
      <c r="RKP346" s="50"/>
      <c r="RKQ346" s="50"/>
      <c r="RKR346" s="50"/>
      <c r="RKS346" s="50"/>
      <c r="RKT346" s="50"/>
      <c r="RKU346" s="50"/>
      <c r="RKV346" s="50"/>
      <c r="RKW346" s="50"/>
      <c r="RKX346" s="50"/>
      <c r="RKY346" s="50"/>
      <c r="RKZ346" s="50"/>
      <c r="RLA346" s="50"/>
      <c r="RLB346" s="50"/>
      <c r="RLC346" s="50"/>
      <c r="RLD346" s="50"/>
      <c r="RLE346" s="50"/>
      <c r="RLF346" s="50"/>
      <c r="RLG346" s="50"/>
      <c r="RLH346" s="50"/>
      <c r="RLI346" s="50"/>
      <c r="RLJ346" s="50"/>
      <c r="RLK346" s="50"/>
      <c r="RLL346" s="50"/>
      <c r="RLM346" s="50"/>
      <c r="RLN346" s="50"/>
      <c r="RLO346" s="50"/>
      <c r="RLP346" s="50"/>
      <c r="RLQ346" s="50"/>
      <c r="RLR346" s="50"/>
      <c r="RLS346" s="50"/>
      <c r="RLT346" s="50"/>
      <c r="RLU346" s="50"/>
      <c r="RLV346" s="50"/>
      <c r="RLW346" s="50"/>
      <c r="RLX346" s="50"/>
      <c r="RLY346" s="50"/>
      <c r="RLZ346" s="50"/>
      <c r="RMA346" s="50"/>
      <c r="RMB346" s="50"/>
      <c r="RMC346" s="50"/>
      <c r="RMD346" s="50"/>
      <c r="RME346" s="50"/>
      <c r="RMF346" s="50"/>
      <c r="RMG346" s="50"/>
      <c r="RMH346" s="50"/>
      <c r="RMI346" s="50"/>
      <c r="RMJ346" s="50"/>
      <c r="RMK346" s="50"/>
      <c r="RML346" s="50"/>
      <c r="RMM346" s="50"/>
      <c r="RMN346" s="50"/>
      <c r="RMO346" s="50"/>
      <c r="RMP346" s="50"/>
      <c r="RMQ346" s="50"/>
      <c r="RMR346" s="50"/>
      <c r="RMS346" s="50"/>
      <c r="RMT346" s="50"/>
      <c r="RMU346" s="50"/>
      <c r="RMV346" s="50"/>
      <c r="RMW346" s="50"/>
      <c r="RMX346" s="50"/>
      <c r="RMY346" s="50"/>
      <c r="RMZ346" s="50"/>
      <c r="RNA346" s="50"/>
      <c r="RNB346" s="50"/>
      <c r="RNC346" s="50"/>
      <c r="RND346" s="50"/>
      <c r="RNE346" s="50"/>
      <c r="RNF346" s="50"/>
      <c r="RNG346" s="50"/>
      <c r="RNH346" s="50"/>
      <c r="RNI346" s="50"/>
      <c r="RNJ346" s="50"/>
      <c r="RNK346" s="50"/>
      <c r="RNL346" s="50"/>
      <c r="RNM346" s="50"/>
      <c r="RNN346" s="50"/>
      <c r="RNO346" s="50"/>
      <c r="RNP346" s="50"/>
      <c r="RNQ346" s="50"/>
      <c r="RNR346" s="50"/>
      <c r="RNS346" s="50"/>
      <c r="RNT346" s="50"/>
      <c r="RNU346" s="50"/>
      <c r="RNV346" s="50"/>
      <c r="RNW346" s="50"/>
      <c r="RNX346" s="50"/>
      <c r="RNY346" s="50"/>
      <c r="RNZ346" s="50"/>
      <c r="ROA346" s="50"/>
      <c r="ROB346" s="50"/>
      <c r="ROC346" s="50"/>
      <c r="ROD346" s="50"/>
      <c r="ROE346" s="50"/>
      <c r="ROF346" s="50"/>
      <c r="ROG346" s="50"/>
      <c r="ROH346" s="50"/>
      <c r="ROI346" s="50"/>
      <c r="ROJ346" s="50"/>
      <c r="ROK346" s="50"/>
      <c r="ROL346" s="50"/>
      <c r="ROM346" s="50"/>
      <c r="RON346" s="50"/>
      <c r="ROO346" s="50"/>
      <c r="ROP346" s="50"/>
      <c r="ROQ346" s="50"/>
      <c r="ROR346" s="50"/>
      <c r="ROS346" s="50"/>
      <c r="ROT346" s="50"/>
      <c r="ROU346" s="50"/>
      <c r="ROV346" s="50"/>
      <c r="ROW346" s="50"/>
      <c r="ROX346" s="50"/>
      <c r="ROY346" s="50"/>
      <c r="ROZ346" s="50"/>
      <c r="RPA346" s="50"/>
      <c r="RPB346" s="50"/>
      <c r="RPC346" s="50"/>
      <c r="RPD346" s="50"/>
      <c r="RPE346" s="50"/>
      <c r="RPF346" s="50"/>
      <c r="RPG346" s="50"/>
      <c r="RPH346" s="50"/>
      <c r="RPI346" s="50"/>
      <c r="RPJ346" s="50"/>
      <c r="RPK346" s="50"/>
      <c r="RPL346" s="50"/>
      <c r="RPM346" s="50"/>
      <c r="RPN346" s="50"/>
      <c r="RPO346" s="50"/>
      <c r="RPP346" s="50"/>
      <c r="RPQ346" s="50"/>
      <c r="RPR346" s="50"/>
      <c r="RPS346" s="50"/>
      <c r="RPT346" s="50"/>
      <c r="RPU346" s="50"/>
      <c r="RPV346" s="50"/>
      <c r="RPW346" s="50"/>
      <c r="RPX346" s="50"/>
      <c r="RPY346" s="50"/>
      <c r="RPZ346" s="50"/>
      <c r="RQA346" s="50"/>
      <c r="RQB346" s="50"/>
      <c r="RQC346" s="50"/>
      <c r="RQD346" s="50"/>
      <c r="RQE346" s="50"/>
      <c r="RQF346" s="50"/>
      <c r="RQG346" s="50"/>
      <c r="RQH346" s="50"/>
      <c r="RQI346" s="50"/>
      <c r="RQJ346" s="50"/>
      <c r="RQK346" s="50"/>
      <c r="RQL346" s="50"/>
      <c r="RQM346" s="50"/>
      <c r="RQN346" s="50"/>
      <c r="RQO346" s="50"/>
      <c r="RQP346" s="50"/>
      <c r="RQQ346" s="50"/>
      <c r="RQR346" s="50"/>
      <c r="RQS346" s="50"/>
      <c r="RQT346" s="50"/>
      <c r="RQU346" s="50"/>
      <c r="RQV346" s="50"/>
      <c r="RQW346" s="50"/>
      <c r="RQX346" s="50"/>
      <c r="RQY346" s="50"/>
      <c r="RQZ346" s="50"/>
      <c r="RRA346" s="50"/>
      <c r="RRB346" s="50"/>
      <c r="RRC346" s="50"/>
      <c r="RRD346" s="50"/>
      <c r="RRE346" s="50"/>
      <c r="RRF346" s="50"/>
      <c r="RRG346" s="50"/>
      <c r="RRH346" s="50"/>
      <c r="RRI346" s="50"/>
      <c r="RRJ346" s="50"/>
      <c r="RRK346" s="50"/>
      <c r="RRL346" s="50"/>
      <c r="RRM346" s="50"/>
      <c r="RRN346" s="50"/>
      <c r="RRO346" s="50"/>
      <c r="RRP346" s="50"/>
      <c r="RRQ346" s="50"/>
      <c r="RRR346" s="50"/>
      <c r="RRS346" s="50"/>
      <c r="RRT346" s="50"/>
      <c r="RRU346" s="50"/>
      <c r="RRV346" s="50"/>
      <c r="RRW346" s="50"/>
      <c r="RRX346" s="50"/>
      <c r="RRY346" s="50"/>
      <c r="RRZ346" s="50"/>
      <c r="RSA346" s="50"/>
      <c r="RSB346" s="50"/>
      <c r="RSC346" s="50"/>
      <c r="RSD346" s="50"/>
      <c r="RSE346" s="50"/>
      <c r="RSF346" s="50"/>
      <c r="RSG346" s="50"/>
      <c r="RSH346" s="50"/>
      <c r="RSI346" s="50"/>
      <c r="RSJ346" s="50"/>
      <c r="RSK346" s="50"/>
      <c r="RSL346" s="50"/>
      <c r="RSM346" s="50"/>
      <c r="RSN346" s="50"/>
      <c r="RSO346" s="50"/>
      <c r="RSP346" s="50"/>
      <c r="RSQ346" s="50"/>
      <c r="RSR346" s="50"/>
      <c r="RSS346" s="50"/>
      <c r="RST346" s="50"/>
      <c r="RSU346" s="50"/>
      <c r="RSV346" s="50"/>
      <c r="RSW346" s="50"/>
      <c r="RSX346" s="50"/>
      <c r="RSY346" s="50"/>
      <c r="RSZ346" s="50"/>
      <c r="RTA346" s="50"/>
      <c r="RTB346" s="50"/>
      <c r="RTC346" s="50"/>
      <c r="RTD346" s="50"/>
      <c r="RTE346" s="50"/>
      <c r="RTF346" s="50"/>
      <c r="RTG346" s="50"/>
      <c r="RTH346" s="50"/>
      <c r="RTI346" s="50"/>
      <c r="RTJ346" s="50"/>
      <c r="RTK346" s="50"/>
      <c r="RTL346" s="50"/>
      <c r="RTM346" s="50"/>
      <c r="RTN346" s="50"/>
      <c r="RTO346" s="50"/>
      <c r="RTP346" s="50"/>
      <c r="RTQ346" s="50"/>
      <c r="RTR346" s="50"/>
      <c r="RTS346" s="50"/>
      <c r="RTT346" s="50"/>
      <c r="RTU346" s="50"/>
      <c r="RTV346" s="50"/>
      <c r="RTW346" s="50"/>
      <c r="RTX346" s="50"/>
      <c r="RTY346" s="50"/>
      <c r="RTZ346" s="50"/>
      <c r="RUA346" s="50"/>
      <c r="RUB346" s="50"/>
      <c r="RUC346" s="50"/>
      <c r="RUD346" s="50"/>
      <c r="RUE346" s="50"/>
      <c r="RUF346" s="50"/>
      <c r="RUG346" s="50"/>
      <c r="RUH346" s="50"/>
      <c r="RUI346" s="50"/>
      <c r="RUJ346" s="50"/>
      <c r="RUK346" s="50"/>
      <c r="RUL346" s="50"/>
      <c r="RUM346" s="50"/>
      <c r="RUN346" s="50"/>
      <c r="RUO346" s="50"/>
      <c r="RUP346" s="50"/>
      <c r="RUQ346" s="50"/>
      <c r="RUR346" s="50"/>
      <c r="RUS346" s="50"/>
      <c r="RUT346" s="50"/>
      <c r="RUU346" s="50"/>
      <c r="RUV346" s="50"/>
      <c r="RUW346" s="50"/>
      <c r="RUX346" s="50"/>
      <c r="RUY346" s="50"/>
      <c r="RUZ346" s="50"/>
      <c r="RVA346" s="50"/>
      <c r="RVB346" s="50"/>
      <c r="RVC346" s="50"/>
      <c r="RVD346" s="50"/>
      <c r="RVE346" s="50"/>
      <c r="RVF346" s="50"/>
      <c r="RVG346" s="50"/>
      <c r="RVH346" s="50"/>
      <c r="RVI346" s="50"/>
      <c r="RVJ346" s="50"/>
      <c r="RVK346" s="50"/>
      <c r="RVL346" s="50"/>
      <c r="RVM346" s="50"/>
      <c r="RVN346" s="50"/>
      <c r="RVO346" s="50"/>
      <c r="RVP346" s="50"/>
      <c r="RVQ346" s="50"/>
      <c r="RVR346" s="50"/>
      <c r="RVS346" s="50"/>
      <c r="RVT346" s="50"/>
      <c r="RVU346" s="50"/>
      <c r="RVV346" s="50"/>
      <c r="RVW346" s="50"/>
      <c r="RVX346" s="50"/>
      <c r="RVY346" s="50"/>
      <c r="RVZ346" s="50"/>
      <c r="RWA346" s="50"/>
      <c r="RWB346" s="50"/>
      <c r="RWC346" s="50"/>
      <c r="RWD346" s="50"/>
      <c r="RWE346" s="50"/>
      <c r="RWF346" s="50"/>
      <c r="RWG346" s="50"/>
      <c r="RWH346" s="50"/>
      <c r="RWI346" s="50"/>
      <c r="RWJ346" s="50"/>
      <c r="RWK346" s="50"/>
      <c r="RWL346" s="50"/>
      <c r="RWM346" s="50"/>
      <c r="RWN346" s="50"/>
      <c r="RWO346" s="50"/>
      <c r="RWP346" s="50"/>
      <c r="RWQ346" s="50"/>
      <c r="RWR346" s="50"/>
      <c r="RWS346" s="50"/>
      <c r="RWT346" s="50"/>
      <c r="RWU346" s="50"/>
      <c r="RWV346" s="50"/>
      <c r="RWW346" s="50"/>
      <c r="RWX346" s="50"/>
      <c r="RWY346" s="50"/>
      <c r="RWZ346" s="50"/>
      <c r="RXA346" s="50"/>
      <c r="RXB346" s="50"/>
      <c r="RXC346" s="50"/>
      <c r="RXD346" s="50"/>
      <c r="RXE346" s="50"/>
      <c r="RXF346" s="50"/>
      <c r="RXG346" s="50"/>
      <c r="RXH346" s="50"/>
      <c r="RXI346" s="50"/>
      <c r="RXJ346" s="50"/>
      <c r="RXK346" s="50"/>
      <c r="RXL346" s="50"/>
      <c r="RXM346" s="50"/>
      <c r="RXN346" s="50"/>
      <c r="RXO346" s="50"/>
      <c r="RXP346" s="50"/>
      <c r="RXQ346" s="50"/>
      <c r="RXR346" s="50"/>
      <c r="RXS346" s="50"/>
      <c r="RXT346" s="50"/>
      <c r="RXU346" s="50"/>
      <c r="RXV346" s="50"/>
      <c r="RXW346" s="50"/>
      <c r="RXX346" s="50"/>
      <c r="RXY346" s="50"/>
      <c r="RXZ346" s="50"/>
      <c r="RYA346" s="50"/>
      <c r="RYB346" s="50"/>
      <c r="RYC346" s="50"/>
      <c r="RYD346" s="50"/>
      <c r="RYE346" s="50"/>
      <c r="RYF346" s="50"/>
      <c r="RYG346" s="50"/>
      <c r="RYH346" s="50"/>
      <c r="RYI346" s="50"/>
      <c r="RYJ346" s="50"/>
      <c r="RYK346" s="50"/>
      <c r="RYL346" s="50"/>
      <c r="RYM346" s="50"/>
      <c r="RYN346" s="50"/>
      <c r="RYO346" s="50"/>
      <c r="RYP346" s="50"/>
      <c r="RYQ346" s="50"/>
      <c r="RYR346" s="50"/>
      <c r="RYS346" s="50"/>
      <c r="RYT346" s="50"/>
      <c r="RYU346" s="50"/>
      <c r="RYV346" s="50"/>
      <c r="RYW346" s="50"/>
      <c r="RYX346" s="50"/>
      <c r="RYY346" s="50"/>
      <c r="RYZ346" s="50"/>
      <c r="RZA346" s="50"/>
      <c r="RZB346" s="50"/>
      <c r="RZC346" s="50"/>
      <c r="RZD346" s="50"/>
      <c r="RZE346" s="50"/>
      <c r="RZF346" s="50"/>
      <c r="RZG346" s="50"/>
      <c r="RZH346" s="50"/>
      <c r="RZI346" s="50"/>
      <c r="RZJ346" s="50"/>
      <c r="RZK346" s="50"/>
      <c r="RZL346" s="50"/>
      <c r="RZM346" s="50"/>
      <c r="RZN346" s="50"/>
      <c r="RZO346" s="50"/>
      <c r="RZP346" s="50"/>
      <c r="RZQ346" s="50"/>
      <c r="RZR346" s="50"/>
      <c r="RZS346" s="50"/>
      <c r="RZT346" s="50"/>
      <c r="RZU346" s="50"/>
      <c r="RZV346" s="50"/>
      <c r="RZW346" s="50"/>
      <c r="RZX346" s="50"/>
      <c r="RZY346" s="50"/>
      <c r="RZZ346" s="50"/>
      <c r="SAA346" s="50"/>
      <c r="SAB346" s="50"/>
      <c r="SAC346" s="50"/>
      <c r="SAD346" s="50"/>
      <c r="SAE346" s="50"/>
      <c r="SAF346" s="50"/>
      <c r="SAG346" s="50"/>
      <c r="SAH346" s="50"/>
      <c r="SAI346" s="50"/>
      <c r="SAJ346" s="50"/>
      <c r="SAK346" s="50"/>
      <c r="SAL346" s="50"/>
      <c r="SAM346" s="50"/>
      <c r="SAN346" s="50"/>
      <c r="SAO346" s="50"/>
      <c r="SAP346" s="50"/>
      <c r="SAQ346" s="50"/>
      <c r="SAR346" s="50"/>
      <c r="SAS346" s="50"/>
      <c r="SAT346" s="50"/>
      <c r="SAU346" s="50"/>
      <c r="SAV346" s="50"/>
      <c r="SAW346" s="50"/>
      <c r="SAX346" s="50"/>
      <c r="SAY346" s="50"/>
      <c r="SAZ346" s="50"/>
      <c r="SBA346" s="50"/>
      <c r="SBB346" s="50"/>
      <c r="SBC346" s="50"/>
      <c r="SBD346" s="50"/>
      <c r="SBE346" s="50"/>
      <c r="SBF346" s="50"/>
      <c r="SBG346" s="50"/>
      <c r="SBH346" s="50"/>
      <c r="SBI346" s="50"/>
      <c r="SBJ346" s="50"/>
      <c r="SBK346" s="50"/>
      <c r="SBL346" s="50"/>
      <c r="SBM346" s="50"/>
      <c r="SBN346" s="50"/>
      <c r="SBO346" s="50"/>
      <c r="SBP346" s="50"/>
      <c r="SBQ346" s="50"/>
      <c r="SBR346" s="50"/>
      <c r="SBS346" s="50"/>
      <c r="SBT346" s="50"/>
      <c r="SBU346" s="50"/>
      <c r="SBV346" s="50"/>
      <c r="SBW346" s="50"/>
      <c r="SBX346" s="50"/>
      <c r="SBY346" s="50"/>
      <c r="SBZ346" s="50"/>
      <c r="SCA346" s="50"/>
      <c r="SCB346" s="50"/>
      <c r="SCC346" s="50"/>
      <c r="SCD346" s="50"/>
      <c r="SCE346" s="50"/>
      <c r="SCF346" s="50"/>
      <c r="SCG346" s="50"/>
      <c r="SCH346" s="50"/>
      <c r="SCI346" s="50"/>
      <c r="SCJ346" s="50"/>
      <c r="SCK346" s="50"/>
      <c r="SCL346" s="50"/>
      <c r="SCM346" s="50"/>
      <c r="SCN346" s="50"/>
      <c r="SCO346" s="50"/>
      <c r="SCP346" s="50"/>
      <c r="SCQ346" s="50"/>
      <c r="SCR346" s="50"/>
      <c r="SCS346" s="50"/>
      <c r="SCT346" s="50"/>
      <c r="SCU346" s="50"/>
      <c r="SCV346" s="50"/>
      <c r="SCW346" s="50"/>
      <c r="SCX346" s="50"/>
      <c r="SCY346" s="50"/>
      <c r="SCZ346" s="50"/>
      <c r="SDA346" s="50"/>
      <c r="SDB346" s="50"/>
      <c r="SDC346" s="50"/>
      <c r="SDD346" s="50"/>
      <c r="SDE346" s="50"/>
      <c r="SDF346" s="50"/>
      <c r="SDG346" s="50"/>
      <c r="SDH346" s="50"/>
      <c r="SDI346" s="50"/>
      <c r="SDJ346" s="50"/>
      <c r="SDK346" s="50"/>
      <c r="SDL346" s="50"/>
      <c r="SDM346" s="50"/>
      <c r="SDN346" s="50"/>
      <c r="SDO346" s="50"/>
      <c r="SDP346" s="50"/>
      <c r="SDQ346" s="50"/>
      <c r="SDR346" s="50"/>
      <c r="SDS346" s="50"/>
      <c r="SDT346" s="50"/>
      <c r="SDU346" s="50"/>
      <c r="SDV346" s="50"/>
      <c r="SDW346" s="50"/>
      <c r="SDX346" s="50"/>
      <c r="SDY346" s="50"/>
      <c r="SDZ346" s="50"/>
      <c r="SEA346" s="50"/>
      <c r="SEB346" s="50"/>
      <c r="SEC346" s="50"/>
      <c r="SED346" s="50"/>
      <c r="SEE346" s="50"/>
      <c r="SEF346" s="50"/>
      <c r="SEG346" s="50"/>
      <c r="SEH346" s="50"/>
      <c r="SEI346" s="50"/>
      <c r="SEJ346" s="50"/>
      <c r="SEK346" s="50"/>
      <c r="SEL346" s="50"/>
      <c r="SEM346" s="50"/>
      <c r="SEN346" s="50"/>
      <c r="SEO346" s="50"/>
      <c r="SEP346" s="50"/>
      <c r="SEQ346" s="50"/>
      <c r="SER346" s="50"/>
      <c r="SES346" s="50"/>
      <c r="SET346" s="50"/>
      <c r="SEU346" s="50"/>
      <c r="SEV346" s="50"/>
      <c r="SEW346" s="50"/>
      <c r="SEX346" s="50"/>
      <c r="SEY346" s="50"/>
      <c r="SEZ346" s="50"/>
      <c r="SFA346" s="50"/>
      <c r="SFB346" s="50"/>
      <c r="SFC346" s="50"/>
      <c r="SFD346" s="50"/>
      <c r="SFE346" s="50"/>
      <c r="SFF346" s="50"/>
      <c r="SFG346" s="50"/>
      <c r="SFH346" s="50"/>
      <c r="SFI346" s="50"/>
      <c r="SFJ346" s="50"/>
      <c r="SFK346" s="50"/>
      <c r="SFL346" s="50"/>
      <c r="SFM346" s="50"/>
      <c r="SFN346" s="50"/>
      <c r="SFO346" s="50"/>
      <c r="SFP346" s="50"/>
      <c r="SFQ346" s="50"/>
      <c r="SFR346" s="50"/>
      <c r="SFS346" s="50"/>
      <c r="SFT346" s="50"/>
      <c r="SFU346" s="50"/>
      <c r="SFV346" s="50"/>
      <c r="SFW346" s="50"/>
      <c r="SFX346" s="50"/>
      <c r="SFY346" s="50"/>
      <c r="SFZ346" s="50"/>
      <c r="SGA346" s="50"/>
      <c r="SGB346" s="50"/>
      <c r="SGC346" s="50"/>
      <c r="SGD346" s="50"/>
      <c r="SGE346" s="50"/>
      <c r="SGF346" s="50"/>
      <c r="SGG346" s="50"/>
      <c r="SGH346" s="50"/>
      <c r="SGI346" s="50"/>
      <c r="SGJ346" s="50"/>
      <c r="SGK346" s="50"/>
      <c r="SGL346" s="50"/>
      <c r="SGM346" s="50"/>
      <c r="SGN346" s="50"/>
      <c r="SGO346" s="50"/>
      <c r="SGP346" s="50"/>
      <c r="SGQ346" s="50"/>
      <c r="SGR346" s="50"/>
      <c r="SGS346" s="50"/>
      <c r="SGT346" s="50"/>
      <c r="SGU346" s="50"/>
      <c r="SGV346" s="50"/>
      <c r="SGW346" s="50"/>
      <c r="SGX346" s="50"/>
      <c r="SGY346" s="50"/>
      <c r="SGZ346" s="50"/>
      <c r="SHA346" s="50"/>
      <c r="SHB346" s="50"/>
      <c r="SHC346" s="50"/>
      <c r="SHD346" s="50"/>
      <c r="SHE346" s="50"/>
      <c r="SHF346" s="50"/>
      <c r="SHG346" s="50"/>
      <c r="SHH346" s="50"/>
      <c r="SHI346" s="50"/>
      <c r="SHJ346" s="50"/>
      <c r="SHK346" s="50"/>
      <c r="SHL346" s="50"/>
      <c r="SHM346" s="50"/>
      <c r="SHN346" s="50"/>
      <c r="SHO346" s="50"/>
      <c r="SHP346" s="50"/>
      <c r="SHQ346" s="50"/>
      <c r="SHR346" s="50"/>
      <c r="SHS346" s="50"/>
      <c r="SHT346" s="50"/>
      <c r="SHU346" s="50"/>
      <c r="SHV346" s="50"/>
      <c r="SHW346" s="50"/>
      <c r="SHX346" s="50"/>
      <c r="SHY346" s="50"/>
      <c r="SHZ346" s="50"/>
      <c r="SIA346" s="50"/>
      <c r="SIB346" s="50"/>
      <c r="SIC346" s="50"/>
      <c r="SID346" s="50"/>
      <c r="SIE346" s="50"/>
      <c r="SIF346" s="50"/>
      <c r="SIG346" s="50"/>
      <c r="SIH346" s="50"/>
      <c r="SII346" s="50"/>
      <c r="SIJ346" s="50"/>
      <c r="SIK346" s="50"/>
      <c r="SIL346" s="50"/>
      <c r="SIM346" s="50"/>
      <c r="SIN346" s="50"/>
      <c r="SIO346" s="50"/>
      <c r="SIP346" s="50"/>
      <c r="SIQ346" s="50"/>
      <c r="SIR346" s="50"/>
      <c r="SIS346" s="50"/>
      <c r="SIT346" s="50"/>
      <c r="SIU346" s="50"/>
      <c r="SIV346" s="50"/>
      <c r="SIW346" s="50"/>
      <c r="SIX346" s="50"/>
      <c r="SIY346" s="50"/>
      <c r="SIZ346" s="50"/>
      <c r="SJA346" s="50"/>
      <c r="SJB346" s="50"/>
      <c r="SJC346" s="50"/>
      <c r="SJD346" s="50"/>
      <c r="SJE346" s="50"/>
      <c r="SJF346" s="50"/>
      <c r="SJG346" s="50"/>
      <c r="SJH346" s="50"/>
      <c r="SJI346" s="50"/>
      <c r="SJJ346" s="50"/>
      <c r="SJK346" s="50"/>
      <c r="SJL346" s="50"/>
      <c r="SJM346" s="50"/>
      <c r="SJN346" s="50"/>
      <c r="SJO346" s="50"/>
      <c r="SJP346" s="50"/>
      <c r="SJQ346" s="50"/>
      <c r="SJR346" s="50"/>
      <c r="SJS346" s="50"/>
      <c r="SJT346" s="50"/>
      <c r="SJU346" s="50"/>
      <c r="SJV346" s="50"/>
      <c r="SJW346" s="50"/>
      <c r="SJX346" s="50"/>
      <c r="SJY346" s="50"/>
      <c r="SJZ346" s="50"/>
      <c r="SKA346" s="50"/>
      <c r="SKB346" s="50"/>
      <c r="SKC346" s="50"/>
      <c r="SKD346" s="50"/>
      <c r="SKE346" s="50"/>
      <c r="SKF346" s="50"/>
      <c r="SKG346" s="50"/>
      <c r="SKH346" s="50"/>
      <c r="SKI346" s="50"/>
      <c r="SKJ346" s="50"/>
      <c r="SKK346" s="50"/>
      <c r="SKL346" s="50"/>
      <c r="SKM346" s="50"/>
      <c r="SKN346" s="50"/>
      <c r="SKO346" s="50"/>
      <c r="SKP346" s="50"/>
      <c r="SKQ346" s="50"/>
      <c r="SKR346" s="50"/>
      <c r="SKS346" s="50"/>
      <c r="SKT346" s="50"/>
      <c r="SKU346" s="50"/>
      <c r="SKV346" s="50"/>
      <c r="SKW346" s="50"/>
      <c r="SKX346" s="50"/>
      <c r="SKY346" s="50"/>
      <c r="SKZ346" s="50"/>
      <c r="SLA346" s="50"/>
      <c r="SLB346" s="50"/>
      <c r="SLC346" s="50"/>
      <c r="SLD346" s="50"/>
      <c r="SLE346" s="50"/>
      <c r="SLF346" s="50"/>
      <c r="SLG346" s="50"/>
      <c r="SLH346" s="50"/>
      <c r="SLI346" s="50"/>
      <c r="SLJ346" s="50"/>
      <c r="SLK346" s="50"/>
      <c r="SLL346" s="50"/>
      <c r="SLM346" s="50"/>
      <c r="SLN346" s="50"/>
      <c r="SLO346" s="50"/>
      <c r="SLP346" s="50"/>
      <c r="SLQ346" s="50"/>
      <c r="SLR346" s="50"/>
      <c r="SLS346" s="50"/>
      <c r="SLT346" s="50"/>
      <c r="SLU346" s="50"/>
      <c r="SLV346" s="50"/>
      <c r="SLW346" s="50"/>
      <c r="SLX346" s="50"/>
      <c r="SLY346" s="50"/>
      <c r="SLZ346" s="50"/>
      <c r="SMA346" s="50"/>
      <c r="SMB346" s="50"/>
      <c r="SMC346" s="50"/>
      <c r="SMD346" s="50"/>
      <c r="SME346" s="50"/>
      <c r="SMF346" s="50"/>
      <c r="SMG346" s="50"/>
      <c r="SMH346" s="50"/>
      <c r="SMI346" s="50"/>
      <c r="SMJ346" s="50"/>
      <c r="SMK346" s="50"/>
      <c r="SML346" s="50"/>
      <c r="SMM346" s="50"/>
      <c r="SMN346" s="50"/>
      <c r="SMO346" s="50"/>
      <c r="SMP346" s="50"/>
      <c r="SMQ346" s="50"/>
      <c r="SMR346" s="50"/>
      <c r="SMS346" s="50"/>
      <c r="SMT346" s="50"/>
      <c r="SMU346" s="50"/>
      <c r="SMV346" s="50"/>
      <c r="SMW346" s="50"/>
      <c r="SMX346" s="50"/>
      <c r="SMY346" s="50"/>
      <c r="SMZ346" s="50"/>
      <c r="SNA346" s="50"/>
      <c r="SNB346" s="50"/>
      <c r="SNC346" s="50"/>
      <c r="SND346" s="50"/>
      <c r="SNE346" s="50"/>
      <c r="SNF346" s="50"/>
      <c r="SNG346" s="50"/>
      <c r="SNH346" s="50"/>
      <c r="SNI346" s="50"/>
      <c r="SNJ346" s="50"/>
      <c r="SNK346" s="50"/>
      <c r="SNL346" s="50"/>
      <c r="SNM346" s="50"/>
      <c r="SNN346" s="50"/>
      <c r="SNO346" s="50"/>
      <c r="SNP346" s="50"/>
      <c r="SNQ346" s="50"/>
      <c r="SNR346" s="50"/>
      <c r="SNS346" s="50"/>
      <c r="SNT346" s="50"/>
      <c r="SNU346" s="50"/>
      <c r="SNV346" s="50"/>
      <c r="SNW346" s="50"/>
      <c r="SNX346" s="50"/>
      <c r="SNY346" s="50"/>
      <c r="SNZ346" s="50"/>
      <c r="SOA346" s="50"/>
      <c r="SOB346" s="50"/>
      <c r="SOC346" s="50"/>
      <c r="SOD346" s="50"/>
      <c r="SOE346" s="50"/>
      <c r="SOF346" s="50"/>
      <c r="SOG346" s="50"/>
      <c r="SOH346" s="50"/>
      <c r="SOI346" s="50"/>
      <c r="SOJ346" s="50"/>
      <c r="SOK346" s="50"/>
      <c r="SOL346" s="50"/>
      <c r="SOM346" s="50"/>
      <c r="SON346" s="50"/>
      <c r="SOO346" s="50"/>
      <c r="SOP346" s="50"/>
      <c r="SOQ346" s="50"/>
      <c r="SOR346" s="50"/>
      <c r="SOS346" s="50"/>
      <c r="SOT346" s="50"/>
      <c r="SOU346" s="50"/>
      <c r="SOV346" s="50"/>
      <c r="SOW346" s="50"/>
      <c r="SOX346" s="50"/>
      <c r="SOY346" s="50"/>
      <c r="SOZ346" s="50"/>
      <c r="SPA346" s="50"/>
      <c r="SPB346" s="50"/>
      <c r="SPC346" s="50"/>
      <c r="SPD346" s="50"/>
      <c r="SPE346" s="50"/>
      <c r="SPF346" s="50"/>
      <c r="SPG346" s="50"/>
      <c r="SPH346" s="50"/>
      <c r="SPI346" s="50"/>
      <c r="SPJ346" s="50"/>
      <c r="SPK346" s="50"/>
      <c r="SPL346" s="50"/>
      <c r="SPM346" s="50"/>
      <c r="SPN346" s="50"/>
      <c r="SPO346" s="50"/>
      <c r="SPP346" s="50"/>
      <c r="SPQ346" s="50"/>
      <c r="SPR346" s="50"/>
      <c r="SPS346" s="50"/>
      <c r="SPT346" s="50"/>
      <c r="SPU346" s="50"/>
      <c r="SPV346" s="50"/>
      <c r="SPW346" s="50"/>
      <c r="SPX346" s="50"/>
      <c r="SPY346" s="50"/>
      <c r="SPZ346" s="50"/>
      <c r="SQA346" s="50"/>
      <c r="SQB346" s="50"/>
      <c r="SQC346" s="50"/>
      <c r="SQD346" s="50"/>
      <c r="SQE346" s="50"/>
      <c r="SQF346" s="50"/>
      <c r="SQG346" s="50"/>
      <c r="SQH346" s="50"/>
      <c r="SQI346" s="50"/>
      <c r="SQJ346" s="50"/>
      <c r="SQK346" s="50"/>
      <c r="SQL346" s="50"/>
      <c r="SQM346" s="50"/>
      <c r="SQN346" s="50"/>
      <c r="SQO346" s="50"/>
      <c r="SQP346" s="50"/>
      <c r="SQQ346" s="50"/>
      <c r="SQR346" s="50"/>
      <c r="SQS346" s="50"/>
      <c r="SQT346" s="50"/>
      <c r="SQU346" s="50"/>
      <c r="SQV346" s="50"/>
      <c r="SQW346" s="50"/>
      <c r="SQX346" s="50"/>
      <c r="SQY346" s="50"/>
      <c r="SQZ346" s="50"/>
      <c r="SRA346" s="50"/>
      <c r="SRB346" s="50"/>
      <c r="SRC346" s="50"/>
      <c r="SRD346" s="50"/>
      <c r="SRE346" s="50"/>
      <c r="SRF346" s="50"/>
      <c r="SRG346" s="50"/>
      <c r="SRH346" s="50"/>
      <c r="SRI346" s="50"/>
      <c r="SRJ346" s="50"/>
      <c r="SRK346" s="50"/>
      <c r="SRL346" s="50"/>
      <c r="SRM346" s="50"/>
      <c r="SRN346" s="50"/>
      <c r="SRO346" s="50"/>
      <c r="SRP346" s="50"/>
      <c r="SRQ346" s="50"/>
      <c r="SRR346" s="50"/>
      <c r="SRS346" s="50"/>
      <c r="SRT346" s="50"/>
      <c r="SRU346" s="50"/>
      <c r="SRV346" s="50"/>
      <c r="SRW346" s="50"/>
      <c r="SRX346" s="50"/>
      <c r="SRY346" s="50"/>
      <c r="SRZ346" s="50"/>
      <c r="SSA346" s="50"/>
      <c r="SSB346" s="50"/>
      <c r="SSC346" s="50"/>
      <c r="SSD346" s="50"/>
      <c r="SSE346" s="50"/>
      <c r="SSF346" s="50"/>
      <c r="SSG346" s="50"/>
      <c r="SSH346" s="50"/>
      <c r="SSI346" s="50"/>
      <c r="SSJ346" s="50"/>
      <c r="SSK346" s="50"/>
      <c r="SSL346" s="50"/>
      <c r="SSM346" s="50"/>
      <c r="SSN346" s="50"/>
      <c r="SSO346" s="50"/>
      <c r="SSP346" s="50"/>
      <c r="SSQ346" s="50"/>
      <c r="SSR346" s="50"/>
      <c r="SSS346" s="50"/>
      <c r="SST346" s="50"/>
      <c r="SSU346" s="50"/>
      <c r="SSV346" s="50"/>
      <c r="SSW346" s="50"/>
      <c r="SSX346" s="50"/>
      <c r="SSY346" s="50"/>
      <c r="SSZ346" s="50"/>
      <c r="STA346" s="50"/>
      <c r="STB346" s="50"/>
      <c r="STC346" s="50"/>
      <c r="STD346" s="50"/>
      <c r="STE346" s="50"/>
      <c r="STF346" s="50"/>
      <c r="STG346" s="50"/>
      <c r="STH346" s="50"/>
      <c r="STI346" s="50"/>
      <c r="STJ346" s="50"/>
      <c r="STK346" s="50"/>
      <c r="STL346" s="50"/>
      <c r="STM346" s="50"/>
      <c r="STN346" s="50"/>
      <c r="STO346" s="50"/>
      <c r="STP346" s="50"/>
      <c r="STQ346" s="50"/>
      <c r="STR346" s="50"/>
      <c r="STS346" s="50"/>
      <c r="STT346" s="50"/>
      <c r="STU346" s="50"/>
      <c r="STV346" s="50"/>
      <c r="STW346" s="50"/>
      <c r="STX346" s="50"/>
      <c r="STY346" s="50"/>
      <c r="STZ346" s="50"/>
      <c r="SUA346" s="50"/>
      <c r="SUB346" s="50"/>
      <c r="SUC346" s="50"/>
      <c r="SUD346" s="50"/>
      <c r="SUE346" s="50"/>
      <c r="SUF346" s="50"/>
      <c r="SUG346" s="50"/>
      <c r="SUH346" s="50"/>
      <c r="SUI346" s="50"/>
      <c r="SUJ346" s="50"/>
      <c r="SUK346" s="50"/>
      <c r="SUL346" s="50"/>
      <c r="SUM346" s="50"/>
      <c r="SUN346" s="50"/>
      <c r="SUO346" s="50"/>
      <c r="SUP346" s="50"/>
      <c r="SUQ346" s="50"/>
      <c r="SUR346" s="50"/>
      <c r="SUS346" s="50"/>
      <c r="SUT346" s="50"/>
      <c r="SUU346" s="50"/>
      <c r="SUV346" s="50"/>
      <c r="SUW346" s="50"/>
      <c r="SUX346" s="50"/>
      <c r="SUY346" s="50"/>
      <c r="SUZ346" s="50"/>
      <c r="SVA346" s="50"/>
      <c r="SVB346" s="50"/>
      <c r="SVC346" s="50"/>
      <c r="SVD346" s="50"/>
      <c r="SVE346" s="50"/>
      <c r="SVF346" s="50"/>
      <c r="SVG346" s="50"/>
      <c r="SVH346" s="50"/>
      <c r="SVI346" s="50"/>
      <c r="SVJ346" s="50"/>
      <c r="SVK346" s="50"/>
      <c r="SVL346" s="50"/>
      <c r="SVM346" s="50"/>
      <c r="SVN346" s="50"/>
      <c r="SVO346" s="50"/>
      <c r="SVP346" s="50"/>
      <c r="SVQ346" s="50"/>
      <c r="SVR346" s="50"/>
      <c r="SVS346" s="50"/>
      <c r="SVT346" s="50"/>
      <c r="SVU346" s="50"/>
      <c r="SVV346" s="50"/>
      <c r="SVW346" s="50"/>
      <c r="SVX346" s="50"/>
      <c r="SVY346" s="50"/>
      <c r="SVZ346" s="50"/>
      <c r="SWA346" s="50"/>
      <c r="SWB346" s="50"/>
      <c r="SWC346" s="50"/>
      <c r="SWD346" s="50"/>
      <c r="SWE346" s="50"/>
      <c r="SWF346" s="50"/>
      <c r="SWG346" s="50"/>
      <c r="SWH346" s="50"/>
      <c r="SWI346" s="50"/>
      <c r="SWJ346" s="50"/>
      <c r="SWK346" s="50"/>
      <c r="SWL346" s="50"/>
      <c r="SWM346" s="50"/>
      <c r="SWN346" s="50"/>
      <c r="SWO346" s="50"/>
      <c r="SWP346" s="50"/>
      <c r="SWQ346" s="50"/>
      <c r="SWR346" s="50"/>
      <c r="SWS346" s="50"/>
      <c r="SWT346" s="50"/>
      <c r="SWU346" s="50"/>
      <c r="SWV346" s="50"/>
      <c r="SWW346" s="50"/>
      <c r="SWX346" s="50"/>
      <c r="SWY346" s="50"/>
      <c r="SWZ346" s="50"/>
      <c r="SXA346" s="50"/>
      <c r="SXB346" s="50"/>
      <c r="SXC346" s="50"/>
      <c r="SXD346" s="50"/>
      <c r="SXE346" s="50"/>
      <c r="SXF346" s="50"/>
      <c r="SXG346" s="50"/>
      <c r="SXH346" s="50"/>
      <c r="SXI346" s="50"/>
      <c r="SXJ346" s="50"/>
      <c r="SXK346" s="50"/>
      <c r="SXL346" s="50"/>
      <c r="SXM346" s="50"/>
      <c r="SXN346" s="50"/>
      <c r="SXO346" s="50"/>
      <c r="SXP346" s="50"/>
      <c r="SXQ346" s="50"/>
      <c r="SXR346" s="50"/>
      <c r="SXS346" s="50"/>
      <c r="SXT346" s="50"/>
      <c r="SXU346" s="50"/>
      <c r="SXV346" s="50"/>
      <c r="SXW346" s="50"/>
      <c r="SXX346" s="50"/>
      <c r="SXY346" s="50"/>
      <c r="SXZ346" s="50"/>
      <c r="SYA346" s="50"/>
      <c r="SYB346" s="50"/>
      <c r="SYC346" s="50"/>
      <c r="SYD346" s="50"/>
      <c r="SYE346" s="50"/>
      <c r="SYF346" s="50"/>
      <c r="SYG346" s="50"/>
      <c r="SYH346" s="50"/>
      <c r="SYI346" s="50"/>
      <c r="SYJ346" s="50"/>
      <c r="SYK346" s="50"/>
      <c r="SYL346" s="50"/>
      <c r="SYM346" s="50"/>
      <c r="SYN346" s="50"/>
      <c r="SYO346" s="50"/>
      <c r="SYP346" s="50"/>
      <c r="SYQ346" s="50"/>
      <c r="SYR346" s="50"/>
      <c r="SYS346" s="50"/>
      <c r="SYT346" s="50"/>
      <c r="SYU346" s="50"/>
      <c r="SYV346" s="50"/>
      <c r="SYW346" s="50"/>
      <c r="SYX346" s="50"/>
      <c r="SYY346" s="50"/>
      <c r="SYZ346" s="50"/>
      <c r="SZA346" s="50"/>
      <c r="SZB346" s="50"/>
      <c r="SZC346" s="50"/>
      <c r="SZD346" s="50"/>
      <c r="SZE346" s="50"/>
      <c r="SZF346" s="50"/>
      <c r="SZG346" s="50"/>
      <c r="SZH346" s="50"/>
      <c r="SZI346" s="50"/>
      <c r="SZJ346" s="50"/>
      <c r="SZK346" s="50"/>
      <c r="SZL346" s="50"/>
      <c r="SZM346" s="50"/>
      <c r="SZN346" s="50"/>
      <c r="SZO346" s="50"/>
      <c r="SZP346" s="50"/>
      <c r="SZQ346" s="50"/>
      <c r="SZR346" s="50"/>
      <c r="SZS346" s="50"/>
      <c r="SZT346" s="50"/>
      <c r="SZU346" s="50"/>
      <c r="SZV346" s="50"/>
      <c r="SZW346" s="50"/>
      <c r="SZX346" s="50"/>
      <c r="SZY346" s="50"/>
      <c r="SZZ346" s="50"/>
      <c r="TAA346" s="50"/>
      <c r="TAB346" s="50"/>
      <c r="TAC346" s="50"/>
      <c r="TAD346" s="50"/>
      <c r="TAE346" s="50"/>
      <c r="TAF346" s="50"/>
      <c r="TAG346" s="50"/>
      <c r="TAH346" s="50"/>
      <c r="TAI346" s="50"/>
      <c r="TAJ346" s="50"/>
      <c r="TAK346" s="50"/>
      <c r="TAL346" s="50"/>
      <c r="TAM346" s="50"/>
      <c r="TAN346" s="50"/>
      <c r="TAO346" s="50"/>
      <c r="TAP346" s="50"/>
      <c r="TAQ346" s="50"/>
      <c r="TAR346" s="50"/>
      <c r="TAS346" s="50"/>
      <c r="TAT346" s="50"/>
      <c r="TAU346" s="50"/>
      <c r="TAV346" s="50"/>
      <c r="TAW346" s="50"/>
      <c r="TAX346" s="50"/>
      <c r="TAY346" s="50"/>
      <c r="TAZ346" s="50"/>
      <c r="TBA346" s="50"/>
      <c r="TBB346" s="50"/>
      <c r="TBC346" s="50"/>
      <c r="TBD346" s="50"/>
      <c r="TBE346" s="50"/>
      <c r="TBF346" s="50"/>
      <c r="TBG346" s="50"/>
      <c r="TBH346" s="50"/>
      <c r="TBI346" s="50"/>
      <c r="TBJ346" s="50"/>
      <c r="TBK346" s="50"/>
      <c r="TBL346" s="50"/>
      <c r="TBM346" s="50"/>
      <c r="TBN346" s="50"/>
      <c r="TBO346" s="50"/>
      <c r="TBP346" s="50"/>
      <c r="TBQ346" s="50"/>
      <c r="TBR346" s="50"/>
      <c r="TBS346" s="50"/>
      <c r="TBT346" s="50"/>
      <c r="TBU346" s="50"/>
      <c r="TBV346" s="50"/>
      <c r="TBW346" s="50"/>
      <c r="TBX346" s="50"/>
      <c r="TBY346" s="50"/>
      <c r="TBZ346" s="50"/>
      <c r="TCA346" s="50"/>
      <c r="TCB346" s="50"/>
      <c r="TCC346" s="50"/>
      <c r="TCD346" s="50"/>
      <c r="TCE346" s="50"/>
      <c r="TCF346" s="50"/>
      <c r="TCG346" s="50"/>
      <c r="TCH346" s="50"/>
      <c r="TCI346" s="50"/>
      <c r="TCJ346" s="50"/>
      <c r="TCK346" s="50"/>
      <c r="TCL346" s="50"/>
      <c r="TCM346" s="50"/>
      <c r="TCN346" s="50"/>
      <c r="TCO346" s="50"/>
      <c r="TCP346" s="50"/>
      <c r="TCQ346" s="50"/>
      <c r="TCR346" s="50"/>
      <c r="TCS346" s="50"/>
      <c r="TCT346" s="50"/>
      <c r="TCU346" s="50"/>
      <c r="TCV346" s="50"/>
      <c r="TCW346" s="50"/>
      <c r="TCX346" s="50"/>
      <c r="TCY346" s="50"/>
      <c r="TCZ346" s="50"/>
      <c r="TDA346" s="50"/>
      <c r="TDB346" s="50"/>
      <c r="TDC346" s="50"/>
      <c r="TDD346" s="50"/>
      <c r="TDE346" s="50"/>
      <c r="TDF346" s="50"/>
      <c r="TDG346" s="50"/>
      <c r="TDH346" s="50"/>
      <c r="TDI346" s="50"/>
      <c r="TDJ346" s="50"/>
      <c r="TDK346" s="50"/>
      <c r="TDL346" s="50"/>
      <c r="TDM346" s="50"/>
      <c r="TDN346" s="50"/>
      <c r="TDO346" s="50"/>
      <c r="TDP346" s="50"/>
      <c r="TDQ346" s="50"/>
      <c r="TDR346" s="50"/>
      <c r="TDS346" s="50"/>
      <c r="TDT346" s="50"/>
      <c r="TDU346" s="50"/>
      <c r="TDV346" s="50"/>
      <c r="TDW346" s="50"/>
      <c r="TDX346" s="50"/>
      <c r="TDY346" s="50"/>
      <c r="TDZ346" s="50"/>
      <c r="TEA346" s="50"/>
      <c r="TEB346" s="50"/>
      <c r="TEC346" s="50"/>
      <c r="TED346" s="50"/>
      <c r="TEE346" s="50"/>
      <c r="TEF346" s="50"/>
      <c r="TEG346" s="50"/>
      <c r="TEH346" s="50"/>
      <c r="TEI346" s="50"/>
      <c r="TEJ346" s="50"/>
      <c r="TEK346" s="50"/>
      <c r="TEL346" s="50"/>
      <c r="TEM346" s="50"/>
      <c r="TEN346" s="50"/>
      <c r="TEO346" s="50"/>
      <c r="TEP346" s="50"/>
      <c r="TEQ346" s="50"/>
      <c r="TER346" s="50"/>
      <c r="TES346" s="50"/>
      <c r="TET346" s="50"/>
      <c r="TEU346" s="50"/>
      <c r="TEV346" s="50"/>
      <c r="TEW346" s="50"/>
      <c r="TEX346" s="50"/>
      <c r="TEY346" s="50"/>
      <c r="TEZ346" s="50"/>
      <c r="TFA346" s="50"/>
      <c r="TFB346" s="50"/>
      <c r="TFC346" s="50"/>
      <c r="TFD346" s="50"/>
      <c r="TFE346" s="50"/>
      <c r="TFF346" s="50"/>
      <c r="TFG346" s="50"/>
      <c r="TFH346" s="50"/>
      <c r="TFI346" s="50"/>
      <c r="TFJ346" s="50"/>
      <c r="TFK346" s="50"/>
      <c r="TFL346" s="50"/>
      <c r="TFM346" s="50"/>
      <c r="TFN346" s="50"/>
      <c r="TFO346" s="50"/>
      <c r="TFP346" s="50"/>
      <c r="TFQ346" s="50"/>
      <c r="TFR346" s="50"/>
      <c r="TFS346" s="50"/>
      <c r="TFT346" s="50"/>
      <c r="TFU346" s="50"/>
      <c r="TFV346" s="50"/>
      <c r="TFW346" s="50"/>
      <c r="TFX346" s="50"/>
      <c r="TFY346" s="50"/>
      <c r="TFZ346" s="50"/>
      <c r="TGA346" s="50"/>
      <c r="TGB346" s="50"/>
      <c r="TGC346" s="50"/>
      <c r="TGD346" s="50"/>
      <c r="TGE346" s="50"/>
      <c r="TGF346" s="50"/>
      <c r="TGG346" s="50"/>
      <c r="TGH346" s="50"/>
      <c r="TGI346" s="50"/>
      <c r="TGJ346" s="50"/>
      <c r="TGK346" s="50"/>
      <c r="TGL346" s="50"/>
      <c r="TGM346" s="50"/>
      <c r="TGN346" s="50"/>
      <c r="TGO346" s="50"/>
      <c r="TGP346" s="50"/>
      <c r="TGQ346" s="50"/>
      <c r="TGR346" s="50"/>
      <c r="TGS346" s="50"/>
      <c r="TGT346" s="50"/>
      <c r="TGU346" s="50"/>
      <c r="TGV346" s="50"/>
      <c r="TGW346" s="50"/>
      <c r="TGX346" s="50"/>
      <c r="TGY346" s="50"/>
      <c r="TGZ346" s="50"/>
      <c r="THA346" s="50"/>
      <c r="THB346" s="50"/>
      <c r="THC346" s="50"/>
      <c r="THD346" s="50"/>
      <c r="THE346" s="50"/>
      <c r="THF346" s="50"/>
      <c r="THG346" s="50"/>
      <c r="THH346" s="50"/>
      <c r="THI346" s="50"/>
      <c r="THJ346" s="50"/>
      <c r="THK346" s="50"/>
      <c r="THL346" s="50"/>
      <c r="THM346" s="50"/>
      <c r="THN346" s="50"/>
      <c r="THO346" s="50"/>
      <c r="THP346" s="50"/>
      <c r="THQ346" s="50"/>
      <c r="THR346" s="50"/>
      <c r="THS346" s="50"/>
      <c r="THT346" s="50"/>
      <c r="THU346" s="50"/>
      <c r="THV346" s="50"/>
      <c r="THW346" s="50"/>
      <c r="THX346" s="50"/>
      <c r="THY346" s="50"/>
      <c r="THZ346" s="50"/>
      <c r="TIA346" s="50"/>
      <c r="TIB346" s="50"/>
      <c r="TIC346" s="50"/>
      <c r="TID346" s="50"/>
      <c r="TIE346" s="50"/>
      <c r="TIF346" s="50"/>
      <c r="TIG346" s="50"/>
      <c r="TIH346" s="50"/>
      <c r="TII346" s="50"/>
      <c r="TIJ346" s="50"/>
      <c r="TIK346" s="50"/>
      <c r="TIL346" s="50"/>
      <c r="TIM346" s="50"/>
      <c r="TIN346" s="50"/>
      <c r="TIO346" s="50"/>
      <c r="TIP346" s="50"/>
      <c r="TIQ346" s="50"/>
      <c r="TIR346" s="50"/>
      <c r="TIS346" s="50"/>
      <c r="TIT346" s="50"/>
      <c r="TIU346" s="50"/>
      <c r="TIV346" s="50"/>
      <c r="TIW346" s="50"/>
      <c r="TIX346" s="50"/>
      <c r="TIY346" s="50"/>
      <c r="TIZ346" s="50"/>
      <c r="TJA346" s="50"/>
      <c r="TJB346" s="50"/>
      <c r="TJC346" s="50"/>
      <c r="TJD346" s="50"/>
      <c r="TJE346" s="50"/>
      <c r="TJF346" s="50"/>
      <c r="TJG346" s="50"/>
      <c r="TJH346" s="50"/>
      <c r="TJI346" s="50"/>
      <c r="TJJ346" s="50"/>
      <c r="TJK346" s="50"/>
      <c r="TJL346" s="50"/>
      <c r="TJM346" s="50"/>
      <c r="TJN346" s="50"/>
      <c r="TJO346" s="50"/>
      <c r="TJP346" s="50"/>
      <c r="TJQ346" s="50"/>
      <c r="TJR346" s="50"/>
      <c r="TJS346" s="50"/>
      <c r="TJT346" s="50"/>
      <c r="TJU346" s="50"/>
      <c r="TJV346" s="50"/>
      <c r="TJW346" s="50"/>
      <c r="TJX346" s="50"/>
      <c r="TJY346" s="50"/>
      <c r="TJZ346" s="50"/>
      <c r="TKA346" s="50"/>
      <c r="TKB346" s="50"/>
      <c r="TKC346" s="50"/>
      <c r="TKD346" s="50"/>
      <c r="TKE346" s="50"/>
      <c r="TKF346" s="50"/>
      <c r="TKG346" s="50"/>
      <c r="TKH346" s="50"/>
      <c r="TKI346" s="50"/>
      <c r="TKJ346" s="50"/>
      <c r="TKK346" s="50"/>
      <c r="TKL346" s="50"/>
      <c r="TKM346" s="50"/>
      <c r="TKN346" s="50"/>
      <c r="TKO346" s="50"/>
      <c r="TKP346" s="50"/>
      <c r="TKQ346" s="50"/>
      <c r="TKR346" s="50"/>
      <c r="TKS346" s="50"/>
      <c r="TKT346" s="50"/>
      <c r="TKU346" s="50"/>
      <c r="TKV346" s="50"/>
      <c r="TKW346" s="50"/>
      <c r="TKX346" s="50"/>
      <c r="TKY346" s="50"/>
      <c r="TKZ346" s="50"/>
      <c r="TLA346" s="50"/>
      <c r="TLB346" s="50"/>
      <c r="TLC346" s="50"/>
      <c r="TLD346" s="50"/>
      <c r="TLE346" s="50"/>
      <c r="TLF346" s="50"/>
      <c r="TLG346" s="50"/>
      <c r="TLH346" s="50"/>
      <c r="TLI346" s="50"/>
      <c r="TLJ346" s="50"/>
      <c r="TLK346" s="50"/>
      <c r="TLL346" s="50"/>
      <c r="TLM346" s="50"/>
      <c r="TLN346" s="50"/>
      <c r="TLO346" s="50"/>
      <c r="TLP346" s="50"/>
      <c r="TLQ346" s="50"/>
      <c r="TLR346" s="50"/>
      <c r="TLS346" s="50"/>
      <c r="TLT346" s="50"/>
      <c r="TLU346" s="50"/>
      <c r="TLV346" s="50"/>
      <c r="TLW346" s="50"/>
      <c r="TLX346" s="50"/>
      <c r="TLY346" s="50"/>
      <c r="TLZ346" s="50"/>
      <c r="TMA346" s="50"/>
      <c r="TMB346" s="50"/>
      <c r="TMC346" s="50"/>
      <c r="TMD346" s="50"/>
      <c r="TME346" s="50"/>
      <c r="TMF346" s="50"/>
      <c r="TMG346" s="50"/>
      <c r="TMH346" s="50"/>
      <c r="TMI346" s="50"/>
      <c r="TMJ346" s="50"/>
      <c r="TMK346" s="50"/>
      <c r="TML346" s="50"/>
      <c r="TMM346" s="50"/>
      <c r="TMN346" s="50"/>
      <c r="TMO346" s="50"/>
      <c r="TMP346" s="50"/>
      <c r="TMQ346" s="50"/>
      <c r="TMR346" s="50"/>
      <c r="TMS346" s="50"/>
      <c r="TMT346" s="50"/>
      <c r="TMU346" s="50"/>
      <c r="TMV346" s="50"/>
      <c r="TMW346" s="50"/>
      <c r="TMX346" s="50"/>
      <c r="TMY346" s="50"/>
      <c r="TMZ346" s="50"/>
      <c r="TNA346" s="50"/>
      <c r="TNB346" s="50"/>
      <c r="TNC346" s="50"/>
      <c r="TND346" s="50"/>
      <c r="TNE346" s="50"/>
      <c r="TNF346" s="50"/>
      <c r="TNG346" s="50"/>
      <c r="TNH346" s="50"/>
      <c r="TNI346" s="50"/>
      <c r="TNJ346" s="50"/>
      <c r="TNK346" s="50"/>
      <c r="TNL346" s="50"/>
      <c r="TNM346" s="50"/>
      <c r="TNN346" s="50"/>
      <c r="TNO346" s="50"/>
      <c r="TNP346" s="50"/>
      <c r="TNQ346" s="50"/>
      <c r="TNR346" s="50"/>
      <c r="TNS346" s="50"/>
      <c r="TNT346" s="50"/>
      <c r="TNU346" s="50"/>
      <c r="TNV346" s="50"/>
      <c r="TNW346" s="50"/>
      <c r="TNX346" s="50"/>
      <c r="TNY346" s="50"/>
      <c r="TNZ346" s="50"/>
      <c r="TOA346" s="50"/>
      <c r="TOB346" s="50"/>
      <c r="TOC346" s="50"/>
      <c r="TOD346" s="50"/>
      <c r="TOE346" s="50"/>
      <c r="TOF346" s="50"/>
      <c r="TOG346" s="50"/>
      <c r="TOH346" s="50"/>
      <c r="TOI346" s="50"/>
      <c r="TOJ346" s="50"/>
      <c r="TOK346" s="50"/>
      <c r="TOL346" s="50"/>
      <c r="TOM346" s="50"/>
      <c r="TON346" s="50"/>
      <c r="TOO346" s="50"/>
      <c r="TOP346" s="50"/>
      <c r="TOQ346" s="50"/>
      <c r="TOR346" s="50"/>
      <c r="TOS346" s="50"/>
      <c r="TOT346" s="50"/>
      <c r="TOU346" s="50"/>
      <c r="TOV346" s="50"/>
      <c r="TOW346" s="50"/>
      <c r="TOX346" s="50"/>
      <c r="TOY346" s="50"/>
      <c r="TOZ346" s="50"/>
      <c r="TPA346" s="50"/>
      <c r="TPB346" s="50"/>
      <c r="TPC346" s="50"/>
      <c r="TPD346" s="50"/>
      <c r="TPE346" s="50"/>
      <c r="TPF346" s="50"/>
      <c r="TPG346" s="50"/>
      <c r="TPH346" s="50"/>
      <c r="TPI346" s="50"/>
      <c r="TPJ346" s="50"/>
      <c r="TPK346" s="50"/>
      <c r="TPL346" s="50"/>
      <c r="TPM346" s="50"/>
      <c r="TPN346" s="50"/>
      <c r="TPO346" s="50"/>
      <c r="TPP346" s="50"/>
      <c r="TPQ346" s="50"/>
      <c r="TPR346" s="50"/>
      <c r="TPS346" s="50"/>
      <c r="TPT346" s="50"/>
      <c r="TPU346" s="50"/>
      <c r="TPV346" s="50"/>
      <c r="TPW346" s="50"/>
      <c r="TPX346" s="50"/>
      <c r="TPY346" s="50"/>
      <c r="TPZ346" s="50"/>
      <c r="TQA346" s="50"/>
      <c r="TQB346" s="50"/>
      <c r="TQC346" s="50"/>
      <c r="TQD346" s="50"/>
      <c r="TQE346" s="50"/>
      <c r="TQF346" s="50"/>
      <c r="TQG346" s="50"/>
      <c r="TQH346" s="50"/>
      <c r="TQI346" s="50"/>
      <c r="TQJ346" s="50"/>
      <c r="TQK346" s="50"/>
      <c r="TQL346" s="50"/>
      <c r="TQM346" s="50"/>
      <c r="TQN346" s="50"/>
      <c r="TQO346" s="50"/>
      <c r="TQP346" s="50"/>
      <c r="TQQ346" s="50"/>
      <c r="TQR346" s="50"/>
      <c r="TQS346" s="50"/>
      <c r="TQT346" s="50"/>
      <c r="TQU346" s="50"/>
      <c r="TQV346" s="50"/>
      <c r="TQW346" s="50"/>
      <c r="TQX346" s="50"/>
      <c r="TQY346" s="50"/>
      <c r="TQZ346" s="50"/>
      <c r="TRA346" s="50"/>
      <c r="TRB346" s="50"/>
      <c r="TRC346" s="50"/>
      <c r="TRD346" s="50"/>
      <c r="TRE346" s="50"/>
      <c r="TRF346" s="50"/>
      <c r="TRG346" s="50"/>
      <c r="TRH346" s="50"/>
      <c r="TRI346" s="50"/>
      <c r="TRJ346" s="50"/>
      <c r="TRK346" s="50"/>
      <c r="TRL346" s="50"/>
      <c r="TRM346" s="50"/>
      <c r="TRN346" s="50"/>
      <c r="TRO346" s="50"/>
      <c r="TRP346" s="50"/>
      <c r="TRQ346" s="50"/>
      <c r="TRR346" s="50"/>
      <c r="TRS346" s="50"/>
      <c r="TRT346" s="50"/>
      <c r="TRU346" s="50"/>
      <c r="TRV346" s="50"/>
      <c r="TRW346" s="50"/>
      <c r="TRX346" s="50"/>
      <c r="TRY346" s="50"/>
      <c r="TRZ346" s="50"/>
      <c r="TSA346" s="50"/>
      <c r="TSB346" s="50"/>
      <c r="TSC346" s="50"/>
      <c r="TSD346" s="50"/>
      <c r="TSE346" s="50"/>
      <c r="TSF346" s="50"/>
      <c r="TSG346" s="50"/>
      <c r="TSH346" s="50"/>
      <c r="TSI346" s="50"/>
      <c r="TSJ346" s="50"/>
      <c r="TSK346" s="50"/>
      <c r="TSL346" s="50"/>
      <c r="TSM346" s="50"/>
      <c r="TSN346" s="50"/>
      <c r="TSO346" s="50"/>
      <c r="TSP346" s="50"/>
      <c r="TSQ346" s="50"/>
      <c r="TSR346" s="50"/>
      <c r="TSS346" s="50"/>
      <c r="TST346" s="50"/>
      <c r="TSU346" s="50"/>
      <c r="TSV346" s="50"/>
      <c r="TSW346" s="50"/>
      <c r="TSX346" s="50"/>
      <c r="TSY346" s="50"/>
      <c r="TSZ346" s="50"/>
      <c r="TTA346" s="50"/>
      <c r="TTB346" s="50"/>
      <c r="TTC346" s="50"/>
      <c r="TTD346" s="50"/>
      <c r="TTE346" s="50"/>
      <c r="TTF346" s="50"/>
      <c r="TTG346" s="50"/>
      <c r="TTH346" s="50"/>
      <c r="TTI346" s="50"/>
      <c r="TTJ346" s="50"/>
      <c r="TTK346" s="50"/>
      <c r="TTL346" s="50"/>
      <c r="TTM346" s="50"/>
      <c r="TTN346" s="50"/>
      <c r="TTO346" s="50"/>
      <c r="TTP346" s="50"/>
      <c r="TTQ346" s="50"/>
      <c r="TTR346" s="50"/>
      <c r="TTS346" s="50"/>
      <c r="TTT346" s="50"/>
      <c r="TTU346" s="50"/>
      <c r="TTV346" s="50"/>
      <c r="TTW346" s="50"/>
      <c r="TTX346" s="50"/>
      <c r="TTY346" s="50"/>
      <c r="TTZ346" s="50"/>
      <c r="TUA346" s="50"/>
      <c r="TUB346" s="50"/>
      <c r="TUC346" s="50"/>
      <c r="TUD346" s="50"/>
      <c r="TUE346" s="50"/>
      <c r="TUF346" s="50"/>
      <c r="TUG346" s="50"/>
      <c r="TUH346" s="50"/>
      <c r="TUI346" s="50"/>
      <c r="TUJ346" s="50"/>
      <c r="TUK346" s="50"/>
      <c r="TUL346" s="50"/>
      <c r="TUM346" s="50"/>
      <c r="TUN346" s="50"/>
      <c r="TUO346" s="50"/>
      <c r="TUP346" s="50"/>
      <c r="TUQ346" s="50"/>
      <c r="TUR346" s="50"/>
      <c r="TUS346" s="50"/>
      <c r="TUT346" s="50"/>
      <c r="TUU346" s="50"/>
      <c r="TUV346" s="50"/>
      <c r="TUW346" s="50"/>
      <c r="TUX346" s="50"/>
      <c r="TUY346" s="50"/>
      <c r="TUZ346" s="50"/>
      <c r="TVA346" s="50"/>
      <c r="TVB346" s="50"/>
      <c r="TVC346" s="50"/>
      <c r="TVD346" s="50"/>
      <c r="TVE346" s="50"/>
      <c r="TVF346" s="50"/>
      <c r="TVG346" s="50"/>
      <c r="TVH346" s="50"/>
      <c r="TVI346" s="50"/>
      <c r="TVJ346" s="50"/>
      <c r="TVK346" s="50"/>
      <c r="TVL346" s="50"/>
      <c r="TVM346" s="50"/>
      <c r="TVN346" s="50"/>
      <c r="TVO346" s="50"/>
      <c r="TVP346" s="50"/>
      <c r="TVQ346" s="50"/>
      <c r="TVR346" s="50"/>
      <c r="TVS346" s="50"/>
      <c r="TVT346" s="50"/>
      <c r="TVU346" s="50"/>
      <c r="TVV346" s="50"/>
      <c r="TVW346" s="50"/>
      <c r="TVX346" s="50"/>
      <c r="TVY346" s="50"/>
      <c r="TVZ346" s="50"/>
      <c r="TWA346" s="50"/>
      <c r="TWB346" s="50"/>
      <c r="TWC346" s="50"/>
      <c r="TWD346" s="50"/>
      <c r="TWE346" s="50"/>
      <c r="TWF346" s="50"/>
      <c r="TWG346" s="50"/>
      <c r="TWH346" s="50"/>
      <c r="TWI346" s="50"/>
      <c r="TWJ346" s="50"/>
      <c r="TWK346" s="50"/>
      <c r="TWL346" s="50"/>
      <c r="TWM346" s="50"/>
      <c r="TWN346" s="50"/>
      <c r="TWO346" s="50"/>
      <c r="TWP346" s="50"/>
      <c r="TWQ346" s="50"/>
      <c r="TWR346" s="50"/>
      <c r="TWS346" s="50"/>
      <c r="TWT346" s="50"/>
      <c r="TWU346" s="50"/>
      <c r="TWV346" s="50"/>
      <c r="TWW346" s="50"/>
      <c r="TWX346" s="50"/>
      <c r="TWY346" s="50"/>
      <c r="TWZ346" s="50"/>
      <c r="TXA346" s="50"/>
      <c r="TXB346" s="50"/>
      <c r="TXC346" s="50"/>
      <c r="TXD346" s="50"/>
      <c r="TXE346" s="50"/>
      <c r="TXF346" s="50"/>
      <c r="TXG346" s="50"/>
      <c r="TXH346" s="50"/>
      <c r="TXI346" s="50"/>
      <c r="TXJ346" s="50"/>
      <c r="TXK346" s="50"/>
      <c r="TXL346" s="50"/>
      <c r="TXM346" s="50"/>
      <c r="TXN346" s="50"/>
      <c r="TXO346" s="50"/>
      <c r="TXP346" s="50"/>
      <c r="TXQ346" s="50"/>
      <c r="TXR346" s="50"/>
      <c r="TXS346" s="50"/>
      <c r="TXT346" s="50"/>
      <c r="TXU346" s="50"/>
      <c r="TXV346" s="50"/>
      <c r="TXW346" s="50"/>
      <c r="TXX346" s="50"/>
      <c r="TXY346" s="50"/>
      <c r="TXZ346" s="50"/>
      <c r="TYA346" s="50"/>
      <c r="TYB346" s="50"/>
      <c r="TYC346" s="50"/>
      <c r="TYD346" s="50"/>
      <c r="TYE346" s="50"/>
      <c r="TYF346" s="50"/>
      <c r="TYG346" s="50"/>
      <c r="TYH346" s="50"/>
      <c r="TYI346" s="50"/>
      <c r="TYJ346" s="50"/>
      <c r="TYK346" s="50"/>
      <c r="TYL346" s="50"/>
      <c r="TYM346" s="50"/>
      <c r="TYN346" s="50"/>
      <c r="TYO346" s="50"/>
      <c r="TYP346" s="50"/>
      <c r="TYQ346" s="50"/>
      <c r="TYR346" s="50"/>
      <c r="TYS346" s="50"/>
      <c r="TYT346" s="50"/>
      <c r="TYU346" s="50"/>
      <c r="TYV346" s="50"/>
      <c r="TYW346" s="50"/>
      <c r="TYX346" s="50"/>
      <c r="TYY346" s="50"/>
      <c r="TYZ346" s="50"/>
      <c r="TZA346" s="50"/>
      <c r="TZB346" s="50"/>
      <c r="TZC346" s="50"/>
      <c r="TZD346" s="50"/>
      <c r="TZE346" s="50"/>
      <c r="TZF346" s="50"/>
      <c r="TZG346" s="50"/>
      <c r="TZH346" s="50"/>
      <c r="TZI346" s="50"/>
      <c r="TZJ346" s="50"/>
      <c r="TZK346" s="50"/>
      <c r="TZL346" s="50"/>
      <c r="TZM346" s="50"/>
      <c r="TZN346" s="50"/>
      <c r="TZO346" s="50"/>
      <c r="TZP346" s="50"/>
      <c r="TZQ346" s="50"/>
      <c r="TZR346" s="50"/>
      <c r="TZS346" s="50"/>
      <c r="TZT346" s="50"/>
      <c r="TZU346" s="50"/>
      <c r="TZV346" s="50"/>
      <c r="TZW346" s="50"/>
      <c r="TZX346" s="50"/>
      <c r="TZY346" s="50"/>
      <c r="TZZ346" s="50"/>
      <c r="UAA346" s="50"/>
      <c r="UAB346" s="50"/>
      <c r="UAC346" s="50"/>
      <c r="UAD346" s="50"/>
      <c r="UAE346" s="50"/>
      <c r="UAF346" s="50"/>
      <c r="UAG346" s="50"/>
      <c r="UAH346" s="50"/>
      <c r="UAI346" s="50"/>
      <c r="UAJ346" s="50"/>
      <c r="UAK346" s="50"/>
      <c r="UAL346" s="50"/>
      <c r="UAM346" s="50"/>
      <c r="UAN346" s="50"/>
      <c r="UAO346" s="50"/>
      <c r="UAP346" s="50"/>
      <c r="UAQ346" s="50"/>
      <c r="UAR346" s="50"/>
      <c r="UAS346" s="50"/>
      <c r="UAT346" s="50"/>
      <c r="UAU346" s="50"/>
      <c r="UAV346" s="50"/>
      <c r="UAW346" s="50"/>
      <c r="UAX346" s="50"/>
      <c r="UAY346" s="50"/>
      <c r="UAZ346" s="50"/>
      <c r="UBA346" s="50"/>
      <c r="UBB346" s="50"/>
      <c r="UBC346" s="50"/>
      <c r="UBD346" s="50"/>
      <c r="UBE346" s="50"/>
      <c r="UBF346" s="50"/>
      <c r="UBG346" s="50"/>
      <c r="UBH346" s="50"/>
      <c r="UBI346" s="50"/>
      <c r="UBJ346" s="50"/>
      <c r="UBK346" s="50"/>
      <c r="UBL346" s="50"/>
      <c r="UBM346" s="50"/>
      <c r="UBN346" s="50"/>
      <c r="UBO346" s="50"/>
      <c r="UBP346" s="50"/>
      <c r="UBQ346" s="50"/>
      <c r="UBR346" s="50"/>
      <c r="UBS346" s="50"/>
      <c r="UBT346" s="50"/>
      <c r="UBU346" s="50"/>
      <c r="UBV346" s="50"/>
      <c r="UBW346" s="50"/>
      <c r="UBX346" s="50"/>
      <c r="UBY346" s="50"/>
      <c r="UBZ346" s="50"/>
      <c r="UCA346" s="50"/>
      <c r="UCB346" s="50"/>
      <c r="UCC346" s="50"/>
      <c r="UCD346" s="50"/>
      <c r="UCE346" s="50"/>
      <c r="UCF346" s="50"/>
      <c r="UCG346" s="50"/>
      <c r="UCH346" s="50"/>
      <c r="UCI346" s="50"/>
      <c r="UCJ346" s="50"/>
      <c r="UCK346" s="50"/>
      <c r="UCL346" s="50"/>
      <c r="UCM346" s="50"/>
      <c r="UCN346" s="50"/>
      <c r="UCO346" s="50"/>
      <c r="UCP346" s="50"/>
      <c r="UCQ346" s="50"/>
      <c r="UCR346" s="50"/>
      <c r="UCS346" s="50"/>
      <c r="UCT346" s="50"/>
      <c r="UCU346" s="50"/>
      <c r="UCV346" s="50"/>
      <c r="UCW346" s="50"/>
      <c r="UCX346" s="50"/>
      <c r="UCY346" s="50"/>
      <c r="UCZ346" s="50"/>
      <c r="UDA346" s="50"/>
      <c r="UDB346" s="50"/>
      <c r="UDC346" s="50"/>
      <c r="UDD346" s="50"/>
      <c r="UDE346" s="50"/>
      <c r="UDF346" s="50"/>
      <c r="UDG346" s="50"/>
      <c r="UDH346" s="50"/>
      <c r="UDI346" s="50"/>
      <c r="UDJ346" s="50"/>
      <c r="UDK346" s="50"/>
      <c r="UDL346" s="50"/>
      <c r="UDM346" s="50"/>
      <c r="UDN346" s="50"/>
      <c r="UDO346" s="50"/>
      <c r="UDP346" s="50"/>
      <c r="UDQ346" s="50"/>
      <c r="UDR346" s="50"/>
      <c r="UDS346" s="50"/>
      <c r="UDT346" s="50"/>
      <c r="UDU346" s="50"/>
      <c r="UDV346" s="50"/>
      <c r="UDW346" s="50"/>
      <c r="UDX346" s="50"/>
      <c r="UDY346" s="50"/>
      <c r="UDZ346" s="50"/>
      <c r="UEA346" s="50"/>
      <c r="UEB346" s="50"/>
      <c r="UEC346" s="50"/>
      <c r="UED346" s="50"/>
      <c r="UEE346" s="50"/>
      <c r="UEF346" s="50"/>
      <c r="UEG346" s="50"/>
      <c r="UEH346" s="50"/>
      <c r="UEI346" s="50"/>
      <c r="UEJ346" s="50"/>
      <c r="UEK346" s="50"/>
      <c r="UEL346" s="50"/>
      <c r="UEM346" s="50"/>
      <c r="UEN346" s="50"/>
      <c r="UEO346" s="50"/>
      <c r="UEP346" s="50"/>
      <c r="UEQ346" s="50"/>
      <c r="UER346" s="50"/>
      <c r="UES346" s="50"/>
      <c r="UET346" s="50"/>
      <c r="UEU346" s="50"/>
      <c r="UEV346" s="50"/>
      <c r="UEW346" s="50"/>
      <c r="UEX346" s="50"/>
      <c r="UEY346" s="50"/>
      <c r="UEZ346" s="50"/>
      <c r="UFA346" s="50"/>
      <c r="UFB346" s="50"/>
      <c r="UFC346" s="50"/>
      <c r="UFD346" s="50"/>
      <c r="UFE346" s="50"/>
      <c r="UFF346" s="50"/>
      <c r="UFG346" s="50"/>
      <c r="UFH346" s="50"/>
      <c r="UFI346" s="50"/>
      <c r="UFJ346" s="50"/>
      <c r="UFK346" s="50"/>
      <c r="UFL346" s="50"/>
      <c r="UFM346" s="50"/>
      <c r="UFN346" s="50"/>
      <c r="UFO346" s="50"/>
      <c r="UFP346" s="50"/>
      <c r="UFQ346" s="50"/>
      <c r="UFR346" s="50"/>
      <c r="UFS346" s="50"/>
      <c r="UFT346" s="50"/>
      <c r="UFU346" s="50"/>
      <c r="UFV346" s="50"/>
      <c r="UFW346" s="50"/>
      <c r="UFX346" s="50"/>
      <c r="UFY346" s="50"/>
      <c r="UFZ346" s="50"/>
      <c r="UGA346" s="50"/>
      <c r="UGB346" s="50"/>
      <c r="UGC346" s="50"/>
      <c r="UGD346" s="50"/>
      <c r="UGE346" s="50"/>
      <c r="UGF346" s="50"/>
      <c r="UGG346" s="50"/>
      <c r="UGH346" s="50"/>
      <c r="UGI346" s="50"/>
      <c r="UGJ346" s="50"/>
      <c r="UGK346" s="50"/>
      <c r="UGL346" s="50"/>
      <c r="UGM346" s="50"/>
      <c r="UGN346" s="50"/>
      <c r="UGO346" s="50"/>
      <c r="UGP346" s="50"/>
      <c r="UGQ346" s="50"/>
      <c r="UGR346" s="50"/>
      <c r="UGS346" s="50"/>
      <c r="UGT346" s="50"/>
      <c r="UGU346" s="50"/>
      <c r="UGV346" s="50"/>
      <c r="UGW346" s="50"/>
      <c r="UGX346" s="50"/>
      <c r="UGY346" s="50"/>
      <c r="UGZ346" s="50"/>
      <c r="UHA346" s="50"/>
      <c r="UHB346" s="50"/>
      <c r="UHC346" s="50"/>
      <c r="UHD346" s="50"/>
      <c r="UHE346" s="50"/>
      <c r="UHF346" s="50"/>
      <c r="UHG346" s="50"/>
      <c r="UHH346" s="50"/>
      <c r="UHI346" s="50"/>
      <c r="UHJ346" s="50"/>
      <c r="UHK346" s="50"/>
      <c r="UHL346" s="50"/>
      <c r="UHM346" s="50"/>
      <c r="UHN346" s="50"/>
      <c r="UHO346" s="50"/>
      <c r="UHP346" s="50"/>
      <c r="UHQ346" s="50"/>
      <c r="UHR346" s="50"/>
      <c r="UHS346" s="50"/>
      <c r="UHT346" s="50"/>
      <c r="UHU346" s="50"/>
      <c r="UHV346" s="50"/>
      <c r="UHW346" s="50"/>
      <c r="UHX346" s="50"/>
      <c r="UHY346" s="50"/>
      <c r="UHZ346" s="50"/>
      <c r="UIA346" s="50"/>
      <c r="UIB346" s="50"/>
      <c r="UIC346" s="50"/>
      <c r="UID346" s="50"/>
      <c r="UIE346" s="50"/>
      <c r="UIF346" s="50"/>
      <c r="UIG346" s="50"/>
      <c r="UIH346" s="50"/>
      <c r="UII346" s="50"/>
      <c r="UIJ346" s="50"/>
      <c r="UIK346" s="50"/>
      <c r="UIL346" s="50"/>
      <c r="UIM346" s="50"/>
      <c r="UIN346" s="50"/>
      <c r="UIO346" s="50"/>
      <c r="UIP346" s="50"/>
      <c r="UIQ346" s="50"/>
      <c r="UIR346" s="50"/>
      <c r="UIS346" s="50"/>
      <c r="UIT346" s="50"/>
      <c r="UIU346" s="50"/>
      <c r="UIV346" s="50"/>
      <c r="UIW346" s="50"/>
      <c r="UIX346" s="50"/>
      <c r="UIY346" s="50"/>
      <c r="UIZ346" s="50"/>
      <c r="UJA346" s="50"/>
      <c r="UJB346" s="50"/>
      <c r="UJC346" s="50"/>
      <c r="UJD346" s="50"/>
      <c r="UJE346" s="50"/>
      <c r="UJF346" s="50"/>
      <c r="UJG346" s="50"/>
      <c r="UJH346" s="50"/>
      <c r="UJI346" s="50"/>
      <c r="UJJ346" s="50"/>
      <c r="UJK346" s="50"/>
      <c r="UJL346" s="50"/>
      <c r="UJM346" s="50"/>
      <c r="UJN346" s="50"/>
      <c r="UJO346" s="50"/>
      <c r="UJP346" s="50"/>
      <c r="UJQ346" s="50"/>
      <c r="UJR346" s="50"/>
      <c r="UJS346" s="50"/>
      <c r="UJT346" s="50"/>
      <c r="UJU346" s="50"/>
      <c r="UJV346" s="50"/>
      <c r="UJW346" s="50"/>
      <c r="UJX346" s="50"/>
      <c r="UJY346" s="50"/>
      <c r="UJZ346" s="50"/>
      <c r="UKA346" s="50"/>
      <c r="UKB346" s="50"/>
      <c r="UKC346" s="50"/>
      <c r="UKD346" s="50"/>
      <c r="UKE346" s="50"/>
      <c r="UKF346" s="50"/>
      <c r="UKG346" s="50"/>
      <c r="UKH346" s="50"/>
      <c r="UKI346" s="50"/>
      <c r="UKJ346" s="50"/>
      <c r="UKK346" s="50"/>
      <c r="UKL346" s="50"/>
      <c r="UKM346" s="50"/>
      <c r="UKN346" s="50"/>
      <c r="UKO346" s="50"/>
      <c r="UKP346" s="50"/>
      <c r="UKQ346" s="50"/>
      <c r="UKR346" s="50"/>
      <c r="UKS346" s="50"/>
      <c r="UKT346" s="50"/>
      <c r="UKU346" s="50"/>
      <c r="UKV346" s="50"/>
      <c r="UKW346" s="50"/>
      <c r="UKX346" s="50"/>
      <c r="UKY346" s="50"/>
      <c r="UKZ346" s="50"/>
      <c r="ULA346" s="50"/>
      <c r="ULB346" s="50"/>
      <c r="ULC346" s="50"/>
      <c r="ULD346" s="50"/>
      <c r="ULE346" s="50"/>
      <c r="ULF346" s="50"/>
      <c r="ULG346" s="50"/>
      <c r="ULH346" s="50"/>
      <c r="ULI346" s="50"/>
      <c r="ULJ346" s="50"/>
      <c r="ULK346" s="50"/>
      <c r="ULL346" s="50"/>
      <c r="ULM346" s="50"/>
      <c r="ULN346" s="50"/>
      <c r="ULO346" s="50"/>
      <c r="ULP346" s="50"/>
      <c r="ULQ346" s="50"/>
      <c r="ULR346" s="50"/>
      <c r="ULS346" s="50"/>
      <c r="ULT346" s="50"/>
      <c r="ULU346" s="50"/>
      <c r="ULV346" s="50"/>
      <c r="ULW346" s="50"/>
      <c r="ULX346" s="50"/>
      <c r="ULY346" s="50"/>
      <c r="ULZ346" s="50"/>
      <c r="UMA346" s="50"/>
      <c r="UMB346" s="50"/>
      <c r="UMC346" s="50"/>
      <c r="UMD346" s="50"/>
      <c r="UME346" s="50"/>
      <c r="UMF346" s="50"/>
      <c r="UMG346" s="50"/>
      <c r="UMH346" s="50"/>
      <c r="UMI346" s="50"/>
      <c r="UMJ346" s="50"/>
      <c r="UMK346" s="50"/>
      <c r="UML346" s="50"/>
      <c r="UMM346" s="50"/>
      <c r="UMN346" s="50"/>
      <c r="UMO346" s="50"/>
      <c r="UMP346" s="50"/>
      <c r="UMQ346" s="50"/>
      <c r="UMR346" s="50"/>
      <c r="UMS346" s="50"/>
      <c r="UMT346" s="50"/>
      <c r="UMU346" s="50"/>
      <c r="UMV346" s="50"/>
      <c r="UMW346" s="50"/>
      <c r="UMX346" s="50"/>
      <c r="UMY346" s="50"/>
      <c r="UMZ346" s="50"/>
      <c r="UNA346" s="50"/>
      <c r="UNB346" s="50"/>
      <c r="UNC346" s="50"/>
      <c r="UND346" s="50"/>
      <c r="UNE346" s="50"/>
      <c r="UNF346" s="50"/>
      <c r="UNG346" s="50"/>
      <c r="UNH346" s="50"/>
      <c r="UNI346" s="50"/>
      <c r="UNJ346" s="50"/>
      <c r="UNK346" s="50"/>
      <c r="UNL346" s="50"/>
      <c r="UNM346" s="50"/>
      <c r="UNN346" s="50"/>
      <c r="UNO346" s="50"/>
      <c r="UNP346" s="50"/>
      <c r="UNQ346" s="50"/>
      <c r="UNR346" s="50"/>
      <c r="UNS346" s="50"/>
      <c r="UNT346" s="50"/>
      <c r="UNU346" s="50"/>
      <c r="UNV346" s="50"/>
      <c r="UNW346" s="50"/>
      <c r="UNX346" s="50"/>
      <c r="UNY346" s="50"/>
      <c r="UNZ346" s="50"/>
      <c r="UOA346" s="50"/>
      <c r="UOB346" s="50"/>
      <c r="UOC346" s="50"/>
      <c r="UOD346" s="50"/>
      <c r="UOE346" s="50"/>
      <c r="UOF346" s="50"/>
      <c r="UOG346" s="50"/>
      <c r="UOH346" s="50"/>
      <c r="UOI346" s="50"/>
      <c r="UOJ346" s="50"/>
      <c r="UOK346" s="50"/>
      <c r="UOL346" s="50"/>
      <c r="UOM346" s="50"/>
      <c r="UON346" s="50"/>
      <c r="UOO346" s="50"/>
      <c r="UOP346" s="50"/>
      <c r="UOQ346" s="50"/>
      <c r="UOR346" s="50"/>
      <c r="UOS346" s="50"/>
      <c r="UOT346" s="50"/>
      <c r="UOU346" s="50"/>
      <c r="UOV346" s="50"/>
      <c r="UOW346" s="50"/>
      <c r="UOX346" s="50"/>
      <c r="UOY346" s="50"/>
      <c r="UOZ346" s="50"/>
      <c r="UPA346" s="50"/>
      <c r="UPB346" s="50"/>
      <c r="UPC346" s="50"/>
      <c r="UPD346" s="50"/>
      <c r="UPE346" s="50"/>
      <c r="UPF346" s="50"/>
      <c r="UPG346" s="50"/>
      <c r="UPH346" s="50"/>
      <c r="UPI346" s="50"/>
      <c r="UPJ346" s="50"/>
      <c r="UPK346" s="50"/>
      <c r="UPL346" s="50"/>
      <c r="UPM346" s="50"/>
      <c r="UPN346" s="50"/>
      <c r="UPO346" s="50"/>
      <c r="UPP346" s="50"/>
      <c r="UPQ346" s="50"/>
      <c r="UPR346" s="50"/>
      <c r="UPS346" s="50"/>
      <c r="UPT346" s="50"/>
      <c r="UPU346" s="50"/>
      <c r="UPV346" s="50"/>
      <c r="UPW346" s="50"/>
      <c r="UPX346" s="50"/>
      <c r="UPY346" s="50"/>
      <c r="UPZ346" s="50"/>
      <c r="UQA346" s="50"/>
      <c r="UQB346" s="50"/>
      <c r="UQC346" s="50"/>
      <c r="UQD346" s="50"/>
      <c r="UQE346" s="50"/>
      <c r="UQF346" s="50"/>
      <c r="UQG346" s="50"/>
      <c r="UQH346" s="50"/>
      <c r="UQI346" s="50"/>
      <c r="UQJ346" s="50"/>
      <c r="UQK346" s="50"/>
      <c r="UQL346" s="50"/>
      <c r="UQM346" s="50"/>
      <c r="UQN346" s="50"/>
      <c r="UQO346" s="50"/>
      <c r="UQP346" s="50"/>
      <c r="UQQ346" s="50"/>
      <c r="UQR346" s="50"/>
      <c r="UQS346" s="50"/>
      <c r="UQT346" s="50"/>
      <c r="UQU346" s="50"/>
      <c r="UQV346" s="50"/>
      <c r="UQW346" s="50"/>
      <c r="UQX346" s="50"/>
      <c r="UQY346" s="50"/>
      <c r="UQZ346" s="50"/>
      <c r="URA346" s="50"/>
      <c r="URB346" s="50"/>
      <c r="URC346" s="50"/>
      <c r="URD346" s="50"/>
      <c r="URE346" s="50"/>
      <c r="URF346" s="50"/>
      <c r="URG346" s="50"/>
      <c r="URH346" s="50"/>
      <c r="URI346" s="50"/>
      <c r="URJ346" s="50"/>
      <c r="URK346" s="50"/>
      <c r="URL346" s="50"/>
      <c r="URM346" s="50"/>
      <c r="URN346" s="50"/>
      <c r="URO346" s="50"/>
      <c r="URP346" s="50"/>
      <c r="URQ346" s="50"/>
      <c r="URR346" s="50"/>
      <c r="URS346" s="50"/>
      <c r="URT346" s="50"/>
      <c r="URU346" s="50"/>
      <c r="URV346" s="50"/>
      <c r="URW346" s="50"/>
      <c r="URX346" s="50"/>
      <c r="URY346" s="50"/>
      <c r="URZ346" s="50"/>
      <c r="USA346" s="50"/>
      <c r="USB346" s="50"/>
      <c r="USC346" s="50"/>
      <c r="USD346" s="50"/>
      <c r="USE346" s="50"/>
      <c r="USF346" s="50"/>
      <c r="USG346" s="50"/>
      <c r="USH346" s="50"/>
      <c r="USI346" s="50"/>
      <c r="USJ346" s="50"/>
      <c r="USK346" s="50"/>
      <c r="USL346" s="50"/>
      <c r="USM346" s="50"/>
      <c r="USN346" s="50"/>
      <c r="USO346" s="50"/>
      <c r="USP346" s="50"/>
      <c r="USQ346" s="50"/>
      <c r="USR346" s="50"/>
      <c r="USS346" s="50"/>
      <c r="UST346" s="50"/>
      <c r="USU346" s="50"/>
      <c r="USV346" s="50"/>
      <c r="USW346" s="50"/>
      <c r="USX346" s="50"/>
      <c r="USY346" s="50"/>
      <c r="USZ346" s="50"/>
      <c r="UTA346" s="50"/>
      <c r="UTB346" s="50"/>
      <c r="UTC346" s="50"/>
      <c r="UTD346" s="50"/>
      <c r="UTE346" s="50"/>
      <c r="UTF346" s="50"/>
      <c r="UTG346" s="50"/>
      <c r="UTH346" s="50"/>
      <c r="UTI346" s="50"/>
      <c r="UTJ346" s="50"/>
      <c r="UTK346" s="50"/>
      <c r="UTL346" s="50"/>
      <c r="UTM346" s="50"/>
      <c r="UTN346" s="50"/>
      <c r="UTO346" s="50"/>
      <c r="UTP346" s="50"/>
      <c r="UTQ346" s="50"/>
      <c r="UTR346" s="50"/>
      <c r="UTS346" s="50"/>
      <c r="UTT346" s="50"/>
      <c r="UTU346" s="50"/>
      <c r="UTV346" s="50"/>
      <c r="UTW346" s="50"/>
      <c r="UTX346" s="50"/>
      <c r="UTY346" s="50"/>
      <c r="UTZ346" s="50"/>
      <c r="UUA346" s="50"/>
      <c r="UUB346" s="50"/>
      <c r="UUC346" s="50"/>
      <c r="UUD346" s="50"/>
      <c r="UUE346" s="50"/>
      <c r="UUF346" s="50"/>
      <c r="UUG346" s="50"/>
      <c r="UUH346" s="50"/>
      <c r="UUI346" s="50"/>
      <c r="UUJ346" s="50"/>
      <c r="UUK346" s="50"/>
      <c r="UUL346" s="50"/>
      <c r="UUM346" s="50"/>
      <c r="UUN346" s="50"/>
      <c r="UUO346" s="50"/>
      <c r="UUP346" s="50"/>
      <c r="UUQ346" s="50"/>
      <c r="UUR346" s="50"/>
      <c r="UUS346" s="50"/>
      <c r="UUT346" s="50"/>
      <c r="UUU346" s="50"/>
      <c r="UUV346" s="50"/>
      <c r="UUW346" s="50"/>
      <c r="UUX346" s="50"/>
      <c r="UUY346" s="50"/>
      <c r="UUZ346" s="50"/>
      <c r="UVA346" s="50"/>
      <c r="UVB346" s="50"/>
      <c r="UVC346" s="50"/>
      <c r="UVD346" s="50"/>
      <c r="UVE346" s="50"/>
      <c r="UVF346" s="50"/>
      <c r="UVG346" s="50"/>
      <c r="UVH346" s="50"/>
      <c r="UVI346" s="50"/>
      <c r="UVJ346" s="50"/>
      <c r="UVK346" s="50"/>
      <c r="UVL346" s="50"/>
      <c r="UVM346" s="50"/>
      <c r="UVN346" s="50"/>
      <c r="UVO346" s="50"/>
      <c r="UVP346" s="50"/>
      <c r="UVQ346" s="50"/>
      <c r="UVR346" s="50"/>
      <c r="UVS346" s="50"/>
      <c r="UVT346" s="50"/>
      <c r="UVU346" s="50"/>
      <c r="UVV346" s="50"/>
      <c r="UVW346" s="50"/>
      <c r="UVX346" s="50"/>
      <c r="UVY346" s="50"/>
      <c r="UVZ346" s="50"/>
      <c r="UWA346" s="50"/>
      <c r="UWB346" s="50"/>
      <c r="UWC346" s="50"/>
      <c r="UWD346" s="50"/>
      <c r="UWE346" s="50"/>
      <c r="UWF346" s="50"/>
      <c r="UWG346" s="50"/>
      <c r="UWH346" s="50"/>
      <c r="UWI346" s="50"/>
      <c r="UWJ346" s="50"/>
      <c r="UWK346" s="50"/>
      <c r="UWL346" s="50"/>
      <c r="UWM346" s="50"/>
      <c r="UWN346" s="50"/>
      <c r="UWO346" s="50"/>
      <c r="UWP346" s="50"/>
      <c r="UWQ346" s="50"/>
      <c r="UWR346" s="50"/>
      <c r="UWS346" s="50"/>
      <c r="UWT346" s="50"/>
      <c r="UWU346" s="50"/>
      <c r="UWV346" s="50"/>
      <c r="UWW346" s="50"/>
      <c r="UWX346" s="50"/>
      <c r="UWY346" s="50"/>
      <c r="UWZ346" s="50"/>
      <c r="UXA346" s="50"/>
      <c r="UXB346" s="50"/>
      <c r="UXC346" s="50"/>
      <c r="UXD346" s="50"/>
      <c r="UXE346" s="50"/>
      <c r="UXF346" s="50"/>
      <c r="UXG346" s="50"/>
      <c r="UXH346" s="50"/>
      <c r="UXI346" s="50"/>
      <c r="UXJ346" s="50"/>
      <c r="UXK346" s="50"/>
      <c r="UXL346" s="50"/>
      <c r="UXM346" s="50"/>
      <c r="UXN346" s="50"/>
      <c r="UXO346" s="50"/>
      <c r="UXP346" s="50"/>
      <c r="UXQ346" s="50"/>
      <c r="UXR346" s="50"/>
      <c r="UXS346" s="50"/>
      <c r="UXT346" s="50"/>
      <c r="UXU346" s="50"/>
      <c r="UXV346" s="50"/>
      <c r="UXW346" s="50"/>
      <c r="UXX346" s="50"/>
      <c r="UXY346" s="50"/>
      <c r="UXZ346" s="50"/>
      <c r="UYA346" s="50"/>
      <c r="UYB346" s="50"/>
      <c r="UYC346" s="50"/>
      <c r="UYD346" s="50"/>
      <c r="UYE346" s="50"/>
      <c r="UYF346" s="50"/>
      <c r="UYG346" s="50"/>
      <c r="UYH346" s="50"/>
      <c r="UYI346" s="50"/>
      <c r="UYJ346" s="50"/>
      <c r="UYK346" s="50"/>
      <c r="UYL346" s="50"/>
      <c r="UYM346" s="50"/>
      <c r="UYN346" s="50"/>
      <c r="UYO346" s="50"/>
      <c r="UYP346" s="50"/>
      <c r="UYQ346" s="50"/>
      <c r="UYR346" s="50"/>
      <c r="UYS346" s="50"/>
      <c r="UYT346" s="50"/>
      <c r="UYU346" s="50"/>
      <c r="UYV346" s="50"/>
      <c r="UYW346" s="50"/>
      <c r="UYX346" s="50"/>
      <c r="UYY346" s="50"/>
      <c r="UYZ346" s="50"/>
      <c r="UZA346" s="50"/>
      <c r="UZB346" s="50"/>
      <c r="UZC346" s="50"/>
      <c r="UZD346" s="50"/>
      <c r="UZE346" s="50"/>
      <c r="UZF346" s="50"/>
      <c r="UZG346" s="50"/>
      <c r="UZH346" s="50"/>
      <c r="UZI346" s="50"/>
      <c r="UZJ346" s="50"/>
      <c r="UZK346" s="50"/>
      <c r="UZL346" s="50"/>
      <c r="UZM346" s="50"/>
      <c r="UZN346" s="50"/>
      <c r="UZO346" s="50"/>
      <c r="UZP346" s="50"/>
      <c r="UZQ346" s="50"/>
      <c r="UZR346" s="50"/>
      <c r="UZS346" s="50"/>
      <c r="UZT346" s="50"/>
      <c r="UZU346" s="50"/>
      <c r="UZV346" s="50"/>
      <c r="UZW346" s="50"/>
      <c r="UZX346" s="50"/>
      <c r="UZY346" s="50"/>
      <c r="UZZ346" s="50"/>
      <c r="VAA346" s="50"/>
      <c r="VAB346" s="50"/>
      <c r="VAC346" s="50"/>
      <c r="VAD346" s="50"/>
      <c r="VAE346" s="50"/>
      <c r="VAF346" s="50"/>
      <c r="VAG346" s="50"/>
      <c r="VAH346" s="50"/>
      <c r="VAI346" s="50"/>
      <c r="VAJ346" s="50"/>
      <c r="VAK346" s="50"/>
      <c r="VAL346" s="50"/>
      <c r="VAM346" s="50"/>
      <c r="VAN346" s="50"/>
      <c r="VAO346" s="50"/>
      <c r="VAP346" s="50"/>
      <c r="VAQ346" s="50"/>
      <c r="VAR346" s="50"/>
      <c r="VAS346" s="50"/>
      <c r="VAT346" s="50"/>
      <c r="VAU346" s="50"/>
      <c r="VAV346" s="50"/>
      <c r="VAW346" s="50"/>
      <c r="VAX346" s="50"/>
      <c r="VAY346" s="50"/>
      <c r="VAZ346" s="50"/>
      <c r="VBA346" s="50"/>
      <c r="VBB346" s="50"/>
      <c r="VBC346" s="50"/>
      <c r="VBD346" s="50"/>
      <c r="VBE346" s="50"/>
      <c r="VBF346" s="50"/>
      <c r="VBG346" s="50"/>
      <c r="VBH346" s="50"/>
      <c r="VBI346" s="50"/>
      <c r="VBJ346" s="50"/>
      <c r="VBK346" s="50"/>
      <c r="VBL346" s="50"/>
      <c r="VBM346" s="50"/>
      <c r="VBN346" s="50"/>
      <c r="VBO346" s="50"/>
      <c r="VBP346" s="50"/>
      <c r="VBQ346" s="50"/>
      <c r="VBR346" s="50"/>
      <c r="VBS346" s="50"/>
      <c r="VBT346" s="50"/>
      <c r="VBU346" s="50"/>
      <c r="VBV346" s="50"/>
      <c r="VBW346" s="50"/>
      <c r="VBX346" s="50"/>
      <c r="VBY346" s="50"/>
      <c r="VBZ346" s="50"/>
      <c r="VCA346" s="50"/>
      <c r="VCB346" s="50"/>
      <c r="VCC346" s="50"/>
      <c r="VCD346" s="50"/>
      <c r="VCE346" s="50"/>
      <c r="VCF346" s="50"/>
      <c r="VCG346" s="50"/>
      <c r="VCH346" s="50"/>
      <c r="VCI346" s="50"/>
      <c r="VCJ346" s="50"/>
      <c r="VCK346" s="50"/>
      <c r="VCL346" s="50"/>
      <c r="VCM346" s="50"/>
      <c r="VCN346" s="50"/>
      <c r="VCO346" s="50"/>
      <c r="VCP346" s="50"/>
      <c r="VCQ346" s="50"/>
      <c r="VCR346" s="50"/>
      <c r="VCS346" s="50"/>
      <c r="VCT346" s="50"/>
      <c r="VCU346" s="50"/>
      <c r="VCV346" s="50"/>
      <c r="VCW346" s="50"/>
      <c r="VCX346" s="50"/>
      <c r="VCY346" s="50"/>
      <c r="VCZ346" s="50"/>
      <c r="VDA346" s="50"/>
      <c r="VDB346" s="50"/>
      <c r="VDC346" s="50"/>
      <c r="VDD346" s="50"/>
      <c r="VDE346" s="50"/>
      <c r="VDF346" s="50"/>
      <c r="VDG346" s="50"/>
      <c r="VDH346" s="50"/>
      <c r="VDI346" s="50"/>
      <c r="VDJ346" s="50"/>
      <c r="VDK346" s="50"/>
      <c r="VDL346" s="50"/>
      <c r="VDM346" s="50"/>
      <c r="VDN346" s="50"/>
      <c r="VDO346" s="50"/>
      <c r="VDP346" s="50"/>
      <c r="VDQ346" s="50"/>
      <c r="VDR346" s="50"/>
      <c r="VDS346" s="50"/>
      <c r="VDT346" s="50"/>
      <c r="VDU346" s="50"/>
      <c r="VDV346" s="50"/>
      <c r="VDW346" s="50"/>
      <c r="VDX346" s="50"/>
      <c r="VDY346" s="50"/>
      <c r="VDZ346" s="50"/>
      <c r="VEA346" s="50"/>
      <c r="VEB346" s="50"/>
      <c r="VEC346" s="50"/>
      <c r="VED346" s="50"/>
      <c r="VEE346" s="50"/>
      <c r="VEF346" s="50"/>
      <c r="VEG346" s="50"/>
      <c r="VEH346" s="50"/>
      <c r="VEI346" s="50"/>
      <c r="VEJ346" s="50"/>
      <c r="VEK346" s="50"/>
      <c r="VEL346" s="50"/>
      <c r="VEM346" s="50"/>
      <c r="VEN346" s="50"/>
      <c r="VEO346" s="50"/>
      <c r="VEP346" s="50"/>
      <c r="VEQ346" s="50"/>
      <c r="VER346" s="50"/>
      <c r="VES346" s="50"/>
      <c r="VET346" s="50"/>
      <c r="VEU346" s="50"/>
      <c r="VEV346" s="50"/>
      <c r="VEW346" s="50"/>
      <c r="VEX346" s="50"/>
      <c r="VEY346" s="50"/>
      <c r="VEZ346" s="50"/>
      <c r="VFA346" s="50"/>
      <c r="VFB346" s="50"/>
      <c r="VFC346" s="50"/>
      <c r="VFD346" s="50"/>
      <c r="VFE346" s="50"/>
      <c r="VFF346" s="50"/>
      <c r="VFG346" s="50"/>
      <c r="VFH346" s="50"/>
      <c r="VFI346" s="50"/>
      <c r="VFJ346" s="50"/>
      <c r="VFK346" s="50"/>
      <c r="VFL346" s="50"/>
      <c r="VFM346" s="50"/>
      <c r="VFN346" s="50"/>
      <c r="VFO346" s="50"/>
      <c r="VFP346" s="50"/>
      <c r="VFQ346" s="50"/>
      <c r="VFR346" s="50"/>
      <c r="VFS346" s="50"/>
      <c r="VFT346" s="50"/>
      <c r="VFU346" s="50"/>
      <c r="VFV346" s="50"/>
      <c r="VFW346" s="50"/>
      <c r="VFX346" s="50"/>
      <c r="VFY346" s="50"/>
      <c r="VFZ346" s="50"/>
      <c r="VGA346" s="50"/>
      <c r="VGB346" s="50"/>
      <c r="VGC346" s="50"/>
      <c r="VGD346" s="50"/>
      <c r="VGE346" s="50"/>
      <c r="VGF346" s="50"/>
      <c r="VGG346" s="50"/>
      <c r="VGH346" s="50"/>
      <c r="VGI346" s="50"/>
      <c r="VGJ346" s="50"/>
      <c r="VGK346" s="50"/>
      <c r="VGL346" s="50"/>
      <c r="VGM346" s="50"/>
      <c r="VGN346" s="50"/>
      <c r="VGO346" s="50"/>
      <c r="VGP346" s="50"/>
      <c r="VGQ346" s="50"/>
      <c r="VGR346" s="50"/>
      <c r="VGS346" s="50"/>
      <c r="VGT346" s="50"/>
      <c r="VGU346" s="50"/>
      <c r="VGV346" s="50"/>
      <c r="VGW346" s="50"/>
      <c r="VGX346" s="50"/>
      <c r="VGY346" s="50"/>
      <c r="VGZ346" s="50"/>
      <c r="VHA346" s="50"/>
      <c r="VHB346" s="50"/>
      <c r="VHC346" s="50"/>
      <c r="VHD346" s="50"/>
      <c r="VHE346" s="50"/>
      <c r="VHF346" s="50"/>
      <c r="VHG346" s="50"/>
      <c r="VHH346" s="50"/>
      <c r="VHI346" s="50"/>
      <c r="VHJ346" s="50"/>
      <c r="VHK346" s="50"/>
      <c r="VHL346" s="50"/>
      <c r="VHM346" s="50"/>
      <c r="VHN346" s="50"/>
      <c r="VHO346" s="50"/>
      <c r="VHP346" s="50"/>
      <c r="VHQ346" s="50"/>
      <c r="VHR346" s="50"/>
      <c r="VHS346" s="50"/>
      <c r="VHT346" s="50"/>
      <c r="VHU346" s="50"/>
      <c r="VHV346" s="50"/>
      <c r="VHW346" s="50"/>
      <c r="VHX346" s="50"/>
      <c r="VHY346" s="50"/>
      <c r="VHZ346" s="50"/>
      <c r="VIA346" s="50"/>
      <c r="VIB346" s="50"/>
      <c r="VIC346" s="50"/>
      <c r="VID346" s="50"/>
      <c r="VIE346" s="50"/>
      <c r="VIF346" s="50"/>
      <c r="VIG346" s="50"/>
      <c r="VIH346" s="50"/>
      <c r="VII346" s="50"/>
      <c r="VIJ346" s="50"/>
      <c r="VIK346" s="50"/>
      <c r="VIL346" s="50"/>
      <c r="VIM346" s="50"/>
      <c r="VIN346" s="50"/>
      <c r="VIO346" s="50"/>
      <c r="VIP346" s="50"/>
      <c r="VIQ346" s="50"/>
      <c r="VIR346" s="50"/>
      <c r="VIS346" s="50"/>
      <c r="VIT346" s="50"/>
      <c r="VIU346" s="50"/>
      <c r="VIV346" s="50"/>
      <c r="VIW346" s="50"/>
      <c r="VIX346" s="50"/>
      <c r="VIY346" s="50"/>
      <c r="VIZ346" s="50"/>
      <c r="VJA346" s="50"/>
      <c r="VJB346" s="50"/>
      <c r="VJC346" s="50"/>
      <c r="VJD346" s="50"/>
      <c r="VJE346" s="50"/>
      <c r="VJF346" s="50"/>
      <c r="VJG346" s="50"/>
      <c r="VJH346" s="50"/>
      <c r="VJI346" s="50"/>
      <c r="VJJ346" s="50"/>
      <c r="VJK346" s="50"/>
      <c r="VJL346" s="50"/>
      <c r="VJM346" s="50"/>
      <c r="VJN346" s="50"/>
      <c r="VJO346" s="50"/>
      <c r="VJP346" s="50"/>
      <c r="VJQ346" s="50"/>
      <c r="VJR346" s="50"/>
      <c r="VJS346" s="50"/>
      <c r="VJT346" s="50"/>
      <c r="VJU346" s="50"/>
      <c r="VJV346" s="50"/>
      <c r="VJW346" s="50"/>
      <c r="VJX346" s="50"/>
      <c r="VJY346" s="50"/>
      <c r="VJZ346" s="50"/>
      <c r="VKA346" s="50"/>
      <c r="VKB346" s="50"/>
      <c r="VKC346" s="50"/>
      <c r="VKD346" s="50"/>
      <c r="VKE346" s="50"/>
      <c r="VKF346" s="50"/>
      <c r="VKG346" s="50"/>
      <c r="VKH346" s="50"/>
      <c r="VKI346" s="50"/>
      <c r="VKJ346" s="50"/>
      <c r="VKK346" s="50"/>
      <c r="VKL346" s="50"/>
      <c r="VKM346" s="50"/>
      <c r="VKN346" s="50"/>
      <c r="VKO346" s="50"/>
      <c r="VKP346" s="50"/>
      <c r="VKQ346" s="50"/>
      <c r="VKR346" s="50"/>
      <c r="VKS346" s="50"/>
      <c r="VKT346" s="50"/>
      <c r="VKU346" s="50"/>
      <c r="VKV346" s="50"/>
      <c r="VKW346" s="50"/>
      <c r="VKX346" s="50"/>
      <c r="VKY346" s="50"/>
      <c r="VKZ346" s="50"/>
      <c r="VLA346" s="50"/>
      <c r="VLB346" s="50"/>
      <c r="VLC346" s="50"/>
      <c r="VLD346" s="50"/>
      <c r="VLE346" s="50"/>
      <c r="VLF346" s="50"/>
      <c r="VLG346" s="50"/>
      <c r="VLH346" s="50"/>
      <c r="VLI346" s="50"/>
      <c r="VLJ346" s="50"/>
      <c r="VLK346" s="50"/>
      <c r="VLL346" s="50"/>
      <c r="VLM346" s="50"/>
      <c r="VLN346" s="50"/>
      <c r="VLO346" s="50"/>
      <c r="VLP346" s="50"/>
      <c r="VLQ346" s="50"/>
      <c r="VLR346" s="50"/>
      <c r="VLS346" s="50"/>
      <c r="VLT346" s="50"/>
      <c r="VLU346" s="50"/>
      <c r="VLV346" s="50"/>
      <c r="VLW346" s="50"/>
      <c r="VLX346" s="50"/>
      <c r="VLY346" s="50"/>
      <c r="VLZ346" s="50"/>
      <c r="VMA346" s="50"/>
      <c r="VMB346" s="50"/>
      <c r="VMC346" s="50"/>
      <c r="VMD346" s="50"/>
      <c r="VME346" s="50"/>
      <c r="VMF346" s="50"/>
      <c r="VMG346" s="50"/>
      <c r="VMH346" s="50"/>
      <c r="VMI346" s="50"/>
      <c r="VMJ346" s="50"/>
      <c r="VMK346" s="50"/>
      <c r="VML346" s="50"/>
      <c r="VMM346" s="50"/>
      <c r="VMN346" s="50"/>
      <c r="VMO346" s="50"/>
      <c r="VMP346" s="50"/>
      <c r="VMQ346" s="50"/>
      <c r="VMR346" s="50"/>
      <c r="VMS346" s="50"/>
      <c r="VMT346" s="50"/>
      <c r="VMU346" s="50"/>
      <c r="VMV346" s="50"/>
      <c r="VMW346" s="50"/>
      <c r="VMX346" s="50"/>
      <c r="VMY346" s="50"/>
      <c r="VMZ346" s="50"/>
      <c r="VNA346" s="50"/>
      <c r="VNB346" s="50"/>
      <c r="VNC346" s="50"/>
      <c r="VND346" s="50"/>
      <c r="VNE346" s="50"/>
      <c r="VNF346" s="50"/>
      <c r="VNG346" s="50"/>
      <c r="VNH346" s="50"/>
      <c r="VNI346" s="50"/>
      <c r="VNJ346" s="50"/>
      <c r="VNK346" s="50"/>
      <c r="VNL346" s="50"/>
      <c r="VNM346" s="50"/>
      <c r="VNN346" s="50"/>
      <c r="VNO346" s="50"/>
      <c r="VNP346" s="50"/>
      <c r="VNQ346" s="50"/>
      <c r="VNR346" s="50"/>
      <c r="VNS346" s="50"/>
      <c r="VNT346" s="50"/>
      <c r="VNU346" s="50"/>
      <c r="VNV346" s="50"/>
      <c r="VNW346" s="50"/>
      <c r="VNX346" s="50"/>
      <c r="VNY346" s="50"/>
      <c r="VNZ346" s="50"/>
      <c r="VOA346" s="50"/>
      <c r="VOB346" s="50"/>
      <c r="VOC346" s="50"/>
      <c r="VOD346" s="50"/>
      <c r="VOE346" s="50"/>
      <c r="VOF346" s="50"/>
      <c r="VOG346" s="50"/>
      <c r="VOH346" s="50"/>
      <c r="VOI346" s="50"/>
      <c r="VOJ346" s="50"/>
      <c r="VOK346" s="50"/>
      <c r="VOL346" s="50"/>
      <c r="VOM346" s="50"/>
      <c r="VON346" s="50"/>
      <c r="VOO346" s="50"/>
      <c r="VOP346" s="50"/>
      <c r="VOQ346" s="50"/>
      <c r="VOR346" s="50"/>
      <c r="VOS346" s="50"/>
      <c r="VOT346" s="50"/>
      <c r="VOU346" s="50"/>
      <c r="VOV346" s="50"/>
      <c r="VOW346" s="50"/>
      <c r="VOX346" s="50"/>
      <c r="VOY346" s="50"/>
      <c r="VOZ346" s="50"/>
      <c r="VPA346" s="50"/>
      <c r="VPB346" s="50"/>
      <c r="VPC346" s="50"/>
      <c r="VPD346" s="50"/>
      <c r="VPE346" s="50"/>
      <c r="VPF346" s="50"/>
      <c r="VPG346" s="50"/>
      <c r="VPH346" s="50"/>
      <c r="VPI346" s="50"/>
      <c r="VPJ346" s="50"/>
      <c r="VPK346" s="50"/>
      <c r="VPL346" s="50"/>
      <c r="VPM346" s="50"/>
      <c r="VPN346" s="50"/>
      <c r="VPO346" s="50"/>
      <c r="VPP346" s="50"/>
      <c r="VPQ346" s="50"/>
      <c r="VPR346" s="50"/>
      <c r="VPS346" s="50"/>
      <c r="VPT346" s="50"/>
      <c r="VPU346" s="50"/>
      <c r="VPV346" s="50"/>
      <c r="VPW346" s="50"/>
      <c r="VPX346" s="50"/>
      <c r="VPY346" s="50"/>
      <c r="VPZ346" s="50"/>
      <c r="VQA346" s="50"/>
      <c r="VQB346" s="50"/>
      <c r="VQC346" s="50"/>
      <c r="VQD346" s="50"/>
      <c r="VQE346" s="50"/>
      <c r="VQF346" s="50"/>
      <c r="VQG346" s="50"/>
      <c r="VQH346" s="50"/>
      <c r="VQI346" s="50"/>
      <c r="VQJ346" s="50"/>
      <c r="VQK346" s="50"/>
      <c r="VQL346" s="50"/>
      <c r="VQM346" s="50"/>
      <c r="VQN346" s="50"/>
      <c r="VQO346" s="50"/>
      <c r="VQP346" s="50"/>
      <c r="VQQ346" s="50"/>
      <c r="VQR346" s="50"/>
      <c r="VQS346" s="50"/>
      <c r="VQT346" s="50"/>
      <c r="VQU346" s="50"/>
      <c r="VQV346" s="50"/>
      <c r="VQW346" s="50"/>
      <c r="VQX346" s="50"/>
      <c r="VQY346" s="50"/>
      <c r="VQZ346" s="50"/>
      <c r="VRA346" s="50"/>
      <c r="VRB346" s="50"/>
      <c r="VRC346" s="50"/>
      <c r="VRD346" s="50"/>
      <c r="VRE346" s="50"/>
      <c r="VRF346" s="50"/>
      <c r="VRG346" s="50"/>
      <c r="VRH346" s="50"/>
      <c r="VRI346" s="50"/>
      <c r="VRJ346" s="50"/>
      <c r="VRK346" s="50"/>
      <c r="VRL346" s="50"/>
      <c r="VRM346" s="50"/>
      <c r="VRN346" s="50"/>
      <c r="VRO346" s="50"/>
      <c r="VRP346" s="50"/>
      <c r="VRQ346" s="50"/>
      <c r="VRR346" s="50"/>
      <c r="VRS346" s="50"/>
      <c r="VRT346" s="50"/>
      <c r="VRU346" s="50"/>
      <c r="VRV346" s="50"/>
      <c r="VRW346" s="50"/>
      <c r="VRX346" s="50"/>
      <c r="VRY346" s="50"/>
      <c r="VRZ346" s="50"/>
      <c r="VSA346" s="50"/>
      <c r="VSB346" s="50"/>
      <c r="VSC346" s="50"/>
      <c r="VSD346" s="50"/>
      <c r="VSE346" s="50"/>
      <c r="VSF346" s="50"/>
      <c r="VSG346" s="50"/>
      <c r="VSH346" s="50"/>
      <c r="VSI346" s="50"/>
      <c r="VSJ346" s="50"/>
      <c r="VSK346" s="50"/>
      <c r="VSL346" s="50"/>
      <c r="VSM346" s="50"/>
      <c r="VSN346" s="50"/>
      <c r="VSO346" s="50"/>
      <c r="VSP346" s="50"/>
      <c r="VSQ346" s="50"/>
      <c r="VSR346" s="50"/>
      <c r="VSS346" s="50"/>
      <c r="VST346" s="50"/>
      <c r="VSU346" s="50"/>
      <c r="VSV346" s="50"/>
      <c r="VSW346" s="50"/>
      <c r="VSX346" s="50"/>
      <c r="VSY346" s="50"/>
      <c r="VSZ346" s="50"/>
      <c r="VTA346" s="50"/>
      <c r="VTB346" s="50"/>
      <c r="VTC346" s="50"/>
      <c r="VTD346" s="50"/>
      <c r="VTE346" s="50"/>
      <c r="VTF346" s="50"/>
      <c r="VTG346" s="50"/>
      <c r="VTH346" s="50"/>
      <c r="VTI346" s="50"/>
      <c r="VTJ346" s="50"/>
      <c r="VTK346" s="50"/>
      <c r="VTL346" s="50"/>
      <c r="VTM346" s="50"/>
      <c r="VTN346" s="50"/>
      <c r="VTO346" s="50"/>
      <c r="VTP346" s="50"/>
      <c r="VTQ346" s="50"/>
      <c r="VTR346" s="50"/>
      <c r="VTS346" s="50"/>
      <c r="VTT346" s="50"/>
      <c r="VTU346" s="50"/>
      <c r="VTV346" s="50"/>
      <c r="VTW346" s="50"/>
      <c r="VTX346" s="50"/>
      <c r="VTY346" s="50"/>
      <c r="VTZ346" s="50"/>
      <c r="VUA346" s="50"/>
      <c r="VUB346" s="50"/>
      <c r="VUC346" s="50"/>
      <c r="VUD346" s="50"/>
      <c r="VUE346" s="50"/>
      <c r="VUF346" s="50"/>
      <c r="VUG346" s="50"/>
      <c r="VUH346" s="50"/>
      <c r="VUI346" s="50"/>
      <c r="VUJ346" s="50"/>
      <c r="VUK346" s="50"/>
      <c r="VUL346" s="50"/>
      <c r="VUM346" s="50"/>
      <c r="VUN346" s="50"/>
      <c r="VUO346" s="50"/>
      <c r="VUP346" s="50"/>
      <c r="VUQ346" s="50"/>
      <c r="VUR346" s="50"/>
      <c r="VUS346" s="50"/>
      <c r="VUT346" s="50"/>
      <c r="VUU346" s="50"/>
      <c r="VUV346" s="50"/>
      <c r="VUW346" s="50"/>
      <c r="VUX346" s="50"/>
      <c r="VUY346" s="50"/>
      <c r="VUZ346" s="50"/>
      <c r="VVA346" s="50"/>
      <c r="VVB346" s="50"/>
      <c r="VVC346" s="50"/>
      <c r="VVD346" s="50"/>
      <c r="VVE346" s="50"/>
      <c r="VVF346" s="50"/>
      <c r="VVG346" s="50"/>
      <c r="VVH346" s="50"/>
      <c r="VVI346" s="50"/>
      <c r="VVJ346" s="50"/>
      <c r="VVK346" s="50"/>
      <c r="VVL346" s="50"/>
      <c r="VVM346" s="50"/>
      <c r="VVN346" s="50"/>
      <c r="VVO346" s="50"/>
      <c r="VVP346" s="50"/>
      <c r="VVQ346" s="50"/>
      <c r="VVR346" s="50"/>
      <c r="VVS346" s="50"/>
      <c r="VVT346" s="50"/>
      <c r="VVU346" s="50"/>
      <c r="VVV346" s="50"/>
      <c r="VVW346" s="50"/>
      <c r="VVX346" s="50"/>
      <c r="VVY346" s="50"/>
      <c r="VVZ346" s="50"/>
      <c r="VWA346" s="50"/>
      <c r="VWB346" s="50"/>
      <c r="VWC346" s="50"/>
      <c r="VWD346" s="50"/>
      <c r="VWE346" s="50"/>
      <c r="VWF346" s="50"/>
      <c r="VWG346" s="50"/>
      <c r="VWH346" s="50"/>
      <c r="VWI346" s="50"/>
      <c r="VWJ346" s="50"/>
      <c r="VWK346" s="50"/>
      <c r="VWL346" s="50"/>
      <c r="VWM346" s="50"/>
      <c r="VWN346" s="50"/>
      <c r="VWO346" s="50"/>
      <c r="VWP346" s="50"/>
      <c r="VWQ346" s="50"/>
      <c r="VWR346" s="50"/>
      <c r="VWS346" s="50"/>
      <c r="VWT346" s="50"/>
      <c r="VWU346" s="50"/>
      <c r="VWV346" s="50"/>
      <c r="VWW346" s="50"/>
      <c r="VWX346" s="50"/>
      <c r="VWY346" s="50"/>
      <c r="VWZ346" s="50"/>
      <c r="VXA346" s="50"/>
      <c r="VXB346" s="50"/>
      <c r="VXC346" s="50"/>
      <c r="VXD346" s="50"/>
      <c r="VXE346" s="50"/>
      <c r="VXF346" s="50"/>
      <c r="VXG346" s="50"/>
      <c r="VXH346" s="50"/>
      <c r="VXI346" s="50"/>
      <c r="VXJ346" s="50"/>
      <c r="VXK346" s="50"/>
      <c r="VXL346" s="50"/>
      <c r="VXM346" s="50"/>
      <c r="VXN346" s="50"/>
      <c r="VXO346" s="50"/>
      <c r="VXP346" s="50"/>
      <c r="VXQ346" s="50"/>
      <c r="VXR346" s="50"/>
      <c r="VXS346" s="50"/>
      <c r="VXT346" s="50"/>
      <c r="VXU346" s="50"/>
      <c r="VXV346" s="50"/>
      <c r="VXW346" s="50"/>
      <c r="VXX346" s="50"/>
      <c r="VXY346" s="50"/>
      <c r="VXZ346" s="50"/>
      <c r="VYA346" s="50"/>
      <c r="VYB346" s="50"/>
      <c r="VYC346" s="50"/>
      <c r="VYD346" s="50"/>
      <c r="VYE346" s="50"/>
      <c r="VYF346" s="50"/>
      <c r="VYG346" s="50"/>
      <c r="VYH346" s="50"/>
      <c r="VYI346" s="50"/>
      <c r="VYJ346" s="50"/>
      <c r="VYK346" s="50"/>
      <c r="VYL346" s="50"/>
      <c r="VYM346" s="50"/>
      <c r="VYN346" s="50"/>
      <c r="VYO346" s="50"/>
      <c r="VYP346" s="50"/>
      <c r="VYQ346" s="50"/>
      <c r="VYR346" s="50"/>
      <c r="VYS346" s="50"/>
      <c r="VYT346" s="50"/>
      <c r="VYU346" s="50"/>
      <c r="VYV346" s="50"/>
      <c r="VYW346" s="50"/>
      <c r="VYX346" s="50"/>
      <c r="VYY346" s="50"/>
      <c r="VYZ346" s="50"/>
      <c r="VZA346" s="50"/>
      <c r="VZB346" s="50"/>
      <c r="VZC346" s="50"/>
      <c r="VZD346" s="50"/>
      <c r="VZE346" s="50"/>
      <c r="VZF346" s="50"/>
      <c r="VZG346" s="50"/>
      <c r="VZH346" s="50"/>
      <c r="VZI346" s="50"/>
      <c r="VZJ346" s="50"/>
      <c r="VZK346" s="50"/>
      <c r="VZL346" s="50"/>
      <c r="VZM346" s="50"/>
      <c r="VZN346" s="50"/>
      <c r="VZO346" s="50"/>
      <c r="VZP346" s="50"/>
      <c r="VZQ346" s="50"/>
      <c r="VZR346" s="50"/>
      <c r="VZS346" s="50"/>
      <c r="VZT346" s="50"/>
      <c r="VZU346" s="50"/>
      <c r="VZV346" s="50"/>
      <c r="VZW346" s="50"/>
      <c r="VZX346" s="50"/>
      <c r="VZY346" s="50"/>
      <c r="VZZ346" s="50"/>
      <c r="WAA346" s="50"/>
      <c r="WAB346" s="50"/>
      <c r="WAC346" s="50"/>
      <c r="WAD346" s="50"/>
      <c r="WAE346" s="50"/>
      <c r="WAF346" s="50"/>
      <c r="WAG346" s="50"/>
      <c r="WAH346" s="50"/>
      <c r="WAI346" s="50"/>
      <c r="WAJ346" s="50"/>
      <c r="WAK346" s="50"/>
      <c r="WAL346" s="50"/>
      <c r="WAM346" s="50"/>
      <c r="WAN346" s="50"/>
      <c r="WAO346" s="50"/>
      <c r="WAP346" s="50"/>
      <c r="WAQ346" s="50"/>
      <c r="WAR346" s="50"/>
      <c r="WAS346" s="50"/>
      <c r="WAT346" s="50"/>
      <c r="WAU346" s="50"/>
      <c r="WAV346" s="50"/>
      <c r="WAW346" s="50"/>
      <c r="WAX346" s="50"/>
      <c r="WAY346" s="50"/>
      <c r="WAZ346" s="50"/>
      <c r="WBA346" s="50"/>
      <c r="WBB346" s="50"/>
      <c r="WBC346" s="50"/>
      <c r="WBD346" s="50"/>
      <c r="WBE346" s="50"/>
      <c r="WBF346" s="50"/>
      <c r="WBG346" s="50"/>
      <c r="WBH346" s="50"/>
      <c r="WBI346" s="50"/>
      <c r="WBJ346" s="50"/>
      <c r="WBK346" s="50"/>
      <c r="WBL346" s="50"/>
      <c r="WBM346" s="50"/>
      <c r="WBN346" s="50"/>
      <c r="WBO346" s="50"/>
      <c r="WBP346" s="50"/>
      <c r="WBQ346" s="50"/>
      <c r="WBR346" s="50"/>
      <c r="WBS346" s="50"/>
      <c r="WBT346" s="50"/>
      <c r="WBU346" s="50"/>
      <c r="WBV346" s="50"/>
      <c r="WBW346" s="50"/>
      <c r="WBX346" s="50"/>
      <c r="WBY346" s="50"/>
      <c r="WBZ346" s="50"/>
      <c r="WCA346" s="50"/>
      <c r="WCB346" s="50"/>
      <c r="WCC346" s="50"/>
      <c r="WCD346" s="50"/>
      <c r="WCE346" s="50"/>
      <c r="WCF346" s="50"/>
      <c r="WCG346" s="50"/>
      <c r="WCH346" s="50"/>
      <c r="WCI346" s="50"/>
      <c r="WCJ346" s="50"/>
      <c r="WCK346" s="50"/>
      <c r="WCL346" s="50"/>
      <c r="WCM346" s="50"/>
      <c r="WCN346" s="50"/>
      <c r="WCO346" s="50"/>
      <c r="WCP346" s="50"/>
      <c r="WCQ346" s="50"/>
      <c r="WCR346" s="50"/>
      <c r="WCS346" s="50"/>
      <c r="WCT346" s="50"/>
      <c r="WCU346" s="50"/>
      <c r="WCV346" s="50"/>
      <c r="WCW346" s="50"/>
      <c r="WCX346" s="50"/>
      <c r="WCY346" s="50"/>
      <c r="WCZ346" s="50"/>
      <c r="WDA346" s="50"/>
      <c r="WDB346" s="50"/>
      <c r="WDC346" s="50"/>
      <c r="WDD346" s="50"/>
      <c r="WDE346" s="50"/>
      <c r="WDF346" s="50"/>
      <c r="WDG346" s="50"/>
      <c r="WDH346" s="50"/>
      <c r="WDI346" s="50"/>
      <c r="WDJ346" s="50"/>
      <c r="WDK346" s="50"/>
      <c r="WDL346" s="50"/>
      <c r="WDM346" s="50"/>
      <c r="WDN346" s="50"/>
      <c r="WDO346" s="50"/>
      <c r="WDP346" s="50"/>
      <c r="WDQ346" s="50"/>
      <c r="WDR346" s="50"/>
      <c r="WDS346" s="50"/>
      <c r="WDT346" s="50"/>
      <c r="WDU346" s="50"/>
      <c r="WDV346" s="50"/>
      <c r="WDW346" s="50"/>
      <c r="WDX346" s="50"/>
      <c r="WDY346" s="50"/>
      <c r="WDZ346" s="50"/>
      <c r="WEA346" s="50"/>
      <c r="WEB346" s="50"/>
      <c r="WEC346" s="50"/>
      <c r="WED346" s="50"/>
      <c r="WEE346" s="50"/>
      <c r="WEF346" s="50"/>
      <c r="WEG346" s="50"/>
      <c r="WEH346" s="50"/>
      <c r="WEI346" s="50"/>
      <c r="WEJ346" s="50"/>
      <c r="WEK346" s="50"/>
      <c r="WEL346" s="50"/>
      <c r="WEM346" s="50"/>
      <c r="WEN346" s="50"/>
      <c r="WEO346" s="50"/>
      <c r="WEP346" s="50"/>
      <c r="WEQ346" s="50"/>
      <c r="WER346" s="50"/>
      <c r="WES346" s="50"/>
      <c r="WET346" s="50"/>
      <c r="WEU346" s="50"/>
      <c r="WEV346" s="50"/>
      <c r="WEW346" s="50"/>
      <c r="WEX346" s="50"/>
      <c r="WEY346" s="50"/>
      <c r="WEZ346" s="50"/>
      <c r="WFA346" s="50"/>
      <c r="WFB346" s="50"/>
      <c r="WFC346" s="50"/>
      <c r="WFD346" s="50"/>
      <c r="WFE346" s="50"/>
      <c r="WFF346" s="50"/>
      <c r="WFG346" s="50"/>
      <c r="WFH346" s="50"/>
      <c r="WFI346" s="50"/>
      <c r="WFJ346" s="50"/>
      <c r="WFK346" s="50"/>
      <c r="WFL346" s="50"/>
      <c r="WFM346" s="50"/>
      <c r="WFN346" s="50"/>
      <c r="WFO346" s="50"/>
      <c r="WFP346" s="50"/>
      <c r="WFQ346" s="50"/>
      <c r="WFR346" s="50"/>
      <c r="WFS346" s="50"/>
      <c r="WFT346" s="50"/>
      <c r="WFU346" s="50"/>
      <c r="WFV346" s="50"/>
      <c r="WFW346" s="50"/>
      <c r="WFX346" s="50"/>
      <c r="WFY346" s="50"/>
      <c r="WFZ346" s="50"/>
      <c r="WGA346" s="50"/>
      <c r="WGB346" s="50"/>
      <c r="WGC346" s="50"/>
      <c r="WGD346" s="50"/>
      <c r="WGE346" s="50"/>
      <c r="WGF346" s="50"/>
      <c r="WGG346" s="50"/>
      <c r="WGH346" s="50"/>
      <c r="WGI346" s="50"/>
      <c r="WGJ346" s="50"/>
      <c r="WGK346" s="50"/>
      <c r="WGL346" s="50"/>
      <c r="WGM346" s="50"/>
      <c r="WGN346" s="50"/>
      <c r="WGO346" s="50"/>
      <c r="WGP346" s="50"/>
      <c r="WGQ346" s="50"/>
      <c r="WGR346" s="50"/>
      <c r="WGS346" s="50"/>
      <c r="WGT346" s="50"/>
      <c r="WGU346" s="50"/>
      <c r="WGV346" s="50"/>
      <c r="WGW346" s="50"/>
      <c r="WGX346" s="50"/>
      <c r="WGY346" s="50"/>
      <c r="WGZ346" s="50"/>
      <c r="WHA346" s="50"/>
      <c r="WHB346" s="50"/>
      <c r="WHC346" s="50"/>
      <c r="WHD346" s="50"/>
      <c r="WHE346" s="50"/>
      <c r="WHF346" s="50"/>
      <c r="WHG346" s="50"/>
      <c r="WHH346" s="50"/>
      <c r="WHI346" s="50"/>
      <c r="WHJ346" s="50"/>
      <c r="WHK346" s="50"/>
      <c r="WHL346" s="50"/>
      <c r="WHM346" s="50"/>
      <c r="WHN346" s="50"/>
      <c r="WHO346" s="50"/>
      <c r="WHP346" s="50"/>
      <c r="WHQ346" s="50"/>
      <c r="WHR346" s="50"/>
      <c r="WHS346" s="50"/>
      <c r="WHT346" s="50"/>
      <c r="WHU346" s="50"/>
      <c r="WHV346" s="50"/>
      <c r="WHW346" s="50"/>
      <c r="WHX346" s="50"/>
      <c r="WHY346" s="50"/>
      <c r="WHZ346" s="50"/>
      <c r="WIA346" s="50"/>
      <c r="WIB346" s="50"/>
      <c r="WIC346" s="50"/>
      <c r="WID346" s="50"/>
      <c r="WIE346" s="50"/>
      <c r="WIF346" s="50"/>
      <c r="WIG346" s="50"/>
      <c r="WIH346" s="50"/>
      <c r="WII346" s="50"/>
      <c r="WIJ346" s="50"/>
      <c r="WIK346" s="50"/>
      <c r="WIL346" s="50"/>
      <c r="WIM346" s="50"/>
      <c r="WIN346" s="50"/>
      <c r="WIO346" s="50"/>
      <c r="WIP346" s="50"/>
      <c r="WIQ346" s="50"/>
      <c r="WIR346" s="50"/>
      <c r="WIS346" s="50"/>
      <c r="WIT346" s="50"/>
      <c r="WIU346" s="50"/>
      <c r="WIV346" s="50"/>
      <c r="WIW346" s="50"/>
      <c r="WIX346" s="50"/>
      <c r="WIY346" s="50"/>
      <c r="WIZ346" s="50"/>
      <c r="WJA346" s="50"/>
      <c r="WJB346" s="50"/>
      <c r="WJC346" s="50"/>
      <c r="WJD346" s="50"/>
      <c r="WJE346" s="50"/>
      <c r="WJF346" s="50"/>
      <c r="WJG346" s="50"/>
      <c r="WJH346" s="50"/>
      <c r="WJI346" s="50"/>
      <c r="WJJ346" s="50"/>
      <c r="WJK346" s="50"/>
      <c r="WJL346" s="50"/>
      <c r="WJM346" s="50"/>
      <c r="WJN346" s="50"/>
      <c r="WJO346" s="50"/>
      <c r="WJP346" s="50"/>
      <c r="WJQ346" s="50"/>
      <c r="WJR346" s="50"/>
      <c r="WJS346" s="50"/>
      <c r="WJT346" s="50"/>
      <c r="WJU346" s="50"/>
      <c r="WJV346" s="50"/>
      <c r="WJW346" s="50"/>
      <c r="WJX346" s="50"/>
      <c r="WJY346" s="50"/>
      <c r="WJZ346" s="50"/>
      <c r="WKA346" s="50"/>
      <c r="WKB346" s="50"/>
      <c r="WKC346" s="50"/>
      <c r="WKD346" s="50"/>
      <c r="WKE346" s="50"/>
      <c r="WKF346" s="50"/>
      <c r="WKG346" s="50"/>
      <c r="WKH346" s="50"/>
      <c r="WKI346" s="50"/>
      <c r="WKJ346" s="50"/>
      <c r="WKK346" s="50"/>
      <c r="WKL346" s="50"/>
      <c r="WKM346" s="50"/>
      <c r="WKN346" s="50"/>
      <c r="WKO346" s="50"/>
      <c r="WKP346" s="50"/>
      <c r="WKQ346" s="50"/>
      <c r="WKR346" s="50"/>
      <c r="WKS346" s="50"/>
      <c r="WKT346" s="50"/>
      <c r="WKU346" s="50"/>
      <c r="WKV346" s="50"/>
      <c r="WKW346" s="50"/>
      <c r="WKX346" s="50"/>
      <c r="WKY346" s="50"/>
      <c r="WKZ346" s="50"/>
      <c r="WLA346" s="50"/>
      <c r="WLB346" s="50"/>
      <c r="WLC346" s="50"/>
      <c r="WLD346" s="50"/>
      <c r="WLE346" s="50"/>
      <c r="WLF346" s="50"/>
      <c r="WLG346" s="50"/>
      <c r="WLH346" s="50"/>
      <c r="WLI346" s="50"/>
      <c r="WLJ346" s="50"/>
      <c r="WLK346" s="50"/>
      <c r="WLL346" s="50"/>
      <c r="WLM346" s="50"/>
      <c r="WLN346" s="50"/>
      <c r="WLO346" s="50"/>
      <c r="WLP346" s="50"/>
      <c r="WLQ346" s="50"/>
      <c r="WLR346" s="50"/>
      <c r="WLS346" s="50"/>
      <c r="WLT346" s="50"/>
      <c r="WLU346" s="50"/>
      <c r="WLV346" s="50"/>
      <c r="WLW346" s="50"/>
      <c r="WLX346" s="50"/>
      <c r="WLY346" s="50"/>
      <c r="WLZ346" s="50"/>
      <c r="WMA346" s="50"/>
      <c r="WMB346" s="50"/>
      <c r="WMC346" s="50"/>
      <c r="WMD346" s="50"/>
      <c r="WME346" s="50"/>
      <c r="WMF346" s="50"/>
      <c r="WMG346" s="50"/>
      <c r="WMH346" s="50"/>
      <c r="WMI346" s="50"/>
      <c r="WMJ346" s="50"/>
      <c r="WMK346" s="50"/>
      <c r="WML346" s="50"/>
      <c r="WMM346" s="50"/>
      <c r="WMN346" s="50"/>
      <c r="WMO346" s="50"/>
      <c r="WMP346" s="50"/>
      <c r="WMQ346" s="50"/>
      <c r="WMR346" s="50"/>
      <c r="WMS346" s="50"/>
      <c r="WMT346" s="50"/>
      <c r="WMU346" s="50"/>
      <c r="WMV346" s="50"/>
      <c r="WMW346" s="50"/>
      <c r="WMX346" s="50"/>
      <c r="WMY346" s="50"/>
      <c r="WMZ346" s="50"/>
      <c r="WNA346" s="50"/>
      <c r="WNB346" s="50"/>
      <c r="WNC346" s="50"/>
      <c r="WND346" s="50"/>
      <c r="WNE346" s="50"/>
      <c r="WNF346" s="50"/>
      <c r="WNG346" s="50"/>
      <c r="WNH346" s="50"/>
      <c r="WNI346" s="50"/>
      <c r="WNJ346" s="50"/>
      <c r="WNK346" s="50"/>
      <c r="WNL346" s="50"/>
      <c r="WNM346" s="50"/>
      <c r="WNN346" s="50"/>
      <c r="WNO346" s="50"/>
      <c r="WNP346" s="50"/>
      <c r="WNQ346" s="50"/>
      <c r="WNR346" s="50"/>
      <c r="WNS346" s="50"/>
      <c r="WNT346" s="50"/>
      <c r="WNU346" s="50"/>
      <c r="WNV346" s="50"/>
      <c r="WNW346" s="50"/>
      <c r="WNX346" s="50"/>
      <c r="WNY346" s="50"/>
      <c r="WNZ346" s="50"/>
      <c r="WOA346" s="50"/>
      <c r="WOB346" s="50"/>
      <c r="WOC346" s="50"/>
      <c r="WOD346" s="50"/>
      <c r="WOE346" s="50"/>
      <c r="WOF346" s="50"/>
      <c r="WOG346" s="50"/>
      <c r="WOH346" s="50"/>
      <c r="WOI346" s="50"/>
      <c r="WOJ346" s="50"/>
      <c r="WOK346" s="50"/>
      <c r="WOL346" s="50"/>
      <c r="WOM346" s="50"/>
      <c r="WON346" s="50"/>
      <c r="WOO346" s="50"/>
      <c r="WOP346" s="50"/>
      <c r="WOQ346" s="50"/>
      <c r="WOR346" s="50"/>
      <c r="WOS346" s="50"/>
      <c r="WOT346" s="50"/>
      <c r="WOU346" s="50"/>
      <c r="WOV346" s="50"/>
      <c r="WOW346" s="50"/>
      <c r="WOX346" s="50"/>
      <c r="WOY346" s="50"/>
      <c r="WOZ346" s="50"/>
      <c r="WPA346" s="50"/>
      <c r="WPB346" s="50"/>
      <c r="WPC346" s="50"/>
      <c r="WPD346" s="50"/>
      <c r="WPE346" s="50"/>
      <c r="WPF346" s="50"/>
      <c r="WPG346" s="50"/>
      <c r="WPH346" s="50"/>
      <c r="WPI346" s="50"/>
      <c r="WPJ346" s="50"/>
      <c r="WPK346" s="50"/>
      <c r="WPL346" s="50"/>
      <c r="WPM346" s="50"/>
      <c r="WPN346" s="50"/>
      <c r="WPO346" s="50"/>
      <c r="WPP346" s="50"/>
      <c r="WPQ346" s="50"/>
      <c r="WPR346" s="50"/>
      <c r="WPS346" s="50"/>
      <c r="WPT346" s="50"/>
      <c r="WPU346" s="50"/>
      <c r="WPV346" s="50"/>
      <c r="WPW346" s="50"/>
      <c r="WPX346" s="50"/>
      <c r="WPY346" s="50"/>
      <c r="WPZ346" s="50"/>
      <c r="WQA346" s="50"/>
      <c r="WQB346" s="50"/>
      <c r="WQC346" s="50"/>
      <c r="WQD346" s="50"/>
      <c r="WQE346" s="50"/>
      <c r="WQF346" s="50"/>
      <c r="WQG346" s="50"/>
      <c r="WQH346" s="50"/>
      <c r="WQI346" s="50"/>
      <c r="WQJ346" s="50"/>
      <c r="WQK346" s="50"/>
      <c r="WQL346" s="50"/>
      <c r="WQM346" s="50"/>
      <c r="WQN346" s="50"/>
      <c r="WQO346" s="50"/>
      <c r="WQP346" s="50"/>
      <c r="WQQ346" s="50"/>
      <c r="WQR346" s="50"/>
      <c r="WQS346" s="50"/>
      <c r="WQT346" s="50"/>
      <c r="WQU346" s="50"/>
      <c r="WQV346" s="50"/>
      <c r="WQW346" s="50"/>
      <c r="WQX346" s="50"/>
      <c r="WQY346" s="50"/>
      <c r="WQZ346" s="50"/>
      <c r="WRA346" s="50"/>
      <c r="WRB346" s="50"/>
      <c r="WRC346" s="50"/>
      <c r="WRD346" s="50"/>
      <c r="WRE346" s="50"/>
      <c r="WRF346" s="50"/>
      <c r="WRG346" s="50"/>
      <c r="WRH346" s="50"/>
      <c r="WRI346" s="50"/>
      <c r="WRJ346" s="50"/>
      <c r="WRK346" s="50"/>
      <c r="WRL346" s="50"/>
      <c r="WRM346" s="50"/>
      <c r="WRN346" s="50"/>
      <c r="WRO346" s="50"/>
      <c r="WRP346" s="50"/>
      <c r="WRQ346" s="50"/>
      <c r="WRR346" s="50"/>
      <c r="WRS346" s="50"/>
      <c r="WRT346" s="50"/>
      <c r="WRU346" s="50"/>
      <c r="WRV346" s="50"/>
      <c r="WRW346" s="50"/>
      <c r="WRX346" s="50"/>
      <c r="WRY346" s="50"/>
      <c r="WRZ346" s="50"/>
      <c r="WSA346" s="50"/>
      <c r="WSB346" s="50"/>
      <c r="WSC346" s="50"/>
      <c r="WSD346" s="50"/>
      <c r="WSE346" s="50"/>
      <c r="WSF346" s="50"/>
      <c r="WSG346" s="50"/>
      <c r="WSH346" s="50"/>
      <c r="WSI346" s="50"/>
      <c r="WSJ346" s="50"/>
      <c r="WSK346" s="50"/>
      <c r="WSL346" s="50"/>
      <c r="WSM346" s="50"/>
      <c r="WSN346" s="50"/>
      <c r="WSO346" s="50"/>
      <c r="WSP346" s="50"/>
      <c r="WSQ346" s="50"/>
      <c r="WSR346" s="50"/>
      <c r="WSS346" s="50"/>
      <c r="WST346" s="50"/>
      <c r="WSU346" s="50"/>
      <c r="WSV346" s="50"/>
      <c r="WSW346" s="50"/>
      <c r="WSX346" s="50"/>
      <c r="WSY346" s="50"/>
      <c r="WSZ346" s="50"/>
      <c r="WTA346" s="50"/>
      <c r="WTB346" s="50"/>
      <c r="WTC346" s="50"/>
      <c r="WTD346" s="50"/>
      <c r="WTE346" s="50"/>
      <c r="WTF346" s="50"/>
      <c r="WTG346" s="50"/>
      <c r="WTH346" s="50"/>
      <c r="WTI346" s="50"/>
      <c r="WTJ346" s="50"/>
      <c r="WTK346" s="50"/>
      <c r="WTL346" s="50"/>
      <c r="WTM346" s="50"/>
      <c r="WTN346" s="50"/>
      <c r="WTO346" s="50"/>
      <c r="WTP346" s="50"/>
      <c r="WTQ346" s="50"/>
      <c r="WTR346" s="50"/>
      <c r="WTS346" s="50"/>
      <c r="WTT346" s="50"/>
      <c r="WTU346" s="50"/>
      <c r="WTV346" s="50"/>
      <c r="WTW346" s="50"/>
      <c r="WTX346" s="50"/>
      <c r="WTY346" s="50"/>
      <c r="WTZ346" s="50"/>
      <c r="WUA346" s="50"/>
      <c r="WUB346" s="50"/>
      <c r="WUC346" s="50"/>
      <c r="WUD346" s="50"/>
      <c r="WUE346" s="50"/>
      <c r="WUF346" s="50"/>
      <c r="WUG346" s="50"/>
      <c r="WUH346" s="50"/>
      <c r="WUI346" s="50"/>
      <c r="WUJ346" s="50"/>
      <c r="WUK346" s="50"/>
      <c r="WUL346" s="50"/>
      <c r="WUM346" s="50"/>
      <c r="WUN346" s="50"/>
      <c r="WUO346" s="50"/>
    </row>
    <row r="347" spans="1:16109" s="29" customFormat="1" ht="90.75" customHeight="1" x14ac:dyDescent="0.25">
      <c r="A347" s="20"/>
      <c r="B347" s="20"/>
      <c r="C347" s="20"/>
      <c r="D347" s="21"/>
      <c r="E347" s="21"/>
      <c r="F347" s="22"/>
      <c r="G347" s="22"/>
      <c r="H347" s="24"/>
      <c r="I347" s="25"/>
      <c r="J347" s="24"/>
      <c r="K347" s="37">
        <v>3</v>
      </c>
      <c r="L347" s="20" t="s">
        <v>31</v>
      </c>
      <c r="M347" s="20"/>
      <c r="N347" s="62" t="s">
        <v>209</v>
      </c>
      <c r="O347" s="24">
        <v>150</v>
      </c>
      <c r="P347" s="35">
        <v>100</v>
      </c>
      <c r="Q347" s="40">
        <v>2550</v>
      </c>
      <c r="R347" s="77">
        <f t="shared" si="69"/>
        <v>382500</v>
      </c>
      <c r="S347" s="37">
        <v>5</v>
      </c>
      <c r="T347" s="28">
        <f t="shared" si="70"/>
        <v>19125</v>
      </c>
      <c r="U347" s="77">
        <f t="shared" si="71"/>
        <v>363375</v>
      </c>
      <c r="V347" s="20"/>
      <c r="W347" s="26"/>
      <c r="X347" s="27"/>
      <c r="Y347" s="20"/>
      <c r="Z347" s="2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50"/>
      <c r="AR347" s="50"/>
      <c r="AS347" s="50"/>
      <c r="AT347" s="50"/>
      <c r="AU347" s="50"/>
      <c r="AV347" s="50"/>
      <c r="AW347" s="50"/>
      <c r="AX347" s="50"/>
      <c r="AY347" s="50"/>
      <c r="AZ347" s="50"/>
      <c r="BA347" s="50"/>
      <c r="BB347" s="50"/>
      <c r="BC347" s="50"/>
      <c r="BD347" s="50"/>
      <c r="BE347" s="50"/>
      <c r="BF347" s="50"/>
      <c r="BG347" s="50"/>
      <c r="BH347" s="50"/>
      <c r="BI347" s="50"/>
      <c r="BJ347" s="50"/>
      <c r="BK347" s="50"/>
      <c r="BL347" s="50"/>
      <c r="BM347" s="50"/>
      <c r="BN347" s="50"/>
      <c r="BO347" s="50"/>
      <c r="BP347" s="50"/>
      <c r="BQ347" s="50"/>
      <c r="BR347" s="50"/>
      <c r="BS347" s="50"/>
      <c r="BT347" s="50"/>
      <c r="BU347" s="50"/>
      <c r="BV347" s="50"/>
      <c r="BW347" s="50"/>
      <c r="BX347" s="50"/>
      <c r="BY347" s="50"/>
      <c r="BZ347" s="50"/>
      <c r="CA347" s="50"/>
      <c r="CB347" s="50"/>
      <c r="CC347" s="50"/>
      <c r="CD347" s="50"/>
      <c r="CE347" s="50"/>
      <c r="CF347" s="50"/>
      <c r="CG347" s="50"/>
      <c r="CH347" s="50"/>
      <c r="CI347" s="50"/>
      <c r="CJ347" s="50"/>
      <c r="CK347" s="50"/>
      <c r="CL347" s="50"/>
      <c r="CM347" s="50"/>
      <c r="CN347" s="50"/>
      <c r="CO347" s="50"/>
      <c r="CP347" s="50"/>
      <c r="CQ347" s="50"/>
      <c r="CR347" s="50"/>
      <c r="CS347" s="50"/>
      <c r="CT347" s="50"/>
      <c r="CU347" s="50"/>
      <c r="CV347" s="50"/>
      <c r="CW347" s="50"/>
      <c r="CX347" s="50"/>
      <c r="CY347" s="50"/>
      <c r="CZ347" s="50"/>
      <c r="DA347" s="50"/>
      <c r="DB347" s="50"/>
      <c r="DC347" s="50"/>
      <c r="DD347" s="50"/>
      <c r="DE347" s="50"/>
      <c r="DF347" s="50"/>
      <c r="DG347" s="50"/>
      <c r="DH347" s="50"/>
      <c r="DI347" s="50"/>
      <c r="DJ347" s="50"/>
      <c r="DK347" s="50"/>
      <c r="DL347" s="50"/>
      <c r="DM347" s="50"/>
      <c r="DN347" s="50"/>
      <c r="DO347" s="50"/>
      <c r="DP347" s="50"/>
      <c r="DQ347" s="50"/>
      <c r="DR347" s="50"/>
      <c r="DS347" s="50"/>
      <c r="DT347" s="50"/>
      <c r="DU347" s="50"/>
      <c r="DV347" s="50"/>
      <c r="DW347" s="50"/>
      <c r="DX347" s="50"/>
      <c r="DY347" s="50"/>
      <c r="DZ347" s="50"/>
      <c r="EA347" s="50"/>
      <c r="EB347" s="50"/>
      <c r="EC347" s="50"/>
      <c r="ED347" s="50"/>
      <c r="EE347" s="50"/>
      <c r="EF347" s="50"/>
      <c r="EG347" s="50"/>
      <c r="EH347" s="50"/>
      <c r="EI347" s="50"/>
      <c r="EJ347" s="50"/>
      <c r="EK347" s="50"/>
      <c r="EL347" s="50"/>
      <c r="EM347" s="50"/>
      <c r="EN347" s="50"/>
      <c r="EO347" s="50"/>
      <c r="EP347" s="50"/>
      <c r="EQ347" s="50"/>
      <c r="ER347" s="50"/>
      <c r="ES347" s="50"/>
      <c r="ET347" s="50"/>
      <c r="EU347" s="50"/>
      <c r="EV347" s="50"/>
      <c r="EW347" s="50"/>
      <c r="EX347" s="50"/>
      <c r="EY347" s="50"/>
      <c r="EZ347" s="50"/>
      <c r="FA347" s="50"/>
      <c r="FB347" s="50"/>
      <c r="FC347" s="50"/>
      <c r="FD347" s="50"/>
      <c r="FE347" s="50"/>
      <c r="FF347" s="50"/>
      <c r="FG347" s="50"/>
      <c r="FH347" s="50"/>
      <c r="FI347" s="50"/>
      <c r="FJ347" s="50"/>
      <c r="FK347" s="50"/>
      <c r="FL347" s="50"/>
      <c r="FM347" s="50"/>
      <c r="FN347" s="50"/>
      <c r="FO347" s="50"/>
      <c r="FP347" s="50"/>
      <c r="FQ347" s="50"/>
      <c r="FR347" s="50"/>
      <c r="FS347" s="50"/>
      <c r="FT347" s="50"/>
      <c r="FU347" s="50"/>
      <c r="FV347" s="50"/>
      <c r="FW347" s="50"/>
      <c r="FX347" s="50"/>
      <c r="FY347" s="50"/>
      <c r="FZ347" s="50"/>
      <c r="GA347" s="50"/>
      <c r="GB347" s="50"/>
      <c r="GC347" s="50"/>
      <c r="GD347" s="50"/>
      <c r="GE347" s="50"/>
      <c r="GF347" s="50"/>
      <c r="GG347" s="50"/>
      <c r="GH347" s="50"/>
      <c r="GI347" s="50"/>
      <c r="GJ347" s="50"/>
      <c r="GK347" s="50"/>
      <c r="GL347" s="50"/>
      <c r="GM347" s="50"/>
      <c r="GN347" s="50"/>
      <c r="GO347" s="50"/>
      <c r="GP347" s="50"/>
      <c r="GQ347" s="50"/>
      <c r="GR347" s="50"/>
      <c r="GS347" s="50"/>
      <c r="GT347" s="50"/>
      <c r="GU347" s="50"/>
      <c r="GV347" s="50"/>
      <c r="GW347" s="50"/>
      <c r="GX347" s="50"/>
      <c r="GY347" s="50"/>
      <c r="GZ347" s="50"/>
      <c r="HA347" s="50"/>
      <c r="HB347" s="50"/>
      <c r="HC347" s="50"/>
      <c r="HD347" s="50"/>
      <c r="HE347" s="50"/>
      <c r="HF347" s="50"/>
      <c r="HG347" s="50"/>
      <c r="HH347" s="50"/>
      <c r="HI347" s="50"/>
      <c r="HJ347" s="50"/>
      <c r="HK347" s="50"/>
      <c r="HL347" s="50"/>
      <c r="HM347" s="50"/>
      <c r="HN347" s="50"/>
      <c r="HO347" s="50"/>
      <c r="HP347" s="50"/>
      <c r="HQ347" s="50"/>
      <c r="HR347" s="50"/>
      <c r="HS347" s="50"/>
      <c r="HT347" s="50"/>
      <c r="HU347" s="50"/>
      <c r="HV347" s="50"/>
      <c r="HW347" s="50"/>
      <c r="HX347" s="50"/>
      <c r="HY347" s="50"/>
      <c r="HZ347" s="50"/>
      <c r="IA347" s="50"/>
      <c r="IB347" s="50"/>
      <c r="IC347" s="50"/>
      <c r="ID347" s="50"/>
      <c r="IE347" s="50"/>
      <c r="IF347" s="50"/>
      <c r="IG347" s="50"/>
      <c r="IH347" s="50"/>
      <c r="II347" s="50"/>
      <c r="IJ347" s="50"/>
      <c r="IK347" s="50"/>
      <c r="IL347" s="50"/>
      <c r="IM347" s="50"/>
      <c r="IN347" s="50"/>
      <c r="IO347" s="50"/>
      <c r="IP347" s="50"/>
      <c r="IQ347" s="50"/>
      <c r="IR347" s="50"/>
      <c r="IS347" s="50"/>
      <c r="IT347" s="50"/>
      <c r="IU347" s="50"/>
      <c r="IV347" s="50"/>
      <c r="IW347" s="50"/>
      <c r="IX347" s="50"/>
      <c r="IY347" s="50"/>
      <c r="IZ347" s="50"/>
      <c r="JA347" s="50"/>
      <c r="JB347" s="50"/>
      <c r="JC347" s="50"/>
      <c r="JD347" s="50"/>
      <c r="JE347" s="50"/>
      <c r="JF347" s="50"/>
      <c r="JG347" s="50"/>
      <c r="JH347" s="50"/>
      <c r="JI347" s="50"/>
      <c r="JJ347" s="50"/>
      <c r="JK347" s="50"/>
      <c r="JL347" s="50"/>
      <c r="JM347" s="50"/>
      <c r="JN347" s="50"/>
      <c r="JO347" s="50"/>
      <c r="JP347" s="50"/>
      <c r="JQ347" s="50"/>
      <c r="JR347" s="50"/>
      <c r="JS347" s="50"/>
      <c r="JT347" s="50"/>
      <c r="JU347" s="50"/>
      <c r="JV347" s="50"/>
      <c r="JW347" s="50"/>
      <c r="JX347" s="50"/>
      <c r="JY347" s="50"/>
      <c r="JZ347" s="50"/>
      <c r="KA347" s="50"/>
      <c r="KB347" s="50"/>
      <c r="KC347" s="50"/>
      <c r="KD347" s="50"/>
      <c r="KE347" s="50"/>
      <c r="KF347" s="50"/>
      <c r="KG347" s="50"/>
      <c r="KH347" s="50"/>
      <c r="KI347" s="50"/>
      <c r="KJ347" s="50"/>
      <c r="KK347" s="50"/>
      <c r="KL347" s="50"/>
      <c r="KM347" s="50"/>
      <c r="KN347" s="50"/>
      <c r="KO347" s="50"/>
      <c r="KP347" s="50"/>
      <c r="KQ347" s="50"/>
      <c r="KR347" s="50"/>
      <c r="KS347" s="50"/>
      <c r="KT347" s="50"/>
      <c r="KU347" s="50"/>
      <c r="KV347" s="50"/>
      <c r="KW347" s="50"/>
      <c r="KX347" s="50"/>
      <c r="KY347" s="50"/>
      <c r="KZ347" s="50"/>
      <c r="LA347" s="50"/>
      <c r="LB347" s="50"/>
      <c r="LC347" s="50"/>
      <c r="LD347" s="50"/>
      <c r="LE347" s="50"/>
      <c r="LF347" s="50"/>
      <c r="LG347" s="50"/>
      <c r="LH347" s="50"/>
      <c r="LI347" s="50"/>
      <c r="LJ347" s="50"/>
      <c r="LK347" s="50"/>
      <c r="LL347" s="50"/>
      <c r="LM347" s="50"/>
      <c r="LN347" s="50"/>
      <c r="LO347" s="50"/>
      <c r="LP347" s="50"/>
      <c r="LQ347" s="50"/>
      <c r="LR347" s="50"/>
      <c r="LS347" s="50"/>
      <c r="LT347" s="50"/>
      <c r="LU347" s="50"/>
      <c r="LV347" s="50"/>
      <c r="LW347" s="50"/>
      <c r="LX347" s="50"/>
      <c r="LY347" s="50"/>
      <c r="LZ347" s="50"/>
      <c r="MA347" s="50"/>
      <c r="MB347" s="50"/>
      <c r="MC347" s="50"/>
      <c r="MD347" s="50"/>
      <c r="ME347" s="50"/>
      <c r="MF347" s="50"/>
      <c r="MG347" s="50"/>
      <c r="MH347" s="50"/>
      <c r="MI347" s="50"/>
      <c r="MJ347" s="50"/>
      <c r="MK347" s="50"/>
      <c r="ML347" s="50"/>
      <c r="MM347" s="50"/>
      <c r="MN347" s="50"/>
      <c r="MO347" s="50"/>
      <c r="MP347" s="50"/>
      <c r="MQ347" s="50"/>
      <c r="MR347" s="50"/>
      <c r="MS347" s="50"/>
      <c r="MT347" s="50"/>
      <c r="MU347" s="50"/>
      <c r="MV347" s="50"/>
      <c r="MW347" s="50"/>
      <c r="MX347" s="50"/>
      <c r="MY347" s="50"/>
      <c r="MZ347" s="50"/>
      <c r="NA347" s="50"/>
      <c r="NB347" s="50"/>
      <c r="NC347" s="50"/>
      <c r="ND347" s="50"/>
      <c r="NE347" s="50"/>
      <c r="NF347" s="50"/>
      <c r="NG347" s="50"/>
      <c r="NH347" s="50"/>
      <c r="NI347" s="50"/>
      <c r="NJ347" s="50"/>
      <c r="NK347" s="50"/>
      <c r="NL347" s="50"/>
      <c r="NM347" s="50"/>
      <c r="NN347" s="50"/>
      <c r="NO347" s="50"/>
      <c r="NP347" s="50"/>
      <c r="NQ347" s="50"/>
      <c r="NR347" s="50"/>
      <c r="NS347" s="50"/>
      <c r="NT347" s="50"/>
      <c r="NU347" s="50"/>
      <c r="NV347" s="50"/>
      <c r="NW347" s="50"/>
      <c r="NX347" s="50"/>
      <c r="NY347" s="50"/>
      <c r="NZ347" s="50"/>
      <c r="OA347" s="50"/>
      <c r="OB347" s="50"/>
      <c r="OC347" s="50"/>
      <c r="OD347" s="50"/>
      <c r="OE347" s="50"/>
      <c r="OF347" s="50"/>
      <c r="OG347" s="50"/>
      <c r="OH347" s="50"/>
      <c r="OI347" s="50"/>
      <c r="OJ347" s="50"/>
      <c r="OK347" s="50"/>
      <c r="OL347" s="50"/>
      <c r="OM347" s="50"/>
      <c r="ON347" s="50"/>
      <c r="OO347" s="50"/>
      <c r="OP347" s="50"/>
      <c r="OQ347" s="50"/>
      <c r="OR347" s="50"/>
      <c r="OS347" s="50"/>
      <c r="OT347" s="50"/>
      <c r="OU347" s="50"/>
      <c r="OV347" s="50"/>
      <c r="OW347" s="50"/>
      <c r="OX347" s="50"/>
      <c r="OY347" s="50"/>
      <c r="OZ347" s="50"/>
      <c r="PA347" s="50"/>
      <c r="PB347" s="50"/>
      <c r="PC347" s="50"/>
      <c r="PD347" s="50"/>
      <c r="PE347" s="50"/>
      <c r="PF347" s="50"/>
      <c r="PG347" s="50"/>
      <c r="PH347" s="50"/>
      <c r="PI347" s="50"/>
      <c r="PJ347" s="50"/>
      <c r="PK347" s="50"/>
      <c r="PL347" s="50"/>
      <c r="PM347" s="50"/>
      <c r="PN347" s="50"/>
      <c r="PO347" s="50"/>
      <c r="PP347" s="50"/>
      <c r="PQ347" s="50"/>
      <c r="PR347" s="50"/>
      <c r="PS347" s="50"/>
      <c r="PT347" s="50"/>
      <c r="PU347" s="50"/>
      <c r="PV347" s="50"/>
      <c r="PW347" s="50"/>
      <c r="PX347" s="50"/>
      <c r="PY347" s="50"/>
      <c r="PZ347" s="50"/>
      <c r="QA347" s="50"/>
      <c r="QB347" s="50"/>
      <c r="QC347" s="50"/>
      <c r="QD347" s="50"/>
      <c r="QE347" s="50"/>
      <c r="QF347" s="50"/>
      <c r="QG347" s="50"/>
      <c r="QH347" s="50"/>
      <c r="QI347" s="50"/>
      <c r="QJ347" s="50"/>
      <c r="QK347" s="50"/>
      <c r="QL347" s="50"/>
      <c r="QM347" s="50"/>
      <c r="QN347" s="50"/>
      <c r="QO347" s="50"/>
      <c r="QP347" s="50"/>
      <c r="QQ347" s="50"/>
      <c r="QR347" s="50"/>
      <c r="QS347" s="50"/>
      <c r="QT347" s="50"/>
      <c r="QU347" s="50"/>
      <c r="QV347" s="50"/>
      <c r="QW347" s="50"/>
      <c r="QX347" s="50"/>
      <c r="QY347" s="50"/>
      <c r="QZ347" s="50"/>
      <c r="RA347" s="50"/>
      <c r="RB347" s="50"/>
      <c r="RC347" s="50"/>
      <c r="RD347" s="50"/>
      <c r="RE347" s="50"/>
      <c r="RF347" s="50"/>
      <c r="RG347" s="50"/>
      <c r="RH347" s="50"/>
      <c r="RI347" s="50"/>
      <c r="RJ347" s="50"/>
      <c r="RK347" s="50"/>
      <c r="RL347" s="50"/>
      <c r="RM347" s="50"/>
      <c r="RN347" s="50"/>
      <c r="RO347" s="50"/>
      <c r="RP347" s="50"/>
      <c r="RQ347" s="50"/>
      <c r="RR347" s="50"/>
      <c r="RS347" s="50"/>
      <c r="RT347" s="50"/>
      <c r="RU347" s="50"/>
      <c r="RV347" s="50"/>
      <c r="RW347" s="50"/>
      <c r="RX347" s="50"/>
      <c r="RY347" s="50"/>
      <c r="RZ347" s="50"/>
      <c r="SA347" s="50"/>
      <c r="SB347" s="50"/>
      <c r="SC347" s="50"/>
      <c r="SD347" s="50"/>
      <c r="SE347" s="50"/>
      <c r="SF347" s="50"/>
      <c r="SG347" s="50"/>
      <c r="SH347" s="50"/>
      <c r="SI347" s="50"/>
      <c r="SJ347" s="50"/>
      <c r="SK347" s="50"/>
      <c r="SL347" s="50"/>
      <c r="SM347" s="50"/>
      <c r="SN347" s="50"/>
      <c r="SO347" s="50"/>
      <c r="SP347" s="50"/>
      <c r="SQ347" s="50"/>
      <c r="SR347" s="50"/>
      <c r="SS347" s="50"/>
      <c r="ST347" s="50"/>
      <c r="SU347" s="50"/>
      <c r="SV347" s="50"/>
      <c r="SW347" s="50"/>
      <c r="SX347" s="50"/>
      <c r="SY347" s="50"/>
      <c r="SZ347" s="50"/>
      <c r="TA347" s="50"/>
      <c r="TB347" s="50"/>
      <c r="TC347" s="50"/>
      <c r="TD347" s="50"/>
      <c r="TE347" s="50"/>
      <c r="TF347" s="50"/>
      <c r="TG347" s="50"/>
      <c r="TH347" s="50"/>
      <c r="TI347" s="50"/>
      <c r="TJ347" s="50"/>
      <c r="TK347" s="50"/>
      <c r="TL347" s="50"/>
      <c r="TM347" s="50"/>
      <c r="TN347" s="50"/>
      <c r="TO347" s="50"/>
      <c r="TP347" s="50"/>
      <c r="TQ347" s="50"/>
      <c r="TR347" s="50"/>
      <c r="TS347" s="50"/>
      <c r="TT347" s="50"/>
      <c r="TU347" s="50"/>
      <c r="TV347" s="50"/>
      <c r="TW347" s="50"/>
      <c r="TX347" s="50"/>
      <c r="TY347" s="50"/>
      <c r="TZ347" s="50"/>
      <c r="UA347" s="50"/>
      <c r="UB347" s="50"/>
      <c r="UC347" s="50"/>
      <c r="UD347" s="50"/>
      <c r="UE347" s="50"/>
      <c r="UF347" s="50"/>
      <c r="UG347" s="50"/>
      <c r="UH347" s="50"/>
      <c r="UI347" s="50"/>
      <c r="UJ347" s="50"/>
      <c r="UK347" s="50"/>
      <c r="UL347" s="50"/>
      <c r="UM347" s="50"/>
      <c r="UN347" s="50"/>
      <c r="UO347" s="50"/>
      <c r="UP347" s="50"/>
      <c r="UQ347" s="50"/>
      <c r="UR347" s="50"/>
      <c r="US347" s="50"/>
      <c r="UT347" s="50"/>
      <c r="UU347" s="50"/>
      <c r="UV347" s="50"/>
      <c r="UW347" s="50"/>
      <c r="UX347" s="50"/>
      <c r="UY347" s="50"/>
      <c r="UZ347" s="50"/>
      <c r="VA347" s="50"/>
      <c r="VB347" s="50"/>
      <c r="VC347" s="50"/>
      <c r="VD347" s="50"/>
      <c r="VE347" s="50"/>
      <c r="VF347" s="50"/>
      <c r="VG347" s="50"/>
      <c r="VH347" s="50"/>
      <c r="VI347" s="50"/>
      <c r="VJ347" s="50"/>
      <c r="VK347" s="50"/>
      <c r="VL347" s="50"/>
      <c r="VM347" s="50"/>
      <c r="VN347" s="50"/>
      <c r="VO347" s="50"/>
      <c r="VP347" s="50"/>
      <c r="VQ347" s="50"/>
      <c r="VR347" s="50"/>
      <c r="VS347" s="50"/>
      <c r="VT347" s="50"/>
      <c r="VU347" s="50"/>
      <c r="VV347" s="50"/>
      <c r="VW347" s="50"/>
      <c r="VX347" s="50"/>
      <c r="VY347" s="50"/>
      <c r="VZ347" s="50"/>
      <c r="WA347" s="50"/>
      <c r="WB347" s="50"/>
      <c r="WC347" s="50"/>
      <c r="WD347" s="50"/>
      <c r="WE347" s="50"/>
      <c r="WF347" s="50"/>
      <c r="WG347" s="50"/>
      <c r="WH347" s="50"/>
      <c r="WI347" s="50"/>
      <c r="WJ347" s="50"/>
      <c r="WK347" s="50"/>
      <c r="WL347" s="50"/>
      <c r="WM347" s="50"/>
      <c r="WN347" s="50"/>
      <c r="WO347" s="50"/>
      <c r="WP347" s="50"/>
      <c r="WQ347" s="50"/>
      <c r="WR347" s="50"/>
      <c r="WS347" s="50"/>
      <c r="WT347" s="50"/>
      <c r="WU347" s="50"/>
      <c r="WV347" s="50"/>
      <c r="WW347" s="50"/>
      <c r="WX347" s="50"/>
      <c r="WY347" s="50"/>
      <c r="WZ347" s="50"/>
      <c r="XA347" s="50"/>
      <c r="XB347" s="50"/>
      <c r="XC347" s="50"/>
      <c r="XD347" s="50"/>
      <c r="XE347" s="50"/>
      <c r="XF347" s="50"/>
      <c r="XG347" s="50"/>
      <c r="XH347" s="50"/>
      <c r="XI347" s="50"/>
      <c r="XJ347" s="50"/>
      <c r="XK347" s="50"/>
      <c r="XL347" s="50"/>
      <c r="XM347" s="50"/>
      <c r="XN347" s="50"/>
      <c r="XO347" s="50"/>
      <c r="XP347" s="50"/>
      <c r="XQ347" s="50"/>
      <c r="XR347" s="50"/>
      <c r="XS347" s="50"/>
      <c r="XT347" s="50"/>
      <c r="XU347" s="50"/>
      <c r="XV347" s="50"/>
      <c r="XW347" s="50"/>
      <c r="XX347" s="50"/>
      <c r="XY347" s="50"/>
      <c r="XZ347" s="50"/>
      <c r="YA347" s="50"/>
      <c r="YB347" s="50"/>
      <c r="YC347" s="50"/>
      <c r="YD347" s="50"/>
      <c r="YE347" s="50"/>
      <c r="YF347" s="50"/>
      <c r="YG347" s="50"/>
      <c r="YH347" s="50"/>
      <c r="YI347" s="50"/>
      <c r="YJ347" s="50"/>
      <c r="YK347" s="50"/>
      <c r="YL347" s="50"/>
      <c r="YM347" s="50"/>
      <c r="YN347" s="50"/>
      <c r="YO347" s="50"/>
      <c r="YP347" s="50"/>
      <c r="YQ347" s="50"/>
      <c r="YR347" s="50"/>
      <c r="YS347" s="50"/>
      <c r="YT347" s="50"/>
      <c r="YU347" s="50"/>
      <c r="YV347" s="50"/>
      <c r="YW347" s="50"/>
      <c r="YX347" s="50"/>
      <c r="YY347" s="50"/>
      <c r="YZ347" s="50"/>
      <c r="ZA347" s="50"/>
      <c r="ZB347" s="50"/>
      <c r="ZC347" s="50"/>
      <c r="ZD347" s="50"/>
      <c r="ZE347" s="50"/>
      <c r="ZF347" s="50"/>
      <c r="ZG347" s="50"/>
      <c r="ZH347" s="50"/>
      <c r="ZI347" s="50"/>
      <c r="ZJ347" s="50"/>
      <c r="ZK347" s="50"/>
      <c r="ZL347" s="50"/>
      <c r="ZM347" s="50"/>
      <c r="ZN347" s="50"/>
      <c r="ZO347" s="50"/>
      <c r="ZP347" s="50"/>
      <c r="ZQ347" s="50"/>
      <c r="ZR347" s="50"/>
      <c r="ZS347" s="50"/>
      <c r="ZT347" s="50"/>
      <c r="ZU347" s="50"/>
      <c r="ZV347" s="50"/>
      <c r="ZW347" s="50"/>
      <c r="ZX347" s="50"/>
      <c r="ZY347" s="50"/>
      <c r="ZZ347" s="50"/>
      <c r="AAA347" s="50"/>
      <c r="AAB347" s="50"/>
      <c r="AAC347" s="50"/>
      <c r="AAD347" s="50"/>
      <c r="AAE347" s="50"/>
      <c r="AAF347" s="50"/>
      <c r="AAG347" s="50"/>
      <c r="AAH347" s="50"/>
      <c r="AAI347" s="50"/>
      <c r="AAJ347" s="50"/>
      <c r="AAK347" s="50"/>
      <c r="AAL347" s="50"/>
      <c r="AAM347" s="50"/>
      <c r="AAN347" s="50"/>
      <c r="AAO347" s="50"/>
      <c r="AAP347" s="50"/>
      <c r="AAQ347" s="50"/>
      <c r="AAR347" s="50"/>
      <c r="AAS347" s="50"/>
      <c r="AAT347" s="50"/>
      <c r="AAU347" s="50"/>
      <c r="AAV347" s="50"/>
      <c r="AAW347" s="50"/>
      <c r="AAX347" s="50"/>
      <c r="AAY347" s="50"/>
      <c r="AAZ347" s="50"/>
      <c r="ABA347" s="50"/>
      <c r="ABB347" s="50"/>
      <c r="ABC347" s="50"/>
      <c r="ABD347" s="50"/>
      <c r="ABE347" s="50"/>
      <c r="ABF347" s="50"/>
      <c r="ABG347" s="50"/>
      <c r="ABH347" s="50"/>
      <c r="ABI347" s="50"/>
      <c r="ABJ347" s="50"/>
      <c r="ABK347" s="50"/>
      <c r="ABL347" s="50"/>
      <c r="ABM347" s="50"/>
      <c r="ABN347" s="50"/>
      <c r="ABO347" s="50"/>
      <c r="ABP347" s="50"/>
      <c r="ABQ347" s="50"/>
      <c r="ABR347" s="50"/>
      <c r="ABS347" s="50"/>
      <c r="ABT347" s="50"/>
      <c r="ABU347" s="50"/>
      <c r="ABV347" s="50"/>
      <c r="ABW347" s="50"/>
      <c r="ABX347" s="50"/>
      <c r="ABY347" s="50"/>
      <c r="ABZ347" s="50"/>
      <c r="ACA347" s="50"/>
      <c r="ACB347" s="50"/>
      <c r="ACC347" s="50"/>
      <c r="ACD347" s="50"/>
      <c r="ACE347" s="50"/>
      <c r="ACF347" s="50"/>
      <c r="ACG347" s="50"/>
      <c r="ACH347" s="50"/>
      <c r="ACI347" s="50"/>
      <c r="ACJ347" s="50"/>
      <c r="ACK347" s="50"/>
      <c r="ACL347" s="50"/>
      <c r="ACM347" s="50"/>
      <c r="ACN347" s="50"/>
      <c r="ACO347" s="50"/>
      <c r="ACP347" s="50"/>
      <c r="ACQ347" s="50"/>
      <c r="ACR347" s="50"/>
      <c r="ACS347" s="50"/>
      <c r="ACT347" s="50"/>
      <c r="ACU347" s="50"/>
      <c r="ACV347" s="50"/>
      <c r="ACW347" s="50"/>
      <c r="ACX347" s="50"/>
      <c r="ACY347" s="50"/>
      <c r="ACZ347" s="50"/>
      <c r="ADA347" s="50"/>
      <c r="ADB347" s="50"/>
      <c r="ADC347" s="50"/>
      <c r="ADD347" s="50"/>
      <c r="ADE347" s="50"/>
      <c r="ADF347" s="50"/>
      <c r="ADG347" s="50"/>
      <c r="ADH347" s="50"/>
      <c r="ADI347" s="50"/>
      <c r="ADJ347" s="50"/>
      <c r="ADK347" s="50"/>
      <c r="ADL347" s="50"/>
      <c r="ADM347" s="50"/>
      <c r="ADN347" s="50"/>
      <c r="ADO347" s="50"/>
      <c r="ADP347" s="50"/>
      <c r="ADQ347" s="50"/>
      <c r="ADR347" s="50"/>
      <c r="ADS347" s="50"/>
      <c r="ADT347" s="50"/>
      <c r="ADU347" s="50"/>
      <c r="ADV347" s="50"/>
      <c r="ADW347" s="50"/>
      <c r="ADX347" s="50"/>
      <c r="ADY347" s="50"/>
      <c r="ADZ347" s="50"/>
      <c r="AEA347" s="50"/>
      <c r="AEB347" s="50"/>
      <c r="AEC347" s="50"/>
      <c r="AED347" s="50"/>
      <c r="AEE347" s="50"/>
      <c r="AEF347" s="50"/>
      <c r="AEG347" s="50"/>
      <c r="AEH347" s="50"/>
      <c r="AEI347" s="50"/>
      <c r="AEJ347" s="50"/>
      <c r="AEK347" s="50"/>
      <c r="AEL347" s="50"/>
      <c r="AEM347" s="50"/>
      <c r="AEN347" s="50"/>
      <c r="AEO347" s="50"/>
      <c r="AEP347" s="50"/>
      <c r="AEQ347" s="50"/>
      <c r="AER347" s="50"/>
      <c r="AES347" s="50"/>
      <c r="AET347" s="50"/>
      <c r="AEU347" s="50"/>
      <c r="AEV347" s="50"/>
      <c r="AEW347" s="50"/>
      <c r="AEX347" s="50"/>
      <c r="AEY347" s="50"/>
      <c r="AEZ347" s="50"/>
      <c r="AFA347" s="50"/>
      <c r="AFB347" s="50"/>
      <c r="AFC347" s="50"/>
      <c r="AFD347" s="50"/>
      <c r="AFE347" s="50"/>
      <c r="AFF347" s="50"/>
      <c r="AFG347" s="50"/>
      <c r="AFH347" s="50"/>
      <c r="AFI347" s="50"/>
      <c r="AFJ347" s="50"/>
      <c r="AFK347" s="50"/>
      <c r="AFL347" s="50"/>
      <c r="AFM347" s="50"/>
      <c r="AFN347" s="50"/>
      <c r="AFO347" s="50"/>
      <c r="AFP347" s="50"/>
      <c r="AFQ347" s="50"/>
      <c r="AFR347" s="50"/>
      <c r="AFS347" s="50"/>
      <c r="AFT347" s="50"/>
      <c r="AFU347" s="50"/>
      <c r="AFV347" s="50"/>
      <c r="AFW347" s="50"/>
      <c r="AFX347" s="50"/>
      <c r="AFY347" s="50"/>
      <c r="AFZ347" s="50"/>
      <c r="AGA347" s="50"/>
      <c r="AGB347" s="50"/>
      <c r="AGC347" s="50"/>
      <c r="AGD347" s="50"/>
      <c r="AGE347" s="50"/>
      <c r="AGF347" s="50"/>
      <c r="AGG347" s="50"/>
      <c r="AGH347" s="50"/>
      <c r="AGI347" s="50"/>
      <c r="AGJ347" s="50"/>
      <c r="AGK347" s="50"/>
      <c r="AGL347" s="50"/>
      <c r="AGM347" s="50"/>
      <c r="AGN347" s="50"/>
      <c r="AGO347" s="50"/>
      <c r="AGP347" s="50"/>
      <c r="AGQ347" s="50"/>
      <c r="AGR347" s="50"/>
      <c r="AGS347" s="50"/>
      <c r="AGT347" s="50"/>
      <c r="AGU347" s="50"/>
      <c r="AGV347" s="50"/>
      <c r="AGW347" s="50"/>
      <c r="AGX347" s="50"/>
      <c r="AGY347" s="50"/>
      <c r="AGZ347" s="50"/>
      <c r="AHA347" s="50"/>
      <c r="AHB347" s="50"/>
      <c r="AHC347" s="50"/>
      <c r="AHD347" s="50"/>
      <c r="AHE347" s="50"/>
      <c r="AHF347" s="50"/>
      <c r="AHG347" s="50"/>
      <c r="AHH347" s="50"/>
      <c r="AHI347" s="50"/>
      <c r="AHJ347" s="50"/>
      <c r="AHK347" s="50"/>
      <c r="AHL347" s="50"/>
      <c r="AHM347" s="50"/>
      <c r="AHN347" s="50"/>
      <c r="AHO347" s="50"/>
      <c r="AHP347" s="50"/>
      <c r="AHQ347" s="50"/>
      <c r="AHR347" s="50"/>
      <c r="AHS347" s="50"/>
      <c r="AHT347" s="50"/>
      <c r="AHU347" s="50"/>
      <c r="AHV347" s="50"/>
      <c r="AHW347" s="50"/>
      <c r="AHX347" s="50"/>
      <c r="AHY347" s="50"/>
      <c r="AHZ347" s="50"/>
      <c r="AIA347" s="50"/>
      <c r="AIB347" s="50"/>
      <c r="AIC347" s="50"/>
      <c r="AID347" s="50"/>
      <c r="AIE347" s="50"/>
      <c r="AIF347" s="50"/>
      <c r="AIG347" s="50"/>
      <c r="AIH347" s="50"/>
      <c r="AII347" s="50"/>
      <c r="AIJ347" s="50"/>
      <c r="AIK347" s="50"/>
      <c r="AIL347" s="50"/>
      <c r="AIM347" s="50"/>
      <c r="AIN347" s="50"/>
      <c r="AIO347" s="50"/>
      <c r="AIP347" s="50"/>
      <c r="AIQ347" s="50"/>
      <c r="AIR347" s="50"/>
      <c r="AIS347" s="50"/>
      <c r="AIT347" s="50"/>
      <c r="AIU347" s="50"/>
      <c r="AIV347" s="50"/>
      <c r="AIW347" s="50"/>
      <c r="AIX347" s="50"/>
      <c r="AIY347" s="50"/>
      <c r="AIZ347" s="50"/>
      <c r="AJA347" s="50"/>
      <c r="AJB347" s="50"/>
      <c r="AJC347" s="50"/>
      <c r="AJD347" s="50"/>
      <c r="AJE347" s="50"/>
      <c r="AJF347" s="50"/>
      <c r="AJG347" s="50"/>
      <c r="AJH347" s="50"/>
      <c r="AJI347" s="50"/>
      <c r="AJJ347" s="50"/>
      <c r="AJK347" s="50"/>
      <c r="AJL347" s="50"/>
      <c r="AJM347" s="50"/>
      <c r="AJN347" s="50"/>
      <c r="AJO347" s="50"/>
      <c r="AJP347" s="50"/>
      <c r="AJQ347" s="50"/>
      <c r="AJR347" s="50"/>
      <c r="AJS347" s="50"/>
      <c r="AJT347" s="50"/>
      <c r="AJU347" s="50"/>
      <c r="AJV347" s="50"/>
      <c r="AJW347" s="50"/>
      <c r="AJX347" s="50"/>
      <c r="AJY347" s="50"/>
      <c r="AJZ347" s="50"/>
      <c r="AKA347" s="50"/>
      <c r="AKB347" s="50"/>
      <c r="AKC347" s="50"/>
      <c r="AKD347" s="50"/>
      <c r="AKE347" s="50"/>
      <c r="AKF347" s="50"/>
      <c r="AKG347" s="50"/>
      <c r="AKH347" s="50"/>
      <c r="AKI347" s="50"/>
      <c r="AKJ347" s="50"/>
      <c r="AKK347" s="50"/>
      <c r="AKL347" s="50"/>
      <c r="AKM347" s="50"/>
      <c r="AKN347" s="50"/>
      <c r="AKO347" s="50"/>
      <c r="AKP347" s="50"/>
      <c r="AKQ347" s="50"/>
      <c r="AKR347" s="50"/>
      <c r="AKS347" s="50"/>
      <c r="AKT347" s="50"/>
      <c r="AKU347" s="50"/>
      <c r="AKV347" s="50"/>
      <c r="AKW347" s="50"/>
      <c r="AKX347" s="50"/>
      <c r="AKY347" s="50"/>
      <c r="AKZ347" s="50"/>
      <c r="ALA347" s="50"/>
      <c r="ALB347" s="50"/>
      <c r="ALC347" s="50"/>
      <c r="ALD347" s="50"/>
      <c r="ALE347" s="50"/>
      <c r="ALF347" s="50"/>
      <c r="ALG347" s="50"/>
      <c r="ALH347" s="50"/>
      <c r="ALI347" s="50"/>
      <c r="ALJ347" s="50"/>
      <c r="ALK347" s="50"/>
      <c r="ALL347" s="50"/>
      <c r="ALM347" s="50"/>
      <c r="ALN347" s="50"/>
      <c r="ALO347" s="50"/>
      <c r="ALP347" s="50"/>
      <c r="ALQ347" s="50"/>
      <c r="ALR347" s="50"/>
      <c r="ALS347" s="50"/>
      <c r="ALT347" s="50"/>
      <c r="ALU347" s="50"/>
      <c r="ALV347" s="50"/>
      <c r="ALW347" s="50"/>
      <c r="ALX347" s="50"/>
      <c r="ALY347" s="50"/>
      <c r="ALZ347" s="50"/>
      <c r="AMA347" s="50"/>
      <c r="AMB347" s="50"/>
      <c r="AMC347" s="50"/>
      <c r="AMD347" s="50"/>
      <c r="AME347" s="50"/>
      <c r="AMF347" s="50"/>
      <c r="AMG347" s="50"/>
      <c r="AMH347" s="50"/>
      <c r="AMI347" s="50"/>
      <c r="AMJ347" s="50"/>
      <c r="AMK347" s="50"/>
      <c r="AML347" s="50"/>
      <c r="AMM347" s="50"/>
      <c r="AMN347" s="50"/>
      <c r="AMO347" s="50"/>
      <c r="AMP347" s="50"/>
      <c r="AMQ347" s="50"/>
      <c r="AMR347" s="50"/>
      <c r="AMS347" s="50"/>
      <c r="AMT347" s="50"/>
      <c r="AMU347" s="50"/>
      <c r="AMV347" s="50"/>
      <c r="AMW347" s="50"/>
      <c r="AMX347" s="50"/>
      <c r="AMY347" s="50"/>
      <c r="AMZ347" s="50"/>
      <c r="ANA347" s="50"/>
      <c r="ANB347" s="50"/>
      <c r="ANC347" s="50"/>
      <c r="AND347" s="50"/>
      <c r="ANE347" s="50"/>
      <c r="ANF347" s="50"/>
      <c r="ANG347" s="50"/>
      <c r="ANH347" s="50"/>
      <c r="ANI347" s="50"/>
      <c r="ANJ347" s="50"/>
      <c r="ANK347" s="50"/>
      <c r="ANL347" s="50"/>
      <c r="ANM347" s="50"/>
      <c r="ANN347" s="50"/>
      <c r="ANO347" s="50"/>
      <c r="ANP347" s="50"/>
      <c r="ANQ347" s="50"/>
      <c r="ANR347" s="50"/>
      <c r="ANS347" s="50"/>
      <c r="ANT347" s="50"/>
      <c r="ANU347" s="50"/>
      <c r="ANV347" s="50"/>
      <c r="ANW347" s="50"/>
      <c r="ANX347" s="50"/>
      <c r="ANY347" s="50"/>
      <c r="ANZ347" s="50"/>
      <c r="AOA347" s="50"/>
      <c r="AOB347" s="50"/>
      <c r="AOC347" s="50"/>
      <c r="AOD347" s="50"/>
      <c r="AOE347" s="50"/>
      <c r="AOF347" s="50"/>
      <c r="AOG347" s="50"/>
      <c r="AOH347" s="50"/>
      <c r="AOI347" s="50"/>
      <c r="AOJ347" s="50"/>
      <c r="AOK347" s="50"/>
      <c r="AOL347" s="50"/>
      <c r="AOM347" s="50"/>
      <c r="AON347" s="50"/>
      <c r="AOO347" s="50"/>
      <c r="AOP347" s="50"/>
      <c r="AOQ347" s="50"/>
      <c r="AOR347" s="50"/>
      <c r="AOS347" s="50"/>
      <c r="AOT347" s="50"/>
      <c r="AOU347" s="50"/>
      <c r="AOV347" s="50"/>
      <c r="AOW347" s="50"/>
      <c r="AOX347" s="50"/>
      <c r="AOY347" s="50"/>
      <c r="AOZ347" s="50"/>
      <c r="APA347" s="50"/>
      <c r="APB347" s="50"/>
      <c r="APC347" s="50"/>
      <c r="APD347" s="50"/>
      <c r="APE347" s="50"/>
      <c r="APF347" s="50"/>
      <c r="APG347" s="50"/>
      <c r="APH347" s="50"/>
      <c r="API347" s="50"/>
      <c r="APJ347" s="50"/>
      <c r="APK347" s="50"/>
      <c r="APL347" s="50"/>
      <c r="APM347" s="50"/>
      <c r="APN347" s="50"/>
      <c r="APO347" s="50"/>
      <c r="APP347" s="50"/>
      <c r="APQ347" s="50"/>
      <c r="APR347" s="50"/>
      <c r="APS347" s="50"/>
      <c r="APT347" s="50"/>
      <c r="APU347" s="50"/>
      <c r="APV347" s="50"/>
      <c r="APW347" s="50"/>
      <c r="APX347" s="50"/>
      <c r="APY347" s="50"/>
      <c r="APZ347" s="50"/>
      <c r="AQA347" s="50"/>
      <c r="AQB347" s="50"/>
      <c r="AQC347" s="50"/>
      <c r="AQD347" s="50"/>
      <c r="AQE347" s="50"/>
      <c r="AQF347" s="50"/>
      <c r="AQG347" s="50"/>
      <c r="AQH347" s="50"/>
      <c r="AQI347" s="50"/>
      <c r="AQJ347" s="50"/>
      <c r="AQK347" s="50"/>
      <c r="AQL347" s="50"/>
      <c r="AQM347" s="50"/>
      <c r="AQN347" s="50"/>
      <c r="AQO347" s="50"/>
      <c r="AQP347" s="50"/>
      <c r="AQQ347" s="50"/>
      <c r="AQR347" s="50"/>
      <c r="AQS347" s="50"/>
      <c r="AQT347" s="50"/>
      <c r="AQU347" s="50"/>
      <c r="AQV347" s="50"/>
      <c r="AQW347" s="50"/>
      <c r="AQX347" s="50"/>
      <c r="AQY347" s="50"/>
      <c r="AQZ347" s="50"/>
      <c r="ARA347" s="50"/>
      <c r="ARB347" s="50"/>
      <c r="ARC347" s="50"/>
      <c r="ARD347" s="50"/>
      <c r="ARE347" s="50"/>
      <c r="ARF347" s="50"/>
      <c r="ARG347" s="50"/>
      <c r="ARH347" s="50"/>
      <c r="ARI347" s="50"/>
      <c r="ARJ347" s="50"/>
      <c r="ARK347" s="50"/>
      <c r="ARL347" s="50"/>
      <c r="ARM347" s="50"/>
      <c r="ARN347" s="50"/>
      <c r="ARO347" s="50"/>
      <c r="ARP347" s="50"/>
      <c r="ARQ347" s="50"/>
      <c r="ARR347" s="50"/>
      <c r="ARS347" s="50"/>
      <c r="ART347" s="50"/>
      <c r="ARU347" s="50"/>
      <c r="ARV347" s="50"/>
      <c r="ARW347" s="50"/>
      <c r="ARX347" s="50"/>
      <c r="ARY347" s="50"/>
      <c r="ARZ347" s="50"/>
      <c r="ASA347" s="50"/>
      <c r="ASB347" s="50"/>
      <c r="ASC347" s="50"/>
      <c r="ASD347" s="50"/>
      <c r="ASE347" s="50"/>
      <c r="ASF347" s="50"/>
      <c r="ASG347" s="50"/>
      <c r="ASH347" s="50"/>
      <c r="ASI347" s="50"/>
      <c r="ASJ347" s="50"/>
      <c r="ASK347" s="50"/>
      <c r="ASL347" s="50"/>
      <c r="ASM347" s="50"/>
      <c r="ASN347" s="50"/>
      <c r="ASO347" s="50"/>
      <c r="ASP347" s="50"/>
      <c r="ASQ347" s="50"/>
      <c r="ASR347" s="50"/>
      <c r="ASS347" s="50"/>
      <c r="AST347" s="50"/>
      <c r="ASU347" s="50"/>
      <c r="ASV347" s="50"/>
      <c r="ASW347" s="50"/>
      <c r="ASX347" s="50"/>
      <c r="ASY347" s="50"/>
      <c r="ASZ347" s="50"/>
      <c r="ATA347" s="50"/>
      <c r="ATB347" s="50"/>
      <c r="ATC347" s="50"/>
      <c r="ATD347" s="50"/>
      <c r="ATE347" s="50"/>
      <c r="ATF347" s="50"/>
      <c r="ATG347" s="50"/>
      <c r="ATH347" s="50"/>
      <c r="ATI347" s="50"/>
      <c r="ATJ347" s="50"/>
      <c r="ATK347" s="50"/>
      <c r="ATL347" s="50"/>
      <c r="ATM347" s="50"/>
      <c r="ATN347" s="50"/>
      <c r="ATO347" s="50"/>
      <c r="ATP347" s="50"/>
      <c r="ATQ347" s="50"/>
      <c r="ATR347" s="50"/>
      <c r="ATS347" s="50"/>
      <c r="ATT347" s="50"/>
      <c r="ATU347" s="50"/>
      <c r="ATV347" s="50"/>
      <c r="ATW347" s="50"/>
      <c r="ATX347" s="50"/>
      <c r="ATY347" s="50"/>
      <c r="ATZ347" s="50"/>
      <c r="AUA347" s="50"/>
      <c r="AUB347" s="50"/>
      <c r="AUC347" s="50"/>
      <c r="AUD347" s="50"/>
      <c r="AUE347" s="50"/>
      <c r="AUF347" s="50"/>
      <c r="AUG347" s="50"/>
      <c r="AUH347" s="50"/>
      <c r="AUI347" s="50"/>
      <c r="AUJ347" s="50"/>
      <c r="AUK347" s="50"/>
      <c r="AUL347" s="50"/>
      <c r="AUM347" s="50"/>
      <c r="AUN347" s="50"/>
      <c r="AUO347" s="50"/>
      <c r="AUP347" s="50"/>
      <c r="AUQ347" s="50"/>
      <c r="AUR347" s="50"/>
      <c r="AUS347" s="50"/>
      <c r="AUT347" s="50"/>
      <c r="AUU347" s="50"/>
      <c r="AUV347" s="50"/>
      <c r="AUW347" s="50"/>
      <c r="AUX347" s="50"/>
      <c r="AUY347" s="50"/>
      <c r="AUZ347" s="50"/>
      <c r="AVA347" s="50"/>
      <c r="AVB347" s="50"/>
      <c r="AVC347" s="50"/>
      <c r="AVD347" s="50"/>
      <c r="AVE347" s="50"/>
      <c r="AVF347" s="50"/>
      <c r="AVG347" s="50"/>
      <c r="AVH347" s="50"/>
      <c r="AVI347" s="50"/>
      <c r="AVJ347" s="50"/>
      <c r="AVK347" s="50"/>
      <c r="AVL347" s="50"/>
      <c r="AVM347" s="50"/>
      <c r="AVN347" s="50"/>
      <c r="AVO347" s="50"/>
      <c r="AVP347" s="50"/>
      <c r="AVQ347" s="50"/>
      <c r="AVR347" s="50"/>
      <c r="AVS347" s="50"/>
      <c r="AVT347" s="50"/>
      <c r="AVU347" s="50"/>
      <c r="AVV347" s="50"/>
      <c r="AVW347" s="50"/>
      <c r="AVX347" s="50"/>
      <c r="AVY347" s="50"/>
      <c r="AVZ347" s="50"/>
      <c r="AWA347" s="50"/>
      <c r="AWB347" s="50"/>
      <c r="AWC347" s="50"/>
      <c r="AWD347" s="50"/>
      <c r="AWE347" s="50"/>
      <c r="AWF347" s="50"/>
      <c r="AWG347" s="50"/>
      <c r="AWH347" s="50"/>
      <c r="AWI347" s="50"/>
      <c r="AWJ347" s="50"/>
      <c r="AWK347" s="50"/>
      <c r="AWL347" s="50"/>
      <c r="AWM347" s="50"/>
      <c r="AWN347" s="50"/>
      <c r="AWO347" s="50"/>
      <c r="AWP347" s="50"/>
      <c r="AWQ347" s="50"/>
      <c r="AWR347" s="50"/>
      <c r="AWS347" s="50"/>
      <c r="AWT347" s="50"/>
      <c r="AWU347" s="50"/>
      <c r="AWV347" s="50"/>
      <c r="AWW347" s="50"/>
      <c r="AWX347" s="50"/>
      <c r="AWY347" s="50"/>
      <c r="AWZ347" s="50"/>
      <c r="AXA347" s="50"/>
      <c r="AXB347" s="50"/>
      <c r="AXC347" s="50"/>
      <c r="AXD347" s="50"/>
      <c r="AXE347" s="50"/>
      <c r="AXF347" s="50"/>
      <c r="AXG347" s="50"/>
      <c r="AXH347" s="50"/>
      <c r="AXI347" s="50"/>
      <c r="AXJ347" s="50"/>
      <c r="AXK347" s="50"/>
      <c r="AXL347" s="50"/>
      <c r="AXM347" s="50"/>
      <c r="AXN347" s="50"/>
      <c r="AXO347" s="50"/>
      <c r="AXP347" s="50"/>
      <c r="AXQ347" s="50"/>
      <c r="AXR347" s="50"/>
      <c r="AXS347" s="50"/>
      <c r="AXT347" s="50"/>
      <c r="AXU347" s="50"/>
      <c r="AXV347" s="50"/>
      <c r="AXW347" s="50"/>
      <c r="AXX347" s="50"/>
      <c r="AXY347" s="50"/>
      <c r="AXZ347" s="50"/>
      <c r="AYA347" s="50"/>
      <c r="AYB347" s="50"/>
      <c r="AYC347" s="50"/>
      <c r="AYD347" s="50"/>
      <c r="AYE347" s="50"/>
      <c r="AYF347" s="50"/>
      <c r="AYG347" s="50"/>
      <c r="AYH347" s="50"/>
      <c r="AYI347" s="50"/>
      <c r="AYJ347" s="50"/>
      <c r="AYK347" s="50"/>
      <c r="AYL347" s="50"/>
      <c r="AYM347" s="50"/>
      <c r="AYN347" s="50"/>
      <c r="AYO347" s="50"/>
      <c r="AYP347" s="50"/>
      <c r="AYQ347" s="50"/>
      <c r="AYR347" s="50"/>
      <c r="AYS347" s="50"/>
      <c r="AYT347" s="50"/>
      <c r="AYU347" s="50"/>
      <c r="AYV347" s="50"/>
      <c r="AYW347" s="50"/>
      <c r="AYX347" s="50"/>
      <c r="AYY347" s="50"/>
      <c r="AYZ347" s="50"/>
      <c r="AZA347" s="50"/>
      <c r="AZB347" s="50"/>
      <c r="AZC347" s="50"/>
      <c r="AZD347" s="50"/>
      <c r="AZE347" s="50"/>
      <c r="AZF347" s="50"/>
      <c r="AZG347" s="50"/>
      <c r="AZH347" s="50"/>
      <c r="AZI347" s="50"/>
      <c r="AZJ347" s="50"/>
      <c r="AZK347" s="50"/>
      <c r="AZL347" s="50"/>
      <c r="AZM347" s="50"/>
      <c r="AZN347" s="50"/>
      <c r="AZO347" s="50"/>
      <c r="AZP347" s="50"/>
      <c r="AZQ347" s="50"/>
      <c r="AZR347" s="50"/>
      <c r="AZS347" s="50"/>
      <c r="AZT347" s="50"/>
      <c r="AZU347" s="50"/>
      <c r="AZV347" s="50"/>
      <c r="AZW347" s="50"/>
      <c r="AZX347" s="50"/>
      <c r="AZY347" s="50"/>
      <c r="AZZ347" s="50"/>
      <c r="BAA347" s="50"/>
      <c r="BAB347" s="50"/>
      <c r="BAC347" s="50"/>
      <c r="BAD347" s="50"/>
      <c r="BAE347" s="50"/>
      <c r="BAF347" s="50"/>
      <c r="BAG347" s="50"/>
      <c r="BAH347" s="50"/>
      <c r="BAI347" s="50"/>
      <c r="BAJ347" s="50"/>
      <c r="BAK347" s="50"/>
      <c r="BAL347" s="50"/>
      <c r="BAM347" s="50"/>
      <c r="BAN347" s="50"/>
      <c r="BAO347" s="50"/>
      <c r="BAP347" s="50"/>
      <c r="BAQ347" s="50"/>
      <c r="BAR347" s="50"/>
      <c r="BAS347" s="50"/>
      <c r="BAT347" s="50"/>
      <c r="BAU347" s="50"/>
      <c r="BAV347" s="50"/>
      <c r="BAW347" s="50"/>
      <c r="BAX347" s="50"/>
      <c r="BAY347" s="50"/>
      <c r="BAZ347" s="50"/>
      <c r="BBA347" s="50"/>
      <c r="BBB347" s="50"/>
      <c r="BBC347" s="50"/>
      <c r="BBD347" s="50"/>
      <c r="BBE347" s="50"/>
      <c r="BBF347" s="50"/>
      <c r="BBG347" s="50"/>
      <c r="BBH347" s="50"/>
      <c r="BBI347" s="50"/>
      <c r="BBJ347" s="50"/>
      <c r="BBK347" s="50"/>
      <c r="BBL347" s="50"/>
      <c r="BBM347" s="50"/>
      <c r="BBN347" s="50"/>
      <c r="BBO347" s="50"/>
      <c r="BBP347" s="50"/>
      <c r="BBQ347" s="50"/>
      <c r="BBR347" s="50"/>
      <c r="BBS347" s="50"/>
      <c r="BBT347" s="50"/>
      <c r="BBU347" s="50"/>
      <c r="BBV347" s="50"/>
      <c r="BBW347" s="50"/>
      <c r="BBX347" s="50"/>
      <c r="BBY347" s="50"/>
      <c r="BBZ347" s="50"/>
      <c r="BCA347" s="50"/>
      <c r="BCB347" s="50"/>
      <c r="BCC347" s="50"/>
      <c r="BCD347" s="50"/>
      <c r="BCE347" s="50"/>
      <c r="BCF347" s="50"/>
      <c r="BCG347" s="50"/>
      <c r="BCH347" s="50"/>
      <c r="BCI347" s="50"/>
      <c r="BCJ347" s="50"/>
      <c r="BCK347" s="50"/>
      <c r="BCL347" s="50"/>
      <c r="BCM347" s="50"/>
      <c r="BCN347" s="50"/>
      <c r="BCO347" s="50"/>
      <c r="BCP347" s="50"/>
      <c r="BCQ347" s="50"/>
      <c r="BCR347" s="50"/>
      <c r="BCS347" s="50"/>
      <c r="BCT347" s="50"/>
      <c r="BCU347" s="50"/>
      <c r="BCV347" s="50"/>
      <c r="BCW347" s="50"/>
      <c r="BCX347" s="50"/>
      <c r="BCY347" s="50"/>
      <c r="BCZ347" s="50"/>
      <c r="BDA347" s="50"/>
      <c r="BDB347" s="50"/>
      <c r="BDC347" s="50"/>
      <c r="BDD347" s="50"/>
      <c r="BDE347" s="50"/>
      <c r="BDF347" s="50"/>
      <c r="BDG347" s="50"/>
      <c r="BDH347" s="50"/>
      <c r="BDI347" s="50"/>
      <c r="BDJ347" s="50"/>
      <c r="BDK347" s="50"/>
      <c r="BDL347" s="50"/>
      <c r="BDM347" s="50"/>
      <c r="BDN347" s="50"/>
      <c r="BDO347" s="50"/>
      <c r="BDP347" s="50"/>
      <c r="BDQ347" s="50"/>
      <c r="BDR347" s="50"/>
      <c r="BDS347" s="50"/>
      <c r="BDT347" s="50"/>
      <c r="BDU347" s="50"/>
      <c r="BDV347" s="50"/>
      <c r="BDW347" s="50"/>
      <c r="BDX347" s="50"/>
      <c r="BDY347" s="50"/>
      <c r="BDZ347" s="50"/>
      <c r="BEA347" s="50"/>
      <c r="BEB347" s="50"/>
      <c r="BEC347" s="50"/>
      <c r="BED347" s="50"/>
      <c r="BEE347" s="50"/>
      <c r="BEF347" s="50"/>
      <c r="BEG347" s="50"/>
      <c r="BEH347" s="50"/>
      <c r="BEI347" s="50"/>
      <c r="BEJ347" s="50"/>
      <c r="BEK347" s="50"/>
      <c r="BEL347" s="50"/>
      <c r="BEM347" s="50"/>
      <c r="BEN347" s="50"/>
      <c r="BEO347" s="50"/>
      <c r="BEP347" s="50"/>
      <c r="BEQ347" s="50"/>
      <c r="BER347" s="50"/>
      <c r="BES347" s="50"/>
      <c r="BET347" s="50"/>
      <c r="BEU347" s="50"/>
      <c r="BEV347" s="50"/>
      <c r="BEW347" s="50"/>
      <c r="BEX347" s="50"/>
      <c r="BEY347" s="50"/>
      <c r="BEZ347" s="50"/>
      <c r="BFA347" s="50"/>
      <c r="BFB347" s="50"/>
      <c r="BFC347" s="50"/>
      <c r="BFD347" s="50"/>
      <c r="BFE347" s="50"/>
      <c r="BFF347" s="50"/>
      <c r="BFG347" s="50"/>
      <c r="BFH347" s="50"/>
      <c r="BFI347" s="50"/>
      <c r="BFJ347" s="50"/>
      <c r="BFK347" s="50"/>
      <c r="BFL347" s="50"/>
      <c r="BFM347" s="50"/>
      <c r="BFN347" s="50"/>
      <c r="BFO347" s="50"/>
      <c r="BFP347" s="50"/>
      <c r="BFQ347" s="50"/>
      <c r="BFR347" s="50"/>
      <c r="BFS347" s="50"/>
      <c r="BFT347" s="50"/>
      <c r="BFU347" s="50"/>
      <c r="BFV347" s="50"/>
      <c r="BFW347" s="50"/>
      <c r="BFX347" s="50"/>
      <c r="BFY347" s="50"/>
      <c r="BFZ347" s="50"/>
      <c r="BGA347" s="50"/>
      <c r="BGB347" s="50"/>
      <c r="BGC347" s="50"/>
      <c r="BGD347" s="50"/>
      <c r="BGE347" s="50"/>
      <c r="BGF347" s="50"/>
      <c r="BGG347" s="50"/>
      <c r="BGH347" s="50"/>
      <c r="BGI347" s="50"/>
      <c r="BGJ347" s="50"/>
      <c r="BGK347" s="50"/>
      <c r="BGL347" s="50"/>
      <c r="BGM347" s="50"/>
      <c r="BGN347" s="50"/>
      <c r="BGO347" s="50"/>
      <c r="BGP347" s="50"/>
      <c r="BGQ347" s="50"/>
      <c r="BGR347" s="50"/>
      <c r="BGS347" s="50"/>
      <c r="BGT347" s="50"/>
      <c r="BGU347" s="50"/>
      <c r="BGV347" s="50"/>
      <c r="BGW347" s="50"/>
      <c r="BGX347" s="50"/>
      <c r="BGY347" s="50"/>
      <c r="BGZ347" s="50"/>
      <c r="BHA347" s="50"/>
      <c r="BHB347" s="50"/>
      <c r="BHC347" s="50"/>
      <c r="BHD347" s="50"/>
      <c r="BHE347" s="50"/>
      <c r="BHF347" s="50"/>
      <c r="BHG347" s="50"/>
      <c r="BHH347" s="50"/>
      <c r="BHI347" s="50"/>
      <c r="BHJ347" s="50"/>
      <c r="BHK347" s="50"/>
      <c r="BHL347" s="50"/>
      <c r="BHM347" s="50"/>
      <c r="BHN347" s="50"/>
      <c r="BHO347" s="50"/>
      <c r="BHP347" s="50"/>
      <c r="BHQ347" s="50"/>
      <c r="BHR347" s="50"/>
      <c r="BHS347" s="50"/>
      <c r="BHT347" s="50"/>
      <c r="BHU347" s="50"/>
      <c r="BHV347" s="50"/>
      <c r="BHW347" s="50"/>
      <c r="BHX347" s="50"/>
      <c r="BHY347" s="50"/>
      <c r="BHZ347" s="50"/>
      <c r="BIA347" s="50"/>
      <c r="BIB347" s="50"/>
      <c r="BIC347" s="50"/>
      <c r="BID347" s="50"/>
      <c r="BIE347" s="50"/>
      <c r="BIF347" s="50"/>
      <c r="BIG347" s="50"/>
      <c r="BIH347" s="50"/>
      <c r="BII347" s="50"/>
      <c r="BIJ347" s="50"/>
      <c r="BIK347" s="50"/>
      <c r="BIL347" s="50"/>
      <c r="BIM347" s="50"/>
      <c r="BIN347" s="50"/>
      <c r="BIO347" s="50"/>
      <c r="BIP347" s="50"/>
      <c r="BIQ347" s="50"/>
      <c r="BIR347" s="50"/>
      <c r="BIS347" s="50"/>
      <c r="BIT347" s="50"/>
      <c r="BIU347" s="50"/>
      <c r="BIV347" s="50"/>
      <c r="BIW347" s="50"/>
      <c r="BIX347" s="50"/>
      <c r="BIY347" s="50"/>
      <c r="BIZ347" s="50"/>
      <c r="BJA347" s="50"/>
      <c r="BJB347" s="50"/>
      <c r="BJC347" s="50"/>
      <c r="BJD347" s="50"/>
      <c r="BJE347" s="50"/>
      <c r="BJF347" s="50"/>
      <c r="BJG347" s="50"/>
      <c r="BJH347" s="50"/>
      <c r="BJI347" s="50"/>
      <c r="BJJ347" s="50"/>
      <c r="BJK347" s="50"/>
      <c r="BJL347" s="50"/>
      <c r="BJM347" s="50"/>
      <c r="BJN347" s="50"/>
      <c r="BJO347" s="50"/>
      <c r="BJP347" s="50"/>
      <c r="BJQ347" s="50"/>
      <c r="BJR347" s="50"/>
      <c r="BJS347" s="50"/>
      <c r="BJT347" s="50"/>
      <c r="BJU347" s="50"/>
      <c r="BJV347" s="50"/>
      <c r="BJW347" s="50"/>
      <c r="BJX347" s="50"/>
      <c r="BJY347" s="50"/>
      <c r="BJZ347" s="50"/>
      <c r="BKA347" s="50"/>
      <c r="BKB347" s="50"/>
      <c r="BKC347" s="50"/>
      <c r="BKD347" s="50"/>
      <c r="BKE347" s="50"/>
      <c r="BKF347" s="50"/>
      <c r="BKG347" s="50"/>
      <c r="BKH347" s="50"/>
      <c r="BKI347" s="50"/>
      <c r="BKJ347" s="50"/>
      <c r="BKK347" s="50"/>
      <c r="BKL347" s="50"/>
      <c r="BKM347" s="50"/>
      <c r="BKN347" s="50"/>
      <c r="BKO347" s="50"/>
      <c r="BKP347" s="50"/>
      <c r="BKQ347" s="50"/>
      <c r="BKR347" s="50"/>
      <c r="BKS347" s="50"/>
      <c r="BKT347" s="50"/>
      <c r="BKU347" s="50"/>
      <c r="BKV347" s="50"/>
      <c r="BKW347" s="50"/>
      <c r="BKX347" s="50"/>
      <c r="BKY347" s="50"/>
      <c r="BKZ347" s="50"/>
      <c r="BLA347" s="50"/>
      <c r="BLB347" s="50"/>
      <c r="BLC347" s="50"/>
      <c r="BLD347" s="50"/>
      <c r="BLE347" s="50"/>
      <c r="BLF347" s="50"/>
      <c r="BLG347" s="50"/>
      <c r="BLH347" s="50"/>
      <c r="BLI347" s="50"/>
      <c r="BLJ347" s="50"/>
      <c r="BLK347" s="50"/>
      <c r="BLL347" s="50"/>
      <c r="BLM347" s="50"/>
      <c r="BLN347" s="50"/>
      <c r="BLO347" s="50"/>
      <c r="BLP347" s="50"/>
      <c r="BLQ347" s="50"/>
      <c r="BLR347" s="50"/>
      <c r="BLS347" s="50"/>
      <c r="BLT347" s="50"/>
      <c r="BLU347" s="50"/>
      <c r="BLV347" s="50"/>
      <c r="BLW347" s="50"/>
      <c r="BLX347" s="50"/>
      <c r="BLY347" s="50"/>
      <c r="BLZ347" s="50"/>
      <c r="BMA347" s="50"/>
      <c r="BMB347" s="50"/>
      <c r="BMC347" s="50"/>
      <c r="BMD347" s="50"/>
      <c r="BME347" s="50"/>
      <c r="BMF347" s="50"/>
      <c r="BMG347" s="50"/>
      <c r="BMH347" s="50"/>
      <c r="BMI347" s="50"/>
      <c r="BMJ347" s="50"/>
      <c r="BMK347" s="50"/>
      <c r="BML347" s="50"/>
      <c r="BMM347" s="50"/>
      <c r="BMN347" s="50"/>
      <c r="BMO347" s="50"/>
      <c r="BMP347" s="50"/>
      <c r="BMQ347" s="50"/>
      <c r="BMR347" s="50"/>
      <c r="BMS347" s="50"/>
      <c r="BMT347" s="50"/>
      <c r="BMU347" s="50"/>
      <c r="BMV347" s="50"/>
      <c r="BMW347" s="50"/>
      <c r="BMX347" s="50"/>
      <c r="BMY347" s="50"/>
      <c r="BMZ347" s="50"/>
      <c r="BNA347" s="50"/>
      <c r="BNB347" s="50"/>
      <c r="BNC347" s="50"/>
      <c r="BND347" s="50"/>
      <c r="BNE347" s="50"/>
      <c r="BNF347" s="50"/>
      <c r="BNG347" s="50"/>
      <c r="BNH347" s="50"/>
      <c r="BNI347" s="50"/>
      <c r="BNJ347" s="50"/>
      <c r="BNK347" s="50"/>
      <c r="BNL347" s="50"/>
      <c r="BNM347" s="50"/>
      <c r="BNN347" s="50"/>
      <c r="BNO347" s="50"/>
      <c r="BNP347" s="50"/>
      <c r="BNQ347" s="50"/>
      <c r="BNR347" s="50"/>
      <c r="BNS347" s="50"/>
      <c r="BNT347" s="50"/>
      <c r="BNU347" s="50"/>
      <c r="BNV347" s="50"/>
      <c r="BNW347" s="50"/>
      <c r="BNX347" s="50"/>
      <c r="BNY347" s="50"/>
      <c r="BNZ347" s="50"/>
      <c r="BOA347" s="50"/>
      <c r="BOB347" s="50"/>
      <c r="BOC347" s="50"/>
      <c r="BOD347" s="50"/>
      <c r="BOE347" s="50"/>
      <c r="BOF347" s="50"/>
      <c r="BOG347" s="50"/>
      <c r="BOH347" s="50"/>
      <c r="BOI347" s="50"/>
      <c r="BOJ347" s="50"/>
      <c r="BOK347" s="50"/>
      <c r="BOL347" s="50"/>
      <c r="BOM347" s="50"/>
      <c r="BON347" s="50"/>
      <c r="BOO347" s="50"/>
      <c r="BOP347" s="50"/>
      <c r="BOQ347" s="50"/>
      <c r="BOR347" s="50"/>
      <c r="BOS347" s="50"/>
      <c r="BOT347" s="50"/>
      <c r="BOU347" s="50"/>
      <c r="BOV347" s="50"/>
      <c r="BOW347" s="50"/>
      <c r="BOX347" s="50"/>
      <c r="BOY347" s="50"/>
      <c r="BOZ347" s="50"/>
      <c r="BPA347" s="50"/>
      <c r="BPB347" s="50"/>
      <c r="BPC347" s="50"/>
      <c r="BPD347" s="50"/>
      <c r="BPE347" s="50"/>
      <c r="BPF347" s="50"/>
      <c r="BPG347" s="50"/>
      <c r="BPH347" s="50"/>
      <c r="BPI347" s="50"/>
      <c r="BPJ347" s="50"/>
      <c r="BPK347" s="50"/>
      <c r="BPL347" s="50"/>
      <c r="BPM347" s="50"/>
      <c r="BPN347" s="50"/>
      <c r="BPO347" s="50"/>
      <c r="BPP347" s="50"/>
      <c r="BPQ347" s="50"/>
      <c r="BPR347" s="50"/>
      <c r="BPS347" s="50"/>
      <c r="BPT347" s="50"/>
      <c r="BPU347" s="50"/>
      <c r="BPV347" s="50"/>
      <c r="BPW347" s="50"/>
      <c r="BPX347" s="50"/>
      <c r="BPY347" s="50"/>
      <c r="BPZ347" s="50"/>
      <c r="BQA347" s="50"/>
      <c r="BQB347" s="50"/>
      <c r="BQC347" s="50"/>
      <c r="BQD347" s="50"/>
      <c r="BQE347" s="50"/>
      <c r="BQF347" s="50"/>
      <c r="BQG347" s="50"/>
      <c r="BQH347" s="50"/>
      <c r="BQI347" s="50"/>
      <c r="BQJ347" s="50"/>
      <c r="BQK347" s="50"/>
      <c r="BQL347" s="50"/>
      <c r="BQM347" s="50"/>
      <c r="BQN347" s="50"/>
      <c r="BQO347" s="50"/>
      <c r="BQP347" s="50"/>
      <c r="BQQ347" s="50"/>
      <c r="BQR347" s="50"/>
      <c r="BQS347" s="50"/>
      <c r="BQT347" s="50"/>
      <c r="BQU347" s="50"/>
      <c r="BQV347" s="50"/>
      <c r="BQW347" s="50"/>
      <c r="BQX347" s="50"/>
      <c r="BQY347" s="50"/>
      <c r="BQZ347" s="50"/>
      <c r="BRA347" s="50"/>
      <c r="BRB347" s="50"/>
      <c r="BRC347" s="50"/>
      <c r="BRD347" s="50"/>
      <c r="BRE347" s="50"/>
      <c r="BRF347" s="50"/>
      <c r="BRG347" s="50"/>
      <c r="BRH347" s="50"/>
      <c r="BRI347" s="50"/>
      <c r="BRJ347" s="50"/>
      <c r="BRK347" s="50"/>
      <c r="BRL347" s="50"/>
      <c r="BRM347" s="50"/>
      <c r="BRN347" s="50"/>
      <c r="BRO347" s="50"/>
      <c r="BRP347" s="50"/>
      <c r="BRQ347" s="50"/>
      <c r="BRR347" s="50"/>
      <c r="BRS347" s="50"/>
      <c r="BRT347" s="50"/>
      <c r="BRU347" s="50"/>
      <c r="BRV347" s="50"/>
      <c r="BRW347" s="50"/>
      <c r="BRX347" s="50"/>
      <c r="BRY347" s="50"/>
      <c r="BRZ347" s="50"/>
      <c r="BSA347" s="50"/>
      <c r="BSB347" s="50"/>
      <c r="BSC347" s="50"/>
      <c r="BSD347" s="50"/>
      <c r="BSE347" s="50"/>
      <c r="BSF347" s="50"/>
      <c r="BSG347" s="50"/>
      <c r="BSH347" s="50"/>
      <c r="BSI347" s="50"/>
      <c r="BSJ347" s="50"/>
      <c r="BSK347" s="50"/>
      <c r="BSL347" s="50"/>
      <c r="BSM347" s="50"/>
      <c r="BSN347" s="50"/>
      <c r="BSO347" s="50"/>
      <c r="BSP347" s="50"/>
      <c r="BSQ347" s="50"/>
      <c r="BSR347" s="50"/>
      <c r="BSS347" s="50"/>
      <c r="BST347" s="50"/>
      <c r="BSU347" s="50"/>
      <c r="BSV347" s="50"/>
      <c r="BSW347" s="50"/>
      <c r="BSX347" s="50"/>
      <c r="BSY347" s="50"/>
      <c r="BSZ347" s="50"/>
      <c r="BTA347" s="50"/>
      <c r="BTB347" s="50"/>
      <c r="BTC347" s="50"/>
      <c r="BTD347" s="50"/>
      <c r="BTE347" s="50"/>
      <c r="BTF347" s="50"/>
      <c r="BTG347" s="50"/>
      <c r="BTH347" s="50"/>
      <c r="BTI347" s="50"/>
      <c r="BTJ347" s="50"/>
      <c r="BTK347" s="50"/>
      <c r="BTL347" s="50"/>
      <c r="BTM347" s="50"/>
      <c r="BTN347" s="50"/>
      <c r="BTO347" s="50"/>
      <c r="BTP347" s="50"/>
      <c r="BTQ347" s="50"/>
      <c r="BTR347" s="50"/>
      <c r="BTS347" s="50"/>
      <c r="BTT347" s="50"/>
      <c r="BTU347" s="50"/>
      <c r="BTV347" s="50"/>
      <c r="BTW347" s="50"/>
      <c r="BTX347" s="50"/>
      <c r="BTY347" s="50"/>
      <c r="BTZ347" s="50"/>
      <c r="BUA347" s="50"/>
      <c r="BUB347" s="50"/>
      <c r="BUC347" s="50"/>
      <c r="BUD347" s="50"/>
      <c r="BUE347" s="50"/>
      <c r="BUF347" s="50"/>
      <c r="BUG347" s="50"/>
      <c r="BUH347" s="50"/>
      <c r="BUI347" s="50"/>
      <c r="BUJ347" s="50"/>
      <c r="BUK347" s="50"/>
      <c r="BUL347" s="50"/>
      <c r="BUM347" s="50"/>
      <c r="BUN347" s="50"/>
      <c r="BUO347" s="50"/>
      <c r="BUP347" s="50"/>
      <c r="BUQ347" s="50"/>
      <c r="BUR347" s="50"/>
      <c r="BUS347" s="50"/>
      <c r="BUT347" s="50"/>
      <c r="BUU347" s="50"/>
      <c r="BUV347" s="50"/>
      <c r="BUW347" s="50"/>
      <c r="BUX347" s="50"/>
      <c r="BUY347" s="50"/>
      <c r="BUZ347" s="50"/>
      <c r="BVA347" s="50"/>
      <c r="BVB347" s="50"/>
      <c r="BVC347" s="50"/>
      <c r="BVD347" s="50"/>
      <c r="BVE347" s="50"/>
      <c r="BVF347" s="50"/>
      <c r="BVG347" s="50"/>
      <c r="BVH347" s="50"/>
      <c r="BVI347" s="50"/>
      <c r="BVJ347" s="50"/>
      <c r="BVK347" s="50"/>
      <c r="BVL347" s="50"/>
      <c r="BVM347" s="50"/>
      <c r="BVN347" s="50"/>
      <c r="BVO347" s="50"/>
      <c r="BVP347" s="50"/>
      <c r="BVQ347" s="50"/>
      <c r="BVR347" s="50"/>
      <c r="BVS347" s="50"/>
      <c r="BVT347" s="50"/>
      <c r="BVU347" s="50"/>
      <c r="BVV347" s="50"/>
      <c r="BVW347" s="50"/>
      <c r="BVX347" s="50"/>
      <c r="BVY347" s="50"/>
      <c r="BVZ347" s="50"/>
      <c r="BWA347" s="50"/>
      <c r="BWB347" s="50"/>
      <c r="BWC347" s="50"/>
      <c r="BWD347" s="50"/>
      <c r="BWE347" s="50"/>
      <c r="BWF347" s="50"/>
      <c r="BWG347" s="50"/>
      <c r="BWH347" s="50"/>
      <c r="BWI347" s="50"/>
      <c r="BWJ347" s="50"/>
      <c r="BWK347" s="50"/>
      <c r="BWL347" s="50"/>
      <c r="BWM347" s="50"/>
      <c r="BWN347" s="50"/>
      <c r="BWO347" s="50"/>
      <c r="BWP347" s="50"/>
      <c r="BWQ347" s="50"/>
      <c r="BWR347" s="50"/>
      <c r="BWS347" s="50"/>
      <c r="BWT347" s="50"/>
      <c r="BWU347" s="50"/>
      <c r="BWV347" s="50"/>
      <c r="BWW347" s="50"/>
      <c r="BWX347" s="50"/>
      <c r="BWY347" s="50"/>
      <c r="BWZ347" s="50"/>
      <c r="BXA347" s="50"/>
      <c r="BXB347" s="50"/>
      <c r="BXC347" s="50"/>
      <c r="BXD347" s="50"/>
      <c r="BXE347" s="50"/>
      <c r="BXF347" s="50"/>
      <c r="BXG347" s="50"/>
      <c r="BXH347" s="50"/>
      <c r="BXI347" s="50"/>
      <c r="BXJ347" s="50"/>
      <c r="BXK347" s="50"/>
      <c r="BXL347" s="50"/>
      <c r="BXM347" s="50"/>
      <c r="BXN347" s="50"/>
      <c r="BXO347" s="50"/>
      <c r="BXP347" s="50"/>
      <c r="BXQ347" s="50"/>
      <c r="BXR347" s="50"/>
      <c r="BXS347" s="50"/>
      <c r="BXT347" s="50"/>
      <c r="BXU347" s="50"/>
      <c r="BXV347" s="50"/>
      <c r="BXW347" s="50"/>
      <c r="BXX347" s="50"/>
      <c r="BXY347" s="50"/>
      <c r="BXZ347" s="50"/>
      <c r="BYA347" s="50"/>
      <c r="BYB347" s="50"/>
      <c r="BYC347" s="50"/>
      <c r="BYD347" s="50"/>
      <c r="BYE347" s="50"/>
      <c r="BYF347" s="50"/>
      <c r="BYG347" s="50"/>
      <c r="BYH347" s="50"/>
      <c r="BYI347" s="50"/>
      <c r="BYJ347" s="50"/>
      <c r="BYK347" s="50"/>
      <c r="BYL347" s="50"/>
      <c r="BYM347" s="50"/>
      <c r="BYN347" s="50"/>
      <c r="BYO347" s="50"/>
      <c r="BYP347" s="50"/>
      <c r="BYQ347" s="50"/>
      <c r="BYR347" s="50"/>
      <c r="BYS347" s="50"/>
      <c r="BYT347" s="50"/>
      <c r="BYU347" s="50"/>
      <c r="BYV347" s="50"/>
      <c r="BYW347" s="50"/>
      <c r="BYX347" s="50"/>
      <c r="BYY347" s="50"/>
      <c r="BYZ347" s="50"/>
      <c r="BZA347" s="50"/>
      <c r="BZB347" s="50"/>
      <c r="BZC347" s="50"/>
      <c r="BZD347" s="50"/>
      <c r="BZE347" s="50"/>
      <c r="BZF347" s="50"/>
      <c r="BZG347" s="50"/>
      <c r="BZH347" s="50"/>
      <c r="BZI347" s="50"/>
      <c r="BZJ347" s="50"/>
      <c r="BZK347" s="50"/>
      <c r="BZL347" s="50"/>
      <c r="BZM347" s="50"/>
      <c r="BZN347" s="50"/>
      <c r="BZO347" s="50"/>
      <c r="BZP347" s="50"/>
      <c r="BZQ347" s="50"/>
      <c r="BZR347" s="50"/>
      <c r="BZS347" s="50"/>
      <c r="BZT347" s="50"/>
      <c r="BZU347" s="50"/>
      <c r="BZV347" s="50"/>
      <c r="BZW347" s="50"/>
      <c r="BZX347" s="50"/>
      <c r="BZY347" s="50"/>
      <c r="BZZ347" s="50"/>
      <c r="CAA347" s="50"/>
      <c r="CAB347" s="50"/>
      <c r="CAC347" s="50"/>
      <c r="CAD347" s="50"/>
      <c r="CAE347" s="50"/>
      <c r="CAF347" s="50"/>
      <c r="CAG347" s="50"/>
      <c r="CAH347" s="50"/>
      <c r="CAI347" s="50"/>
      <c r="CAJ347" s="50"/>
      <c r="CAK347" s="50"/>
      <c r="CAL347" s="50"/>
      <c r="CAM347" s="50"/>
      <c r="CAN347" s="50"/>
      <c r="CAO347" s="50"/>
      <c r="CAP347" s="50"/>
      <c r="CAQ347" s="50"/>
      <c r="CAR347" s="50"/>
      <c r="CAS347" s="50"/>
      <c r="CAT347" s="50"/>
      <c r="CAU347" s="50"/>
      <c r="CAV347" s="50"/>
      <c r="CAW347" s="50"/>
      <c r="CAX347" s="50"/>
      <c r="CAY347" s="50"/>
      <c r="CAZ347" s="50"/>
      <c r="CBA347" s="50"/>
      <c r="CBB347" s="50"/>
      <c r="CBC347" s="50"/>
      <c r="CBD347" s="50"/>
      <c r="CBE347" s="50"/>
      <c r="CBF347" s="50"/>
      <c r="CBG347" s="50"/>
      <c r="CBH347" s="50"/>
      <c r="CBI347" s="50"/>
      <c r="CBJ347" s="50"/>
      <c r="CBK347" s="50"/>
      <c r="CBL347" s="50"/>
      <c r="CBM347" s="50"/>
      <c r="CBN347" s="50"/>
      <c r="CBO347" s="50"/>
      <c r="CBP347" s="50"/>
      <c r="CBQ347" s="50"/>
      <c r="CBR347" s="50"/>
      <c r="CBS347" s="50"/>
      <c r="CBT347" s="50"/>
      <c r="CBU347" s="50"/>
      <c r="CBV347" s="50"/>
      <c r="CBW347" s="50"/>
      <c r="CBX347" s="50"/>
      <c r="CBY347" s="50"/>
      <c r="CBZ347" s="50"/>
      <c r="CCA347" s="50"/>
      <c r="CCB347" s="50"/>
      <c r="CCC347" s="50"/>
      <c r="CCD347" s="50"/>
      <c r="CCE347" s="50"/>
      <c r="CCF347" s="50"/>
      <c r="CCG347" s="50"/>
      <c r="CCH347" s="50"/>
      <c r="CCI347" s="50"/>
      <c r="CCJ347" s="50"/>
      <c r="CCK347" s="50"/>
      <c r="CCL347" s="50"/>
      <c r="CCM347" s="50"/>
      <c r="CCN347" s="50"/>
      <c r="CCO347" s="50"/>
      <c r="CCP347" s="50"/>
      <c r="CCQ347" s="50"/>
      <c r="CCR347" s="50"/>
      <c r="CCS347" s="50"/>
      <c r="CCT347" s="50"/>
      <c r="CCU347" s="50"/>
      <c r="CCV347" s="50"/>
      <c r="CCW347" s="50"/>
      <c r="CCX347" s="50"/>
      <c r="CCY347" s="50"/>
      <c r="CCZ347" s="50"/>
      <c r="CDA347" s="50"/>
      <c r="CDB347" s="50"/>
      <c r="CDC347" s="50"/>
      <c r="CDD347" s="50"/>
      <c r="CDE347" s="50"/>
      <c r="CDF347" s="50"/>
      <c r="CDG347" s="50"/>
      <c r="CDH347" s="50"/>
      <c r="CDI347" s="50"/>
      <c r="CDJ347" s="50"/>
      <c r="CDK347" s="50"/>
      <c r="CDL347" s="50"/>
      <c r="CDM347" s="50"/>
      <c r="CDN347" s="50"/>
      <c r="CDO347" s="50"/>
      <c r="CDP347" s="50"/>
      <c r="CDQ347" s="50"/>
      <c r="CDR347" s="50"/>
      <c r="CDS347" s="50"/>
      <c r="CDT347" s="50"/>
      <c r="CDU347" s="50"/>
      <c r="CDV347" s="50"/>
      <c r="CDW347" s="50"/>
      <c r="CDX347" s="50"/>
      <c r="CDY347" s="50"/>
      <c r="CDZ347" s="50"/>
      <c r="CEA347" s="50"/>
      <c r="CEB347" s="50"/>
      <c r="CEC347" s="50"/>
      <c r="CED347" s="50"/>
      <c r="CEE347" s="50"/>
      <c r="CEF347" s="50"/>
      <c r="CEG347" s="50"/>
      <c r="CEH347" s="50"/>
      <c r="CEI347" s="50"/>
      <c r="CEJ347" s="50"/>
      <c r="CEK347" s="50"/>
      <c r="CEL347" s="50"/>
      <c r="CEM347" s="50"/>
      <c r="CEN347" s="50"/>
      <c r="CEO347" s="50"/>
      <c r="CEP347" s="50"/>
      <c r="CEQ347" s="50"/>
      <c r="CER347" s="50"/>
      <c r="CES347" s="50"/>
      <c r="CET347" s="50"/>
      <c r="CEU347" s="50"/>
      <c r="CEV347" s="50"/>
      <c r="CEW347" s="50"/>
      <c r="CEX347" s="50"/>
      <c r="CEY347" s="50"/>
      <c r="CEZ347" s="50"/>
      <c r="CFA347" s="50"/>
      <c r="CFB347" s="50"/>
      <c r="CFC347" s="50"/>
      <c r="CFD347" s="50"/>
      <c r="CFE347" s="50"/>
      <c r="CFF347" s="50"/>
      <c r="CFG347" s="50"/>
      <c r="CFH347" s="50"/>
      <c r="CFI347" s="50"/>
      <c r="CFJ347" s="50"/>
      <c r="CFK347" s="50"/>
      <c r="CFL347" s="50"/>
      <c r="CFM347" s="50"/>
      <c r="CFN347" s="50"/>
      <c r="CFO347" s="50"/>
      <c r="CFP347" s="50"/>
      <c r="CFQ347" s="50"/>
      <c r="CFR347" s="50"/>
      <c r="CFS347" s="50"/>
      <c r="CFT347" s="50"/>
      <c r="CFU347" s="50"/>
      <c r="CFV347" s="50"/>
      <c r="CFW347" s="50"/>
      <c r="CFX347" s="50"/>
      <c r="CFY347" s="50"/>
      <c r="CFZ347" s="50"/>
      <c r="CGA347" s="50"/>
      <c r="CGB347" s="50"/>
      <c r="CGC347" s="50"/>
      <c r="CGD347" s="50"/>
      <c r="CGE347" s="50"/>
      <c r="CGF347" s="50"/>
      <c r="CGG347" s="50"/>
      <c r="CGH347" s="50"/>
      <c r="CGI347" s="50"/>
      <c r="CGJ347" s="50"/>
      <c r="CGK347" s="50"/>
      <c r="CGL347" s="50"/>
      <c r="CGM347" s="50"/>
      <c r="CGN347" s="50"/>
      <c r="CGO347" s="50"/>
      <c r="CGP347" s="50"/>
      <c r="CGQ347" s="50"/>
      <c r="CGR347" s="50"/>
      <c r="CGS347" s="50"/>
      <c r="CGT347" s="50"/>
      <c r="CGU347" s="50"/>
      <c r="CGV347" s="50"/>
      <c r="CGW347" s="50"/>
      <c r="CGX347" s="50"/>
      <c r="CGY347" s="50"/>
      <c r="CGZ347" s="50"/>
      <c r="CHA347" s="50"/>
      <c r="CHB347" s="50"/>
      <c r="CHC347" s="50"/>
      <c r="CHD347" s="50"/>
      <c r="CHE347" s="50"/>
      <c r="CHF347" s="50"/>
      <c r="CHG347" s="50"/>
      <c r="CHH347" s="50"/>
      <c r="CHI347" s="50"/>
      <c r="CHJ347" s="50"/>
      <c r="CHK347" s="50"/>
      <c r="CHL347" s="50"/>
      <c r="CHM347" s="50"/>
      <c r="CHN347" s="50"/>
      <c r="CHO347" s="50"/>
      <c r="CHP347" s="50"/>
      <c r="CHQ347" s="50"/>
      <c r="CHR347" s="50"/>
      <c r="CHS347" s="50"/>
      <c r="CHT347" s="50"/>
      <c r="CHU347" s="50"/>
      <c r="CHV347" s="50"/>
      <c r="CHW347" s="50"/>
      <c r="CHX347" s="50"/>
      <c r="CHY347" s="50"/>
      <c r="CHZ347" s="50"/>
      <c r="CIA347" s="50"/>
      <c r="CIB347" s="50"/>
      <c r="CIC347" s="50"/>
      <c r="CID347" s="50"/>
      <c r="CIE347" s="50"/>
      <c r="CIF347" s="50"/>
      <c r="CIG347" s="50"/>
      <c r="CIH347" s="50"/>
      <c r="CII347" s="50"/>
      <c r="CIJ347" s="50"/>
      <c r="CIK347" s="50"/>
      <c r="CIL347" s="50"/>
      <c r="CIM347" s="50"/>
      <c r="CIN347" s="50"/>
      <c r="CIO347" s="50"/>
      <c r="CIP347" s="50"/>
      <c r="CIQ347" s="50"/>
      <c r="CIR347" s="50"/>
      <c r="CIS347" s="50"/>
      <c r="CIT347" s="50"/>
      <c r="CIU347" s="50"/>
      <c r="CIV347" s="50"/>
      <c r="CIW347" s="50"/>
      <c r="CIX347" s="50"/>
      <c r="CIY347" s="50"/>
      <c r="CIZ347" s="50"/>
      <c r="CJA347" s="50"/>
      <c r="CJB347" s="50"/>
      <c r="CJC347" s="50"/>
      <c r="CJD347" s="50"/>
      <c r="CJE347" s="50"/>
      <c r="CJF347" s="50"/>
      <c r="CJG347" s="50"/>
      <c r="CJH347" s="50"/>
      <c r="CJI347" s="50"/>
      <c r="CJJ347" s="50"/>
      <c r="CJK347" s="50"/>
      <c r="CJL347" s="50"/>
      <c r="CJM347" s="50"/>
      <c r="CJN347" s="50"/>
      <c r="CJO347" s="50"/>
      <c r="CJP347" s="50"/>
      <c r="CJQ347" s="50"/>
      <c r="CJR347" s="50"/>
      <c r="CJS347" s="50"/>
      <c r="CJT347" s="50"/>
      <c r="CJU347" s="50"/>
      <c r="CJV347" s="50"/>
      <c r="CJW347" s="50"/>
      <c r="CJX347" s="50"/>
      <c r="CJY347" s="50"/>
      <c r="CJZ347" s="50"/>
      <c r="CKA347" s="50"/>
      <c r="CKB347" s="50"/>
      <c r="CKC347" s="50"/>
      <c r="CKD347" s="50"/>
      <c r="CKE347" s="50"/>
      <c r="CKF347" s="50"/>
      <c r="CKG347" s="50"/>
      <c r="CKH347" s="50"/>
      <c r="CKI347" s="50"/>
      <c r="CKJ347" s="50"/>
      <c r="CKK347" s="50"/>
      <c r="CKL347" s="50"/>
      <c r="CKM347" s="50"/>
      <c r="CKN347" s="50"/>
      <c r="CKO347" s="50"/>
      <c r="CKP347" s="50"/>
      <c r="CKQ347" s="50"/>
      <c r="CKR347" s="50"/>
      <c r="CKS347" s="50"/>
      <c r="CKT347" s="50"/>
      <c r="CKU347" s="50"/>
      <c r="CKV347" s="50"/>
      <c r="CKW347" s="50"/>
      <c r="CKX347" s="50"/>
      <c r="CKY347" s="50"/>
      <c r="CKZ347" s="50"/>
      <c r="CLA347" s="50"/>
      <c r="CLB347" s="50"/>
      <c r="CLC347" s="50"/>
      <c r="CLD347" s="50"/>
      <c r="CLE347" s="50"/>
      <c r="CLF347" s="50"/>
      <c r="CLG347" s="50"/>
      <c r="CLH347" s="50"/>
      <c r="CLI347" s="50"/>
      <c r="CLJ347" s="50"/>
      <c r="CLK347" s="50"/>
      <c r="CLL347" s="50"/>
      <c r="CLM347" s="50"/>
      <c r="CLN347" s="50"/>
      <c r="CLO347" s="50"/>
      <c r="CLP347" s="50"/>
      <c r="CLQ347" s="50"/>
      <c r="CLR347" s="50"/>
      <c r="CLS347" s="50"/>
      <c r="CLT347" s="50"/>
      <c r="CLU347" s="50"/>
      <c r="CLV347" s="50"/>
      <c r="CLW347" s="50"/>
      <c r="CLX347" s="50"/>
      <c r="CLY347" s="50"/>
      <c r="CLZ347" s="50"/>
      <c r="CMA347" s="50"/>
      <c r="CMB347" s="50"/>
      <c r="CMC347" s="50"/>
      <c r="CMD347" s="50"/>
      <c r="CME347" s="50"/>
      <c r="CMF347" s="50"/>
      <c r="CMG347" s="50"/>
      <c r="CMH347" s="50"/>
      <c r="CMI347" s="50"/>
      <c r="CMJ347" s="50"/>
      <c r="CMK347" s="50"/>
      <c r="CML347" s="50"/>
      <c r="CMM347" s="50"/>
      <c r="CMN347" s="50"/>
      <c r="CMO347" s="50"/>
      <c r="CMP347" s="50"/>
      <c r="CMQ347" s="50"/>
      <c r="CMR347" s="50"/>
      <c r="CMS347" s="50"/>
      <c r="CMT347" s="50"/>
      <c r="CMU347" s="50"/>
      <c r="CMV347" s="50"/>
      <c r="CMW347" s="50"/>
      <c r="CMX347" s="50"/>
      <c r="CMY347" s="50"/>
      <c r="CMZ347" s="50"/>
      <c r="CNA347" s="50"/>
      <c r="CNB347" s="50"/>
      <c r="CNC347" s="50"/>
      <c r="CND347" s="50"/>
      <c r="CNE347" s="50"/>
      <c r="CNF347" s="50"/>
      <c r="CNG347" s="50"/>
      <c r="CNH347" s="50"/>
      <c r="CNI347" s="50"/>
      <c r="CNJ347" s="50"/>
      <c r="CNK347" s="50"/>
      <c r="CNL347" s="50"/>
      <c r="CNM347" s="50"/>
      <c r="CNN347" s="50"/>
      <c r="CNO347" s="50"/>
      <c r="CNP347" s="50"/>
      <c r="CNQ347" s="50"/>
      <c r="CNR347" s="50"/>
      <c r="CNS347" s="50"/>
      <c r="CNT347" s="50"/>
      <c r="CNU347" s="50"/>
      <c r="CNV347" s="50"/>
      <c r="CNW347" s="50"/>
      <c r="CNX347" s="50"/>
      <c r="CNY347" s="50"/>
      <c r="CNZ347" s="50"/>
      <c r="COA347" s="50"/>
      <c r="COB347" s="50"/>
      <c r="COC347" s="50"/>
      <c r="COD347" s="50"/>
      <c r="COE347" s="50"/>
      <c r="COF347" s="50"/>
      <c r="COG347" s="50"/>
      <c r="COH347" s="50"/>
      <c r="COI347" s="50"/>
      <c r="COJ347" s="50"/>
      <c r="COK347" s="50"/>
      <c r="COL347" s="50"/>
      <c r="COM347" s="50"/>
      <c r="CON347" s="50"/>
      <c r="COO347" s="50"/>
      <c r="COP347" s="50"/>
      <c r="COQ347" s="50"/>
      <c r="COR347" s="50"/>
      <c r="COS347" s="50"/>
      <c r="COT347" s="50"/>
      <c r="COU347" s="50"/>
      <c r="COV347" s="50"/>
      <c r="COW347" s="50"/>
      <c r="COX347" s="50"/>
      <c r="COY347" s="50"/>
      <c r="COZ347" s="50"/>
      <c r="CPA347" s="50"/>
      <c r="CPB347" s="50"/>
      <c r="CPC347" s="50"/>
      <c r="CPD347" s="50"/>
      <c r="CPE347" s="50"/>
      <c r="CPF347" s="50"/>
      <c r="CPG347" s="50"/>
      <c r="CPH347" s="50"/>
      <c r="CPI347" s="50"/>
      <c r="CPJ347" s="50"/>
      <c r="CPK347" s="50"/>
      <c r="CPL347" s="50"/>
      <c r="CPM347" s="50"/>
      <c r="CPN347" s="50"/>
      <c r="CPO347" s="50"/>
      <c r="CPP347" s="50"/>
      <c r="CPQ347" s="50"/>
      <c r="CPR347" s="50"/>
      <c r="CPS347" s="50"/>
      <c r="CPT347" s="50"/>
      <c r="CPU347" s="50"/>
      <c r="CPV347" s="50"/>
      <c r="CPW347" s="50"/>
      <c r="CPX347" s="50"/>
      <c r="CPY347" s="50"/>
      <c r="CPZ347" s="50"/>
      <c r="CQA347" s="50"/>
      <c r="CQB347" s="50"/>
      <c r="CQC347" s="50"/>
      <c r="CQD347" s="50"/>
      <c r="CQE347" s="50"/>
      <c r="CQF347" s="50"/>
      <c r="CQG347" s="50"/>
      <c r="CQH347" s="50"/>
      <c r="CQI347" s="50"/>
      <c r="CQJ347" s="50"/>
      <c r="CQK347" s="50"/>
      <c r="CQL347" s="50"/>
      <c r="CQM347" s="50"/>
      <c r="CQN347" s="50"/>
      <c r="CQO347" s="50"/>
      <c r="CQP347" s="50"/>
      <c r="CQQ347" s="50"/>
      <c r="CQR347" s="50"/>
      <c r="CQS347" s="50"/>
      <c r="CQT347" s="50"/>
      <c r="CQU347" s="50"/>
      <c r="CQV347" s="50"/>
      <c r="CQW347" s="50"/>
      <c r="CQX347" s="50"/>
      <c r="CQY347" s="50"/>
      <c r="CQZ347" s="50"/>
      <c r="CRA347" s="50"/>
      <c r="CRB347" s="50"/>
      <c r="CRC347" s="50"/>
      <c r="CRD347" s="50"/>
      <c r="CRE347" s="50"/>
      <c r="CRF347" s="50"/>
      <c r="CRG347" s="50"/>
      <c r="CRH347" s="50"/>
      <c r="CRI347" s="50"/>
      <c r="CRJ347" s="50"/>
      <c r="CRK347" s="50"/>
      <c r="CRL347" s="50"/>
      <c r="CRM347" s="50"/>
      <c r="CRN347" s="50"/>
      <c r="CRO347" s="50"/>
      <c r="CRP347" s="50"/>
      <c r="CRQ347" s="50"/>
      <c r="CRR347" s="50"/>
      <c r="CRS347" s="50"/>
      <c r="CRT347" s="50"/>
      <c r="CRU347" s="50"/>
      <c r="CRV347" s="50"/>
      <c r="CRW347" s="50"/>
      <c r="CRX347" s="50"/>
      <c r="CRY347" s="50"/>
      <c r="CRZ347" s="50"/>
      <c r="CSA347" s="50"/>
      <c r="CSB347" s="50"/>
      <c r="CSC347" s="50"/>
      <c r="CSD347" s="50"/>
      <c r="CSE347" s="50"/>
      <c r="CSF347" s="50"/>
      <c r="CSG347" s="50"/>
      <c r="CSH347" s="50"/>
      <c r="CSI347" s="50"/>
      <c r="CSJ347" s="50"/>
      <c r="CSK347" s="50"/>
      <c r="CSL347" s="50"/>
      <c r="CSM347" s="50"/>
      <c r="CSN347" s="50"/>
      <c r="CSO347" s="50"/>
      <c r="CSP347" s="50"/>
      <c r="CSQ347" s="50"/>
      <c r="CSR347" s="50"/>
      <c r="CSS347" s="50"/>
      <c r="CST347" s="50"/>
      <c r="CSU347" s="50"/>
      <c r="CSV347" s="50"/>
      <c r="CSW347" s="50"/>
      <c r="CSX347" s="50"/>
      <c r="CSY347" s="50"/>
      <c r="CSZ347" s="50"/>
      <c r="CTA347" s="50"/>
      <c r="CTB347" s="50"/>
      <c r="CTC347" s="50"/>
      <c r="CTD347" s="50"/>
      <c r="CTE347" s="50"/>
      <c r="CTF347" s="50"/>
      <c r="CTG347" s="50"/>
      <c r="CTH347" s="50"/>
      <c r="CTI347" s="50"/>
      <c r="CTJ347" s="50"/>
      <c r="CTK347" s="50"/>
      <c r="CTL347" s="50"/>
      <c r="CTM347" s="50"/>
      <c r="CTN347" s="50"/>
      <c r="CTO347" s="50"/>
      <c r="CTP347" s="50"/>
      <c r="CTQ347" s="50"/>
      <c r="CTR347" s="50"/>
      <c r="CTS347" s="50"/>
      <c r="CTT347" s="50"/>
      <c r="CTU347" s="50"/>
      <c r="CTV347" s="50"/>
      <c r="CTW347" s="50"/>
      <c r="CTX347" s="50"/>
      <c r="CTY347" s="50"/>
      <c r="CTZ347" s="50"/>
      <c r="CUA347" s="50"/>
      <c r="CUB347" s="50"/>
      <c r="CUC347" s="50"/>
      <c r="CUD347" s="50"/>
      <c r="CUE347" s="50"/>
      <c r="CUF347" s="50"/>
      <c r="CUG347" s="50"/>
      <c r="CUH347" s="50"/>
      <c r="CUI347" s="50"/>
      <c r="CUJ347" s="50"/>
      <c r="CUK347" s="50"/>
      <c r="CUL347" s="50"/>
      <c r="CUM347" s="50"/>
      <c r="CUN347" s="50"/>
      <c r="CUO347" s="50"/>
      <c r="CUP347" s="50"/>
      <c r="CUQ347" s="50"/>
      <c r="CUR347" s="50"/>
      <c r="CUS347" s="50"/>
      <c r="CUT347" s="50"/>
      <c r="CUU347" s="50"/>
      <c r="CUV347" s="50"/>
      <c r="CUW347" s="50"/>
      <c r="CUX347" s="50"/>
      <c r="CUY347" s="50"/>
      <c r="CUZ347" s="50"/>
      <c r="CVA347" s="50"/>
      <c r="CVB347" s="50"/>
      <c r="CVC347" s="50"/>
      <c r="CVD347" s="50"/>
      <c r="CVE347" s="50"/>
      <c r="CVF347" s="50"/>
      <c r="CVG347" s="50"/>
      <c r="CVH347" s="50"/>
      <c r="CVI347" s="50"/>
      <c r="CVJ347" s="50"/>
      <c r="CVK347" s="50"/>
      <c r="CVL347" s="50"/>
      <c r="CVM347" s="50"/>
      <c r="CVN347" s="50"/>
      <c r="CVO347" s="50"/>
      <c r="CVP347" s="50"/>
      <c r="CVQ347" s="50"/>
      <c r="CVR347" s="50"/>
      <c r="CVS347" s="50"/>
      <c r="CVT347" s="50"/>
      <c r="CVU347" s="50"/>
      <c r="CVV347" s="50"/>
      <c r="CVW347" s="50"/>
      <c r="CVX347" s="50"/>
      <c r="CVY347" s="50"/>
      <c r="CVZ347" s="50"/>
      <c r="CWA347" s="50"/>
      <c r="CWB347" s="50"/>
      <c r="CWC347" s="50"/>
      <c r="CWD347" s="50"/>
      <c r="CWE347" s="50"/>
      <c r="CWF347" s="50"/>
      <c r="CWG347" s="50"/>
      <c r="CWH347" s="50"/>
      <c r="CWI347" s="50"/>
      <c r="CWJ347" s="50"/>
      <c r="CWK347" s="50"/>
      <c r="CWL347" s="50"/>
      <c r="CWM347" s="50"/>
      <c r="CWN347" s="50"/>
      <c r="CWO347" s="50"/>
      <c r="CWP347" s="50"/>
      <c r="CWQ347" s="50"/>
      <c r="CWR347" s="50"/>
      <c r="CWS347" s="50"/>
      <c r="CWT347" s="50"/>
      <c r="CWU347" s="50"/>
      <c r="CWV347" s="50"/>
      <c r="CWW347" s="50"/>
      <c r="CWX347" s="50"/>
      <c r="CWY347" s="50"/>
      <c r="CWZ347" s="50"/>
      <c r="CXA347" s="50"/>
      <c r="CXB347" s="50"/>
      <c r="CXC347" s="50"/>
      <c r="CXD347" s="50"/>
      <c r="CXE347" s="50"/>
      <c r="CXF347" s="50"/>
      <c r="CXG347" s="50"/>
      <c r="CXH347" s="50"/>
      <c r="CXI347" s="50"/>
      <c r="CXJ347" s="50"/>
      <c r="CXK347" s="50"/>
      <c r="CXL347" s="50"/>
      <c r="CXM347" s="50"/>
      <c r="CXN347" s="50"/>
      <c r="CXO347" s="50"/>
      <c r="CXP347" s="50"/>
      <c r="CXQ347" s="50"/>
      <c r="CXR347" s="50"/>
      <c r="CXS347" s="50"/>
      <c r="CXT347" s="50"/>
      <c r="CXU347" s="50"/>
      <c r="CXV347" s="50"/>
      <c r="CXW347" s="50"/>
      <c r="CXX347" s="50"/>
      <c r="CXY347" s="50"/>
      <c r="CXZ347" s="50"/>
      <c r="CYA347" s="50"/>
      <c r="CYB347" s="50"/>
      <c r="CYC347" s="50"/>
      <c r="CYD347" s="50"/>
      <c r="CYE347" s="50"/>
      <c r="CYF347" s="50"/>
      <c r="CYG347" s="50"/>
      <c r="CYH347" s="50"/>
      <c r="CYI347" s="50"/>
      <c r="CYJ347" s="50"/>
      <c r="CYK347" s="50"/>
      <c r="CYL347" s="50"/>
      <c r="CYM347" s="50"/>
      <c r="CYN347" s="50"/>
      <c r="CYO347" s="50"/>
      <c r="CYP347" s="50"/>
      <c r="CYQ347" s="50"/>
      <c r="CYR347" s="50"/>
      <c r="CYS347" s="50"/>
      <c r="CYT347" s="50"/>
      <c r="CYU347" s="50"/>
      <c r="CYV347" s="50"/>
      <c r="CYW347" s="50"/>
      <c r="CYX347" s="50"/>
      <c r="CYY347" s="50"/>
      <c r="CYZ347" s="50"/>
      <c r="CZA347" s="50"/>
      <c r="CZB347" s="50"/>
      <c r="CZC347" s="50"/>
      <c r="CZD347" s="50"/>
      <c r="CZE347" s="50"/>
      <c r="CZF347" s="50"/>
      <c r="CZG347" s="50"/>
      <c r="CZH347" s="50"/>
      <c r="CZI347" s="50"/>
      <c r="CZJ347" s="50"/>
      <c r="CZK347" s="50"/>
      <c r="CZL347" s="50"/>
      <c r="CZM347" s="50"/>
      <c r="CZN347" s="50"/>
      <c r="CZO347" s="50"/>
      <c r="CZP347" s="50"/>
      <c r="CZQ347" s="50"/>
      <c r="CZR347" s="50"/>
      <c r="CZS347" s="50"/>
      <c r="CZT347" s="50"/>
      <c r="CZU347" s="50"/>
      <c r="CZV347" s="50"/>
      <c r="CZW347" s="50"/>
      <c r="CZX347" s="50"/>
      <c r="CZY347" s="50"/>
      <c r="CZZ347" s="50"/>
      <c r="DAA347" s="50"/>
      <c r="DAB347" s="50"/>
      <c r="DAC347" s="50"/>
      <c r="DAD347" s="50"/>
      <c r="DAE347" s="50"/>
      <c r="DAF347" s="50"/>
      <c r="DAG347" s="50"/>
      <c r="DAH347" s="50"/>
      <c r="DAI347" s="50"/>
      <c r="DAJ347" s="50"/>
      <c r="DAK347" s="50"/>
      <c r="DAL347" s="50"/>
      <c r="DAM347" s="50"/>
      <c r="DAN347" s="50"/>
      <c r="DAO347" s="50"/>
      <c r="DAP347" s="50"/>
      <c r="DAQ347" s="50"/>
      <c r="DAR347" s="50"/>
      <c r="DAS347" s="50"/>
      <c r="DAT347" s="50"/>
      <c r="DAU347" s="50"/>
      <c r="DAV347" s="50"/>
      <c r="DAW347" s="50"/>
      <c r="DAX347" s="50"/>
      <c r="DAY347" s="50"/>
      <c r="DAZ347" s="50"/>
      <c r="DBA347" s="50"/>
      <c r="DBB347" s="50"/>
      <c r="DBC347" s="50"/>
      <c r="DBD347" s="50"/>
      <c r="DBE347" s="50"/>
      <c r="DBF347" s="50"/>
      <c r="DBG347" s="50"/>
      <c r="DBH347" s="50"/>
      <c r="DBI347" s="50"/>
      <c r="DBJ347" s="50"/>
      <c r="DBK347" s="50"/>
      <c r="DBL347" s="50"/>
      <c r="DBM347" s="50"/>
      <c r="DBN347" s="50"/>
      <c r="DBO347" s="50"/>
      <c r="DBP347" s="50"/>
      <c r="DBQ347" s="50"/>
      <c r="DBR347" s="50"/>
      <c r="DBS347" s="50"/>
      <c r="DBT347" s="50"/>
      <c r="DBU347" s="50"/>
      <c r="DBV347" s="50"/>
      <c r="DBW347" s="50"/>
      <c r="DBX347" s="50"/>
      <c r="DBY347" s="50"/>
      <c r="DBZ347" s="50"/>
      <c r="DCA347" s="50"/>
      <c r="DCB347" s="50"/>
      <c r="DCC347" s="50"/>
      <c r="DCD347" s="50"/>
      <c r="DCE347" s="50"/>
      <c r="DCF347" s="50"/>
      <c r="DCG347" s="50"/>
      <c r="DCH347" s="50"/>
      <c r="DCI347" s="50"/>
      <c r="DCJ347" s="50"/>
      <c r="DCK347" s="50"/>
      <c r="DCL347" s="50"/>
      <c r="DCM347" s="50"/>
      <c r="DCN347" s="50"/>
      <c r="DCO347" s="50"/>
      <c r="DCP347" s="50"/>
      <c r="DCQ347" s="50"/>
      <c r="DCR347" s="50"/>
      <c r="DCS347" s="50"/>
      <c r="DCT347" s="50"/>
      <c r="DCU347" s="50"/>
      <c r="DCV347" s="50"/>
      <c r="DCW347" s="50"/>
      <c r="DCX347" s="50"/>
      <c r="DCY347" s="50"/>
      <c r="DCZ347" s="50"/>
      <c r="DDA347" s="50"/>
      <c r="DDB347" s="50"/>
      <c r="DDC347" s="50"/>
      <c r="DDD347" s="50"/>
      <c r="DDE347" s="50"/>
      <c r="DDF347" s="50"/>
      <c r="DDG347" s="50"/>
      <c r="DDH347" s="50"/>
      <c r="DDI347" s="50"/>
      <c r="DDJ347" s="50"/>
      <c r="DDK347" s="50"/>
      <c r="DDL347" s="50"/>
      <c r="DDM347" s="50"/>
      <c r="DDN347" s="50"/>
      <c r="DDO347" s="50"/>
      <c r="DDP347" s="50"/>
      <c r="DDQ347" s="50"/>
      <c r="DDR347" s="50"/>
      <c r="DDS347" s="50"/>
      <c r="DDT347" s="50"/>
      <c r="DDU347" s="50"/>
      <c r="DDV347" s="50"/>
      <c r="DDW347" s="50"/>
      <c r="DDX347" s="50"/>
      <c r="DDY347" s="50"/>
      <c r="DDZ347" s="50"/>
      <c r="DEA347" s="50"/>
      <c r="DEB347" s="50"/>
      <c r="DEC347" s="50"/>
      <c r="DED347" s="50"/>
      <c r="DEE347" s="50"/>
      <c r="DEF347" s="50"/>
      <c r="DEG347" s="50"/>
      <c r="DEH347" s="50"/>
      <c r="DEI347" s="50"/>
      <c r="DEJ347" s="50"/>
      <c r="DEK347" s="50"/>
      <c r="DEL347" s="50"/>
      <c r="DEM347" s="50"/>
      <c r="DEN347" s="50"/>
      <c r="DEO347" s="50"/>
      <c r="DEP347" s="50"/>
      <c r="DEQ347" s="50"/>
      <c r="DER347" s="50"/>
      <c r="DES347" s="50"/>
      <c r="DET347" s="50"/>
      <c r="DEU347" s="50"/>
      <c r="DEV347" s="50"/>
      <c r="DEW347" s="50"/>
      <c r="DEX347" s="50"/>
      <c r="DEY347" s="50"/>
      <c r="DEZ347" s="50"/>
      <c r="DFA347" s="50"/>
      <c r="DFB347" s="50"/>
      <c r="DFC347" s="50"/>
      <c r="DFD347" s="50"/>
      <c r="DFE347" s="50"/>
      <c r="DFF347" s="50"/>
      <c r="DFG347" s="50"/>
      <c r="DFH347" s="50"/>
      <c r="DFI347" s="50"/>
      <c r="DFJ347" s="50"/>
      <c r="DFK347" s="50"/>
      <c r="DFL347" s="50"/>
      <c r="DFM347" s="50"/>
      <c r="DFN347" s="50"/>
      <c r="DFO347" s="50"/>
      <c r="DFP347" s="50"/>
      <c r="DFQ347" s="50"/>
      <c r="DFR347" s="50"/>
      <c r="DFS347" s="50"/>
      <c r="DFT347" s="50"/>
      <c r="DFU347" s="50"/>
      <c r="DFV347" s="50"/>
      <c r="DFW347" s="50"/>
      <c r="DFX347" s="50"/>
      <c r="DFY347" s="50"/>
      <c r="DFZ347" s="50"/>
      <c r="DGA347" s="50"/>
      <c r="DGB347" s="50"/>
      <c r="DGC347" s="50"/>
      <c r="DGD347" s="50"/>
      <c r="DGE347" s="50"/>
      <c r="DGF347" s="50"/>
      <c r="DGG347" s="50"/>
      <c r="DGH347" s="50"/>
      <c r="DGI347" s="50"/>
      <c r="DGJ347" s="50"/>
      <c r="DGK347" s="50"/>
      <c r="DGL347" s="50"/>
      <c r="DGM347" s="50"/>
      <c r="DGN347" s="50"/>
      <c r="DGO347" s="50"/>
      <c r="DGP347" s="50"/>
      <c r="DGQ347" s="50"/>
      <c r="DGR347" s="50"/>
      <c r="DGS347" s="50"/>
      <c r="DGT347" s="50"/>
      <c r="DGU347" s="50"/>
      <c r="DGV347" s="50"/>
      <c r="DGW347" s="50"/>
      <c r="DGX347" s="50"/>
      <c r="DGY347" s="50"/>
      <c r="DGZ347" s="50"/>
      <c r="DHA347" s="50"/>
      <c r="DHB347" s="50"/>
      <c r="DHC347" s="50"/>
      <c r="DHD347" s="50"/>
      <c r="DHE347" s="50"/>
      <c r="DHF347" s="50"/>
      <c r="DHG347" s="50"/>
      <c r="DHH347" s="50"/>
      <c r="DHI347" s="50"/>
      <c r="DHJ347" s="50"/>
      <c r="DHK347" s="50"/>
      <c r="DHL347" s="50"/>
      <c r="DHM347" s="50"/>
      <c r="DHN347" s="50"/>
      <c r="DHO347" s="50"/>
      <c r="DHP347" s="50"/>
      <c r="DHQ347" s="50"/>
      <c r="DHR347" s="50"/>
      <c r="DHS347" s="50"/>
      <c r="DHT347" s="50"/>
      <c r="DHU347" s="50"/>
      <c r="DHV347" s="50"/>
      <c r="DHW347" s="50"/>
      <c r="DHX347" s="50"/>
      <c r="DHY347" s="50"/>
      <c r="DHZ347" s="50"/>
      <c r="DIA347" s="50"/>
      <c r="DIB347" s="50"/>
      <c r="DIC347" s="50"/>
      <c r="DID347" s="50"/>
      <c r="DIE347" s="50"/>
      <c r="DIF347" s="50"/>
      <c r="DIG347" s="50"/>
      <c r="DIH347" s="50"/>
      <c r="DII347" s="50"/>
      <c r="DIJ347" s="50"/>
      <c r="DIK347" s="50"/>
      <c r="DIL347" s="50"/>
      <c r="DIM347" s="50"/>
      <c r="DIN347" s="50"/>
      <c r="DIO347" s="50"/>
      <c r="DIP347" s="50"/>
      <c r="DIQ347" s="50"/>
      <c r="DIR347" s="50"/>
      <c r="DIS347" s="50"/>
      <c r="DIT347" s="50"/>
      <c r="DIU347" s="50"/>
      <c r="DIV347" s="50"/>
      <c r="DIW347" s="50"/>
      <c r="DIX347" s="50"/>
      <c r="DIY347" s="50"/>
      <c r="DIZ347" s="50"/>
      <c r="DJA347" s="50"/>
      <c r="DJB347" s="50"/>
      <c r="DJC347" s="50"/>
      <c r="DJD347" s="50"/>
      <c r="DJE347" s="50"/>
      <c r="DJF347" s="50"/>
      <c r="DJG347" s="50"/>
      <c r="DJH347" s="50"/>
      <c r="DJI347" s="50"/>
      <c r="DJJ347" s="50"/>
      <c r="DJK347" s="50"/>
      <c r="DJL347" s="50"/>
      <c r="DJM347" s="50"/>
      <c r="DJN347" s="50"/>
      <c r="DJO347" s="50"/>
      <c r="DJP347" s="50"/>
      <c r="DJQ347" s="50"/>
      <c r="DJR347" s="50"/>
      <c r="DJS347" s="50"/>
      <c r="DJT347" s="50"/>
      <c r="DJU347" s="50"/>
      <c r="DJV347" s="50"/>
      <c r="DJW347" s="50"/>
      <c r="DJX347" s="50"/>
      <c r="DJY347" s="50"/>
      <c r="DJZ347" s="50"/>
      <c r="DKA347" s="50"/>
      <c r="DKB347" s="50"/>
      <c r="DKC347" s="50"/>
      <c r="DKD347" s="50"/>
      <c r="DKE347" s="50"/>
      <c r="DKF347" s="50"/>
      <c r="DKG347" s="50"/>
      <c r="DKH347" s="50"/>
      <c r="DKI347" s="50"/>
      <c r="DKJ347" s="50"/>
      <c r="DKK347" s="50"/>
      <c r="DKL347" s="50"/>
      <c r="DKM347" s="50"/>
      <c r="DKN347" s="50"/>
      <c r="DKO347" s="50"/>
      <c r="DKP347" s="50"/>
      <c r="DKQ347" s="50"/>
      <c r="DKR347" s="50"/>
      <c r="DKS347" s="50"/>
      <c r="DKT347" s="50"/>
      <c r="DKU347" s="50"/>
      <c r="DKV347" s="50"/>
      <c r="DKW347" s="50"/>
      <c r="DKX347" s="50"/>
      <c r="DKY347" s="50"/>
      <c r="DKZ347" s="50"/>
      <c r="DLA347" s="50"/>
      <c r="DLB347" s="50"/>
      <c r="DLC347" s="50"/>
      <c r="DLD347" s="50"/>
      <c r="DLE347" s="50"/>
      <c r="DLF347" s="50"/>
      <c r="DLG347" s="50"/>
      <c r="DLH347" s="50"/>
      <c r="DLI347" s="50"/>
      <c r="DLJ347" s="50"/>
      <c r="DLK347" s="50"/>
      <c r="DLL347" s="50"/>
      <c r="DLM347" s="50"/>
      <c r="DLN347" s="50"/>
      <c r="DLO347" s="50"/>
      <c r="DLP347" s="50"/>
      <c r="DLQ347" s="50"/>
      <c r="DLR347" s="50"/>
      <c r="DLS347" s="50"/>
      <c r="DLT347" s="50"/>
      <c r="DLU347" s="50"/>
      <c r="DLV347" s="50"/>
      <c r="DLW347" s="50"/>
      <c r="DLX347" s="50"/>
      <c r="DLY347" s="50"/>
      <c r="DLZ347" s="50"/>
      <c r="DMA347" s="50"/>
      <c r="DMB347" s="50"/>
      <c r="DMC347" s="50"/>
      <c r="DMD347" s="50"/>
      <c r="DME347" s="50"/>
      <c r="DMF347" s="50"/>
      <c r="DMG347" s="50"/>
      <c r="DMH347" s="50"/>
      <c r="DMI347" s="50"/>
      <c r="DMJ347" s="50"/>
      <c r="DMK347" s="50"/>
      <c r="DML347" s="50"/>
      <c r="DMM347" s="50"/>
      <c r="DMN347" s="50"/>
      <c r="DMO347" s="50"/>
      <c r="DMP347" s="50"/>
      <c r="DMQ347" s="50"/>
      <c r="DMR347" s="50"/>
      <c r="DMS347" s="50"/>
      <c r="DMT347" s="50"/>
      <c r="DMU347" s="50"/>
      <c r="DMV347" s="50"/>
      <c r="DMW347" s="50"/>
      <c r="DMX347" s="50"/>
      <c r="DMY347" s="50"/>
      <c r="DMZ347" s="50"/>
      <c r="DNA347" s="50"/>
      <c r="DNB347" s="50"/>
      <c r="DNC347" s="50"/>
      <c r="DND347" s="50"/>
      <c r="DNE347" s="50"/>
      <c r="DNF347" s="50"/>
      <c r="DNG347" s="50"/>
      <c r="DNH347" s="50"/>
      <c r="DNI347" s="50"/>
      <c r="DNJ347" s="50"/>
      <c r="DNK347" s="50"/>
      <c r="DNL347" s="50"/>
      <c r="DNM347" s="50"/>
      <c r="DNN347" s="50"/>
      <c r="DNO347" s="50"/>
      <c r="DNP347" s="50"/>
      <c r="DNQ347" s="50"/>
      <c r="DNR347" s="50"/>
      <c r="DNS347" s="50"/>
      <c r="DNT347" s="50"/>
      <c r="DNU347" s="50"/>
      <c r="DNV347" s="50"/>
      <c r="DNW347" s="50"/>
      <c r="DNX347" s="50"/>
      <c r="DNY347" s="50"/>
      <c r="DNZ347" s="50"/>
      <c r="DOA347" s="50"/>
      <c r="DOB347" s="50"/>
      <c r="DOC347" s="50"/>
      <c r="DOD347" s="50"/>
      <c r="DOE347" s="50"/>
      <c r="DOF347" s="50"/>
      <c r="DOG347" s="50"/>
      <c r="DOH347" s="50"/>
      <c r="DOI347" s="50"/>
      <c r="DOJ347" s="50"/>
      <c r="DOK347" s="50"/>
      <c r="DOL347" s="50"/>
      <c r="DOM347" s="50"/>
      <c r="DON347" s="50"/>
      <c r="DOO347" s="50"/>
      <c r="DOP347" s="50"/>
      <c r="DOQ347" s="50"/>
      <c r="DOR347" s="50"/>
      <c r="DOS347" s="50"/>
      <c r="DOT347" s="50"/>
      <c r="DOU347" s="50"/>
      <c r="DOV347" s="50"/>
      <c r="DOW347" s="50"/>
      <c r="DOX347" s="50"/>
      <c r="DOY347" s="50"/>
      <c r="DOZ347" s="50"/>
      <c r="DPA347" s="50"/>
      <c r="DPB347" s="50"/>
      <c r="DPC347" s="50"/>
      <c r="DPD347" s="50"/>
      <c r="DPE347" s="50"/>
      <c r="DPF347" s="50"/>
      <c r="DPG347" s="50"/>
      <c r="DPH347" s="50"/>
      <c r="DPI347" s="50"/>
      <c r="DPJ347" s="50"/>
      <c r="DPK347" s="50"/>
      <c r="DPL347" s="50"/>
      <c r="DPM347" s="50"/>
      <c r="DPN347" s="50"/>
      <c r="DPO347" s="50"/>
      <c r="DPP347" s="50"/>
      <c r="DPQ347" s="50"/>
      <c r="DPR347" s="50"/>
      <c r="DPS347" s="50"/>
      <c r="DPT347" s="50"/>
      <c r="DPU347" s="50"/>
      <c r="DPV347" s="50"/>
      <c r="DPW347" s="50"/>
      <c r="DPX347" s="50"/>
      <c r="DPY347" s="50"/>
      <c r="DPZ347" s="50"/>
      <c r="DQA347" s="50"/>
      <c r="DQB347" s="50"/>
      <c r="DQC347" s="50"/>
      <c r="DQD347" s="50"/>
      <c r="DQE347" s="50"/>
      <c r="DQF347" s="50"/>
      <c r="DQG347" s="50"/>
      <c r="DQH347" s="50"/>
      <c r="DQI347" s="50"/>
      <c r="DQJ347" s="50"/>
      <c r="DQK347" s="50"/>
      <c r="DQL347" s="50"/>
      <c r="DQM347" s="50"/>
      <c r="DQN347" s="50"/>
      <c r="DQO347" s="50"/>
      <c r="DQP347" s="50"/>
      <c r="DQQ347" s="50"/>
      <c r="DQR347" s="50"/>
      <c r="DQS347" s="50"/>
      <c r="DQT347" s="50"/>
      <c r="DQU347" s="50"/>
      <c r="DQV347" s="50"/>
      <c r="DQW347" s="50"/>
      <c r="DQX347" s="50"/>
      <c r="DQY347" s="50"/>
      <c r="DQZ347" s="50"/>
      <c r="DRA347" s="50"/>
      <c r="DRB347" s="50"/>
      <c r="DRC347" s="50"/>
      <c r="DRD347" s="50"/>
      <c r="DRE347" s="50"/>
      <c r="DRF347" s="50"/>
      <c r="DRG347" s="50"/>
      <c r="DRH347" s="50"/>
      <c r="DRI347" s="50"/>
      <c r="DRJ347" s="50"/>
      <c r="DRK347" s="50"/>
      <c r="DRL347" s="50"/>
      <c r="DRM347" s="50"/>
      <c r="DRN347" s="50"/>
      <c r="DRO347" s="50"/>
      <c r="DRP347" s="50"/>
      <c r="DRQ347" s="50"/>
      <c r="DRR347" s="50"/>
      <c r="DRS347" s="50"/>
      <c r="DRT347" s="50"/>
      <c r="DRU347" s="50"/>
      <c r="DRV347" s="50"/>
      <c r="DRW347" s="50"/>
      <c r="DRX347" s="50"/>
      <c r="DRY347" s="50"/>
      <c r="DRZ347" s="50"/>
      <c r="DSA347" s="50"/>
      <c r="DSB347" s="50"/>
      <c r="DSC347" s="50"/>
      <c r="DSD347" s="50"/>
      <c r="DSE347" s="50"/>
      <c r="DSF347" s="50"/>
      <c r="DSG347" s="50"/>
      <c r="DSH347" s="50"/>
      <c r="DSI347" s="50"/>
      <c r="DSJ347" s="50"/>
      <c r="DSK347" s="50"/>
      <c r="DSL347" s="50"/>
      <c r="DSM347" s="50"/>
      <c r="DSN347" s="50"/>
      <c r="DSO347" s="50"/>
      <c r="DSP347" s="50"/>
      <c r="DSQ347" s="50"/>
      <c r="DSR347" s="50"/>
      <c r="DSS347" s="50"/>
      <c r="DST347" s="50"/>
      <c r="DSU347" s="50"/>
      <c r="DSV347" s="50"/>
      <c r="DSW347" s="50"/>
      <c r="DSX347" s="50"/>
      <c r="DSY347" s="50"/>
      <c r="DSZ347" s="50"/>
      <c r="DTA347" s="50"/>
      <c r="DTB347" s="50"/>
      <c r="DTC347" s="50"/>
      <c r="DTD347" s="50"/>
      <c r="DTE347" s="50"/>
      <c r="DTF347" s="50"/>
      <c r="DTG347" s="50"/>
      <c r="DTH347" s="50"/>
      <c r="DTI347" s="50"/>
      <c r="DTJ347" s="50"/>
      <c r="DTK347" s="50"/>
      <c r="DTL347" s="50"/>
      <c r="DTM347" s="50"/>
      <c r="DTN347" s="50"/>
      <c r="DTO347" s="50"/>
      <c r="DTP347" s="50"/>
      <c r="DTQ347" s="50"/>
      <c r="DTR347" s="50"/>
      <c r="DTS347" s="50"/>
      <c r="DTT347" s="50"/>
      <c r="DTU347" s="50"/>
      <c r="DTV347" s="50"/>
      <c r="DTW347" s="50"/>
      <c r="DTX347" s="50"/>
      <c r="DTY347" s="50"/>
      <c r="DTZ347" s="50"/>
      <c r="DUA347" s="50"/>
      <c r="DUB347" s="50"/>
      <c r="DUC347" s="50"/>
      <c r="DUD347" s="50"/>
      <c r="DUE347" s="50"/>
      <c r="DUF347" s="50"/>
      <c r="DUG347" s="50"/>
      <c r="DUH347" s="50"/>
      <c r="DUI347" s="50"/>
      <c r="DUJ347" s="50"/>
      <c r="DUK347" s="50"/>
      <c r="DUL347" s="50"/>
      <c r="DUM347" s="50"/>
      <c r="DUN347" s="50"/>
      <c r="DUO347" s="50"/>
      <c r="DUP347" s="50"/>
      <c r="DUQ347" s="50"/>
      <c r="DUR347" s="50"/>
      <c r="DUS347" s="50"/>
      <c r="DUT347" s="50"/>
      <c r="DUU347" s="50"/>
      <c r="DUV347" s="50"/>
      <c r="DUW347" s="50"/>
      <c r="DUX347" s="50"/>
      <c r="DUY347" s="50"/>
      <c r="DUZ347" s="50"/>
      <c r="DVA347" s="50"/>
      <c r="DVB347" s="50"/>
      <c r="DVC347" s="50"/>
      <c r="DVD347" s="50"/>
      <c r="DVE347" s="50"/>
      <c r="DVF347" s="50"/>
      <c r="DVG347" s="50"/>
      <c r="DVH347" s="50"/>
      <c r="DVI347" s="50"/>
      <c r="DVJ347" s="50"/>
      <c r="DVK347" s="50"/>
      <c r="DVL347" s="50"/>
      <c r="DVM347" s="50"/>
      <c r="DVN347" s="50"/>
      <c r="DVO347" s="50"/>
      <c r="DVP347" s="50"/>
      <c r="DVQ347" s="50"/>
      <c r="DVR347" s="50"/>
      <c r="DVS347" s="50"/>
      <c r="DVT347" s="50"/>
      <c r="DVU347" s="50"/>
      <c r="DVV347" s="50"/>
      <c r="DVW347" s="50"/>
      <c r="DVX347" s="50"/>
      <c r="DVY347" s="50"/>
      <c r="DVZ347" s="50"/>
      <c r="DWA347" s="50"/>
      <c r="DWB347" s="50"/>
      <c r="DWC347" s="50"/>
      <c r="DWD347" s="50"/>
      <c r="DWE347" s="50"/>
      <c r="DWF347" s="50"/>
      <c r="DWG347" s="50"/>
      <c r="DWH347" s="50"/>
      <c r="DWI347" s="50"/>
      <c r="DWJ347" s="50"/>
      <c r="DWK347" s="50"/>
      <c r="DWL347" s="50"/>
      <c r="DWM347" s="50"/>
      <c r="DWN347" s="50"/>
      <c r="DWO347" s="50"/>
      <c r="DWP347" s="50"/>
      <c r="DWQ347" s="50"/>
      <c r="DWR347" s="50"/>
      <c r="DWS347" s="50"/>
      <c r="DWT347" s="50"/>
      <c r="DWU347" s="50"/>
      <c r="DWV347" s="50"/>
      <c r="DWW347" s="50"/>
      <c r="DWX347" s="50"/>
      <c r="DWY347" s="50"/>
      <c r="DWZ347" s="50"/>
      <c r="DXA347" s="50"/>
      <c r="DXB347" s="50"/>
      <c r="DXC347" s="50"/>
      <c r="DXD347" s="50"/>
      <c r="DXE347" s="50"/>
      <c r="DXF347" s="50"/>
      <c r="DXG347" s="50"/>
      <c r="DXH347" s="50"/>
      <c r="DXI347" s="50"/>
      <c r="DXJ347" s="50"/>
      <c r="DXK347" s="50"/>
      <c r="DXL347" s="50"/>
      <c r="DXM347" s="50"/>
      <c r="DXN347" s="50"/>
      <c r="DXO347" s="50"/>
      <c r="DXP347" s="50"/>
      <c r="DXQ347" s="50"/>
      <c r="DXR347" s="50"/>
      <c r="DXS347" s="50"/>
      <c r="DXT347" s="50"/>
      <c r="DXU347" s="50"/>
      <c r="DXV347" s="50"/>
      <c r="DXW347" s="50"/>
      <c r="DXX347" s="50"/>
      <c r="DXY347" s="50"/>
      <c r="DXZ347" s="50"/>
      <c r="DYA347" s="50"/>
      <c r="DYB347" s="50"/>
      <c r="DYC347" s="50"/>
      <c r="DYD347" s="50"/>
      <c r="DYE347" s="50"/>
      <c r="DYF347" s="50"/>
      <c r="DYG347" s="50"/>
      <c r="DYH347" s="50"/>
      <c r="DYI347" s="50"/>
      <c r="DYJ347" s="50"/>
      <c r="DYK347" s="50"/>
      <c r="DYL347" s="50"/>
      <c r="DYM347" s="50"/>
      <c r="DYN347" s="50"/>
      <c r="DYO347" s="50"/>
      <c r="DYP347" s="50"/>
      <c r="DYQ347" s="50"/>
      <c r="DYR347" s="50"/>
      <c r="DYS347" s="50"/>
      <c r="DYT347" s="50"/>
      <c r="DYU347" s="50"/>
      <c r="DYV347" s="50"/>
      <c r="DYW347" s="50"/>
      <c r="DYX347" s="50"/>
      <c r="DYY347" s="50"/>
      <c r="DYZ347" s="50"/>
      <c r="DZA347" s="50"/>
      <c r="DZB347" s="50"/>
      <c r="DZC347" s="50"/>
      <c r="DZD347" s="50"/>
      <c r="DZE347" s="50"/>
      <c r="DZF347" s="50"/>
      <c r="DZG347" s="50"/>
      <c r="DZH347" s="50"/>
      <c r="DZI347" s="50"/>
      <c r="DZJ347" s="50"/>
      <c r="DZK347" s="50"/>
      <c r="DZL347" s="50"/>
      <c r="DZM347" s="50"/>
      <c r="DZN347" s="50"/>
      <c r="DZO347" s="50"/>
      <c r="DZP347" s="50"/>
      <c r="DZQ347" s="50"/>
      <c r="DZR347" s="50"/>
      <c r="DZS347" s="50"/>
      <c r="DZT347" s="50"/>
      <c r="DZU347" s="50"/>
      <c r="DZV347" s="50"/>
      <c r="DZW347" s="50"/>
      <c r="DZX347" s="50"/>
      <c r="DZY347" s="50"/>
      <c r="DZZ347" s="50"/>
      <c r="EAA347" s="50"/>
      <c r="EAB347" s="50"/>
      <c r="EAC347" s="50"/>
      <c r="EAD347" s="50"/>
      <c r="EAE347" s="50"/>
      <c r="EAF347" s="50"/>
      <c r="EAG347" s="50"/>
      <c r="EAH347" s="50"/>
      <c r="EAI347" s="50"/>
      <c r="EAJ347" s="50"/>
      <c r="EAK347" s="50"/>
      <c r="EAL347" s="50"/>
      <c r="EAM347" s="50"/>
      <c r="EAN347" s="50"/>
      <c r="EAO347" s="50"/>
      <c r="EAP347" s="50"/>
      <c r="EAQ347" s="50"/>
      <c r="EAR347" s="50"/>
      <c r="EAS347" s="50"/>
      <c r="EAT347" s="50"/>
      <c r="EAU347" s="50"/>
      <c r="EAV347" s="50"/>
      <c r="EAW347" s="50"/>
      <c r="EAX347" s="50"/>
      <c r="EAY347" s="50"/>
      <c r="EAZ347" s="50"/>
      <c r="EBA347" s="50"/>
      <c r="EBB347" s="50"/>
      <c r="EBC347" s="50"/>
      <c r="EBD347" s="50"/>
      <c r="EBE347" s="50"/>
      <c r="EBF347" s="50"/>
      <c r="EBG347" s="50"/>
      <c r="EBH347" s="50"/>
      <c r="EBI347" s="50"/>
      <c r="EBJ347" s="50"/>
      <c r="EBK347" s="50"/>
      <c r="EBL347" s="50"/>
      <c r="EBM347" s="50"/>
      <c r="EBN347" s="50"/>
      <c r="EBO347" s="50"/>
      <c r="EBP347" s="50"/>
      <c r="EBQ347" s="50"/>
      <c r="EBR347" s="50"/>
      <c r="EBS347" s="50"/>
      <c r="EBT347" s="50"/>
      <c r="EBU347" s="50"/>
      <c r="EBV347" s="50"/>
      <c r="EBW347" s="50"/>
      <c r="EBX347" s="50"/>
      <c r="EBY347" s="50"/>
      <c r="EBZ347" s="50"/>
      <c r="ECA347" s="50"/>
      <c r="ECB347" s="50"/>
      <c r="ECC347" s="50"/>
      <c r="ECD347" s="50"/>
      <c r="ECE347" s="50"/>
      <c r="ECF347" s="50"/>
      <c r="ECG347" s="50"/>
      <c r="ECH347" s="50"/>
      <c r="ECI347" s="50"/>
      <c r="ECJ347" s="50"/>
      <c r="ECK347" s="50"/>
      <c r="ECL347" s="50"/>
      <c r="ECM347" s="50"/>
      <c r="ECN347" s="50"/>
      <c r="ECO347" s="50"/>
      <c r="ECP347" s="50"/>
      <c r="ECQ347" s="50"/>
      <c r="ECR347" s="50"/>
      <c r="ECS347" s="50"/>
      <c r="ECT347" s="50"/>
      <c r="ECU347" s="50"/>
      <c r="ECV347" s="50"/>
      <c r="ECW347" s="50"/>
      <c r="ECX347" s="50"/>
      <c r="ECY347" s="50"/>
      <c r="ECZ347" s="50"/>
      <c r="EDA347" s="50"/>
      <c r="EDB347" s="50"/>
      <c r="EDC347" s="50"/>
      <c r="EDD347" s="50"/>
      <c r="EDE347" s="50"/>
      <c r="EDF347" s="50"/>
      <c r="EDG347" s="50"/>
      <c r="EDH347" s="50"/>
      <c r="EDI347" s="50"/>
      <c r="EDJ347" s="50"/>
      <c r="EDK347" s="50"/>
      <c r="EDL347" s="50"/>
      <c r="EDM347" s="50"/>
      <c r="EDN347" s="50"/>
      <c r="EDO347" s="50"/>
      <c r="EDP347" s="50"/>
      <c r="EDQ347" s="50"/>
      <c r="EDR347" s="50"/>
      <c r="EDS347" s="50"/>
      <c r="EDT347" s="50"/>
      <c r="EDU347" s="50"/>
      <c r="EDV347" s="50"/>
      <c r="EDW347" s="50"/>
      <c r="EDX347" s="50"/>
      <c r="EDY347" s="50"/>
      <c r="EDZ347" s="50"/>
      <c r="EEA347" s="50"/>
      <c r="EEB347" s="50"/>
      <c r="EEC347" s="50"/>
      <c r="EED347" s="50"/>
      <c r="EEE347" s="50"/>
      <c r="EEF347" s="50"/>
      <c r="EEG347" s="50"/>
      <c r="EEH347" s="50"/>
      <c r="EEI347" s="50"/>
      <c r="EEJ347" s="50"/>
      <c r="EEK347" s="50"/>
      <c r="EEL347" s="50"/>
      <c r="EEM347" s="50"/>
      <c r="EEN347" s="50"/>
      <c r="EEO347" s="50"/>
      <c r="EEP347" s="50"/>
      <c r="EEQ347" s="50"/>
      <c r="EER347" s="50"/>
      <c r="EES347" s="50"/>
      <c r="EET347" s="50"/>
      <c r="EEU347" s="50"/>
      <c r="EEV347" s="50"/>
      <c r="EEW347" s="50"/>
      <c r="EEX347" s="50"/>
      <c r="EEY347" s="50"/>
      <c r="EEZ347" s="50"/>
      <c r="EFA347" s="50"/>
      <c r="EFB347" s="50"/>
      <c r="EFC347" s="50"/>
      <c r="EFD347" s="50"/>
      <c r="EFE347" s="50"/>
      <c r="EFF347" s="50"/>
      <c r="EFG347" s="50"/>
      <c r="EFH347" s="50"/>
      <c r="EFI347" s="50"/>
      <c r="EFJ347" s="50"/>
      <c r="EFK347" s="50"/>
      <c r="EFL347" s="50"/>
      <c r="EFM347" s="50"/>
      <c r="EFN347" s="50"/>
      <c r="EFO347" s="50"/>
      <c r="EFP347" s="50"/>
      <c r="EFQ347" s="50"/>
      <c r="EFR347" s="50"/>
      <c r="EFS347" s="50"/>
      <c r="EFT347" s="50"/>
      <c r="EFU347" s="50"/>
      <c r="EFV347" s="50"/>
      <c r="EFW347" s="50"/>
      <c r="EFX347" s="50"/>
      <c r="EFY347" s="50"/>
      <c r="EFZ347" s="50"/>
      <c r="EGA347" s="50"/>
      <c r="EGB347" s="50"/>
      <c r="EGC347" s="50"/>
      <c r="EGD347" s="50"/>
      <c r="EGE347" s="50"/>
      <c r="EGF347" s="50"/>
      <c r="EGG347" s="50"/>
      <c r="EGH347" s="50"/>
      <c r="EGI347" s="50"/>
      <c r="EGJ347" s="50"/>
      <c r="EGK347" s="50"/>
      <c r="EGL347" s="50"/>
      <c r="EGM347" s="50"/>
      <c r="EGN347" s="50"/>
      <c r="EGO347" s="50"/>
      <c r="EGP347" s="50"/>
      <c r="EGQ347" s="50"/>
      <c r="EGR347" s="50"/>
      <c r="EGS347" s="50"/>
      <c r="EGT347" s="50"/>
      <c r="EGU347" s="50"/>
      <c r="EGV347" s="50"/>
      <c r="EGW347" s="50"/>
      <c r="EGX347" s="50"/>
      <c r="EGY347" s="50"/>
      <c r="EGZ347" s="50"/>
      <c r="EHA347" s="50"/>
      <c r="EHB347" s="50"/>
      <c r="EHC347" s="50"/>
      <c r="EHD347" s="50"/>
      <c r="EHE347" s="50"/>
      <c r="EHF347" s="50"/>
      <c r="EHG347" s="50"/>
      <c r="EHH347" s="50"/>
      <c r="EHI347" s="50"/>
      <c r="EHJ347" s="50"/>
      <c r="EHK347" s="50"/>
      <c r="EHL347" s="50"/>
      <c r="EHM347" s="50"/>
      <c r="EHN347" s="50"/>
      <c r="EHO347" s="50"/>
      <c r="EHP347" s="50"/>
      <c r="EHQ347" s="50"/>
      <c r="EHR347" s="50"/>
      <c r="EHS347" s="50"/>
      <c r="EHT347" s="50"/>
      <c r="EHU347" s="50"/>
      <c r="EHV347" s="50"/>
      <c r="EHW347" s="50"/>
      <c r="EHX347" s="50"/>
      <c r="EHY347" s="50"/>
      <c r="EHZ347" s="50"/>
      <c r="EIA347" s="50"/>
      <c r="EIB347" s="50"/>
      <c r="EIC347" s="50"/>
      <c r="EID347" s="50"/>
      <c r="EIE347" s="50"/>
      <c r="EIF347" s="50"/>
      <c r="EIG347" s="50"/>
      <c r="EIH347" s="50"/>
      <c r="EII347" s="50"/>
      <c r="EIJ347" s="50"/>
      <c r="EIK347" s="50"/>
      <c r="EIL347" s="50"/>
      <c r="EIM347" s="50"/>
      <c r="EIN347" s="50"/>
      <c r="EIO347" s="50"/>
      <c r="EIP347" s="50"/>
      <c r="EIQ347" s="50"/>
      <c r="EIR347" s="50"/>
      <c r="EIS347" s="50"/>
      <c r="EIT347" s="50"/>
      <c r="EIU347" s="50"/>
      <c r="EIV347" s="50"/>
      <c r="EIW347" s="50"/>
      <c r="EIX347" s="50"/>
      <c r="EIY347" s="50"/>
      <c r="EIZ347" s="50"/>
      <c r="EJA347" s="50"/>
      <c r="EJB347" s="50"/>
      <c r="EJC347" s="50"/>
      <c r="EJD347" s="50"/>
      <c r="EJE347" s="50"/>
      <c r="EJF347" s="50"/>
      <c r="EJG347" s="50"/>
      <c r="EJH347" s="50"/>
      <c r="EJI347" s="50"/>
      <c r="EJJ347" s="50"/>
      <c r="EJK347" s="50"/>
      <c r="EJL347" s="50"/>
      <c r="EJM347" s="50"/>
      <c r="EJN347" s="50"/>
      <c r="EJO347" s="50"/>
      <c r="EJP347" s="50"/>
      <c r="EJQ347" s="50"/>
      <c r="EJR347" s="50"/>
      <c r="EJS347" s="50"/>
      <c r="EJT347" s="50"/>
      <c r="EJU347" s="50"/>
      <c r="EJV347" s="50"/>
      <c r="EJW347" s="50"/>
      <c r="EJX347" s="50"/>
      <c r="EJY347" s="50"/>
      <c r="EJZ347" s="50"/>
      <c r="EKA347" s="50"/>
      <c r="EKB347" s="50"/>
      <c r="EKC347" s="50"/>
      <c r="EKD347" s="50"/>
      <c r="EKE347" s="50"/>
      <c r="EKF347" s="50"/>
      <c r="EKG347" s="50"/>
      <c r="EKH347" s="50"/>
      <c r="EKI347" s="50"/>
      <c r="EKJ347" s="50"/>
      <c r="EKK347" s="50"/>
      <c r="EKL347" s="50"/>
      <c r="EKM347" s="50"/>
      <c r="EKN347" s="50"/>
      <c r="EKO347" s="50"/>
      <c r="EKP347" s="50"/>
      <c r="EKQ347" s="50"/>
      <c r="EKR347" s="50"/>
      <c r="EKS347" s="50"/>
      <c r="EKT347" s="50"/>
      <c r="EKU347" s="50"/>
      <c r="EKV347" s="50"/>
      <c r="EKW347" s="50"/>
      <c r="EKX347" s="50"/>
      <c r="EKY347" s="50"/>
      <c r="EKZ347" s="50"/>
      <c r="ELA347" s="50"/>
      <c r="ELB347" s="50"/>
      <c r="ELC347" s="50"/>
      <c r="ELD347" s="50"/>
      <c r="ELE347" s="50"/>
      <c r="ELF347" s="50"/>
      <c r="ELG347" s="50"/>
      <c r="ELH347" s="50"/>
      <c r="ELI347" s="50"/>
      <c r="ELJ347" s="50"/>
      <c r="ELK347" s="50"/>
      <c r="ELL347" s="50"/>
      <c r="ELM347" s="50"/>
      <c r="ELN347" s="50"/>
      <c r="ELO347" s="50"/>
      <c r="ELP347" s="50"/>
      <c r="ELQ347" s="50"/>
      <c r="ELR347" s="50"/>
      <c r="ELS347" s="50"/>
      <c r="ELT347" s="50"/>
      <c r="ELU347" s="50"/>
      <c r="ELV347" s="50"/>
      <c r="ELW347" s="50"/>
      <c r="ELX347" s="50"/>
      <c r="ELY347" s="50"/>
      <c r="ELZ347" s="50"/>
      <c r="EMA347" s="50"/>
      <c r="EMB347" s="50"/>
      <c r="EMC347" s="50"/>
      <c r="EMD347" s="50"/>
      <c r="EME347" s="50"/>
      <c r="EMF347" s="50"/>
      <c r="EMG347" s="50"/>
      <c r="EMH347" s="50"/>
      <c r="EMI347" s="50"/>
      <c r="EMJ347" s="50"/>
      <c r="EMK347" s="50"/>
      <c r="EML347" s="50"/>
      <c r="EMM347" s="50"/>
      <c r="EMN347" s="50"/>
      <c r="EMO347" s="50"/>
      <c r="EMP347" s="50"/>
      <c r="EMQ347" s="50"/>
      <c r="EMR347" s="50"/>
      <c r="EMS347" s="50"/>
      <c r="EMT347" s="50"/>
      <c r="EMU347" s="50"/>
      <c r="EMV347" s="50"/>
      <c r="EMW347" s="50"/>
      <c r="EMX347" s="50"/>
      <c r="EMY347" s="50"/>
      <c r="EMZ347" s="50"/>
      <c r="ENA347" s="50"/>
      <c r="ENB347" s="50"/>
      <c r="ENC347" s="50"/>
      <c r="END347" s="50"/>
      <c r="ENE347" s="50"/>
      <c r="ENF347" s="50"/>
      <c r="ENG347" s="50"/>
      <c r="ENH347" s="50"/>
      <c r="ENI347" s="50"/>
      <c r="ENJ347" s="50"/>
      <c r="ENK347" s="50"/>
      <c r="ENL347" s="50"/>
      <c r="ENM347" s="50"/>
      <c r="ENN347" s="50"/>
      <c r="ENO347" s="50"/>
      <c r="ENP347" s="50"/>
      <c r="ENQ347" s="50"/>
      <c r="ENR347" s="50"/>
      <c r="ENS347" s="50"/>
      <c r="ENT347" s="50"/>
      <c r="ENU347" s="50"/>
      <c r="ENV347" s="50"/>
      <c r="ENW347" s="50"/>
      <c r="ENX347" s="50"/>
      <c r="ENY347" s="50"/>
      <c r="ENZ347" s="50"/>
      <c r="EOA347" s="50"/>
      <c r="EOB347" s="50"/>
      <c r="EOC347" s="50"/>
      <c r="EOD347" s="50"/>
      <c r="EOE347" s="50"/>
      <c r="EOF347" s="50"/>
      <c r="EOG347" s="50"/>
      <c r="EOH347" s="50"/>
      <c r="EOI347" s="50"/>
      <c r="EOJ347" s="50"/>
      <c r="EOK347" s="50"/>
      <c r="EOL347" s="50"/>
      <c r="EOM347" s="50"/>
      <c r="EON347" s="50"/>
      <c r="EOO347" s="50"/>
      <c r="EOP347" s="50"/>
      <c r="EOQ347" s="50"/>
      <c r="EOR347" s="50"/>
      <c r="EOS347" s="50"/>
      <c r="EOT347" s="50"/>
      <c r="EOU347" s="50"/>
      <c r="EOV347" s="50"/>
      <c r="EOW347" s="50"/>
      <c r="EOX347" s="50"/>
      <c r="EOY347" s="50"/>
      <c r="EOZ347" s="50"/>
      <c r="EPA347" s="50"/>
      <c r="EPB347" s="50"/>
      <c r="EPC347" s="50"/>
      <c r="EPD347" s="50"/>
      <c r="EPE347" s="50"/>
      <c r="EPF347" s="50"/>
      <c r="EPG347" s="50"/>
      <c r="EPH347" s="50"/>
      <c r="EPI347" s="50"/>
      <c r="EPJ347" s="50"/>
      <c r="EPK347" s="50"/>
      <c r="EPL347" s="50"/>
      <c r="EPM347" s="50"/>
      <c r="EPN347" s="50"/>
      <c r="EPO347" s="50"/>
      <c r="EPP347" s="50"/>
      <c r="EPQ347" s="50"/>
      <c r="EPR347" s="50"/>
      <c r="EPS347" s="50"/>
      <c r="EPT347" s="50"/>
      <c r="EPU347" s="50"/>
      <c r="EPV347" s="50"/>
      <c r="EPW347" s="50"/>
      <c r="EPX347" s="50"/>
      <c r="EPY347" s="50"/>
      <c r="EPZ347" s="50"/>
      <c r="EQA347" s="50"/>
      <c r="EQB347" s="50"/>
      <c r="EQC347" s="50"/>
      <c r="EQD347" s="50"/>
      <c r="EQE347" s="50"/>
      <c r="EQF347" s="50"/>
      <c r="EQG347" s="50"/>
      <c r="EQH347" s="50"/>
      <c r="EQI347" s="50"/>
      <c r="EQJ347" s="50"/>
      <c r="EQK347" s="50"/>
      <c r="EQL347" s="50"/>
      <c r="EQM347" s="50"/>
      <c r="EQN347" s="50"/>
      <c r="EQO347" s="50"/>
      <c r="EQP347" s="50"/>
      <c r="EQQ347" s="50"/>
      <c r="EQR347" s="50"/>
      <c r="EQS347" s="50"/>
      <c r="EQT347" s="50"/>
      <c r="EQU347" s="50"/>
      <c r="EQV347" s="50"/>
      <c r="EQW347" s="50"/>
      <c r="EQX347" s="50"/>
      <c r="EQY347" s="50"/>
      <c r="EQZ347" s="50"/>
      <c r="ERA347" s="50"/>
      <c r="ERB347" s="50"/>
      <c r="ERC347" s="50"/>
      <c r="ERD347" s="50"/>
      <c r="ERE347" s="50"/>
      <c r="ERF347" s="50"/>
      <c r="ERG347" s="50"/>
      <c r="ERH347" s="50"/>
      <c r="ERI347" s="50"/>
      <c r="ERJ347" s="50"/>
      <c r="ERK347" s="50"/>
      <c r="ERL347" s="50"/>
      <c r="ERM347" s="50"/>
      <c r="ERN347" s="50"/>
      <c r="ERO347" s="50"/>
      <c r="ERP347" s="50"/>
      <c r="ERQ347" s="50"/>
      <c r="ERR347" s="50"/>
      <c r="ERS347" s="50"/>
      <c r="ERT347" s="50"/>
      <c r="ERU347" s="50"/>
      <c r="ERV347" s="50"/>
      <c r="ERW347" s="50"/>
      <c r="ERX347" s="50"/>
      <c r="ERY347" s="50"/>
      <c r="ERZ347" s="50"/>
      <c r="ESA347" s="50"/>
      <c r="ESB347" s="50"/>
      <c r="ESC347" s="50"/>
      <c r="ESD347" s="50"/>
      <c r="ESE347" s="50"/>
      <c r="ESF347" s="50"/>
      <c r="ESG347" s="50"/>
      <c r="ESH347" s="50"/>
      <c r="ESI347" s="50"/>
      <c r="ESJ347" s="50"/>
      <c r="ESK347" s="50"/>
      <c r="ESL347" s="50"/>
      <c r="ESM347" s="50"/>
      <c r="ESN347" s="50"/>
      <c r="ESO347" s="50"/>
      <c r="ESP347" s="50"/>
      <c r="ESQ347" s="50"/>
      <c r="ESR347" s="50"/>
      <c r="ESS347" s="50"/>
      <c r="EST347" s="50"/>
      <c r="ESU347" s="50"/>
      <c r="ESV347" s="50"/>
      <c r="ESW347" s="50"/>
      <c r="ESX347" s="50"/>
      <c r="ESY347" s="50"/>
      <c r="ESZ347" s="50"/>
      <c r="ETA347" s="50"/>
      <c r="ETB347" s="50"/>
      <c r="ETC347" s="50"/>
      <c r="ETD347" s="50"/>
      <c r="ETE347" s="50"/>
      <c r="ETF347" s="50"/>
      <c r="ETG347" s="50"/>
      <c r="ETH347" s="50"/>
      <c r="ETI347" s="50"/>
      <c r="ETJ347" s="50"/>
      <c r="ETK347" s="50"/>
      <c r="ETL347" s="50"/>
      <c r="ETM347" s="50"/>
      <c r="ETN347" s="50"/>
      <c r="ETO347" s="50"/>
      <c r="ETP347" s="50"/>
      <c r="ETQ347" s="50"/>
      <c r="ETR347" s="50"/>
      <c r="ETS347" s="50"/>
      <c r="ETT347" s="50"/>
      <c r="ETU347" s="50"/>
      <c r="ETV347" s="50"/>
      <c r="ETW347" s="50"/>
      <c r="ETX347" s="50"/>
      <c r="ETY347" s="50"/>
      <c r="ETZ347" s="50"/>
      <c r="EUA347" s="50"/>
      <c r="EUB347" s="50"/>
      <c r="EUC347" s="50"/>
      <c r="EUD347" s="50"/>
      <c r="EUE347" s="50"/>
      <c r="EUF347" s="50"/>
      <c r="EUG347" s="50"/>
      <c r="EUH347" s="50"/>
      <c r="EUI347" s="50"/>
      <c r="EUJ347" s="50"/>
      <c r="EUK347" s="50"/>
      <c r="EUL347" s="50"/>
      <c r="EUM347" s="50"/>
      <c r="EUN347" s="50"/>
      <c r="EUO347" s="50"/>
      <c r="EUP347" s="50"/>
      <c r="EUQ347" s="50"/>
      <c r="EUR347" s="50"/>
      <c r="EUS347" s="50"/>
      <c r="EUT347" s="50"/>
      <c r="EUU347" s="50"/>
      <c r="EUV347" s="50"/>
      <c r="EUW347" s="50"/>
      <c r="EUX347" s="50"/>
      <c r="EUY347" s="50"/>
      <c r="EUZ347" s="50"/>
      <c r="EVA347" s="50"/>
      <c r="EVB347" s="50"/>
      <c r="EVC347" s="50"/>
      <c r="EVD347" s="50"/>
      <c r="EVE347" s="50"/>
      <c r="EVF347" s="50"/>
      <c r="EVG347" s="50"/>
      <c r="EVH347" s="50"/>
      <c r="EVI347" s="50"/>
      <c r="EVJ347" s="50"/>
      <c r="EVK347" s="50"/>
      <c r="EVL347" s="50"/>
      <c r="EVM347" s="50"/>
      <c r="EVN347" s="50"/>
      <c r="EVO347" s="50"/>
      <c r="EVP347" s="50"/>
      <c r="EVQ347" s="50"/>
      <c r="EVR347" s="50"/>
      <c r="EVS347" s="50"/>
      <c r="EVT347" s="50"/>
      <c r="EVU347" s="50"/>
      <c r="EVV347" s="50"/>
      <c r="EVW347" s="50"/>
      <c r="EVX347" s="50"/>
      <c r="EVY347" s="50"/>
      <c r="EVZ347" s="50"/>
      <c r="EWA347" s="50"/>
      <c r="EWB347" s="50"/>
      <c r="EWC347" s="50"/>
      <c r="EWD347" s="50"/>
      <c r="EWE347" s="50"/>
      <c r="EWF347" s="50"/>
      <c r="EWG347" s="50"/>
      <c r="EWH347" s="50"/>
      <c r="EWI347" s="50"/>
      <c r="EWJ347" s="50"/>
      <c r="EWK347" s="50"/>
      <c r="EWL347" s="50"/>
      <c r="EWM347" s="50"/>
      <c r="EWN347" s="50"/>
      <c r="EWO347" s="50"/>
      <c r="EWP347" s="50"/>
      <c r="EWQ347" s="50"/>
      <c r="EWR347" s="50"/>
      <c r="EWS347" s="50"/>
      <c r="EWT347" s="50"/>
      <c r="EWU347" s="50"/>
      <c r="EWV347" s="50"/>
      <c r="EWW347" s="50"/>
      <c r="EWX347" s="50"/>
      <c r="EWY347" s="50"/>
      <c r="EWZ347" s="50"/>
      <c r="EXA347" s="50"/>
      <c r="EXB347" s="50"/>
      <c r="EXC347" s="50"/>
      <c r="EXD347" s="50"/>
      <c r="EXE347" s="50"/>
      <c r="EXF347" s="50"/>
      <c r="EXG347" s="50"/>
      <c r="EXH347" s="50"/>
      <c r="EXI347" s="50"/>
      <c r="EXJ347" s="50"/>
      <c r="EXK347" s="50"/>
      <c r="EXL347" s="50"/>
      <c r="EXM347" s="50"/>
      <c r="EXN347" s="50"/>
      <c r="EXO347" s="50"/>
      <c r="EXP347" s="50"/>
      <c r="EXQ347" s="50"/>
      <c r="EXR347" s="50"/>
      <c r="EXS347" s="50"/>
      <c r="EXT347" s="50"/>
      <c r="EXU347" s="50"/>
      <c r="EXV347" s="50"/>
      <c r="EXW347" s="50"/>
      <c r="EXX347" s="50"/>
      <c r="EXY347" s="50"/>
      <c r="EXZ347" s="50"/>
      <c r="EYA347" s="50"/>
      <c r="EYB347" s="50"/>
      <c r="EYC347" s="50"/>
      <c r="EYD347" s="50"/>
      <c r="EYE347" s="50"/>
      <c r="EYF347" s="50"/>
      <c r="EYG347" s="50"/>
      <c r="EYH347" s="50"/>
      <c r="EYI347" s="50"/>
      <c r="EYJ347" s="50"/>
      <c r="EYK347" s="50"/>
      <c r="EYL347" s="50"/>
      <c r="EYM347" s="50"/>
      <c r="EYN347" s="50"/>
      <c r="EYO347" s="50"/>
      <c r="EYP347" s="50"/>
      <c r="EYQ347" s="50"/>
      <c r="EYR347" s="50"/>
      <c r="EYS347" s="50"/>
      <c r="EYT347" s="50"/>
      <c r="EYU347" s="50"/>
      <c r="EYV347" s="50"/>
      <c r="EYW347" s="50"/>
      <c r="EYX347" s="50"/>
      <c r="EYY347" s="50"/>
      <c r="EYZ347" s="50"/>
      <c r="EZA347" s="50"/>
      <c r="EZB347" s="50"/>
      <c r="EZC347" s="50"/>
      <c r="EZD347" s="50"/>
      <c r="EZE347" s="50"/>
      <c r="EZF347" s="50"/>
      <c r="EZG347" s="50"/>
      <c r="EZH347" s="50"/>
      <c r="EZI347" s="50"/>
      <c r="EZJ347" s="50"/>
      <c r="EZK347" s="50"/>
      <c r="EZL347" s="50"/>
      <c r="EZM347" s="50"/>
      <c r="EZN347" s="50"/>
      <c r="EZO347" s="50"/>
      <c r="EZP347" s="50"/>
      <c r="EZQ347" s="50"/>
      <c r="EZR347" s="50"/>
      <c r="EZS347" s="50"/>
      <c r="EZT347" s="50"/>
      <c r="EZU347" s="50"/>
      <c r="EZV347" s="50"/>
      <c r="EZW347" s="50"/>
      <c r="EZX347" s="50"/>
      <c r="EZY347" s="50"/>
      <c r="EZZ347" s="50"/>
      <c r="FAA347" s="50"/>
      <c r="FAB347" s="50"/>
      <c r="FAC347" s="50"/>
      <c r="FAD347" s="50"/>
      <c r="FAE347" s="50"/>
      <c r="FAF347" s="50"/>
      <c r="FAG347" s="50"/>
      <c r="FAH347" s="50"/>
      <c r="FAI347" s="50"/>
      <c r="FAJ347" s="50"/>
      <c r="FAK347" s="50"/>
      <c r="FAL347" s="50"/>
      <c r="FAM347" s="50"/>
      <c r="FAN347" s="50"/>
      <c r="FAO347" s="50"/>
      <c r="FAP347" s="50"/>
      <c r="FAQ347" s="50"/>
      <c r="FAR347" s="50"/>
      <c r="FAS347" s="50"/>
      <c r="FAT347" s="50"/>
      <c r="FAU347" s="50"/>
      <c r="FAV347" s="50"/>
      <c r="FAW347" s="50"/>
      <c r="FAX347" s="50"/>
      <c r="FAY347" s="50"/>
      <c r="FAZ347" s="50"/>
      <c r="FBA347" s="50"/>
      <c r="FBB347" s="50"/>
      <c r="FBC347" s="50"/>
      <c r="FBD347" s="50"/>
      <c r="FBE347" s="50"/>
      <c r="FBF347" s="50"/>
      <c r="FBG347" s="50"/>
      <c r="FBH347" s="50"/>
      <c r="FBI347" s="50"/>
      <c r="FBJ347" s="50"/>
      <c r="FBK347" s="50"/>
      <c r="FBL347" s="50"/>
      <c r="FBM347" s="50"/>
      <c r="FBN347" s="50"/>
      <c r="FBO347" s="50"/>
      <c r="FBP347" s="50"/>
      <c r="FBQ347" s="50"/>
      <c r="FBR347" s="50"/>
      <c r="FBS347" s="50"/>
      <c r="FBT347" s="50"/>
      <c r="FBU347" s="50"/>
      <c r="FBV347" s="50"/>
      <c r="FBW347" s="50"/>
      <c r="FBX347" s="50"/>
      <c r="FBY347" s="50"/>
      <c r="FBZ347" s="50"/>
      <c r="FCA347" s="50"/>
      <c r="FCB347" s="50"/>
      <c r="FCC347" s="50"/>
      <c r="FCD347" s="50"/>
      <c r="FCE347" s="50"/>
      <c r="FCF347" s="50"/>
      <c r="FCG347" s="50"/>
      <c r="FCH347" s="50"/>
      <c r="FCI347" s="50"/>
      <c r="FCJ347" s="50"/>
      <c r="FCK347" s="50"/>
      <c r="FCL347" s="50"/>
      <c r="FCM347" s="50"/>
      <c r="FCN347" s="50"/>
      <c r="FCO347" s="50"/>
      <c r="FCP347" s="50"/>
      <c r="FCQ347" s="50"/>
      <c r="FCR347" s="50"/>
      <c r="FCS347" s="50"/>
      <c r="FCT347" s="50"/>
      <c r="FCU347" s="50"/>
      <c r="FCV347" s="50"/>
      <c r="FCW347" s="50"/>
      <c r="FCX347" s="50"/>
      <c r="FCY347" s="50"/>
      <c r="FCZ347" s="50"/>
      <c r="FDA347" s="50"/>
      <c r="FDB347" s="50"/>
      <c r="FDC347" s="50"/>
      <c r="FDD347" s="50"/>
      <c r="FDE347" s="50"/>
      <c r="FDF347" s="50"/>
      <c r="FDG347" s="50"/>
      <c r="FDH347" s="50"/>
      <c r="FDI347" s="50"/>
      <c r="FDJ347" s="50"/>
      <c r="FDK347" s="50"/>
      <c r="FDL347" s="50"/>
      <c r="FDM347" s="50"/>
      <c r="FDN347" s="50"/>
      <c r="FDO347" s="50"/>
      <c r="FDP347" s="50"/>
      <c r="FDQ347" s="50"/>
      <c r="FDR347" s="50"/>
      <c r="FDS347" s="50"/>
      <c r="FDT347" s="50"/>
      <c r="FDU347" s="50"/>
      <c r="FDV347" s="50"/>
      <c r="FDW347" s="50"/>
      <c r="FDX347" s="50"/>
      <c r="FDY347" s="50"/>
      <c r="FDZ347" s="50"/>
      <c r="FEA347" s="50"/>
      <c r="FEB347" s="50"/>
      <c r="FEC347" s="50"/>
      <c r="FED347" s="50"/>
      <c r="FEE347" s="50"/>
      <c r="FEF347" s="50"/>
      <c r="FEG347" s="50"/>
      <c r="FEH347" s="50"/>
      <c r="FEI347" s="50"/>
      <c r="FEJ347" s="50"/>
      <c r="FEK347" s="50"/>
      <c r="FEL347" s="50"/>
      <c r="FEM347" s="50"/>
      <c r="FEN347" s="50"/>
      <c r="FEO347" s="50"/>
      <c r="FEP347" s="50"/>
      <c r="FEQ347" s="50"/>
      <c r="FER347" s="50"/>
      <c r="FES347" s="50"/>
      <c r="FET347" s="50"/>
      <c r="FEU347" s="50"/>
      <c r="FEV347" s="50"/>
      <c r="FEW347" s="50"/>
      <c r="FEX347" s="50"/>
      <c r="FEY347" s="50"/>
      <c r="FEZ347" s="50"/>
      <c r="FFA347" s="50"/>
      <c r="FFB347" s="50"/>
      <c r="FFC347" s="50"/>
      <c r="FFD347" s="50"/>
      <c r="FFE347" s="50"/>
      <c r="FFF347" s="50"/>
      <c r="FFG347" s="50"/>
      <c r="FFH347" s="50"/>
      <c r="FFI347" s="50"/>
      <c r="FFJ347" s="50"/>
      <c r="FFK347" s="50"/>
      <c r="FFL347" s="50"/>
      <c r="FFM347" s="50"/>
      <c r="FFN347" s="50"/>
      <c r="FFO347" s="50"/>
      <c r="FFP347" s="50"/>
      <c r="FFQ347" s="50"/>
      <c r="FFR347" s="50"/>
      <c r="FFS347" s="50"/>
      <c r="FFT347" s="50"/>
      <c r="FFU347" s="50"/>
      <c r="FFV347" s="50"/>
      <c r="FFW347" s="50"/>
      <c r="FFX347" s="50"/>
      <c r="FFY347" s="50"/>
      <c r="FFZ347" s="50"/>
      <c r="FGA347" s="50"/>
      <c r="FGB347" s="50"/>
      <c r="FGC347" s="50"/>
      <c r="FGD347" s="50"/>
      <c r="FGE347" s="50"/>
      <c r="FGF347" s="50"/>
      <c r="FGG347" s="50"/>
      <c r="FGH347" s="50"/>
      <c r="FGI347" s="50"/>
      <c r="FGJ347" s="50"/>
      <c r="FGK347" s="50"/>
      <c r="FGL347" s="50"/>
      <c r="FGM347" s="50"/>
      <c r="FGN347" s="50"/>
      <c r="FGO347" s="50"/>
      <c r="FGP347" s="50"/>
      <c r="FGQ347" s="50"/>
      <c r="FGR347" s="50"/>
      <c r="FGS347" s="50"/>
      <c r="FGT347" s="50"/>
      <c r="FGU347" s="50"/>
      <c r="FGV347" s="50"/>
      <c r="FGW347" s="50"/>
      <c r="FGX347" s="50"/>
      <c r="FGY347" s="50"/>
      <c r="FGZ347" s="50"/>
      <c r="FHA347" s="50"/>
      <c r="FHB347" s="50"/>
      <c r="FHC347" s="50"/>
      <c r="FHD347" s="50"/>
      <c r="FHE347" s="50"/>
      <c r="FHF347" s="50"/>
      <c r="FHG347" s="50"/>
      <c r="FHH347" s="50"/>
      <c r="FHI347" s="50"/>
      <c r="FHJ347" s="50"/>
      <c r="FHK347" s="50"/>
      <c r="FHL347" s="50"/>
      <c r="FHM347" s="50"/>
      <c r="FHN347" s="50"/>
      <c r="FHO347" s="50"/>
      <c r="FHP347" s="50"/>
      <c r="FHQ347" s="50"/>
      <c r="FHR347" s="50"/>
      <c r="FHS347" s="50"/>
      <c r="FHT347" s="50"/>
      <c r="FHU347" s="50"/>
      <c r="FHV347" s="50"/>
      <c r="FHW347" s="50"/>
      <c r="FHX347" s="50"/>
      <c r="FHY347" s="50"/>
      <c r="FHZ347" s="50"/>
      <c r="FIA347" s="50"/>
      <c r="FIB347" s="50"/>
      <c r="FIC347" s="50"/>
      <c r="FID347" s="50"/>
      <c r="FIE347" s="50"/>
      <c r="FIF347" s="50"/>
      <c r="FIG347" s="50"/>
      <c r="FIH347" s="50"/>
      <c r="FII347" s="50"/>
      <c r="FIJ347" s="50"/>
      <c r="FIK347" s="50"/>
      <c r="FIL347" s="50"/>
      <c r="FIM347" s="50"/>
      <c r="FIN347" s="50"/>
      <c r="FIO347" s="50"/>
      <c r="FIP347" s="50"/>
      <c r="FIQ347" s="50"/>
      <c r="FIR347" s="50"/>
      <c r="FIS347" s="50"/>
      <c r="FIT347" s="50"/>
      <c r="FIU347" s="50"/>
      <c r="FIV347" s="50"/>
      <c r="FIW347" s="50"/>
      <c r="FIX347" s="50"/>
      <c r="FIY347" s="50"/>
      <c r="FIZ347" s="50"/>
      <c r="FJA347" s="50"/>
      <c r="FJB347" s="50"/>
      <c r="FJC347" s="50"/>
      <c r="FJD347" s="50"/>
      <c r="FJE347" s="50"/>
      <c r="FJF347" s="50"/>
      <c r="FJG347" s="50"/>
      <c r="FJH347" s="50"/>
      <c r="FJI347" s="50"/>
      <c r="FJJ347" s="50"/>
      <c r="FJK347" s="50"/>
      <c r="FJL347" s="50"/>
      <c r="FJM347" s="50"/>
      <c r="FJN347" s="50"/>
      <c r="FJO347" s="50"/>
      <c r="FJP347" s="50"/>
      <c r="FJQ347" s="50"/>
      <c r="FJR347" s="50"/>
      <c r="FJS347" s="50"/>
      <c r="FJT347" s="50"/>
      <c r="FJU347" s="50"/>
      <c r="FJV347" s="50"/>
      <c r="FJW347" s="50"/>
      <c r="FJX347" s="50"/>
      <c r="FJY347" s="50"/>
      <c r="FJZ347" s="50"/>
      <c r="FKA347" s="50"/>
      <c r="FKB347" s="50"/>
      <c r="FKC347" s="50"/>
      <c r="FKD347" s="50"/>
      <c r="FKE347" s="50"/>
      <c r="FKF347" s="50"/>
      <c r="FKG347" s="50"/>
      <c r="FKH347" s="50"/>
      <c r="FKI347" s="50"/>
      <c r="FKJ347" s="50"/>
      <c r="FKK347" s="50"/>
      <c r="FKL347" s="50"/>
      <c r="FKM347" s="50"/>
      <c r="FKN347" s="50"/>
      <c r="FKO347" s="50"/>
      <c r="FKP347" s="50"/>
      <c r="FKQ347" s="50"/>
      <c r="FKR347" s="50"/>
      <c r="FKS347" s="50"/>
      <c r="FKT347" s="50"/>
      <c r="FKU347" s="50"/>
      <c r="FKV347" s="50"/>
      <c r="FKW347" s="50"/>
      <c r="FKX347" s="50"/>
      <c r="FKY347" s="50"/>
      <c r="FKZ347" s="50"/>
      <c r="FLA347" s="50"/>
      <c r="FLB347" s="50"/>
      <c r="FLC347" s="50"/>
      <c r="FLD347" s="50"/>
      <c r="FLE347" s="50"/>
      <c r="FLF347" s="50"/>
      <c r="FLG347" s="50"/>
      <c r="FLH347" s="50"/>
      <c r="FLI347" s="50"/>
      <c r="FLJ347" s="50"/>
      <c r="FLK347" s="50"/>
      <c r="FLL347" s="50"/>
      <c r="FLM347" s="50"/>
      <c r="FLN347" s="50"/>
      <c r="FLO347" s="50"/>
      <c r="FLP347" s="50"/>
      <c r="FLQ347" s="50"/>
      <c r="FLR347" s="50"/>
      <c r="FLS347" s="50"/>
      <c r="FLT347" s="50"/>
      <c r="FLU347" s="50"/>
      <c r="FLV347" s="50"/>
      <c r="FLW347" s="50"/>
      <c r="FLX347" s="50"/>
      <c r="FLY347" s="50"/>
      <c r="FLZ347" s="50"/>
      <c r="FMA347" s="50"/>
      <c r="FMB347" s="50"/>
      <c r="FMC347" s="50"/>
      <c r="FMD347" s="50"/>
      <c r="FME347" s="50"/>
      <c r="FMF347" s="50"/>
      <c r="FMG347" s="50"/>
      <c r="FMH347" s="50"/>
      <c r="FMI347" s="50"/>
      <c r="FMJ347" s="50"/>
      <c r="FMK347" s="50"/>
      <c r="FML347" s="50"/>
      <c r="FMM347" s="50"/>
      <c r="FMN347" s="50"/>
      <c r="FMO347" s="50"/>
      <c r="FMP347" s="50"/>
      <c r="FMQ347" s="50"/>
      <c r="FMR347" s="50"/>
      <c r="FMS347" s="50"/>
      <c r="FMT347" s="50"/>
      <c r="FMU347" s="50"/>
      <c r="FMV347" s="50"/>
      <c r="FMW347" s="50"/>
      <c r="FMX347" s="50"/>
      <c r="FMY347" s="50"/>
      <c r="FMZ347" s="50"/>
      <c r="FNA347" s="50"/>
      <c r="FNB347" s="50"/>
      <c r="FNC347" s="50"/>
      <c r="FND347" s="50"/>
      <c r="FNE347" s="50"/>
      <c r="FNF347" s="50"/>
      <c r="FNG347" s="50"/>
      <c r="FNH347" s="50"/>
      <c r="FNI347" s="50"/>
      <c r="FNJ347" s="50"/>
      <c r="FNK347" s="50"/>
      <c r="FNL347" s="50"/>
      <c r="FNM347" s="50"/>
      <c r="FNN347" s="50"/>
      <c r="FNO347" s="50"/>
      <c r="FNP347" s="50"/>
      <c r="FNQ347" s="50"/>
      <c r="FNR347" s="50"/>
      <c r="FNS347" s="50"/>
      <c r="FNT347" s="50"/>
      <c r="FNU347" s="50"/>
      <c r="FNV347" s="50"/>
      <c r="FNW347" s="50"/>
      <c r="FNX347" s="50"/>
      <c r="FNY347" s="50"/>
      <c r="FNZ347" s="50"/>
      <c r="FOA347" s="50"/>
      <c r="FOB347" s="50"/>
      <c r="FOC347" s="50"/>
      <c r="FOD347" s="50"/>
      <c r="FOE347" s="50"/>
      <c r="FOF347" s="50"/>
      <c r="FOG347" s="50"/>
      <c r="FOH347" s="50"/>
      <c r="FOI347" s="50"/>
      <c r="FOJ347" s="50"/>
      <c r="FOK347" s="50"/>
      <c r="FOL347" s="50"/>
      <c r="FOM347" s="50"/>
      <c r="FON347" s="50"/>
      <c r="FOO347" s="50"/>
      <c r="FOP347" s="50"/>
      <c r="FOQ347" s="50"/>
      <c r="FOR347" s="50"/>
      <c r="FOS347" s="50"/>
      <c r="FOT347" s="50"/>
      <c r="FOU347" s="50"/>
      <c r="FOV347" s="50"/>
      <c r="FOW347" s="50"/>
      <c r="FOX347" s="50"/>
      <c r="FOY347" s="50"/>
      <c r="FOZ347" s="50"/>
      <c r="FPA347" s="50"/>
      <c r="FPB347" s="50"/>
      <c r="FPC347" s="50"/>
      <c r="FPD347" s="50"/>
      <c r="FPE347" s="50"/>
      <c r="FPF347" s="50"/>
      <c r="FPG347" s="50"/>
      <c r="FPH347" s="50"/>
      <c r="FPI347" s="50"/>
      <c r="FPJ347" s="50"/>
      <c r="FPK347" s="50"/>
      <c r="FPL347" s="50"/>
      <c r="FPM347" s="50"/>
      <c r="FPN347" s="50"/>
      <c r="FPO347" s="50"/>
      <c r="FPP347" s="50"/>
      <c r="FPQ347" s="50"/>
      <c r="FPR347" s="50"/>
      <c r="FPS347" s="50"/>
      <c r="FPT347" s="50"/>
      <c r="FPU347" s="50"/>
      <c r="FPV347" s="50"/>
      <c r="FPW347" s="50"/>
      <c r="FPX347" s="50"/>
      <c r="FPY347" s="50"/>
      <c r="FPZ347" s="50"/>
      <c r="FQA347" s="50"/>
      <c r="FQB347" s="50"/>
      <c r="FQC347" s="50"/>
      <c r="FQD347" s="50"/>
      <c r="FQE347" s="50"/>
      <c r="FQF347" s="50"/>
      <c r="FQG347" s="50"/>
      <c r="FQH347" s="50"/>
      <c r="FQI347" s="50"/>
      <c r="FQJ347" s="50"/>
      <c r="FQK347" s="50"/>
      <c r="FQL347" s="50"/>
      <c r="FQM347" s="50"/>
      <c r="FQN347" s="50"/>
      <c r="FQO347" s="50"/>
      <c r="FQP347" s="50"/>
      <c r="FQQ347" s="50"/>
      <c r="FQR347" s="50"/>
      <c r="FQS347" s="50"/>
      <c r="FQT347" s="50"/>
      <c r="FQU347" s="50"/>
      <c r="FQV347" s="50"/>
      <c r="FQW347" s="50"/>
      <c r="FQX347" s="50"/>
      <c r="FQY347" s="50"/>
      <c r="FQZ347" s="50"/>
      <c r="FRA347" s="50"/>
      <c r="FRB347" s="50"/>
      <c r="FRC347" s="50"/>
      <c r="FRD347" s="50"/>
      <c r="FRE347" s="50"/>
      <c r="FRF347" s="50"/>
      <c r="FRG347" s="50"/>
      <c r="FRH347" s="50"/>
      <c r="FRI347" s="50"/>
      <c r="FRJ347" s="50"/>
      <c r="FRK347" s="50"/>
      <c r="FRL347" s="50"/>
      <c r="FRM347" s="50"/>
      <c r="FRN347" s="50"/>
      <c r="FRO347" s="50"/>
      <c r="FRP347" s="50"/>
      <c r="FRQ347" s="50"/>
      <c r="FRR347" s="50"/>
      <c r="FRS347" s="50"/>
      <c r="FRT347" s="50"/>
      <c r="FRU347" s="50"/>
      <c r="FRV347" s="50"/>
      <c r="FRW347" s="50"/>
      <c r="FRX347" s="50"/>
      <c r="FRY347" s="50"/>
      <c r="FRZ347" s="50"/>
      <c r="FSA347" s="50"/>
      <c r="FSB347" s="50"/>
      <c r="FSC347" s="50"/>
      <c r="FSD347" s="50"/>
      <c r="FSE347" s="50"/>
      <c r="FSF347" s="50"/>
      <c r="FSG347" s="50"/>
      <c r="FSH347" s="50"/>
      <c r="FSI347" s="50"/>
      <c r="FSJ347" s="50"/>
      <c r="FSK347" s="50"/>
      <c r="FSL347" s="50"/>
      <c r="FSM347" s="50"/>
      <c r="FSN347" s="50"/>
      <c r="FSO347" s="50"/>
      <c r="FSP347" s="50"/>
      <c r="FSQ347" s="50"/>
      <c r="FSR347" s="50"/>
      <c r="FSS347" s="50"/>
      <c r="FST347" s="50"/>
      <c r="FSU347" s="50"/>
      <c r="FSV347" s="50"/>
      <c r="FSW347" s="50"/>
      <c r="FSX347" s="50"/>
      <c r="FSY347" s="50"/>
      <c r="FSZ347" s="50"/>
      <c r="FTA347" s="50"/>
      <c r="FTB347" s="50"/>
      <c r="FTC347" s="50"/>
      <c r="FTD347" s="50"/>
      <c r="FTE347" s="50"/>
      <c r="FTF347" s="50"/>
      <c r="FTG347" s="50"/>
      <c r="FTH347" s="50"/>
      <c r="FTI347" s="50"/>
      <c r="FTJ347" s="50"/>
      <c r="FTK347" s="50"/>
      <c r="FTL347" s="50"/>
      <c r="FTM347" s="50"/>
      <c r="FTN347" s="50"/>
      <c r="FTO347" s="50"/>
      <c r="FTP347" s="50"/>
      <c r="FTQ347" s="50"/>
      <c r="FTR347" s="50"/>
      <c r="FTS347" s="50"/>
      <c r="FTT347" s="50"/>
      <c r="FTU347" s="50"/>
      <c r="FTV347" s="50"/>
      <c r="FTW347" s="50"/>
      <c r="FTX347" s="50"/>
      <c r="FTY347" s="50"/>
      <c r="FTZ347" s="50"/>
      <c r="FUA347" s="50"/>
      <c r="FUB347" s="50"/>
      <c r="FUC347" s="50"/>
      <c r="FUD347" s="50"/>
      <c r="FUE347" s="50"/>
      <c r="FUF347" s="50"/>
      <c r="FUG347" s="50"/>
      <c r="FUH347" s="50"/>
      <c r="FUI347" s="50"/>
      <c r="FUJ347" s="50"/>
      <c r="FUK347" s="50"/>
      <c r="FUL347" s="50"/>
      <c r="FUM347" s="50"/>
      <c r="FUN347" s="50"/>
      <c r="FUO347" s="50"/>
      <c r="FUP347" s="50"/>
      <c r="FUQ347" s="50"/>
      <c r="FUR347" s="50"/>
      <c r="FUS347" s="50"/>
      <c r="FUT347" s="50"/>
      <c r="FUU347" s="50"/>
      <c r="FUV347" s="50"/>
      <c r="FUW347" s="50"/>
      <c r="FUX347" s="50"/>
      <c r="FUY347" s="50"/>
      <c r="FUZ347" s="50"/>
      <c r="FVA347" s="50"/>
      <c r="FVB347" s="50"/>
      <c r="FVC347" s="50"/>
      <c r="FVD347" s="50"/>
      <c r="FVE347" s="50"/>
      <c r="FVF347" s="50"/>
      <c r="FVG347" s="50"/>
      <c r="FVH347" s="50"/>
      <c r="FVI347" s="50"/>
      <c r="FVJ347" s="50"/>
      <c r="FVK347" s="50"/>
      <c r="FVL347" s="50"/>
      <c r="FVM347" s="50"/>
      <c r="FVN347" s="50"/>
      <c r="FVO347" s="50"/>
      <c r="FVP347" s="50"/>
      <c r="FVQ347" s="50"/>
      <c r="FVR347" s="50"/>
      <c r="FVS347" s="50"/>
      <c r="FVT347" s="50"/>
      <c r="FVU347" s="50"/>
      <c r="FVV347" s="50"/>
      <c r="FVW347" s="50"/>
      <c r="FVX347" s="50"/>
      <c r="FVY347" s="50"/>
      <c r="FVZ347" s="50"/>
      <c r="FWA347" s="50"/>
      <c r="FWB347" s="50"/>
      <c r="FWC347" s="50"/>
      <c r="FWD347" s="50"/>
      <c r="FWE347" s="50"/>
      <c r="FWF347" s="50"/>
      <c r="FWG347" s="50"/>
      <c r="FWH347" s="50"/>
      <c r="FWI347" s="50"/>
      <c r="FWJ347" s="50"/>
      <c r="FWK347" s="50"/>
      <c r="FWL347" s="50"/>
      <c r="FWM347" s="50"/>
      <c r="FWN347" s="50"/>
      <c r="FWO347" s="50"/>
      <c r="FWP347" s="50"/>
      <c r="FWQ347" s="50"/>
      <c r="FWR347" s="50"/>
      <c r="FWS347" s="50"/>
      <c r="FWT347" s="50"/>
      <c r="FWU347" s="50"/>
      <c r="FWV347" s="50"/>
      <c r="FWW347" s="50"/>
      <c r="FWX347" s="50"/>
      <c r="FWY347" s="50"/>
      <c r="FWZ347" s="50"/>
      <c r="FXA347" s="50"/>
      <c r="FXB347" s="50"/>
      <c r="FXC347" s="50"/>
      <c r="FXD347" s="50"/>
      <c r="FXE347" s="50"/>
      <c r="FXF347" s="50"/>
      <c r="FXG347" s="50"/>
      <c r="FXH347" s="50"/>
      <c r="FXI347" s="50"/>
      <c r="FXJ347" s="50"/>
      <c r="FXK347" s="50"/>
      <c r="FXL347" s="50"/>
      <c r="FXM347" s="50"/>
      <c r="FXN347" s="50"/>
      <c r="FXO347" s="50"/>
      <c r="FXP347" s="50"/>
      <c r="FXQ347" s="50"/>
      <c r="FXR347" s="50"/>
      <c r="FXS347" s="50"/>
      <c r="FXT347" s="50"/>
      <c r="FXU347" s="50"/>
      <c r="FXV347" s="50"/>
      <c r="FXW347" s="50"/>
      <c r="FXX347" s="50"/>
      <c r="FXY347" s="50"/>
      <c r="FXZ347" s="50"/>
      <c r="FYA347" s="50"/>
      <c r="FYB347" s="50"/>
      <c r="FYC347" s="50"/>
      <c r="FYD347" s="50"/>
      <c r="FYE347" s="50"/>
      <c r="FYF347" s="50"/>
      <c r="FYG347" s="50"/>
      <c r="FYH347" s="50"/>
      <c r="FYI347" s="50"/>
      <c r="FYJ347" s="50"/>
      <c r="FYK347" s="50"/>
      <c r="FYL347" s="50"/>
      <c r="FYM347" s="50"/>
      <c r="FYN347" s="50"/>
      <c r="FYO347" s="50"/>
      <c r="FYP347" s="50"/>
      <c r="FYQ347" s="50"/>
      <c r="FYR347" s="50"/>
      <c r="FYS347" s="50"/>
      <c r="FYT347" s="50"/>
      <c r="FYU347" s="50"/>
      <c r="FYV347" s="50"/>
      <c r="FYW347" s="50"/>
      <c r="FYX347" s="50"/>
      <c r="FYY347" s="50"/>
      <c r="FYZ347" s="50"/>
      <c r="FZA347" s="50"/>
      <c r="FZB347" s="50"/>
      <c r="FZC347" s="50"/>
      <c r="FZD347" s="50"/>
      <c r="FZE347" s="50"/>
      <c r="FZF347" s="50"/>
      <c r="FZG347" s="50"/>
      <c r="FZH347" s="50"/>
      <c r="FZI347" s="50"/>
      <c r="FZJ347" s="50"/>
      <c r="FZK347" s="50"/>
      <c r="FZL347" s="50"/>
      <c r="FZM347" s="50"/>
      <c r="FZN347" s="50"/>
      <c r="FZO347" s="50"/>
      <c r="FZP347" s="50"/>
      <c r="FZQ347" s="50"/>
      <c r="FZR347" s="50"/>
      <c r="FZS347" s="50"/>
      <c r="FZT347" s="50"/>
      <c r="FZU347" s="50"/>
      <c r="FZV347" s="50"/>
      <c r="FZW347" s="50"/>
      <c r="FZX347" s="50"/>
      <c r="FZY347" s="50"/>
      <c r="FZZ347" s="50"/>
      <c r="GAA347" s="50"/>
      <c r="GAB347" s="50"/>
      <c r="GAC347" s="50"/>
      <c r="GAD347" s="50"/>
      <c r="GAE347" s="50"/>
      <c r="GAF347" s="50"/>
      <c r="GAG347" s="50"/>
      <c r="GAH347" s="50"/>
      <c r="GAI347" s="50"/>
      <c r="GAJ347" s="50"/>
      <c r="GAK347" s="50"/>
      <c r="GAL347" s="50"/>
      <c r="GAM347" s="50"/>
      <c r="GAN347" s="50"/>
      <c r="GAO347" s="50"/>
      <c r="GAP347" s="50"/>
      <c r="GAQ347" s="50"/>
      <c r="GAR347" s="50"/>
      <c r="GAS347" s="50"/>
      <c r="GAT347" s="50"/>
      <c r="GAU347" s="50"/>
      <c r="GAV347" s="50"/>
      <c r="GAW347" s="50"/>
      <c r="GAX347" s="50"/>
      <c r="GAY347" s="50"/>
      <c r="GAZ347" s="50"/>
      <c r="GBA347" s="50"/>
      <c r="GBB347" s="50"/>
      <c r="GBC347" s="50"/>
      <c r="GBD347" s="50"/>
      <c r="GBE347" s="50"/>
      <c r="GBF347" s="50"/>
      <c r="GBG347" s="50"/>
      <c r="GBH347" s="50"/>
      <c r="GBI347" s="50"/>
      <c r="GBJ347" s="50"/>
      <c r="GBK347" s="50"/>
      <c r="GBL347" s="50"/>
      <c r="GBM347" s="50"/>
      <c r="GBN347" s="50"/>
      <c r="GBO347" s="50"/>
      <c r="GBP347" s="50"/>
      <c r="GBQ347" s="50"/>
      <c r="GBR347" s="50"/>
      <c r="GBS347" s="50"/>
      <c r="GBT347" s="50"/>
      <c r="GBU347" s="50"/>
      <c r="GBV347" s="50"/>
      <c r="GBW347" s="50"/>
      <c r="GBX347" s="50"/>
      <c r="GBY347" s="50"/>
      <c r="GBZ347" s="50"/>
      <c r="GCA347" s="50"/>
      <c r="GCB347" s="50"/>
      <c r="GCC347" s="50"/>
      <c r="GCD347" s="50"/>
      <c r="GCE347" s="50"/>
      <c r="GCF347" s="50"/>
      <c r="GCG347" s="50"/>
      <c r="GCH347" s="50"/>
      <c r="GCI347" s="50"/>
      <c r="GCJ347" s="50"/>
      <c r="GCK347" s="50"/>
      <c r="GCL347" s="50"/>
      <c r="GCM347" s="50"/>
      <c r="GCN347" s="50"/>
      <c r="GCO347" s="50"/>
      <c r="GCP347" s="50"/>
      <c r="GCQ347" s="50"/>
      <c r="GCR347" s="50"/>
      <c r="GCS347" s="50"/>
      <c r="GCT347" s="50"/>
      <c r="GCU347" s="50"/>
      <c r="GCV347" s="50"/>
      <c r="GCW347" s="50"/>
      <c r="GCX347" s="50"/>
      <c r="GCY347" s="50"/>
      <c r="GCZ347" s="50"/>
      <c r="GDA347" s="50"/>
      <c r="GDB347" s="50"/>
      <c r="GDC347" s="50"/>
      <c r="GDD347" s="50"/>
      <c r="GDE347" s="50"/>
      <c r="GDF347" s="50"/>
      <c r="GDG347" s="50"/>
      <c r="GDH347" s="50"/>
      <c r="GDI347" s="50"/>
      <c r="GDJ347" s="50"/>
      <c r="GDK347" s="50"/>
      <c r="GDL347" s="50"/>
      <c r="GDM347" s="50"/>
      <c r="GDN347" s="50"/>
      <c r="GDO347" s="50"/>
      <c r="GDP347" s="50"/>
      <c r="GDQ347" s="50"/>
      <c r="GDR347" s="50"/>
      <c r="GDS347" s="50"/>
      <c r="GDT347" s="50"/>
      <c r="GDU347" s="50"/>
      <c r="GDV347" s="50"/>
      <c r="GDW347" s="50"/>
      <c r="GDX347" s="50"/>
      <c r="GDY347" s="50"/>
      <c r="GDZ347" s="50"/>
      <c r="GEA347" s="50"/>
      <c r="GEB347" s="50"/>
      <c r="GEC347" s="50"/>
      <c r="GED347" s="50"/>
      <c r="GEE347" s="50"/>
      <c r="GEF347" s="50"/>
      <c r="GEG347" s="50"/>
      <c r="GEH347" s="50"/>
      <c r="GEI347" s="50"/>
      <c r="GEJ347" s="50"/>
      <c r="GEK347" s="50"/>
      <c r="GEL347" s="50"/>
      <c r="GEM347" s="50"/>
      <c r="GEN347" s="50"/>
      <c r="GEO347" s="50"/>
      <c r="GEP347" s="50"/>
      <c r="GEQ347" s="50"/>
      <c r="GER347" s="50"/>
      <c r="GES347" s="50"/>
      <c r="GET347" s="50"/>
      <c r="GEU347" s="50"/>
      <c r="GEV347" s="50"/>
      <c r="GEW347" s="50"/>
      <c r="GEX347" s="50"/>
      <c r="GEY347" s="50"/>
      <c r="GEZ347" s="50"/>
      <c r="GFA347" s="50"/>
      <c r="GFB347" s="50"/>
      <c r="GFC347" s="50"/>
      <c r="GFD347" s="50"/>
      <c r="GFE347" s="50"/>
      <c r="GFF347" s="50"/>
      <c r="GFG347" s="50"/>
      <c r="GFH347" s="50"/>
      <c r="GFI347" s="50"/>
      <c r="GFJ347" s="50"/>
      <c r="GFK347" s="50"/>
      <c r="GFL347" s="50"/>
      <c r="GFM347" s="50"/>
      <c r="GFN347" s="50"/>
      <c r="GFO347" s="50"/>
      <c r="GFP347" s="50"/>
      <c r="GFQ347" s="50"/>
      <c r="GFR347" s="50"/>
      <c r="GFS347" s="50"/>
      <c r="GFT347" s="50"/>
      <c r="GFU347" s="50"/>
      <c r="GFV347" s="50"/>
      <c r="GFW347" s="50"/>
      <c r="GFX347" s="50"/>
      <c r="GFY347" s="50"/>
      <c r="GFZ347" s="50"/>
      <c r="GGA347" s="50"/>
      <c r="GGB347" s="50"/>
      <c r="GGC347" s="50"/>
      <c r="GGD347" s="50"/>
      <c r="GGE347" s="50"/>
      <c r="GGF347" s="50"/>
      <c r="GGG347" s="50"/>
      <c r="GGH347" s="50"/>
      <c r="GGI347" s="50"/>
      <c r="GGJ347" s="50"/>
      <c r="GGK347" s="50"/>
      <c r="GGL347" s="50"/>
      <c r="GGM347" s="50"/>
      <c r="GGN347" s="50"/>
      <c r="GGO347" s="50"/>
      <c r="GGP347" s="50"/>
      <c r="GGQ347" s="50"/>
      <c r="GGR347" s="50"/>
      <c r="GGS347" s="50"/>
      <c r="GGT347" s="50"/>
      <c r="GGU347" s="50"/>
      <c r="GGV347" s="50"/>
      <c r="GGW347" s="50"/>
      <c r="GGX347" s="50"/>
      <c r="GGY347" s="50"/>
      <c r="GGZ347" s="50"/>
      <c r="GHA347" s="50"/>
      <c r="GHB347" s="50"/>
      <c r="GHC347" s="50"/>
      <c r="GHD347" s="50"/>
      <c r="GHE347" s="50"/>
      <c r="GHF347" s="50"/>
      <c r="GHG347" s="50"/>
      <c r="GHH347" s="50"/>
      <c r="GHI347" s="50"/>
      <c r="GHJ347" s="50"/>
      <c r="GHK347" s="50"/>
      <c r="GHL347" s="50"/>
      <c r="GHM347" s="50"/>
      <c r="GHN347" s="50"/>
      <c r="GHO347" s="50"/>
      <c r="GHP347" s="50"/>
      <c r="GHQ347" s="50"/>
      <c r="GHR347" s="50"/>
      <c r="GHS347" s="50"/>
      <c r="GHT347" s="50"/>
      <c r="GHU347" s="50"/>
      <c r="GHV347" s="50"/>
      <c r="GHW347" s="50"/>
      <c r="GHX347" s="50"/>
      <c r="GHY347" s="50"/>
      <c r="GHZ347" s="50"/>
      <c r="GIA347" s="50"/>
      <c r="GIB347" s="50"/>
      <c r="GIC347" s="50"/>
      <c r="GID347" s="50"/>
      <c r="GIE347" s="50"/>
      <c r="GIF347" s="50"/>
      <c r="GIG347" s="50"/>
      <c r="GIH347" s="50"/>
      <c r="GII347" s="50"/>
      <c r="GIJ347" s="50"/>
      <c r="GIK347" s="50"/>
      <c r="GIL347" s="50"/>
      <c r="GIM347" s="50"/>
      <c r="GIN347" s="50"/>
      <c r="GIO347" s="50"/>
      <c r="GIP347" s="50"/>
      <c r="GIQ347" s="50"/>
      <c r="GIR347" s="50"/>
      <c r="GIS347" s="50"/>
      <c r="GIT347" s="50"/>
      <c r="GIU347" s="50"/>
      <c r="GIV347" s="50"/>
      <c r="GIW347" s="50"/>
      <c r="GIX347" s="50"/>
      <c r="GIY347" s="50"/>
      <c r="GIZ347" s="50"/>
      <c r="GJA347" s="50"/>
      <c r="GJB347" s="50"/>
      <c r="GJC347" s="50"/>
      <c r="GJD347" s="50"/>
      <c r="GJE347" s="50"/>
      <c r="GJF347" s="50"/>
      <c r="GJG347" s="50"/>
      <c r="GJH347" s="50"/>
      <c r="GJI347" s="50"/>
      <c r="GJJ347" s="50"/>
      <c r="GJK347" s="50"/>
      <c r="GJL347" s="50"/>
      <c r="GJM347" s="50"/>
      <c r="GJN347" s="50"/>
      <c r="GJO347" s="50"/>
      <c r="GJP347" s="50"/>
      <c r="GJQ347" s="50"/>
      <c r="GJR347" s="50"/>
      <c r="GJS347" s="50"/>
      <c r="GJT347" s="50"/>
      <c r="GJU347" s="50"/>
      <c r="GJV347" s="50"/>
      <c r="GJW347" s="50"/>
      <c r="GJX347" s="50"/>
      <c r="GJY347" s="50"/>
      <c r="GJZ347" s="50"/>
      <c r="GKA347" s="50"/>
      <c r="GKB347" s="50"/>
      <c r="GKC347" s="50"/>
      <c r="GKD347" s="50"/>
      <c r="GKE347" s="50"/>
      <c r="GKF347" s="50"/>
      <c r="GKG347" s="50"/>
      <c r="GKH347" s="50"/>
      <c r="GKI347" s="50"/>
      <c r="GKJ347" s="50"/>
      <c r="GKK347" s="50"/>
      <c r="GKL347" s="50"/>
      <c r="GKM347" s="50"/>
      <c r="GKN347" s="50"/>
      <c r="GKO347" s="50"/>
      <c r="GKP347" s="50"/>
      <c r="GKQ347" s="50"/>
      <c r="GKR347" s="50"/>
      <c r="GKS347" s="50"/>
      <c r="GKT347" s="50"/>
      <c r="GKU347" s="50"/>
      <c r="GKV347" s="50"/>
      <c r="GKW347" s="50"/>
      <c r="GKX347" s="50"/>
      <c r="GKY347" s="50"/>
      <c r="GKZ347" s="50"/>
      <c r="GLA347" s="50"/>
      <c r="GLB347" s="50"/>
      <c r="GLC347" s="50"/>
      <c r="GLD347" s="50"/>
      <c r="GLE347" s="50"/>
      <c r="GLF347" s="50"/>
      <c r="GLG347" s="50"/>
      <c r="GLH347" s="50"/>
      <c r="GLI347" s="50"/>
      <c r="GLJ347" s="50"/>
      <c r="GLK347" s="50"/>
      <c r="GLL347" s="50"/>
      <c r="GLM347" s="50"/>
      <c r="GLN347" s="50"/>
      <c r="GLO347" s="50"/>
      <c r="GLP347" s="50"/>
      <c r="GLQ347" s="50"/>
      <c r="GLR347" s="50"/>
      <c r="GLS347" s="50"/>
      <c r="GLT347" s="50"/>
      <c r="GLU347" s="50"/>
      <c r="GLV347" s="50"/>
      <c r="GLW347" s="50"/>
      <c r="GLX347" s="50"/>
      <c r="GLY347" s="50"/>
      <c r="GLZ347" s="50"/>
      <c r="GMA347" s="50"/>
      <c r="GMB347" s="50"/>
      <c r="GMC347" s="50"/>
      <c r="GMD347" s="50"/>
      <c r="GME347" s="50"/>
      <c r="GMF347" s="50"/>
      <c r="GMG347" s="50"/>
      <c r="GMH347" s="50"/>
      <c r="GMI347" s="50"/>
      <c r="GMJ347" s="50"/>
      <c r="GMK347" s="50"/>
      <c r="GML347" s="50"/>
      <c r="GMM347" s="50"/>
      <c r="GMN347" s="50"/>
      <c r="GMO347" s="50"/>
      <c r="GMP347" s="50"/>
      <c r="GMQ347" s="50"/>
      <c r="GMR347" s="50"/>
      <c r="GMS347" s="50"/>
      <c r="GMT347" s="50"/>
      <c r="GMU347" s="50"/>
      <c r="GMV347" s="50"/>
      <c r="GMW347" s="50"/>
      <c r="GMX347" s="50"/>
      <c r="GMY347" s="50"/>
      <c r="GMZ347" s="50"/>
      <c r="GNA347" s="50"/>
      <c r="GNB347" s="50"/>
      <c r="GNC347" s="50"/>
      <c r="GND347" s="50"/>
      <c r="GNE347" s="50"/>
      <c r="GNF347" s="50"/>
      <c r="GNG347" s="50"/>
      <c r="GNH347" s="50"/>
      <c r="GNI347" s="50"/>
      <c r="GNJ347" s="50"/>
      <c r="GNK347" s="50"/>
      <c r="GNL347" s="50"/>
      <c r="GNM347" s="50"/>
      <c r="GNN347" s="50"/>
      <c r="GNO347" s="50"/>
      <c r="GNP347" s="50"/>
      <c r="GNQ347" s="50"/>
      <c r="GNR347" s="50"/>
      <c r="GNS347" s="50"/>
      <c r="GNT347" s="50"/>
      <c r="GNU347" s="50"/>
      <c r="GNV347" s="50"/>
      <c r="GNW347" s="50"/>
      <c r="GNX347" s="50"/>
      <c r="GNY347" s="50"/>
      <c r="GNZ347" s="50"/>
      <c r="GOA347" s="50"/>
      <c r="GOB347" s="50"/>
      <c r="GOC347" s="50"/>
      <c r="GOD347" s="50"/>
      <c r="GOE347" s="50"/>
      <c r="GOF347" s="50"/>
      <c r="GOG347" s="50"/>
      <c r="GOH347" s="50"/>
      <c r="GOI347" s="50"/>
      <c r="GOJ347" s="50"/>
      <c r="GOK347" s="50"/>
      <c r="GOL347" s="50"/>
      <c r="GOM347" s="50"/>
      <c r="GON347" s="50"/>
      <c r="GOO347" s="50"/>
      <c r="GOP347" s="50"/>
      <c r="GOQ347" s="50"/>
      <c r="GOR347" s="50"/>
      <c r="GOS347" s="50"/>
      <c r="GOT347" s="50"/>
      <c r="GOU347" s="50"/>
      <c r="GOV347" s="50"/>
      <c r="GOW347" s="50"/>
      <c r="GOX347" s="50"/>
      <c r="GOY347" s="50"/>
      <c r="GOZ347" s="50"/>
      <c r="GPA347" s="50"/>
      <c r="GPB347" s="50"/>
      <c r="GPC347" s="50"/>
      <c r="GPD347" s="50"/>
      <c r="GPE347" s="50"/>
      <c r="GPF347" s="50"/>
      <c r="GPG347" s="50"/>
      <c r="GPH347" s="50"/>
      <c r="GPI347" s="50"/>
      <c r="GPJ347" s="50"/>
      <c r="GPK347" s="50"/>
      <c r="GPL347" s="50"/>
      <c r="GPM347" s="50"/>
      <c r="GPN347" s="50"/>
      <c r="GPO347" s="50"/>
      <c r="GPP347" s="50"/>
      <c r="GPQ347" s="50"/>
      <c r="GPR347" s="50"/>
      <c r="GPS347" s="50"/>
      <c r="GPT347" s="50"/>
      <c r="GPU347" s="50"/>
      <c r="GPV347" s="50"/>
      <c r="GPW347" s="50"/>
      <c r="GPX347" s="50"/>
      <c r="GPY347" s="50"/>
      <c r="GPZ347" s="50"/>
      <c r="GQA347" s="50"/>
      <c r="GQB347" s="50"/>
      <c r="GQC347" s="50"/>
      <c r="GQD347" s="50"/>
      <c r="GQE347" s="50"/>
      <c r="GQF347" s="50"/>
      <c r="GQG347" s="50"/>
      <c r="GQH347" s="50"/>
      <c r="GQI347" s="50"/>
      <c r="GQJ347" s="50"/>
      <c r="GQK347" s="50"/>
      <c r="GQL347" s="50"/>
      <c r="GQM347" s="50"/>
      <c r="GQN347" s="50"/>
      <c r="GQO347" s="50"/>
      <c r="GQP347" s="50"/>
      <c r="GQQ347" s="50"/>
      <c r="GQR347" s="50"/>
      <c r="GQS347" s="50"/>
      <c r="GQT347" s="50"/>
      <c r="GQU347" s="50"/>
      <c r="GQV347" s="50"/>
      <c r="GQW347" s="50"/>
      <c r="GQX347" s="50"/>
      <c r="GQY347" s="50"/>
      <c r="GQZ347" s="50"/>
      <c r="GRA347" s="50"/>
      <c r="GRB347" s="50"/>
      <c r="GRC347" s="50"/>
      <c r="GRD347" s="50"/>
      <c r="GRE347" s="50"/>
      <c r="GRF347" s="50"/>
      <c r="GRG347" s="50"/>
      <c r="GRH347" s="50"/>
      <c r="GRI347" s="50"/>
      <c r="GRJ347" s="50"/>
      <c r="GRK347" s="50"/>
      <c r="GRL347" s="50"/>
      <c r="GRM347" s="50"/>
      <c r="GRN347" s="50"/>
      <c r="GRO347" s="50"/>
      <c r="GRP347" s="50"/>
      <c r="GRQ347" s="50"/>
      <c r="GRR347" s="50"/>
      <c r="GRS347" s="50"/>
      <c r="GRT347" s="50"/>
      <c r="GRU347" s="50"/>
      <c r="GRV347" s="50"/>
      <c r="GRW347" s="50"/>
      <c r="GRX347" s="50"/>
      <c r="GRY347" s="50"/>
      <c r="GRZ347" s="50"/>
      <c r="GSA347" s="50"/>
      <c r="GSB347" s="50"/>
      <c r="GSC347" s="50"/>
      <c r="GSD347" s="50"/>
      <c r="GSE347" s="50"/>
      <c r="GSF347" s="50"/>
      <c r="GSG347" s="50"/>
      <c r="GSH347" s="50"/>
      <c r="GSI347" s="50"/>
      <c r="GSJ347" s="50"/>
      <c r="GSK347" s="50"/>
      <c r="GSL347" s="50"/>
      <c r="GSM347" s="50"/>
      <c r="GSN347" s="50"/>
      <c r="GSO347" s="50"/>
      <c r="GSP347" s="50"/>
      <c r="GSQ347" s="50"/>
      <c r="GSR347" s="50"/>
      <c r="GSS347" s="50"/>
      <c r="GST347" s="50"/>
      <c r="GSU347" s="50"/>
      <c r="GSV347" s="50"/>
      <c r="GSW347" s="50"/>
      <c r="GSX347" s="50"/>
      <c r="GSY347" s="50"/>
      <c r="GSZ347" s="50"/>
      <c r="GTA347" s="50"/>
      <c r="GTB347" s="50"/>
      <c r="GTC347" s="50"/>
      <c r="GTD347" s="50"/>
      <c r="GTE347" s="50"/>
      <c r="GTF347" s="50"/>
      <c r="GTG347" s="50"/>
      <c r="GTH347" s="50"/>
      <c r="GTI347" s="50"/>
      <c r="GTJ347" s="50"/>
      <c r="GTK347" s="50"/>
      <c r="GTL347" s="50"/>
      <c r="GTM347" s="50"/>
      <c r="GTN347" s="50"/>
      <c r="GTO347" s="50"/>
      <c r="GTP347" s="50"/>
      <c r="GTQ347" s="50"/>
      <c r="GTR347" s="50"/>
      <c r="GTS347" s="50"/>
      <c r="GTT347" s="50"/>
      <c r="GTU347" s="50"/>
      <c r="GTV347" s="50"/>
      <c r="GTW347" s="50"/>
      <c r="GTX347" s="50"/>
      <c r="GTY347" s="50"/>
      <c r="GTZ347" s="50"/>
      <c r="GUA347" s="50"/>
      <c r="GUB347" s="50"/>
      <c r="GUC347" s="50"/>
      <c r="GUD347" s="50"/>
      <c r="GUE347" s="50"/>
      <c r="GUF347" s="50"/>
      <c r="GUG347" s="50"/>
      <c r="GUH347" s="50"/>
      <c r="GUI347" s="50"/>
      <c r="GUJ347" s="50"/>
      <c r="GUK347" s="50"/>
      <c r="GUL347" s="50"/>
      <c r="GUM347" s="50"/>
      <c r="GUN347" s="50"/>
      <c r="GUO347" s="50"/>
      <c r="GUP347" s="50"/>
      <c r="GUQ347" s="50"/>
      <c r="GUR347" s="50"/>
      <c r="GUS347" s="50"/>
      <c r="GUT347" s="50"/>
      <c r="GUU347" s="50"/>
      <c r="GUV347" s="50"/>
      <c r="GUW347" s="50"/>
      <c r="GUX347" s="50"/>
      <c r="GUY347" s="50"/>
      <c r="GUZ347" s="50"/>
      <c r="GVA347" s="50"/>
      <c r="GVB347" s="50"/>
      <c r="GVC347" s="50"/>
      <c r="GVD347" s="50"/>
      <c r="GVE347" s="50"/>
      <c r="GVF347" s="50"/>
      <c r="GVG347" s="50"/>
      <c r="GVH347" s="50"/>
      <c r="GVI347" s="50"/>
      <c r="GVJ347" s="50"/>
      <c r="GVK347" s="50"/>
      <c r="GVL347" s="50"/>
      <c r="GVM347" s="50"/>
      <c r="GVN347" s="50"/>
      <c r="GVO347" s="50"/>
      <c r="GVP347" s="50"/>
      <c r="GVQ347" s="50"/>
      <c r="GVR347" s="50"/>
      <c r="GVS347" s="50"/>
      <c r="GVT347" s="50"/>
      <c r="GVU347" s="50"/>
      <c r="GVV347" s="50"/>
      <c r="GVW347" s="50"/>
      <c r="GVX347" s="50"/>
      <c r="GVY347" s="50"/>
      <c r="GVZ347" s="50"/>
      <c r="GWA347" s="50"/>
      <c r="GWB347" s="50"/>
      <c r="GWC347" s="50"/>
      <c r="GWD347" s="50"/>
      <c r="GWE347" s="50"/>
      <c r="GWF347" s="50"/>
      <c r="GWG347" s="50"/>
      <c r="GWH347" s="50"/>
      <c r="GWI347" s="50"/>
      <c r="GWJ347" s="50"/>
      <c r="GWK347" s="50"/>
      <c r="GWL347" s="50"/>
      <c r="GWM347" s="50"/>
      <c r="GWN347" s="50"/>
      <c r="GWO347" s="50"/>
      <c r="GWP347" s="50"/>
      <c r="GWQ347" s="50"/>
      <c r="GWR347" s="50"/>
      <c r="GWS347" s="50"/>
      <c r="GWT347" s="50"/>
      <c r="GWU347" s="50"/>
      <c r="GWV347" s="50"/>
      <c r="GWW347" s="50"/>
      <c r="GWX347" s="50"/>
      <c r="GWY347" s="50"/>
      <c r="GWZ347" s="50"/>
      <c r="GXA347" s="50"/>
      <c r="GXB347" s="50"/>
      <c r="GXC347" s="50"/>
      <c r="GXD347" s="50"/>
      <c r="GXE347" s="50"/>
      <c r="GXF347" s="50"/>
      <c r="GXG347" s="50"/>
      <c r="GXH347" s="50"/>
      <c r="GXI347" s="50"/>
      <c r="GXJ347" s="50"/>
      <c r="GXK347" s="50"/>
      <c r="GXL347" s="50"/>
      <c r="GXM347" s="50"/>
      <c r="GXN347" s="50"/>
      <c r="GXO347" s="50"/>
      <c r="GXP347" s="50"/>
      <c r="GXQ347" s="50"/>
      <c r="GXR347" s="50"/>
      <c r="GXS347" s="50"/>
      <c r="GXT347" s="50"/>
      <c r="GXU347" s="50"/>
      <c r="GXV347" s="50"/>
      <c r="GXW347" s="50"/>
      <c r="GXX347" s="50"/>
      <c r="GXY347" s="50"/>
      <c r="GXZ347" s="50"/>
      <c r="GYA347" s="50"/>
      <c r="GYB347" s="50"/>
      <c r="GYC347" s="50"/>
      <c r="GYD347" s="50"/>
      <c r="GYE347" s="50"/>
      <c r="GYF347" s="50"/>
      <c r="GYG347" s="50"/>
      <c r="GYH347" s="50"/>
      <c r="GYI347" s="50"/>
      <c r="GYJ347" s="50"/>
      <c r="GYK347" s="50"/>
      <c r="GYL347" s="50"/>
      <c r="GYM347" s="50"/>
      <c r="GYN347" s="50"/>
      <c r="GYO347" s="50"/>
      <c r="GYP347" s="50"/>
      <c r="GYQ347" s="50"/>
      <c r="GYR347" s="50"/>
      <c r="GYS347" s="50"/>
      <c r="GYT347" s="50"/>
      <c r="GYU347" s="50"/>
      <c r="GYV347" s="50"/>
      <c r="GYW347" s="50"/>
      <c r="GYX347" s="50"/>
      <c r="GYY347" s="50"/>
      <c r="GYZ347" s="50"/>
      <c r="GZA347" s="50"/>
      <c r="GZB347" s="50"/>
      <c r="GZC347" s="50"/>
      <c r="GZD347" s="50"/>
      <c r="GZE347" s="50"/>
      <c r="GZF347" s="50"/>
      <c r="GZG347" s="50"/>
      <c r="GZH347" s="50"/>
      <c r="GZI347" s="50"/>
      <c r="GZJ347" s="50"/>
      <c r="GZK347" s="50"/>
      <c r="GZL347" s="50"/>
      <c r="GZM347" s="50"/>
      <c r="GZN347" s="50"/>
      <c r="GZO347" s="50"/>
      <c r="GZP347" s="50"/>
      <c r="GZQ347" s="50"/>
      <c r="GZR347" s="50"/>
      <c r="GZS347" s="50"/>
      <c r="GZT347" s="50"/>
      <c r="GZU347" s="50"/>
      <c r="GZV347" s="50"/>
      <c r="GZW347" s="50"/>
      <c r="GZX347" s="50"/>
      <c r="GZY347" s="50"/>
      <c r="GZZ347" s="50"/>
      <c r="HAA347" s="50"/>
      <c r="HAB347" s="50"/>
      <c r="HAC347" s="50"/>
      <c r="HAD347" s="50"/>
      <c r="HAE347" s="50"/>
      <c r="HAF347" s="50"/>
      <c r="HAG347" s="50"/>
      <c r="HAH347" s="50"/>
      <c r="HAI347" s="50"/>
      <c r="HAJ347" s="50"/>
      <c r="HAK347" s="50"/>
      <c r="HAL347" s="50"/>
      <c r="HAM347" s="50"/>
      <c r="HAN347" s="50"/>
      <c r="HAO347" s="50"/>
      <c r="HAP347" s="50"/>
      <c r="HAQ347" s="50"/>
      <c r="HAR347" s="50"/>
      <c r="HAS347" s="50"/>
      <c r="HAT347" s="50"/>
      <c r="HAU347" s="50"/>
      <c r="HAV347" s="50"/>
      <c r="HAW347" s="50"/>
      <c r="HAX347" s="50"/>
      <c r="HAY347" s="50"/>
      <c r="HAZ347" s="50"/>
      <c r="HBA347" s="50"/>
      <c r="HBB347" s="50"/>
      <c r="HBC347" s="50"/>
      <c r="HBD347" s="50"/>
      <c r="HBE347" s="50"/>
      <c r="HBF347" s="50"/>
      <c r="HBG347" s="50"/>
      <c r="HBH347" s="50"/>
      <c r="HBI347" s="50"/>
      <c r="HBJ347" s="50"/>
      <c r="HBK347" s="50"/>
      <c r="HBL347" s="50"/>
      <c r="HBM347" s="50"/>
      <c r="HBN347" s="50"/>
      <c r="HBO347" s="50"/>
      <c r="HBP347" s="50"/>
      <c r="HBQ347" s="50"/>
      <c r="HBR347" s="50"/>
      <c r="HBS347" s="50"/>
      <c r="HBT347" s="50"/>
      <c r="HBU347" s="50"/>
      <c r="HBV347" s="50"/>
      <c r="HBW347" s="50"/>
      <c r="HBX347" s="50"/>
      <c r="HBY347" s="50"/>
      <c r="HBZ347" s="50"/>
      <c r="HCA347" s="50"/>
      <c r="HCB347" s="50"/>
      <c r="HCC347" s="50"/>
      <c r="HCD347" s="50"/>
      <c r="HCE347" s="50"/>
      <c r="HCF347" s="50"/>
      <c r="HCG347" s="50"/>
      <c r="HCH347" s="50"/>
      <c r="HCI347" s="50"/>
      <c r="HCJ347" s="50"/>
      <c r="HCK347" s="50"/>
      <c r="HCL347" s="50"/>
      <c r="HCM347" s="50"/>
      <c r="HCN347" s="50"/>
      <c r="HCO347" s="50"/>
      <c r="HCP347" s="50"/>
      <c r="HCQ347" s="50"/>
      <c r="HCR347" s="50"/>
      <c r="HCS347" s="50"/>
      <c r="HCT347" s="50"/>
      <c r="HCU347" s="50"/>
      <c r="HCV347" s="50"/>
      <c r="HCW347" s="50"/>
      <c r="HCX347" s="50"/>
      <c r="HCY347" s="50"/>
      <c r="HCZ347" s="50"/>
      <c r="HDA347" s="50"/>
      <c r="HDB347" s="50"/>
      <c r="HDC347" s="50"/>
      <c r="HDD347" s="50"/>
      <c r="HDE347" s="50"/>
      <c r="HDF347" s="50"/>
      <c r="HDG347" s="50"/>
      <c r="HDH347" s="50"/>
      <c r="HDI347" s="50"/>
      <c r="HDJ347" s="50"/>
      <c r="HDK347" s="50"/>
      <c r="HDL347" s="50"/>
      <c r="HDM347" s="50"/>
      <c r="HDN347" s="50"/>
      <c r="HDO347" s="50"/>
      <c r="HDP347" s="50"/>
      <c r="HDQ347" s="50"/>
      <c r="HDR347" s="50"/>
      <c r="HDS347" s="50"/>
      <c r="HDT347" s="50"/>
      <c r="HDU347" s="50"/>
      <c r="HDV347" s="50"/>
      <c r="HDW347" s="50"/>
      <c r="HDX347" s="50"/>
      <c r="HDY347" s="50"/>
      <c r="HDZ347" s="50"/>
      <c r="HEA347" s="50"/>
      <c r="HEB347" s="50"/>
      <c r="HEC347" s="50"/>
      <c r="HED347" s="50"/>
      <c r="HEE347" s="50"/>
      <c r="HEF347" s="50"/>
      <c r="HEG347" s="50"/>
      <c r="HEH347" s="50"/>
      <c r="HEI347" s="50"/>
      <c r="HEJ347" s="50"/>
      <c r="HEK347" s="50"/>
      <c r="HEL347" s="50"/>
      <c r="HEM347" s="50"/>
      <c r="HEN347" s="50"/>
      <c r="HEO347" s="50"/>
      <c r="HEP347" s="50"/>
      <c r="HEQ347" s="50"/>
      <c r="HER347" s="50"/>
      <c r="HES347" s="50"/>
      <c r="HET347" s="50"/>
      <c r="HEU347" s="50"/>
      <c r="HEV347" s="50"/>
      <c r="HEW347" s="50"/>
      <c r="HEX347" s="50"/>
      <c r="HEY347" s="50"/>
      <c r="HEZ347" s="50"/>
      <c r="HFA347" s="50"/>
      <c r="HFB347" s="50"/>
      <c r="HFC347" s="50"/>
      <c r="HFD347" s="50"/>
      <c r="HFE347" s="50"/>
      <c r="HFF347" s="50"/>
      <c r="HFG347" s="50"/>
      <c r="HFH347" s="50"/>
      <c r="HFI347" s="50"/>
      <c r="HFJ347" s="50"/>
      <c r="HFK347" s="50"/>
      <c r="HFL347" s="50"/>
      <c r="HFM347" s="50"/>
      <c r="HFN347" s="50"/>
      <c r="HFO347" s="50"/>
      <c r="HFP347" s="50"/>
      <c r="HFQ347" s="50"/>
      <c r="HFR347" s="50"/>
      <c r="HFS347" s="50"/>
      <c r="HFT347" s="50"/>
      <c r="HFU347" s="50"/>
      <c r="HFV347" s="50"/>
      <c r="HFW347" s="50"/>
      <c r="HFX347" s="50"/>
      <c r="HFY347" s="50"/>
      <c r="HFZ347" s="50"/>
      <c r="HGA347" s="50"/>
      <c r="HGB347" s="50"/>
      <c r="HGC347" s="50"/>
      <c r="HGD347" s="50"/>
      <c r="HGE347" s="50"/>
      <c r="HGF347" s="50"/>
      <c r="HGG347" s="50"/>
      <c r="HGH347" s="50"/>
      <c r="HGI347" s="50"/>
      <c r="HGJ347" s="50"/>
      <c r="HGK347" s="50"/>
      <c r="HGL347" s="50"/>
      <c r="HGM347" s="50"/>
      <c r="HGN347" s="50"/>
      <c r="HGO347" s="50"/>
      <c r="HGP347" s="50"/>
      <c r="HGQ347" s="50"/>
      <c r="HGR347" s="50"/>
      <c r="HGS347" s="50"/>
      <c r="HGT347" s="50"/>
      <c r="HGU347" s="50"/>
      <c r="HGV347" s="50"/>
      <c r="HGW347" s="50"/>
      <c r="HGX347" s="50"/>
      <c r="HGY347" s="50"/>
      <c r="HGZ347" s="50"/>
      <c r="HHA347" s="50"/>
      <c r="HHB347" s="50"/>
      <c r="HHC347" s="50"/>
      <c r="HHD347" s="50"/>
      <c r="HHE347" s="50"/>
      <c r="HHF347" s="50"/>
      <c r="HHG347" s="50"/>
      <c r="HHH347" s="50"/>
      <c r="HHI347" s="50"/>
      <c r="HHJ347" s="50"/>
      <c r="HHK347" s="50"/>
      <c r="HHL347" s="50"/>
      <c r="HHM347" s="50"/>
      <c r="HHN347" s="50"/>
      <c r="HHO347" s="50"/>
      <c r="HHP347" s="50"/>
      <c r="HHQ347" s="50"/>
      <c r="HHR347" s="50"/>
      <c r="HHS347" s="50"/>
      <c r="HHT347" s="50"/>
      <c r="HHU347" s="50"/>
      <c r="HHV347" s="50"/>
      <c r="HHW347" s="50"/>
      <c r="HHX347" s="50"/>
      <c r="HHY347" s="50"/>
      <c r="HHZ347" s="50"/>
      <c r="HIA347" s="50"/>
      <c r="HIB347" s="50"/>
      <c r="HIC347" s="50"/>
      <c r="HID347" s="50"/>
      <c r="HIE347" s="50"/>
      <c r="HIF347" s="50"/>
      <c r="HIG347" s="50"/>
      <c r="HIH347" s="50"/>
      <c r="HII347" s="50"/>
      <c r="HIJ347" s="50"/>
      <c r="HIK347" s="50"/>
      <c r="HIL347" s="50"/>
      <c r="HIM347" s="50"/>
      <c r="HIN347" s="50"/>
      <c r="HIO347" s="50"/>
      <c r="HIP347" s="50"/>
      <c r="HIQ347" s="50"/>
      <c r="HIR347" s="50"/>
      <c r="HIS347" s="50"/>
      <c r="HIT347" s="50"/>
      <c r="HIU347" s="50"/>
      <c r="HIV347" s="50"/>
      <c r="HIW347" s="50"/>
      <c r="HIX347" s="50"/>
      <c r="HIY347" s="50"/>
      <c r="HIZ347" s="50"/>
      <c r="HJA347" s="50"/>
      <c r="HJB347" s="50"/>
      <c r="HJC347" s="50"/>
      <c r="HJD347" s="50"/>
      <c r="HJE347" s="50"/>
      <c r="HJF347" s="50"/>
      <c r="HJG347" s="50"/>
      <c r="HJH347" s="50"/>
      <c r="HJI347" s="50"/>
      <c r="HJJ347" s="50"/>
      <c r="HJK347" s="50"/>
      <c r="HJL347" s="50"/>
      <c r="HJM347" s="50"/>
      <c r="HJN347" s="50"/>
      <c r="HJO347" s="50"/>
      <c r="HJP347" s="50"/>
      <c r="HJQ347" s="50"/>
      <c r="HJR347" s="50"/>
      <c r="HJS347" s="50"/>
      <c r="HJT347" s="50"/>
      <c r="HJU347" s="50"/>
      <c r="HJV347" s="50"/>
      <c r="HJW347" s="50"/>
      <c r="HJX347" s="50"/>
      <c r="HJY347" s="50"/>
      <c r="HJZ347" s="50"/>
      <c r="HKA347" s="50"/>
      <c r="HKB347" s="50"/>
      <c r="HKC347" s="50"/>
      <c r="HKD347" s="50"/>
      <c r="HKE347" s="50"/>
      <c r="HKF347" s="50"/>
      <c r="HKG347" s="50"/>
      <c r="HKH347" s="50"/>
      <c r="HKI347" s="50"/>
      <c r="HKJ347" s="50"/>
      <c r="HKK347" s="50"/>
      <c r="HKL347" s="50"/>
      <c r="HKM347" s="50"/>
      <c r="HKN347" s="50"/>
      <c r="HKO347" s="50"/>
      <c r="HKP347" s="50"/>
      <c r="HKQ347" s="50"/>
      <c r="HKR347" s="50"/>
      <c r="HKS347" s="50"/>
      <c r="HKT347" s="50"/>
      <c r="HKU347" s="50"/>
      <c r="HKV347" s="50"/>
      <c r="HKW347" s="50"/>
      <c r="HKX347" s="50"/>
      <c r="HKY347" s="50"/>
      <c r="HKZ347" s="50"/>
      <c r="HLA347" s="50"/>
      <c r="HLB347" s="50"/>
      <c r="HLC347" s="50"/>
      <c r="HLD347" s="50"/>
      <c r="HLE347" s="50"/>
      <c r="HLF347" s="50"/>
      <c r="HLG347" s="50"/>
      <c r="HLH347" s="50"/>
      <c r="HLI347" s="50"/>
      <c r="HLJ347" s="50"/>
      <c r="HLK347" s="50"/>
      <c r="HLL347" s="50"/>
      <c r="HLM347" s="50"/>
      <c r="HLN347" s="50"/>
      <c r="HLO347" s="50"/>
      <c r="HLP347" s="50"/>
      <c r="HLQ347" s="50"/>
      <c r="HLR347" s="50"/>
      <c r="HLS347" s="50"/>
      <c r="HLT347" s="50"/>
      <c r="HLU347" s="50"/>
      <c r="HLV347" s="50"/>
      <c r="HLW347" s="50"/>
      <c r="HLX347" s="50"/>
      <c r="HLY347" s="50"/>
      <c r="HLZ347" s="50"/>
      <c r="HMA347" s="50"/>
      <c r="HMB347" s="50"/>
      <c r="HMC347" s="50"/>
      <c r="HMD347" s="50"/>
      <c r="HME347" s="50"/>
      <c r="HMF347" s="50"/>
      <c r="HMG347" s="50"/>
      <c r="HMH347" s="50"/>
      <c r="HMI347" s="50"/>
      <c r="HMJ347" s="50"/>
      <c r="HMK347" s="50"/>
      <c r="HML347" s="50"/>
      <c r="HMM347" s="50"/>
      <c r="HMN347" s="50"/>
      <c r="HMO347" s="50"/>
      <c r="HMP347" s="50"/>
      <c r="HMQ347" s="50"/>
      <c r="HMR347" s="50"/>
      <c r="HMS347" s="50"/>
      <c r="HMT347" s="50"/>
      <c r="HMU347" s="50"/>
      <c r="HMV347" s="50"/>
      <c r="HMW347" s="50"/>
      <c r="HMX347" s="50"/>
      <c r="HMY347" s="50"/>
      <c r="HMZ347" s="50"/>
      <c r="HNA347" s="50"/>
      <c r="HNB347" s="50"/>
      <c r="HNC347" s="50"/>
      <c r="HND347" s="50"/>
      <c r="HNE347" s="50"/>
      <c r="HNF347" s="50"/>
      <c r="HNG347" s="50"/>
      <c r="HNH347" s="50"/>
      <c r="HNI347" s="50"/>
      <c r="HNJ347" s="50"/>
      <c r="HNK347" s="50"/>
      <c r="HNL347" s="50"/>
      <c r="HNM347" s="50"/>
      <c r="HNN347" s="50"/>
      <c r="HNO347" s="50"/>
      <c r="HNP347" s="50"/>
      <c r="HNQ347" s="50"/>
      <c r="HNR347" s="50"/>
      <c r="HNS347" s="50"/>
      <c r="HNT347" s="50"/>
      <c r="HNU347" s="50"/>
      <c r="HNV347" s="50"/>
      <c r="HNW347" s="50"/>
      <c r="HNX347" s="50"/>
      <c r="HNY347" s="50"/>
      <c r="HNZ347" s="50"/>
      <c r="HOA347" s="50"/>
      <c r="HOB347" s="50"/>
      <c r="HOC347" s="50"/>
      <c r="HOD347" s="50"/>
      <c r="HOE347" s="50"/>
      <c r="HOF347" s="50"/>
      <c r="HOG347" s="50"/>
      <c r="HOH347" s="50"/>
      <c r="HOI347" s="50"/>
      <c r="HOJ347" s="50"/>
      <c r="HOK347" s="50"/>
      <c r="HOL347" s="50"/>
      <c r="HOM347" s="50"/>
      <c r="HON347" s="50"/>
      <c r="HOO347" s="50"/>
      <c r="HOP347" s="50"/>
      <c r="HOQ347" s="50"/>
      <c r="HOR347" s="50"/>
      <c r="HOS347" s="50"/>
      <c r="HOT347" s="50"/>
      <c r="HOU347" s="50"/>
      <c r="HOV347" s="50"/>
      <c r="HOW347" s="50"/>
      <c r="HOX347" s="50"/>
      <c r="HOY347" s="50"/>
      <c r="HOZ347" s="50"/>
      <c r="HPA347" s="50"/>
      <c r="HPB347" s="50"/>
      <c r="HPC347" s="50"/>
      <c r="HPD347" s="50"/>
      <c r="HPE347" s="50"/>
      <c r="HPF347" s="50"/>
      <c r="HPG347" s="50"/>
      <c r="HPH347" s="50"/>
      <c r="HPI347" s="50"/>
      <c r="HPJ347" s="50"/>
      <c r="HPK347" s="50"/>
      <c r="HPL347" s="50"/>
      <c r="HPM347" s="50"/>
      <c r="HPN347" s="50"/>
      <c r="HPO347" s="50"/>
      <c r="HPP347" s="50"/>
      <c r="HPQ347" s="50"/>
      <c r="HPR347" s="50"/>
      <c r="HPS347" s="50"/>
      <c r="HPT347" s="50"/>
      <c r="HPU347" s="50"/>
      <c r="HPV347" s="50"/>
      <c r="HPW347" s="50"/>
      <c r="HPX347" s="50"/>
      <c r="HPY347" s="50"/>
      <c r="HPZ347" s="50"/>
      <c r="HQA347" s="50"/>
      <c r="HQB347" s="50"/>
      <c r="HQC347" s="50"/>
      <c r="HQD347" s="50"/>
      <c r="HQE347" s="50"/>
      <c r="HQF347" s="50"/>
      <c r="HQG347" s="50"/>
      <c r="HQH347" s="50"/>
      <c r="HQI347" s="50"/>
      <c r="HQJ347" s="50"/>
      <c r="HQK347" s="50"/>
      <c r="HQL347" s="50"/>
      <c r="HQM347" s="50"/>
      <c r="HQN347" s="50"/>
      <c r="HQO347" s="50"/>
      <c r="HQP347" s="50"/>
      <c r="HQQ347" s="50"/>
      <c r="HQR347" s="50"/>
      <c r="HQS347" s="50"/>
      <c r="HQT347" s="50"/>
      <c r="HQU347" s="50"/>
      <c r="HQV347" s="50"/>
      <c r="HQW347" s="50"/>
      <c r="HQX347" s="50"/>
      <c r="HQY347" s="50"/>
      <c r="HQZ347" s="50"/>
      <c r="HRA347" s="50"/>
      <c r="HRB347" s="50"/>
      <c r="HRC347" s="50"/>
      <c r="HRD347" s="50"/>
      <c r="HRE347" s="50"/>
      <c r="HRF347" s="50"/>
      <c r="HRG347" s="50"/>
      <c r="HRH347" s="50"/>
      <c r="HRI347" s="50"/>
      <c r="HRJ347" s="50"/>
      <c r="HRK347" s="50"/>
      <c r="HRL347" s="50"/>
      <c r="HRM347" s="50"/>
      <c r="HRN347" s="50"/>
      <c r="HRO347" s="50"/>
      <c r="HRP347" s="50"/>
      <c r="HRQ347" s="50"/>
      <c r="HRR347" s="50"/>
      <c r="HRS347" s="50"/>
      <c r="HRT347" s="50"/>
      <c r="HRU347" s="50"/>
      <c r="HRV347" s="50"/>
      <c r="HRW347" s="50"/>
      <c r="HRX347" s="50"/>
      <c r="HRY347" s="50"/>
      <c r="HRZ347" s="50"/>
      <c r="HSA347" s="50"/>
      <c r="HSB347" s="50"/>
      <c r="HSC347" s="50"/>
      <c r="HSD347" s="50"/>
      <c r="HSE347" s="50"/>
      <c r="HSF347" s="50"/>
      <c r="HSG347" s="50"/>
      <c r="HSH347" s="50"/>
      <c r="HSI347" s="50"/>
      <c r="HSJ347" s="50"/>
      <c r="HSK347" s="50"/>
      <c r="HSL347" s="50"/>
      <c r="HSM347" s="50"/>
      <c r="HSN347" s="50"/>
      <c r="HSO347" s="50"/>
      <c r="HSP347" s="50"/>
      <c r="HSQ347" s="50"/>
      <c r="HSR347" s="50"/>
      <c r="HSS347" s="50"/>
      <c r="HST347" s="50"/>
      <c r="HSU347" s="50"/>
      <c r="HSV347" s="50"/>
      <c r="HSW347" s="50"/>
      <c r="HSX347" s="50"/>
      <c r="HSY347" s="50"/>
      <c r="HSZ347" s="50"/>
      <c r="HTA347" s="50"/>
      <c r="HTB347" s="50"/>
      <c r="HTC347" s="50"/>
      <c r="HTD347" s="50"/>
      <c r="HTE347" s="50"/>
      <c r="HTF347" s="50"/>
      <c r="HTG347" s="50"/>
      <c r="HTH347" s="50"/>
      <c r="HTI347" s="50"/>
      <c r="HTJ347" s="50"/>
      <c r="HTK347" s="50"/>
      <c r="HTL347" s="50"/>
      <c r="HTM347" s="50"/>
      <c r="HTN347" s="50"/>
      <c r="HTO347" s="50"/>
      <c r="HTP347" s="50"/>
      <c r="HTQ347" s="50"/>
      <c r="HTR347" s="50"/>
      <c r="HTS347" s="50"/>
      <c r="HTT347" s="50"/>
      <c r="HTU347" s="50"/>
      <c r="HTV347" s="50"/>
      <c r="HTW347" s="50"/>
      <c r="HTX347" s="50"/>
      <c r="HTY347" s="50"/>
      <c r="HTZ347" s="50"/>
      <c r="HUA347" s="50"/>
      <c r="HUB347" s="50"/>
      <c r="HUC347" s="50"/>
      <c r="HUD347" s="50"/>
      <c r="HUE347" s="50"/>
      <c r="HUF347" s="50"/>
      <c r="HUG347" s="50"/>
      <c r="HUH347" s="50"/>
      <c r="HUI347" s="50"/>
      <c r="HUJ347" s="50"/>
      <c r="HUK347" s="50"/>
      <c r="HUL347" s="50"/>
      <c r="HUM347" s="50"/>
      <c r="HUN347" s="50"/>
      <c r="HUO347" s="50"/>
      <c r="HUP347" s="50"/>
      <c r="HUQ347" s="50"/>
      <c r="HUR347" s="50"/>
      <c r="HUS347" s="50"/>
      <c r="HUT347" s="50"/>
      <c r="HUU347" s="50"/>
      <c r="HUV347" s="50"/>
      <c r="HUW347" s="50"/>
      <c r="HUX347" s="50"/>
      <c r="HUY347" s="50"/>
      <c r="HUZ347" s="50"/>
      <c r="HVA347" s="50"/>
      <c r="HVB347" s="50"/>
      <c r="HVC347" s="50"/>
      <c r="HVD347" s="50"/>
      <c r="HVE347" s="50"/>
      <c r="HVF347" s="50"/>
      <c r="HVG347" s="50"/>
      <c r="HVH347" s="50"/>
      <c r="HVI347" s="50"/>
      <c r="HVJ347" s="50"/>
      <c r="HVK347" s="50"/>
      <c r="HVL347" s="50"/>
      <c r="HVM347" s="50"/>
      <c r="HVN347" s="50"/>
      <c r="HVO347" s="50"/>
      <c r="HVP347" s="50"/>
      <c r="HVQ347" s="50"/>
      <c r="HVR347" s="50"/>
      <c r="HVS347" s="50"/>
      <c r="HVT347" s="50"/>
      <c r="HVU347" s="50"/>
      <c r="HVV347" s="50"/>
      <c r="HVW347" s="50"/>
      <c r="HVX347" s="50"/>
      <c r="HVY347" s="50"/>
      <c r="HVZ347" s="50"/>
      <c r="HWA347" s="50"/>
      <c r="HWB347" s="50"/>
      <c r="HWC347" s="50"/>
      <c r="HWD347" s="50"/>
      <c r="HWE347" s="50"/>
      <c r="HWF347" s="50"/>
      <c r="HWG347" s="50"/>
      <c r="HWH347" s="50"/>
      <c r="HWI347" s="50"/>
      <c r="HWJ347" s="50"/>
      <c r="HWK347" s="50"/>
      <c r="HWL347" s="50"/>
      <c r="HWM347" s="50"/>
      <c r="HWN347" s="50"/>
      <c r="HWO347" s="50"/>
      <c r="HWP347" s="50"/>
      <c r="HWQ347" s="50"/>
      <c r="HWR347" s="50"/>
      <c r="HWS347" s="50"/>
      <c r="HWT347" s="50"/>
      <c r="HWU347" s="50"/>
      <c r="HWV347" s="50"/>
      <c r="HWW347" s="50"/>
      <c r="HWX347" s="50"/>
      <c r="HWY347" s="50"/>
      <c r="HWZ347" s="50"/>
      <c r="HXA347" s="50"/>
      <c r="HXB347" s="50"/>
      <c r="HXC347" s="50"/>
      <c r="HXD347" s="50"/>
      <c r="HXE347" s="50"/>
      <c r="HXF347" s="50"/>
      <c r="HXG347" s="50"/>
      <c r="HXH347" s="50"/>
      <c r="HXI347" s="50"/>
      <c r="HXJ347" s="50"/>
      <c r="HXK347" s="50"/>
      <c r="HXL347" s="50"/>
      <c r="HXM347" s="50"/>
      <c r="HXN347" s="50"/>
      <c r="HXO347" s="50"/>
      <c r="HXP347" s="50"/>
      <c r="HXQ347" s="50"/>
      <c r="HXR347" s="50"/>
      <c r="HXS347" s="50"/>
      <c r="HXT347" s="50"/>
      <c r="HXU347" s="50"/>
      <c r="HXV347" s="50"/>
      <c r="HXW347" s="50"/>
      <c r="HXX347" s="50"/>
      <c r="HXY347" s="50"/>
      <c r="HXZ347" s="50"/>
      <c r="HYA347" s="50"/>
      <c r="HYB347" s="50"/>
      <c r="HYC347" s="50"/>
      <c r="HYD347" s="50"/>
      <c r="HYE347" s="50"/>
      <c r="HYF347" s="50"/>
      <c r="HYG347" s="50"/>
      <c r="HYH347" s="50"/>
      <c r="HYI347" s="50"/>
      <c r="HYJ347" s="50"/>
      <c r="HYK347" s="50"/>
      <c r="HYL347" s="50"/>
      <c r="HYM347" s="50"/>
      <c r="HYN347" s="50"/>
      <c r="HYO347" s="50"/>
      <c r="HYP347" s="50"/>
      <c r="HYQ347" s="50"/>
      <c r="HYR347" s="50"/>
      <c r="HYS347" s="50"/>
      <c r="HYT347" s="50"/>
      <c r="HYU347" s="50"/>
      <c r="HYV347" s="50"/>
      <c r="HYW347" s="50"/>
      <c r="HYX347" s="50"/>
      <c r="HYY347" s="50"/>
      <c r="HYZ347" s="50"/>
      <c r="HZA347" s="50"/>
      <c r="HZB347" s="50"/>
      <c r="HZC347" s="50"/>
      <c r="HZD347" s="50"/>
      <c r="HZE347" s="50"/>
      <c r="HZF347" s="50"/>
      <c r="HZG347" s="50"/>
      <c r="HZH347" s="50"/>
      <c r="HZI347" s="50"/>
      <c r="HZJ347" s="50"/>
      <c r="HZK347" s="50"/>
      <c r="HZL347" s="50"/>
      <c r="HZM347" s="50"/>
      <c r="HZN347" s="50"/>
      <c r="HZO347" s="50"/>
      <c r="HZP347" s="50"/>
      <c r="HZQ347" s="50"/>
      <c r="HZR347" s="50"/>
      <c r="HZS347" s="50"/>
      <c r="HZT347" s="50"/>
      <c r="HZU347" s="50"/>
      <c r="HZV347" s="50"/>
      <c r="HZW347" s="50"/>
      <c r="HZX347" s="50"/>
      <c r="HZY347" s="50"/>
      <c r="HZZ347" s="50"/>
      <c r="IAA347" s="50"/>
      <c r="IAB347" s="50"/>
      <c r="IAC347" s="50"/>
      <c r="IAD347" s="50"/>
      <c r="IAE347" s="50"/>
      <c r="IAF347" s="50"/>
      <c r="IAG347" s="50"/>
      <c r="IAH347" s="50"/>
      <c r="IAI347" s="50"/>
      <c r="IAJ347" s="50"/>
      <c r="IAK347" s="50"/>
      <c r="IAL347" s="50"/>
      <c r="IAM347" s="50"/>
      <c r="IAN347" s="50"/>
      <c r="IAO347" s="50"/>
      <c r="IAP347" s="50"/>
      <c r="IAQ347" s="50"/>
      <c r="IAR347" s="50"/>
      <c r="IAS347" s="50"/>
      <c r="IAT347" s="50"/>
      <c r="IAU347" s="50"/>
      <c r="IAV347" s="50"/>
      <c r="IAW347" s="50"/>
      <c r="IAX347" s="50"/>
      <c r="IAY347" s="50"/>
      <c r="IAZ347" s="50"/>
      <c r="IBA347" s="50"/>
      <c r="IBB347" s="50"/>
      <c r="IBC347" s="50"/>
      <c r="IBD347" s="50"/>
      <c r="IBE347" s="50"/>
      <c r="IBF347" s="50"/>
      <c r="IBG347" s="50"/>
      <c r="IBH347" s="50"/>
      <c r="IBI347" s="50"/>
      <c r="IBJ347" s="50"/>
      <c r="IBK347" s="50"/>
      <c r="IBL347" s="50"/>
      <c r="IBM347" s="50"/>
      <c r="IBN347" s="50"/>
      <c r="IBO347" s="50"/>
      <c r="IBP347" s="50"/>
      <c r="IBQ347" s="50"/>
      <c r="IBR347" s="50"/>
      <c r="IBS347" s="50"/>
      <c r="IBT347" s="50"/>
      <c r="IBU347" s="50"/>
      <c r="IBV347" s="50"/>
      <c r="IBW347" s="50"/>
      <c r="IBX347" s="50"/>
      <c r="IBY347" s="50"/>
      <c r="IBZ347" s="50"/>
      <c r="ICA347" s="50"/>
      <c r="ICB347" s="50"/>
      <c r="ICC347" s="50"/>
      <c r="ICD347" s="50"/>
      <c r="ICE347" s="50"/>
      <c r="ICF347" s="50"/>
      <c r="ICG347" s="50"/>
      <c r="ICH347" s="50"/>
      <c r="ICI347" s="50"/>
      <c r="ICJ347" s="50"/>
      <c r="ICK347" s="50"/>
      <c r="ICL347" s="50"/>
      <c r="ICM347" s="50"/>
      <c r="ICN347" s="50"/>
      <c r="ICO347" s="50"/>
      <c r="ICP347" s="50"/>
      <c r="ICQ347" s="50"/>
      <c r="ICR347" s="50"/>
      <c r="ICS347" s="50"/>
      <c r="ICT347" s="50"/>
      <c r="ICU347" s="50"/>
      <c r="ICV347" s="50"/>
      <c r="ICW347" s="50"/>
      <c r="ICX347" s="50"/>
      <c r="ICY347" s="50"/>
      <c r="ICZ347" s="50"/>
      <c r="IDA347" s="50"/>
      <c r="IDB347" s="50"/>
      <c r="IDC347" s="50"/>
      <c r="IDD347" s="50"/>
      <c r="IDE347" s="50"/>
      <c r="IDF347" s="50"/>
      <c r="IDG347" s="50"/>
      <c r="IDH347" s="50"/>
      <c r="IDI347" s="50"/>
      <c r="IDJ347" s="50"/>
      <c r="IDK347" s="50"/>
      <c r="IDL347" s="50"/>
      <c r="IDM347" s="50"/>
      <c r="IDN347" s="50"/>
      <c r="IDO347" s="50"/>
      <c r="IDP347" s="50"/>
      <c r="IDQ347" s="50"/>
      <c r="IDR347" s="50"/>
      <c r="IDS347" s="50"/>
      <c r="IDT347" s="50"/>
      <c r="IDU347" s="50"/>
      <c r="IDV347" s="50"/>
      <c r="IDW347" s="50"/>
      <c r="IDX347" s="50"/>
      <c r="IDY347" s="50"/>
      <c r="IDZ347" s="50"/>
      <c r="IEA347" s="50"/>
      <c r="IEB347" s="50"/>
      <c r="IEC347" s="50"/>
      <c r="IED347" s="50"/>
      <c r="IEE347" s="50"/>
      <c r="IEF347" s="50"/>
      <c r="IEG347" s="50"/>
      <c r="IEH347" s="50"/>
      <c r="IEI347" s="50"/>
      <c r="IEJ347" s="50"/>
      <c r="IEK347" s="50"/>
      <c r="IEL347" s="50"/>
      <c r="IEM347" s="50"/>
      <c r="IEN347" s="50"/>
      <c r="IEO347" s="50"/>
      <c r="IEP347" s="50"/>
      <c r="IEQ347" s="50"/>
      <c r="IER347" s="50"/>
      <c r="IES347" s="50"/>
      <c r="IET347" s="50"/>
      <c r="IEU347" s="50"/>
      <c r="IEV347" s="50"/>
      <c r="IEW347" s="50"/>
      <c r="IEX347" s="50"/>
      <c r="IEY347" s="50"/>
      <c r="IEZ347" s="50"/>
      <c r="IFA347" s="50"/>
      <c r="IFB347" s="50"/>
      <c r="IFC347" s="50"/>
      <c r="IFD347" s="50"/>
      <c r="IFE347" s="50"/>
      <c r="IFF347" s="50"/>
      <c r="IFG347" s="50"/>
      <c r="IFH347" s="50"/>
      <c r="IFI347" s="50"/>
      <c r="IFJ347" s="50"/>
      <c r="IFK347" s="50"/>
      <c r="IFL347" s="50"/>
      <c r="IFM347" s="50"/>
      <c r="IFN347" s="50"/>
      <c r="IFO347" s="50"/>
      <c r="IFP347" s="50"/>
      <c r="IFQ347" s="50"/>
      <c r="IFR347" s="50"/>
      <c r="IFS347" s="50"/>
      <c r="IFT347" s="50"/>
      <c r="IFU347" s="50"/>
      <c r="IFV347" s="50"/>
      <c r="IFW347" s="50"/>
      <c r="IFX347" s="50"/>
      <c r="IFY347" s="50"/>
      <c r="IFZ347" s="50"/>
      <c r="IGA347" s="50"/>
      <c r="IGB347" s="50"/>
      <c r="IGC347" s="50"/>
      <c r="IGD347" s="50"/>
      <c r="IGE347" s="50"/>
      <c r="IGF347" s="50"/>
      <c r="IGG347" s="50"/>
      <c r="IGH347" s="50"/>
      <c r="IGI347" s="50"/>
      <c r="IGJ347" s="50"/>
      <c r="IGK347" s="50"/>
      <c r="IGL347" s="50"/>
      <c r="IGM347" s="50"/>
      <c r="IGN347" s="50"/>
      <c r="IGO347" s="50"/>
      <c r="IGP347" s="50"/>
      <c r="IGQ347" s="50"/>
      <c r="IGR347" s="50"/>
      <c r="IGS347" s="50"/>
      <c r="IGT347" s="50"/>
      <c r="IGU347" s="50"/>
      <c r="IGV347" s="50"/>
      <c r="IGW347" s="50"/>
      <c r="IGX347" s="50"/>
      <c r="IGY347" s="50"/>
      <c r="IGZ347" s="50"/>
      <c r="IHA347" s="50"/>
      <c r="IHB347" s="50"/>
      <c r="IHC347" s="50"/>
      <c r="IHD347" s="50"/>
      <c r="IHE347" s="50"/>
      <c r="IHF347" s="50"/>
      <c r="IHG347" s="50"/>
      <c r="IHH347" s="50"/>
      <c r="IHI347" s="50"/>
      <c r="IHJ347" s="50"/>
      <c r="IHK347" s="50"/>
      <c r="IHL347" s="50"/>
      <c r="IHM347" s="50"/>
      <c r="IHN347" s="50"/>
      <c r="IHO347" s="50"/>
      <c r="IHP347" s="50"/>
      <c r="IHQ347" s="50"/>
      <c r="IHR347" s="50"/>
      <c r="IHS347" s="50"/>
      <c r="IHT347" s="50"/>
      <c r="IHU347" s="50"/>
      <c r="IHV347" s="50"/>
      <c r="IHW347" s="50"/>
      <c r="IHX347" s="50"/>
      <c r="IHY347" s="50"/>
      <c r="IHZ347" s="50"/>
      <c r="IIA347" s="50"/>
      <c r="IIB347" s="50"/>
      <c r="IIC347" s="50"/>
      <c r="IID347" s="50"/>
      <c r="IIE347" s="50"/>
      <c r="IIF347" s="50"/>
      <c r="IIG347" s="50"/>
      <c r="IIH347" s="50"/>
      <c r="III347" s="50"/>
      <c r="IIJ347" s="50"/>
      <c r="IIK347" s="50"/>
      <c r="IIL347" s="50"/>
      <c r="IIM347" s="50"/>
      <c r="IIN347" s="50"/>
      <c r="IIO347" s="50"/>
      <c r="IIP347" s="50"/>
      <c r="IIQ347" s="50"/>
      <c r="IIR347" s="50"/>
      <c r="IIS347" s="50"/>
      <c r="IIT347" s="50"/>
      <c r="IIU347" s="50"/>
      <c r="IIV347" s="50"/>
      <c r="IIW347" s="50"/>
      <c r="IIX347" s="50"/>
      <c r="IIY347" s="50"/>
      <c r="IIZ347" s="50"/>
      <c r="IJA347" s="50"/>
      <c r="IJB347" s="50"/>
      <c r="IJC347" s="50"/>
      <c r="IJD347" s="50"/>
      <c r="IJE347" s="50"/>
      <c r="IJF347" s="50"/>
      <c r="IJG347" s="50"/>
      <c r="IJH347" s="50"/>
      <c r="IJI347" s="50"/>
      <c r="IJJ347" s="50"/>
      <c r="IJK347" s="50"/>
      <c r="IJL347" s="50"/>
      <c r="IJM347" s="50"/>
      <c r="IJN347" s="50"/>
      <c r="IJO347" s="50"/>
      <c r="IJP347" s="50"/>
      <c r="IJQ347" s="50"/>
      <c r="IJR347" s="50"/>
      <c r="IJS347" s="50"/>
      <c r="IJT347" s="50"/>
      <c r="IJU347" s="50"/>
      <c r="IJV347" s="50"/>
      <c r="IJW347" s="50"/>
      <c r="IJX347" s="50"/>
      <c r="IJY347" s="50"/>
      <c r="IJZ347" s="50"/>
      <c r="IKA347" s="50"/>
      <c r="IKB347" s="50"/>
      <c r="IKC347" s="50"/>
      <c r="IKD347" s="50"/>
      <c r="IKE347" s="50"/>
      <c r="IKF347" s="50"/>
      <c r="IKG347" s="50"/>
      <c r="IKH347" s="50"/>
      <c r="IKI347" s="50"/>
      <c r="IKJ347" s="50"/>
      <c r="IKK347" s="50"/>
      <c r="IKL347" s="50"/>
      <c r="IKM347" s="50"/>
      <c r="IKN347" s="50"/>
      <c r="IKO347" s="50"/>
      <c r="IKP347" s="50"/>
      <c r="IKQ347" s="50"/>
      <c r="IKR347" s="50"/>
      <c r="IKS347" s="50"/>
      <c r="IKT347" s="50"/>
      <c r="IKU347" s="50"/>
      <c r="IKV347" s="50"/>
      <c r="IKW347" s="50"/>
      <c r="IKX347" s="50"/>
      <c r="IKY347" s="50"/>
      <c r="IKZ347" s="50"/>
      <c r="ILA347" s="50"/>
      <c r="ILB347" s="50"/>
      <c r="ILC347" s="50"/>
      <c r="ILD347" s="50"/>
      <c r="ILE347" s="50"/>
      <c r="ILF347" s="50"/>
      <c r="ILG347" s="50"/>
      <c r="ILH347" s="50"/>
      <c r="ILI347" s="50"/>
      <c r="ILJ347" s="50"/>
      <c r="ILK347" s="50"/>
      <c r="ILL347" s="50"/>
      <c r="ILM347" s="50"/>
      <c r="ILN347" s="50"/>
      <c r="ILO347" s="50"/>
      <c r="ILP347" s="50"/>
      <c r="ILQ347" s="50"/>
      <c r="ILR347" s="50"/>
      <c r="ILS347" s="50"/>
      <c r="ILT347" s="50"/>
      <c r="ILU347" s="50"/>
      <c r="ILV347" s="50"/>
      <c r="ILW347" s="50"/>
      <c r="ILX347" s="50"/>
      <c r="ILY347" s="50"/>
      <c r="ILZ347" s="50"/>
      <c r="IMA347" s="50"/>
      <c r="IMB347" s="50"/>
      <c r="IMC347" s="50"/>
      <c r="IMD347" s="50"/>
      <c r="IME347" s="50"/>
      <c r="IMF347" s="50"/>
      <c r="IMG347" s="50"/>
      <c r="IMH347" s="50"/>
      <c r="IMI347" s="50"/>
      <c r="IMJ347" s="50"/>
      <c r="IMK347" s="50"/>
      <c r="IML347" s="50"/>
      <c r="IMM347" s="50"/>
      <c r="IMN347" s="50"/>
      <c r="IMO347" s="50"/>
      <c r="IMP347" s="50"/>
      <c r="IMQ347" s="50"/>
      <c r="IMR347" s="50"/>
      <c r="IMS347" s="50"/>
      <c r="IMT347" s="50"/>
      <c r="IMU347" s="50"/>
      <c r="IMV347" s="50"/>
      <c r="IMW347" s="50"/>
      <c r="IMX347" s="50"/>
      <c r="IMY347" s="50"/>
      <c r="IMZ347" s="50"/>
      <c r="INA347" s="50"/>
      <c r="INB347" s="50"/>
      <c r="INC347" s="50"/>
      <c r="IND347" s="50"/>
      <c r="INE347" s="50"/>
      <c r="INF347" s="50"/>
      <c r="ING347" s="50"/>
      <c r="INH347" s="50"/>
      <c r="INI347" s="50"/>
      <c r="INJ347" s="50"/>
      <c r="INK347" s="50"/>
      <c r="INL347" s="50"/>
      <c r="INM347" s="50"/>
      <c r="INN347" s="50"/>
      <c r="INO347" s="50"/>
      <c r="INP347" s="50"/>
      <c r="INQ347" s="50"/>
      <c r="INR347" s="50"/>
      <c r="INS347" s="50"/>
      <c r="INT347" s="50"/>
      <c r="INU347" s="50"/>
      <c r="INV347" s="50"/>
      <c r="INW347" s="50"/>
      <c r="INX347" s="50"/>
      <c r="INY347" s="50"/>
      <c r="INZ347" s="50"/>
      <c r="IOA347" s="50"/>
      <c r="IOB347" s="50"/>
      <c r="IOC347" s="50"/>
      <c r="IOD347" s="50"/>
      <c r="IOE347" s="50"/>
      <c r="IOF347" s="50"/>
      <c r="IOG347" s="50"/>
      <c r="IOH347" s="50"/>
      <c r="IOI347" s="50"/>
      <c r="IOJ347" s="50"/>
      <c r="IOK347" s="50"/>
      <c r="IOL347" s="50"/>
      <c r="IOM347" s="50"/>
      <c r="ION347" s="50"/>
      <c r="IOO347" s="50"/>
      <c r="IOP347" s="50"/>
      <c r="IOQ347" s="50"/>
      <c r="IOR347" s="50"/>
      <c r="IOS347" s="50"/>
      <c r="IOT347" s="50"/>
      <c r="IOU347" s="50"/>
      <c r="IOV347" s="50"/>
      <c r="IOW347" s="50"/>
      <c r="IOX347" s="50"/>
      <c r="IOY347" s="50"/>
      <c r="IOZ347" s="50"/>
      <c r="IPA347" s="50"/>
      <c r="IPB347" s="50"/>
      <c r="IPC347" s="50"/>
      <c r="IPD347" s="50"/>
      <c r="IPE347" s="50"/>
      <c r="IPF347" s="50"/>
      <c r="IPG347" s="50"/>
      <c r="IPH347" s="50"/>
      <c r="IPI347" s="50"/>
      <c r="IPJ347" s="50"/>
      <c r="IPK347" s="50"/>
      <c r="IPL347" s="50"/>
      <c r="IPM347" s="50"/>
      <c r="IPN347" s="50"/>
      <c r="IPO347" s="50"/>
      <c r="IPP347" s="50"/>
      <c r="IPQ347" s="50"/>
      <c r="IPR347" s="50"/>
      <c r="IPS347" s="50"/>
      <c r="IPT347" s="50"/>
      <c r="IPU347" s="50"/>
      <c r="IPV347" s="50"/>
      <c r="IPW347" s="50"/>
      <c r="IPX347" s="50"/>
      <c r="IPY347" s="50"/>
      <c r="IPZ347" s="50"/>
      <c r="IQA347" s="50"/>
      <c r="IQB347" s="50"/>
      <c r="IQC347" s="50"/>
      <c r="IQD347" s="50"/>
      <c r="IQE347" s="50"/>
      <c r="IQF347" s="50"/>
      <c r="IQG347" s="50"/>
      <c r="IQH347" s="50"/>
      <c r="IQI347" s="50"/>
      <c r="IQJ347" s="50"/>
      <c r="IQK347" s="50"/>
      <c r="IQL347" s="50"/>
      <c r="IQM347" s="50"/>
      <c r="IQN347" s="50"/>
      <c r="IQO347" s="50"/>
      <c r="IQP347" s="50"/>
      <c r="IQQ347" s="50"/>
      <c r="IQR347" s="50"/>
      <c r="IQS347" s="50"/>
      <c r="IQT347" s="50"/>
      <c r="IQU347" s="50"/>
      <c r="IQV347" s="50"/>
      <c r="IQW347" s="50"/>
      <c r="IQX347" s="50"/>
      <c r="IQY347" s="50"/>
      <c r="IQZ347" s="50"/>
      <c r="IRA347" s="50"/>
      <c r="IRB347" s="50"/>
      <c r="IRC347" s="50"/>
      <c r="IRD347" s="50"/>
      <c r="IRE347" s="50"/>
      <c r="IRF347" s="50"/>
      <c r="IRG347" s="50"/>
      <c r="IRH347" s="50"/>
      <c r="IRI347" s="50"/>
      <c r="IRJ347" s="50"/>
      <c r="IRK347" s="50"/>
      <c r="IRL347" s="50"/>
      <c r="IRM347" s="50"/>
      <c r="IRN347" s="50"/>
      <c r="IRO347" s="50"/>
      <c r="IRP347" s="50"/>
      <c r="IRQ347" s="50"/>
      <c r="IRR347" s="50"/>
      <c r="IRS347" s="50"/>
      <c r="IRT347" s="50"/>
      <c r="IRU347" s="50"/>
      <c r="IRV347" s="50"/>
      <c r="IRW347" s="50"/>
      <c r="IRX347" s="50"/>
      <c r="IRY347" s="50"/>
      <c r="IRZ347" s="50"/>
      <c r="ISA347" s="50"/>
      <c r="ISB347" s="50"/>
      <c r="ISC347" s="50"/>
      <c r="ISD347" s="50"/>
      <c r="ISE347" s="50"/>
      <c r="ISF347" s="50"/>
      <c r="ISG347" s="50"/>
      <c r="ISH347" s="50"/>
      <c r="ISI347" s="50"/>
      <c r="ISJ347" s="50"/>
      <c r="ISK347" s="50"/>
      <c r="ISL347" s="50"/>
      <c r="ISM347" s="50"/>
      <c r="ISN347" s="50"/>
      <c r="ISO347" s="50"/>
      <c r="ISP347" s="50"/>
      <c r="ISQ347" s="50"/>
      <c r="ISR347" s="50"/>
      <c r="ISS347" s="50"/>
      <c r="IST347" s="50"/>
      <c r="ISU347" s="50"/>
      <c r="ISV347" s="50"/>
      <c r="ISW347" s="50"/>
      <c r="ISX347" s="50"/>
      <c r="ISY347" s="50"/>
      <c r="ISZ347" s="50"/>
      <c r="ITA347" s="50"/>
      <c r="ITB347" s="50"/>
      <c r="ITC347" s="50"/>
      <c r="ITD347" s="50"/>
      <c r="ITE347" s="50"/>
      <c r="ITF347" s="50"/>
      <c r="ITG347" s="50"/>
      <c r="ITH347" s="50"/>
      <c r="ITI347" s="50"/>
      <c r="ITJ347" s="50"/>
      <c r="ITK347" s="50"/>
      <c r="ITL347" s="50"/>
      <c r="ITM347" s="50"/>
      <c r="ITN347" s="50"/>
      <c r="ITO347" s="50"/>
      <c r="ITP347" s="50"/>
      <c r="ITQ347" s="50"/>
      <c r="ITR347" s="50"/>
      <c r="ITS347" s="50"/>
      <c r="ITT347" s="50"/>
      <c r="ITU347" s="50"/>
      <c r="ITV347" s="50"/>
      <c r="ITW347" s="50"/>
      <c r="ITX347" s="50"/>
      <c r="ITY347" s="50"/>
      <c r="ITZ347" s="50"/>
      <c r="IUA347" s="50"/>
      <c r="IUB347" s="50"/>
      <c r="IUC347" s="50"/>
      <c r="IUD347" s="50"/>
      <c r="IUE347" s="50"/>
      <c r="IUF347" s="50"/>
      <c r="IUG347" s="50"/>
      <c r="IUH347" s="50"/>
      <c r="IUI347" s="50"/>
      <c r="IUJ347" s="50"/>
      <c r="IUK347" s="50"/>
      <c r="IUL347" s="50"/>
      <c r="IUM347" s="50"/>
      <c r="IUN347" s="50"/>
      <c r="IUO347" s="50"/>
      <c r="IUP347" s="50"/>
      <c r="IUQ347" s="50"/>
      <c r="IUR347" s="50"/>
      <c r="IUS347" s="50"/>
      <c r="IUT347" s="50"/>
      <c r="IUU347" s="50"/>
      <c r="IUV347" s="50"/>
      <c r="IUW347" s="50"/>
      <c r="IUX347" s="50"/>
      <c r="IUY347" s="50"/>
      <c r="IUZ347" s="50"/>
      <c r="IVA347" s="50"/>
      <c r="IVB347" s="50"/>
      <c r="IVC347" s="50"/>
      <c r="IVD347" s="50"/>
      <c r="IVE347" s="50"/>
      <c r="IVF347" s="50"/>
      <c r="IVG347" s="50"/>
      <c r="IVH347" s="50"/>
      <c r="IVI347" s="50"/>
      <c r="IVJ347" s="50"/>
      <c r="IVK347" s="50"/>
      <c r="IVL347" s="50"/>
      <c r="IVM347" s="50"/>
      <c r="IVN347" s="50"/>
      <c r="IVO347" s="50"/>
      <c r="IVP347" s="50"/>
      <c r="IVQ347" s="50"/>
      <c r="IVR347" s="50"/>
      <c r="IVS347" s="50"/>
      <c r="IVT347" s="50"/>
      <c r="IVU347" s="50"/>
      <c r="IVV347" s="50"/>
      <c r="IVW347" s="50"/>
      <c r="IVX347" s="50"/>
      <c r="IVY347" s="50"/>
      <c r="IVZ347" s="50"/>
      <c r="IWA347" s="50"/>
      <c r="IWB347" s="50"/>
      <c r="IWC347" s="50"/>
      <c r="IWD347" s="50"/>
      <c r="IWE347" s="50"/>
      <c r="IWF347" s="50"/>
      <c r="IWG347" s="50"/>
      <c r="IWH347" s="50"/>
      <c r="IWI347" s="50"/>
      <c r="IWJ347" s="50"/>
      <c r="IWK347" s="50"/>
      <c r="IWL347" s="50"/>
      <c r="IWM347" s="50"/>
      <c r="IWN347" s="50"/>
      <c r="IWO347" s="50"/>
      <c r="IWP347" s="50"/>
      <c r="IWQ347" s="50"/>
      <c r="IWR347" s="50"/>
      <c r="IWS347" s="50"/>
      <c r="IWT347" s="50"/>
      <c r="IWU347" s="50"/>
      <c r="IWV347" s="50"/>
      <c r="IWW347" s="50"/>
      <c r="IWX347" s="50"/>
      <c r="IWY347" s="50"/>
      <c r="IWZ347" s="50"/>
      <c r="IXA347" s="50"/>
      <c r="IXB347" s="50"/>
      <c r="IXC347" s="50"/>
      <c r="IXD347" s="50"/>
      <c r="IXE347" s="50"/>
      <c r="IXF347" s="50"/>
      <c r="IXG347" s="50"/>
      <c r="IXH347" s="50"/>
      <c r="IXI347" s="50"/>
      <c r="IXJ347" s="50"/>
      <c r="IXK347" s="50"/>
      <c r="IXL347" s="50"/>
      <c r="IXM347" s="50"/>
      <c r="IXN347" s="50"/>
      <c r="IXO347" s="50"/>
      <c r="IXP347" s="50"/>
      <c r="IXQ347" s="50"/>
      <c r="IXR347" s="50"/>
      <c r="IXS347" s="50"/>
      <c r="IXT347" s="50"/>
      <c r="IXU347" s="50"/>
      <c r="IXV347" s="50"/>
      <c r="IXW347" s="50"/>
      <c r="IXX347" s="50"/>
      <c r="IXY347" s="50"/>
      <c r="IXZ347" s="50"/>
      <c r="IYA347" s="50"/>
      <c r="IYB347" s="50"/>
      <c r="IYC347" s="50"/>
      <c r="IYD347" s="50"/>
      <c r="IYE347" s="50"/>
      <c r="IYF347" s="50"/>
      <c r="IYG347" s="50"/>
      <c r="IYH347" s="50"/>
      <c r="IYI347" s="50"/>
      <c r="IYJ347" s="50"/>
      <c r="IYK347" s="50"/>
      <c r="IYL347" s="50"/>
      <c r="IYM347" s="50"/>
      <c r="IYN347" s="50"/>
      <c r="IYO347" s="50"/>
      <c r="IYP347" s="50"/>
      <c r="IYQ347" s="50"/>
      <c r="IYR347" s="50"/>
      <c r="IYS347" s="50"/>
      <c r="IYT347" s="50"/>
      <c r="IYU347" s="50"/>
      <c r="IYV347" s="50"/>
      <c r="IYW347" s="50"/>
      <c r="IYX347" s="50"/>
      <c r="IYY347" s="50"/>
      <c r="IYZ347" s="50"/>
      <c r="IZA347" s="50"/>
      <c r="IZB347" s="50"/>
      <c r="IZC347" s="50"/>
      <c r="IZD347" s="50"/>
      <c r="IZE347" s="50"/>
      <c r="IZF347" s="50"/>
      <c r="IZG347" s="50"/>
      <c r="IZH347" s="50"/>
      <c r="IZI347" s="50"/>
      <c r="IZJ347" s="50"/>
      <c r="IZK347" s="50"/>
      <c r="IZL347" s="50"/>
      <c r="IZM347" s="50"/>
      <c r="IZN347" s="50"/>
      <c r="IZO347" s="50"/>
      <c r="IZP347" s="50"/>
      <c r="IZQ347" s="50"/>
      <c r="IZR347" s="50"/>
      <c r="IZS347" s="50"/>
      <c r="IZT347" s="50"/>
      <c r="IZU347" s="50"/>
      <c r="IZV347" s="50"/>
      <c r="IZW347" s="50"/>
      <c r="IZX347" s="50"/>
      <c r="IZY347" s="50"/>
      <c r="IZZ347" s="50"/>
      <c r="JAA347" s="50"/>
      <c r="JAB347" s="50"/>
      <c r="JAC347" s="50"/>
      <c r="JAD347" s="50"/>
      <c r="JAE347" s="50"/>
      <c r="JAF347" s="50"/>
      <c r="JAG347" s="50"/>
      <c r="JAH347" s="50"/>
      <c r="JAI347" s="50"/>
      <c r="JAJ347" s="50"/>
      <c r="JAK347" s="50"/>
      <c r="JAL347" s="50"/>
      <c r="JAM347" s="50"/>
      <c r="JAN347" s="50"/>
      <c r="JAO347" s="50"/>
      <c r="JAP347" s="50"/>
      <c r="JAQ347" s="50"/>
      <c r="JAR347" s="50"/>
      <c r="JAS347" s="50"/>
      <c r="JAT347" s="50"/>
      <c r="JAU347" s="50"/>
      <c r="JAV347" s="50"/>
      <c r="JAW347" s="50"/>
      <c r="JAX347" s="50"/>
      <c r="JAY347" s="50"/>
      <c r="JAZ347" s="50"/>
      <c r="JBA347" s="50"/>
      <c r="JBB347" s="50"/>
      <c r="JBC347" s="50"/>
      <c r="JBD347" s="50"/>
      <c r="JBE347" s="50"/>
      <c r="JBF347" s="50"/>
      <c r="JBG347" s="50"/>
      <c r="JBH347" s="50"/>
      <c r="JBI347" s="50"/>
      <c r="JBJ347" s="50"/>
      <c r="JBK347" s="50"/>
      <c r="JBL347" s="50"/>
      <c r="JBM347" s="50"/>
      <c r="JBN347" s="50"/>
      <c r="JBO347" s="50"/>
      <c r="JBP347" s="50"/>
      <c r="JBQ347" s="50"/>
      <c r="JBR347" s="50"/>
      <c r="JBS347" s="50"/>
      <c r="JBT347" s="50"/>
      <c r="JBU347" s="50"/>
      <c r="JBV347" s="50"/>
      <c r="JBW347" s="50"/>
      <c r="JBX347" s="50"/>
      <c r="JBY347" s="50"/>
      <c r="JBZ347" s="50"/>
      <c r="JCA347" s="50"/>
      <c r="JCB347" s="50"/>
      <c r="JCC347" s="50"/>
      <c r="JCD347" s="50"/>
      <c r="JCE347" s="50"/>
      <c r="JCF347" s="50"/>
      <c r="JCG347" s="50"/>
      <c r="JCH347" s="50"/>
      <c r="JCI347" s="50"/>
      <c r="JCJ347" s="50"/>
      <c r="JCK347" s="50"/>
      <c r="JCL347" s="50"/>
      <c r="JCM347" s="50"/>
      <c r="JCN347" s="50"/>
      <c r="JCO347" s="50"/>
      <c r="JCP347" s="50"/>
      <c r="JCQ347" s="50"/>
      <c r="JCR347" s="50"/>
      <c r="JCS347" s="50"/>
      <c r="JCT347" s="50"/>
      <c r="JCU347" s="50"/>
      <c r="JCV347" s="50"/>
      <c r="JCW347" s="50"/>
      <c r="JCX347" s="50"/>
      <c r="JCY347" s="50"/>
      <c r="JCZ347" s="50"/>
      <c r="JDA347" s="50"/>
      <c r="JDB347" s="50"/>
      <c r="JDC347" s="50"/>
      <c r="JDD347" s="50"/>
      <c r="JDE347" s="50"/>
      <c r="JDF347" s="50"/>
      <c r="JDG347" s="50"/>
      <c r="JDH347" s="50"/>
      <c r="JDI347" s="50"/>
      <c r="JDJ347" s="50"/>
      <c r="JDK347" s="50"/>
      <c r="JDL347" s="50"/>
      <c r="JDM347" s="50"/>
      <c r="JDN347" s="50"/>
      <c r="JDO347" s="50"/>
      <c r="JDP347" s="50"/>
      <c r="JDQ347" s="50"/>
      <c r="JDR347" s="50"/>
      <c r="JDS347" s="50"/>
      <c r="JDT347" s="50"/>
      <c r="JDU347" s="50"/>
      <c r="JDV347" s="50"/>
      <c r="JDW347" s="50"/>
      <c r="JDX347" s="50"/>
      <c r="JDY347" s="50"/>
      <c r="JDZ347" s="50"/>
      <c r="JEA347" s="50"/>
      <c r="JEB347" s="50"/>
      <c r="JEC347" s="50"/>
      <c r="JED347" s="50"/>
      <c r="JEE347" s="50"/>
      <c r="JEF347" s="50"/>
      <c r="JEG347" s="50"/>
      <c r="JEH347" s="50"/>
      <c r="JEI347" s="50"/>
      <c r="JEJ347" s="50"/>
      <c r="JEK347" s="50"/>
      <c r="JEL347" s="50"/>
      <c r="JEM347" s="50"/>
      <c r="JEN347" s="50"/>
      <c r="JEO347" s="50"/>
      <c r="JEP347" s="50"/>
      <c r="JEQ347" s="50"/>
      <c r="JER347" s="50"/>
      <c r="JES347" s="50"/>
      <c r="JET347" s="50"/>
      <c r="JEU347" s="50"/>
      <c r="JEV347" s="50"/>
      <c r="JEW347" s="50"/>
      <c r="JEX347" s="50"/>
      <c r="JEY347" s="50"/>
      <c r="JEZ347" s="50"/>
      <c r="JFA347" s="50"/>
      <c r="JFB347" s="50"/>
      <c r="JFC347" s="50"/>
      <c r="JFD347" s="50"/>
      <c r="JFE347" s="50"/>
      <c r="JFF347" s="50"/>
      <c r="JFG347" s="50"/>
      <c r="JFH347" s="50"/>
      <c r="JFI347" s="50"/>
      <c r="JFJ347" s="50"/>
      <c r="JFK347" s="50"/>
      <c r="JFL347" s="50"/>
      <c r="JFM347" s="50"/>
      <c r="JFN347" s="50"/>
      <c r="JFO347" s="50"/>
      <c r="JFP347" s="50"/>
      <c r="JFQ347" s="50"/>
      <c r="JFR347" s="50"/>
      <c r="JFS347" s="50"/>
      <c r="JFT347" s="50"/>
      <c r="JFU347" s="50"/>
      <c r="JFV347" s="50"/>
      <c r="JFW347" s="50"/>
      <c r="JFX347" s="50"/>
      <c r="JFY347" s="50"/>
      <c r="JFZ347" s="50"/>
      <c r="JGA347" s="50"/>
      <c r="JGB347" s="50"/>
      <c r="JGC347" s="50"/>
      <c r="JGD347" s="50"/>
      <c r="JGE347" s="50"/>
      <c r="JGF347" s="50"/>
      <c r="JGG347" s="50"/>
      <c r="JGH347" s="50"/>
      <c r="JGI347" s="50"/>
      <c r="JGJ347" s="50"/>
      <c r="JGK347" s="50"/>
      <c r="JGL347" s="50"/>
      <c r="JGM347" s="50"/>
      <c r="JGN347" s="50"/>
      <c r="JGO347" s="50"/>
      <c r="JGP347" s="50"/>
      <c r="JGQ347" s="50"/>
      <c r="JGR347" s="50"/>
      <c r="JGS347" s="50"/>
      <c r="JGT347" s="50"/>
      <c r="JGU347" s="50"/>
      <c r="JGV347" s="50"/>
      <c r="JGW347" s="50"/>
      <c r="JGX347" s="50"/>
      <c r="JGY347" s="50"/>
      <c r="JGZ347" s="50"/>
      <c r="JHA347" s="50"/>
      <c r="JHB347" s="50"/>
      <c r="JHC347" s="50"/>
      <c r="JHD347" s="50"/>
      <c r="JHE347" s="50"/>
      <c r="JHF347" s="50"/>
      <c r="JHG347" s="50"/>
      <c r="JHH347" s="50"/>
      <c r="JHI347" s="50"/>
      <c r="JHJ347" s="50"/>
      <c r="JHK347" s="50"/>
      <c r="JHL347" s="50"/>
      <c r="JHM347" s="50"/>
      <c r="JHN347" s="50"/>
      <c r="JHO347" s="50"/>
      <c r="JHP347" s="50"/>
      <c r="JHQ347" s="50"/>
      <c r="JHR347" s="50"/>
      <c r="JHS347" s="50"/>
      <c r="JHT347" s="50"/>
      <c r="JHU347" s="50"/>
      <c r="JHV347" s="50"/>
      <c r="JHW347" s="50"/>
      <c r="JHX347" s="50"/>
      <c r="JHY347" s="50"/>
      <c r="JHZ347" s="50"/>
      <c r="JIA347" s="50"/>
      <c r="JIB347" s="50"/>
      <c r="JIC347" s="50"/>
      <c r="JID347" s="50"/>
      <c r="JIE347" s="50"/>
      <c r="JIF347" s="50"/>
      <c r="JIG347" s="50"/>
      <c r="JIH347" s="50"/>
      <c r="JII347" s="50"/>
      <c r="JIJ347" s="50"/>
      <c r="JIK347" s="50"/>
      <c r="JIL347" s="50"/>
      <c r="JIM347" s="50"/>
      <c r="JIN347" s="50"/>
      <c r="JIO347" s="50"/>
      <c r="JIP347" s="50"/>
      <c r="JIQ347" s="50"/>
      <c r="JIR347" s="50"/>
      <c r="JIS347" s="50"/>
      <c r="JIT347" s="50"/>
      <c r="JIU347" s="50"/>
      <c r="JIV347" s="50"/>
      <c r="JIW347" s="50"/>
      <c r="JIX347" s="50"/>
      <c r="JIY347" s="50"/>
      <c r="JIZ347" s="50"/>
      <c r="JJA347" s="50"/>
      <c r="JJB347" s="50"/>
      <c r="JJC347" s="50"/>
      <c r="JJD347" s="50"/>
      <c r="JJE347" s="50"/>
      <c r="JJF347" s="50"/>
      <c r="JJG347" s="50"/>
      <c r="JJH347" s="50"/>
      <c r="JJI347" s="50"/>
      <c r="JJJ347" s="50"/>
      <c r="JJK347" s="50"/>
      <c r="JJL347" s="50"/>
      <c r="JJM347" s="50"/>
      <c r="JJN347" s="50"/>
      <c r="JJO347" s="50"/>
      <c r="JJP347" s="50"/>
      <c r="JJQ347" s="50"/>
      <c r="JJR347" s="50"/>
      <c r="JJS347" s="50"/>
      <c r="JJT347" s="50"/>
      <c r="JJU347" s="50"/>
      <c r="JJV347" s="50"/>
      <c r="JJW347" s="50"/>
      <c r="JJX347" s="50"/>
      <c r="JJY347" s="50"/>
      <c r="JJZ347" s="50"/>
      <c r="JKA347" s="50"/>
      <c r="JKB347" s="50"/>
      <c r="JKC347" s="50"/>
      <c r="JKD347" s="50"/>
      <c r="JKE347" s="50"/>
      <c r="JKF347" s="50"/>
      <c r="JKG347" s="50"/>
      <c r="JKH347" s="50"/>
      <c r="JKI347" s="50"/>
      <c r="JKJ347" s="50"/>
      <c r="JKK347" s="50"/>
      <c r="JKL347" s="50"/>
      <c r="JKM347" s="50"/>
      <c r="JKN347" s="50"/>
      <c r="JKO347" s="50"/>
      <c r="JKP347" s="50"/>
      <c r="JKQ347" s="50"/>
      <c r="JKR347" s="50"/>
      <c r="JKS347" s="50"/>
      <c r="JKT347" s="50"/>
      <c r="JKU347" s="50"/>
      <c r="JKV347" s="50"/>
      <c r="JKW347" s="50"/>
      <c r="JKX347" s="50"/>
      <c r="JKY347" s="50"/>
      <c r="JKZ347" s="50"/>
      <c r="JLA347" s="50"/>
      <c r="JLB347" s="50"/>
      <c r="JLC347" s="50"/>
      <c r="JLD347" s="50"/>
      <c r="JLE347" s="50"/>
      <c r="JLF347" s="50"/>
      <c r="JLG347" s="50"/>
      <c r="JLH347" s="50"/>
      <c r="JLI347" s="50"/>
      <c r="JLJ347" s="50"/>
      <c r="JLK347" s="50"/>
      <c r="JLL347" s="50"/>
      <c r="JLM347" s="50"/>
      <c r="JLN347" s="50"/>
      <c r="JLO347" s="50"/>
      <c r="JLP347" s="50"/>
      <c r="JLQ347" s="50"/>
      <c r="JLR347" s="50"/>
      <c r="JLS347" s="50"/>
      <c r="JLT347" s="50"/>
      <c r="JLU347" s="50"/>
      <c r="JLV347" s="50"/>
      <c r="JLW347" s="50"/>
      <c r="JLX347" s="50"/>
      <c r="JLY347" s="50"/>
      <c r="JLZ347" s="50"/>
      <c r="JMA347" s="50"/>
      <c r="JMB347" s="50"/>
      <c r="JMC347" s="50"/>
      <c r="JMD347" s="50"/>
      <c r="JME347" s="50"/>
      <c r="JMF347" s="50"/>
      <c r="JMG347" s="50"/>
      <c r="JMH347" s="50"/>
      <c r="JMI347" s="50"/>
      <c r="JMJ347" s="50"/>
      <c r="JMK347" s="50"/>
      <c r="JML347" s="50"/>
      <c r="JMM347" s="50"/>
      <c r="JMN347" s="50"/>
      <c r="JMO347" s="50"/>
      <c r="JMP347" s="50"/>
      <c r="JMQ347" s="50"/>
      <c r="JMR347" s="50"/>
      <c r="JMS347" s="50"/>
      <c r="JMT347" s="50"/>
      <c r="JMU347" s="50"/>
      <c r="JMV347" s="50"/>
      <c r="JMW347" s="50"/>
      <c r="JMX347" s="50"/>
      <c r="JMY347" s="50"/>
      <c r="JMZ347" s="50"/>
      <c r="JNA347" s="50"/>
      <c r="JNB347" s="50"/>
      <c r="JNC347" s="50"/>
      <c r="JND347" s="50"/>
      <c r="JNE347" s="50"/>
      <c r="JNF347" s="50"/>
      <c r="JNG347" s="50"/>
      <c r="JNH347" s="50"/>
      <c r="JNI347" s="50"/>
      <c r="JNJ347" s="50"/>
      <c r="JNK347" s="50"/>
      <c r="JNL347" s="50"/>
      <c r="JNM347" s="50"/>
      <c r="JNN347" s="50"/>
      <c r="JNO347" s="50"/>
      <c r="JNP347" s="50"/>
      <c r="JNQ347" s="50"/>
      <c r="JNR347" s="50"/>
      <c r="JNS347" s="50"/>
      <c r="JNT347" s="50"/>
      <c r="JNU347" s="50"/>
      <c r="JNV347" s="50"/>
      <c r="JNW347" s="50"/>
      <c r="JNX347" s="50"/>
      <c r="JNY347" s="50"/>
      <c r="JNZ347" s="50"/>
      <c r="JOA347" s="50"/>
      <c r="JOB347" s="50"/>
      <c r="JOC347" s="50"/>
      <c r="JOD347" s="50"/>
      <c r="JOE347" s="50"/>
      <c r="JOF347" s="50"/>
      <c r="JOG347" s="50"/>
      <c r="JOH347" s="50"/>
      <c r="JOI347" s="50"/>
      <c r="JOJ347" s="50"/>
      <c r="JOK347" s="50"/>
      <c r="JOL347" s="50"/>
      <c r="JOM347" s="50"/>
      <c r="JON347" s="50"/>
      <c r="JOO347" s="50"/>
      <c r="JOP347" s="50"/>
      <c r="JOQ347" s="50"/>
      <c r="JOR347" s="50"/>
      <c r="JOS347" s="50"/>
      <c r="JOT347" s="50"/>
      <c r="JOU347" s="50"/>
      <c r="JOV347" s="50"/>
      <c r="JOW347" s="50"/>
      <c r="JOX347" s="50"/>
      <c r="JOY347" s="50"/>
      <c r="JOZ347" s="50"/>
      <c r="JPA347" s="50"/>
      <c r="JPB347" s="50"/>
      <c r="JPC347" s="50"/>
      <c r="JPD347" s="50"/>
      <c r="JPE347" s="50"/>
      <c r="JPF347" s="50"/>
      <c r="JPG347" s="50"/>
      <c r="JPH347" s="50"/>
      <c r="JPI347" s="50"/>
      <c r="JPJ347" s="50"/>
      <c r="JPK347" s="50"/>
      <c r="JPL347" s="50"/>
      <c r="JPM347" s="50"/>
      <c r="JPN347" s="50"/>
      <c r="JPO347" s="50"/>
      <c r="JPP347" s="50"/>
      <c r="JPQ347" s="50"/>
      <c r="JPR347" s="50"/>
      <c r="JPS347" s="50"/>
      <c r="JPT347" s="50"/>
      <c r="JPU347" s="50"/>
      <c r="JPV347" s="50"/>
      <c r="JPW347" s="50"/>
      <c r="JPX347" s="50"/>
      <c r="JPY347" s="50"/>
      <c r="JPZ347" s="50"/>
      <c r="JQA347" s="50"/>
      <c r="JQB347" s="50"/>
      <c r="JQC347" s="50"/>
      <c r="JQD347" s="50"/>
      <c r="JQE347" s="50"/>
      <c r="JQF347" s="50"/>
      <c r="JQG347" s="50"/>
      <c r="JQH347" s="50"/>
      <c r="JQI347" s="50"/>
      <c r="JQJ347" s="50"/>
      <c r="JQK347" s="50"/>
      <c r="JQL347" s="50"/>
      <c r="JQM347" s="50"/>
      <c r="JQN347" s="50"/>
      <c r="JQO347" s="50"/>
      <c r="JQP347" s="50"/>
      <c r="JQQ347" s="50"/>
      <c r="JQR347" s="50"/>
      <c r="JQS347" s="50"/>
      <c r="JQT347" s="50"/>
      <c r="JQU347" s="50"/>
      <c r="JQV347" s="50"/>
      <c r="JQW347" s="50"/>
      <c r="JQX347" s="50"/>
      <c r="JQY347" s="50"/>
      <c r="JQZ347" s="50"/>
      <c r="JRA347" s="50"/>
      <c r="JRB347" s="50"/>
      <c r="JRC347" s="50"/>
      <c r="JRD347" s="50"/>
      <c r="JRE347" s="50"/>
      <c r="JRF347" s="50"/>
      <c r="JRG347" s="50"/>
      <c r="JRH347" s="50"/>
      <c r="JRI347" s="50"/>
      <c r="JRJ347" s="50"/>
      <c r="JRK347" s="50"/>
      <c r="JRL347" s="50"/>
      <c r="JRM347" s="50"/>
      <c r="JRN347" s="50"/>
      <c r="JRO347" s="50"/>
      <c r="JRP347" s="50"/>
      <c r="JRQ347" s="50"/>
      <c r="JRR347" s="50"/>
      <c r="JRS347" s="50"/>
      <c r="JRT347" s="50"/>
      <c r="JRU347" s="50"/>
      <c r="JRV347" s="50"/>
      <c r="JRW347" s="50"/>
      <c r="JRX347" s="50"/>
      <c r="JRY347" s="50"/>
      <c r="JRZ347" s="50"/>
      <c r="JSA347" s="50"/>
      <c r="JSB347" s="50"/>
      <c r="JSC347" s="50"/>
      <c r="JSD347" s="50"/>
      <c r="JSE347" s="50"/>
      <c r="JSF347" s="50"/>
      <c r="JSG347" s="50"/>
      <c r="JSH347" s="50"/>
      <c r="JSI347" s="50"/>
      <c r="JSJ347" s="50"/>
      <c r="JSK347" s="50"/>
      <c r="JSL347" s="50"/>
      <c r="JSM347" s="50"/>
      <c r="JSN347" s="50"/>
      <c r="JSO347" s="50"/>
      <c r="JSP347" s="50"/>
      <c r="JSQ347" s="50"/>
      <c r="JSR347" s="50"/>
      <c r="JSS347" s="50"/>
      <c r="JST347" s="50"/>
      <c r="JSU347" s="50"/>
      <c r="JSV347" s="50"/>
      <c r="JSW347" s="50"/>
      <c r="JSX347" s="50"/>
      <c r="JSY347" s="50"/>
      <c r="JSZ347" s="50"/>
      <c r="JTA347" s="50"/>
      <c r="JTB347" s="50"/>
      <c r="JTC347" s="50"/>
      <c r="JTD347" s="50"/>
      <c r="JTE347" s="50"/>
      <c r="JTF347" s="50"/>
      <c r="JTG347" s="50"/>
      <c r="JTH347" s="50"/>
      <c r="JTI347" s="50"/>
      <c r="JTJ347" s="50"/>
      <c r="JTK347" s="50"/>
      <c r="JTL347" s="50"/>
      <c r="JTM347" s="50"/>
      <c r="JTN347" s="50"/>
      <c r="JTO347" s="50"/>
      <c r="JTP347" s="50"/>
      <c r="JTQ347" s="50"/>
      <c r="JTR347" s="50"/>
      <c r="JTS347" s="50"/>
      <c r="JTT347" s="50"/>
      <c r="JTU347" s="50"/>
      <c r="JTV347" s="50"/>
      <c r="JTW347" s="50"/>
      <c r="JTX347" s="50"/>
      <c r="JTY347" s="50"/>
      <c r="JTZ347" s="50"/>
      <c r="JUA347" s="50"/>
      <c r="JUB347" s="50"/>
      <c r="JUC347" s="50"/>
      <c r="JUD347" s="50"/>
      <c r="JUE347" s="50"/>
      <c r="JUF347" s="50"/>
      <c r="JUG347" s="50"/>
      <c r="JUH347" s="50"/>
      <c r="JUI347" s="50"/>
      <c r="JUJ347" s="50"/>
      <c r="JUK347" s="50"/>
      <c r="JUL347" s="50"/>
      <c r="JUM347" s="50"/>
      <c r="JUN347" s="50"/>
      <c r="JUO347" s="50"/>
      <c r="JUP347" s="50"/>
      <c r="JUQ347" s="50"/>
      <c r="JUR347" s="50"/>
      <c r="JUS347" s="50"/>
      <c r="JUT347" s="50"/>
      <c r="JUU347" s="50"/>
      <c r="JUV347" s="50"/>
      <c r="JUW347" s="50"/>
      <c r="JUX347" s="50"/>
      <c r="JUY347" s="50"/>
      <c r="JUZ347" s="50"/>
      <c r="JVA347" s="50"/>
      <c r="JVB347" s="50"/>
      <c r="JVC347" s="50"/>
      <c r="JVD347" s="50"/>
      <c r="JVE347" s="50"/>
      <c r="JVF347" s="50"/>
      <c r="JVG347" s="50"/>
      <c r="JVH347" s="50"/>
      <c r="JVI347" s="50"/>
      <c r="JVJ347" s="50"/>
      <c r="JVK347" s="50"/>
      <c r="JVL347" s="50"/>
      <c r="JVM347" s="50"/>
      <c r="JVN347" s="50"/>
      <c r="JVO347" s="50"/>
      <c r="JVP347" s="50"/>
      <c r="JVQ347" s="50"/>
      <c r="JVR347" s="50"/>
      <c r="JVS347" s="50"/>
      <c r="JVT347" s="50"/>
      <c r="JVU347" s="50"/>
      <c r="JVV347" s="50"/>
      <c r="JVW347" s="50"/>
      <c r="JVX347" s="50"/>
      <c r="JVY347" s="50"/>
      <c r="JVZ347" s="50"/>
      <c r="JWA347" s="50"/>
      <c r="JWB347" s="50"/>
      <c r="JWC347" s="50"/>
      <c r="JWD347" s="50"/>
      <c r="JWE347" s="50"/>
      <c r="JWF347" s="50"/>
      <c r="JWG347" s="50"/>
      <c r="JWH347" s="50"/>
      <c r="JWI347" s="50"/>
      <c r="JWJ347" s="50"/>
      <c r="JWK347" s="50"/>
      <c r="JWL347" s="50"/>
      <c r="JWM347" s="50"/>
      <c r="JWN347" s="50"/>
      <c r="JWO347" s="50"/>
      <c r="JWP347" s="50"/>
      <c r="JWQ347" s="50"/>
      <c r="JWR347" s="50"/>
      <c r="JWS347" s="50"/>
      <c r="JWT347" s="50"/>
      <c r="JWU347" s="50"/>
      <c r="JWV347" s="50"/>
      <c r="JWW347" s="50"/>
      <c r="JWX347" s="50"/>
      <c r="JWY347" s="50"/>
      <c r="JWZ347" s="50"/>
      <c r="JXA347" s="50"/>
      <c r="JXB347" s="50"/>
      <c r="JXC347" s="50"/>
      <c r="JXD347" s="50"/>
      <c r="JXE347" s="50"/>
      <c r="JXF347" s="50"/>
      <c r="JXG347" s="50"/>
      <c r="JXH347" s="50"/>
      <c r="JXI347" s="50"/>
      <c r="JXJ347" s="50"/>
      <c r="JXK347" s="50"/>
      <c r="JXL347" s="50"/>
      <c r="JXM347" s="50"/>
      <c r="JXN347" s="50"/>
      <c r="JXO347" s="50"/>
      <c r="JXP347" s="50"/>
      <c r="JXQ347" s="50"/>
      <c r="JXR347" s="50"/>
      <c r="JXS347" s="50"/>
      <c r="JXT347" s="50"/>
      <c r="JXU347" s="50"/>
      <c r="JXV347" s="50"/>
      <c r="JXW347" s="50"/>
      <c r="JXX347" s="50"/>
      <c r="JXY347" s="50"/>
      <c r="JXZ347" s="50"/>
      <c r="JYA347" s="50"/>
      <c r="JYB347" s="50"/>
      <c r="JYC347" s="50"/>
      <c r="JYD347" s="50"/>
      <c r="JYE347" s="50"/>
      <c r="JYF347" s="50"/>
      <c r="JYG347" s="50"/>
      <c r="JYH347" s="50"/>
      <c r="JYI347" s="50"/>
      <c r="JYJ347" s="50"/>
      <c r="JYK347" s="50"/>
      <c r="JYL347" s="50"/>
      <c r="JYM347" s="50"/>
      <c r="JYN347" s="50"/>
      <c r="JYO347" s="50"/>
      <c r="JYP347" s="50"/>
      <c r="JYQ347" s="50"/>
      <c r="JYR347" s="50"/>
      <c r="JYS347" s="50"/>
      <c r="JYT347" s="50"/>
      <c r="JYU347" s="50"/>
      <c r="JYV347" s="50"/>
      <c r="JYW347" s="50"/>
      <c r="JYX347" s="50"/>
      <c r="JYY347" s="50"/>
      <c r="JYZ347" s="50"/>
      <c r="JZA347" s="50"/>
      <c r="JZB347" s="50"/>
      <c r="JZC347" s="50"/>
      <c r="JZD347" s="50"/>
      <c r="JZE347" s="50"/>
      <c r="JZF347" s="50"/>
      <c r="JZG347" s="50"/>
      <c r="JZH347" s="50"/>
      <c r="JZI347" s="50"/>
      <c r="JZJ347" s="50"/>
      <c r="JZK347" s="50"/>
      <c r="JZL347" s="50"/>
      <c r="JZM347" s="50"/>
      <c r="JZN347" s="50"/>
      <c r="JZO347" s="50"/>
      <c r="JZP347" s="50"/>
      <c r="JZQ347" s="50"/>
      <c r="JZR347" s="50"/>
      <c r="JZS347" s="50"/>
      <c r="JZT347" s="50"/>
      <c r="JZU347" s="50"/>
      <c r="JZV347" s="50"/>
      <c r="JZW347" s="50"/>
      <c r="JZX347" s="50"/>
      <c r="JZY347" s="50"/>
      <c r="JZZ347" s="50"/>
      <c r="KAA347" s="50"/>
      <c r="KAB347" s="50"/>
      <c r="KAC347" s="50"/>
      <c r="KAD347" s="50"/>
      <c r="KAE347" s="50"/>
      <c r="KAF347" s="50"/>
      <c r="KAG347" s="50"/>
      <c r="KAH347" s="50"/>
      <c r="KAI347" s="50"/>
      <c r="KAJ347" s="50"/>
      <c r="KAK347" s="50"/>
      <c r="KAL347" s="50"/>
      <c r="KAM347" s="50"/>
      <c r="KAN347" s="50"/>
      <c r="KAO347" s="50"/>
      <c r="KAP347" s="50"/>
      <c r="KAQ347" s="50"/>
      <c r="KAR347" s="50"/>
      <c r="KAS347" s="50"/>
      <c r="KAT347" s="50"/>
      <c r="KAU347" s="50"/>
      <c r="KAV347" s="50"/>
      <c r="KAW347" s="50"/>
      <c r="KAX347" s="50"/>
      <c r="KAY347" s="50"/>
      <c r="KAZ347" s="50"/>
      <c r="KBA347" s="50"/>
      <c r="KBB347" s="50"/>
      <c r="KBC347" s="50"/>
      <c r="KBD347" s="50"/>
      <c r="KBE347" s="50"/>
      <c r="KBF347" s="50"/>
      <c r="KBG347" s="50"/>
      <c r="KBH347" s="50"/>
      <c r="KBI347" s="50"/>
      <c r="KBJ347" s="50"/>
      <c r="KBK347" s="50"/>
      <c r="KBL347" s="50"/>
      <c r="KBM347" s="50"/>
      <c r="KBN347" s="50"/>
      <c r="KBO347" s="50"/>
      <c r="KBP347" s="50"/>
      <c r="KBQ347" s="50"/>
      <c r="KBR347" s="50"/>
      <c r="KBS347" s="50"/>
      <c r="KBT347" s="50"/>
      <c r="KBU347" s="50"/>
      <c r="KBV347" s="50"/>
      <c r="KBW347" s="50"/>
      <c r="KBX347" s="50"/>
      <c r="KBY347" s="50"/>
      <c r="KBZ347" s="50"/>
      <c r="KCA347" s="50"/>
      <c r="KCB347" s="50"/>
      <c r="KCC347" s="50"/>
      <c r="KCD347" s="50"/>
      <c r="KCE347" s="50"/>
      <c r="KCF347" s="50"/>
      <c r="KCG347" s="50"/>
      <c r="KCH347" s="50"/>
      <c r="KCI347" s="50"/>
      <c r="KCJ347" s="50"/>
      <c r="KCK347" s="50"/>
      <c r="KCL347" s="50"/>
      <c r="KCM347" s="50"/>
      <c r="KCN347" s="50"/>
      <c r="KCO347" s="50"/>
      <c r="KCP347" s="50"/>
      <c r="KCQ347" s="50"/>
      <c r="KCR347" s="50"/>
      <c r="KCS347" s="50"/>
      <c r="KCT347" s="50"/>
      <c r="KCU347" s="50"/>
      <c r="KCV347" s="50"/>
      <c r="KCW347" s="50"/>
      <c r="KCX347" s="50"/>
      <c r="KCY347" s="50"/>
      <c r="KCZ347" s="50"/>
      <c r="KDA347" s="50"/>
      <c r="KDB347" s="50"/>
      <c r="KDC347" s="50"/>
      <c r="KDD347" s="50"/>
      <c r="KDE347" s="50"/>
      <c r="KDF347" s="50"/>
      <c r="KDG347" s="50"/>
      <c r="KDH347" s="50"/>
      <c r="KDI347" s="50"/>
      <c r="KDJ347" s="50"/>
      <c r="KDK347" s="50"/>
      <c r="KDL347" s="50"/>
      <c r="KDM347" s="50"/>
      <c r="KDN347" s="50"/>
      <c r="KDO347" s="50"/>
      <c r="KDP347" s="50"/>
      <c r="KDQ347" s="50"/>
      <c r="KDR347" s="50"/>
      <c r="KDS347" s="50"/>
      <c r="KDT347" s="50"/>
      <c r="KDU347" s="50"/>
      <c r="KDV347" s="50"/>
      <c r="KDW347" s="50"/>
      <c r="KDX347" s="50"/>
      <c r="KDY347" s="50"/>
      <c r="KDZ347" s="50"/>
      <c r="KEA347" s="50"/>
      <c r="KEB347" s="50"/>
      <c r="KEC347" s="50"/>
      <c r="KED347" s="50"/>
      <c r="KEE347" s="50"/>
      <c r="KEF347" s="50"/>
      <c r="KEG347" s="50"/>
      <c r="KEH347" s="50"/>
      <c r="KEI347" s="50"/>
      <c r="KEJ347" s="50"/>
      <c r="KEK347" s="50"/>
      <c r="KEL347" s="50"/>
      <c r="KEM347" s="50"/>
      <c r="KEN347" s="50"/>
      <c r="KEO347" s="50"/>
      <c r="KEP347" s="50"/>
      <c r="KEQ347" s="50"/>
      <c r="KER347" s="50"/>
      <c r="KES347" s="50"/>
      <c r="KET347" s="50"/>
      <c r="KEU347" s="50"/>
      <c r="KEV347" s="50"/>
      <c r="KEW347" s="50"/>
      <c r="KEX347" s="50"/>
      <c r="KEY347" s="50"/>
      <c r="KEZ347" s="50"/>
      <c r="KFA347" s="50"/>
      <c r="KFB347" s="50"/>
      <c r="KFC347" s="50"/>
      <c r="KFD347" s="50"/>
      <c r="KFE347" s="50"/>
      <c r="KFF347" s="50"/>
      <c r="KFG347" s="50"/>
      <c r="KFH347" s="50"/>
      <c r="KFI347" s="50"/>
      <c r="KFJ347" s="50"/>
      <c r="KFK347" s="50"/>
      <c r="KFL347" s="50"/>
      <c r="KFM347" s="50"/>
      <c r="KFN347" s="50"/>
      <c r="KFO347" s="50"/>
      <c r="KFP347" s="50"/>
      <c r="KFQ347" s="50"/>
      <c r="KFR347" s="50"/>
      <c r="KFS347" s="50"/>
      <c r="KFT347" s="50"/>
      <c r="KFU347" s="50"/>
      <c r="KFV347" s="50"/>
      <c r="KFW347" s="50"/>
      <c r="KFX347" s="50"/>
      <c r="KFY347" s="50"/>
      <c r="KFZ347" s="50"/>
      <c r="KGA347" s="50"/>
      <c r="KGB347" s="50"/>
      <c r="KGC347" s="50"/>
      <c r="KGD347" s="50"/>
      <c r="KGE347" s="50"/>
      <c r="KGF347" s="50"/>
      <c r="KGG347" s="50"/>
      <c r="KGH347" s="50"/>
      <c r="KGI347" s="50"/>
      <c r="KGJ347" s="50"/>
      <c r="KGK347" s="50"/>
      <c r="KGL347" s="50"/>
      <c r="KGM347" s="50"/>
      <c r="KGN347" s="50"/>
      <c r="KGO347" s="50"/>
      <c r="KGP347" s="50"/>
      <c r="KGQ347" s="50"/>
      <c r="KGR347" s="50"/>
      <c r="KGS347" s="50"/>
      <c r="KGT347" s="50"/>
      <c r="KGU347" s="50"/>
      <c r="KGV347" s="50"/>
      <c r="KGW347" s="50"/>
      <c r="KGX347" s="50"/>
      <c r="KGY347" s="50"/>
      <c r="KGZ347" s="50"/>
      <c r="KHA347" s="50"/>
      <c r="KHB347" s="50"/>
      <c r="KHC347" s="50"/>
      <c r="KHD347" s="50"/>
      <c r="KHE347" s="50"/>
      <c r="KHF347" s="50"/>
      <c r="KHG347" s="50"/>
      <c r="KHH347" s="50"/>
      <c r="KHI347" s="50"/>
      <c r="KHJ347" s="50"/>
      <c r="KHK347" s="50"/>
      <c r="KHL347" s="50"/>
      <c r="KHM347" s="50"/>
      <c r="KHN347" s="50"/>
      <c r="KHO347" s="50"/>
      <c r="KHP347" s="50"/>
      <c r="KHQ347" s="50"/>
      <c r="KHR347" s="50"/>
      <c r="KHS347" s="50"/>
      <c r="KHT347" s="50"/>
      <c r="KHU347" s="50"/>
      <c r="KHV347" s="50"/>
      <c r="KHW347" s="50"/>
      <c r="KHX347" s="50"/>
      <c r="KHY347" s="50"/>
      <c r="KHZ347" s="50"/>
      <c r="KIA347" s="50"/>
      <c r="KIB347" s="50"/>
      <c r="KIC347" s="50"/>
      <c r="KID347" s="50"/>
      <c r="KIE347" s="50"/>
      <c r="KIF347" s="50"/>
      <c r="KIG347" s="50"/>
      <c r="KIH347" s="50"/>
      <c r="KII347" s="50"/>
      <c r="KIJ347" s="50"/>
      <c r="KIK347" s="50"/>
      <c r="KIL347" s="50"/>
      <c r="KIM347" s="50"/>
      <c r="KIN347" s="50"/>
      <c r="KIO347" s="50"/>
      <c r="KIP347" s="50"/>
      <c r="KIQ347" s="50"/>
      <c r="KIR347" s="50"/>
      <c r="KIS347" s="50"/>
      <c r="KIT347" s="50"/>
      <c r="KIU347" s="50"/>
      <c r="KIV347" s="50"/>
      <c r="KIW347" s="50"/>
      <c r="KIX347" s="50"/>
      <c r="KIY347" s="50"/>
      <c r="KIZ347" s="50"/>
      <c r="KJA347" s="50"/>
      <c r="KJB347" s="50"/>
      <c r="KJC347" s="50"/>
      <c r="KJD347" s="50"/>
      <c r="KJE347" s="50"/>
      <c r="KJF347" s="50"/>
      <c r="KJG347" s="50"/>
      <c r="KJH347" s="50"/>
      <c r="KJI347" s="50"/>
      <c r="KJJ347" s="50"/>
      <c r="KJK347" s="50"/>
      <c r="KJL347" s="50"/>
      <c r="KJM347" s="50"/>
      <c r="KJN347" s="50"/>
      <c r="KJO347" s="50"/>
      <c r="KJP347" s="50"/>
      <c r="KJQ347" s="50"/>
      <c r="KJR347" s="50"/>
      <c r="KJS347" s="50"/>
      <c r="KJT347" s="50"/>
      <c r="KJU347" s="50"/>
      <c r="KJV347" s="50"/>
      <c r="KJW347" s="50"/>
      <c r="KJX347" s="50"/>
      <c r="KJY347" s="50"/>
      <c r="KJZ347" s="50"/>
      <c r="KKA347" s="50"/>
      <c r="KKB347" s="50"/>
      <c r="KKC347" s="50"/>
      <c r="KKD347" s="50"/>
      <c r="KKE347" s="50"/>
      <c r="KKF347" s="50"/>
      <c r="KKG347" s="50"/>
      <c r="KKH347" s="50"/>
      <c r="KKI347" s="50"/>
      <c r="KKJ347" s="50"/>
      <c r="KKK347" s="50"/>
      <c r="KKL347" s="50"/>
      <c r="KKM347" s="50"/>
      <c r="KKN347" s="50"/>
      <c r="KKO347" s="50"/>
      <c r="KKP347" s="50"/>
      <c r="KKQ347" s="50"/>
      <c r="KKR347" s="50"/>
      <c r="KKS347" s="50"/>
      <c r="KKT347" s="50"/>
      <c r="KKU347" s="50"/>
      <c r="KKV347" s="50"/>
      <c r="KKW347" s="50"/>
      <c r="KKX347" s="50"/>
      <c r="KKY347" s="50"/>
      <c r="KKZ347" s="50"/>
      <c r="KLA347" s="50"/>
      <c r="KLB347" s="50"/>
      <c r="KLC347" s="50"/>
      <c r="KLD347" s="50"/>
      <c r="KLE347" s="50"/>
      <c r="KLF347" s="50"/>
      <c r="KLG347" s="50"/>
      <c r="KLH347" s="50"/>
      <c r="KLI347" s="50"/>
      <c r="KLJ347" s="50"/>
      <c r="KLK347" s="50"/>
      <c r="KLL347" s="50"/>
      <c r="KLM347" s="50"/>
      <c r="KLN347" s="50"/>
      <c r="KLO347" s="50"/>
      <c r="KLP347" s="50"/>
      <c r="KLQ347" s="50"/>
      <c r="KLR347" s="50"/>
      <c r="KLS347" s="50"/>
      <c r="KLT347" s="50"/>
      <c r="KLU347" s="50"/>
      <c r="KLV347" s="50"/>
      <c r="KLW347" s="50"/>
      <c r="KLX347" s="50"/>
      <c r="KLY347" s="50"/>
      <c r="KLZ347" s="50"/>
      <c r="KMA347" s="50"/>
      <c r="KMB347" s="50"/>
      <c r="KMC347" s="50"/>
      <c r="KMD347" s="50"/>
      <c r="KME347" s="50"/>
      <c r="KMF347" s="50"/>
      <c r="KMG347" s="50"/>
      <c r="KMH347" s="50"/>
      <c r="KMI347" s="50"/>
      <c r="KMJ347" s="50"/>
      <c r="KMK347" s="50"/>
      <c r="KML347" s="50"/>
      <c r="KMM347" s="50"/>
      <c r="KMN347" s="50"/>
      <c r="KMO347" s="50"/>
      <c r="KMP347" s="50"/>
      <c r="KMQ347" s="50"/>
      <c r="KMR347" s="50"/>
      <c r="KMS347" s="50"/>
      <c r="KMT347" s="50"/>
      <c r="KMU347" s="50"/>
      <c r="KMV347" s="50"/>
      <c r="KMW347" s="50"/>
      <c r="KMX347" s="50"/>
      <c r="KMY347" s="50"/>
      <c r="KMZ347" s="50"/>
      <c r="KNA347" s="50"/>
      <c r="KNB347" s="50"/>
      <c r="KNC347" s="50"/>
      <c r="KND347" s="50"/>
      <c r="KNE347" s="50"/>
      <c r="KNF347" s="50"/>
      <c r="KNG347" s="50"/>
      <c r="KNH347" s="50"/>
      <c r="KNI347" s="50"/>
      <c r="KNJ347" s="50"/>
      <c r="KNK347" s="50"/>
      <c r="KNL347" s="50"/>
      <c r="KNM347" s="50"/>
      <c r="KNN347" s="50"/>
      <c r="KNO347" s="50"/>
      <c r="KNP347" s="50"/>
      <c r="KNQ347" s="50"/>
      <c r="KNR347" s="50"/>
      <c r="KNS347" s="50"/>
      <c r="KNT347" s="50"/>
      <c r="KNU347" s="50"/>
      <c r="KNV347" s="50"/>
      <c r="KNW347" s="50"/>
      <c r="KNX347" s="50"/>
      <c r="KNY347" s="50"/>
      <c r="KNZ347" s="50"/>
      <c r="KOA347" s="50"/>
      <c r="KOB347" s="50"/>
      <c r="KOC347" s="50"/>
      <c r="KOD347" s="50"/>
      <c r="KOE347" s="50"/>
      <c r="KOF347" s="50"/>
      <c r="KOG347" s="50"/>
      <c r="KOH347" s="50"/>
      <c r="KOI347" s="50"/>
      <c r="KOJ347" s="50"/>
      <c r="KOK347" s="50"/>
      <c r="KOL347" s="50"/>
      <c r="KOM347" s="50"/>
      <c r="KON347" s="50"/>
      <c r="KOO347" s="50"/>
      <c r="KOP347" s="50"/>
      <c r="KOQ347" s="50"/>
      <c r="KOR347" s="50"/>
      <c r="KOS347" s="50"/>
      <c r="KOT347" s="50"/>
      <c r="KOU347" s="50"/>
      <c r="KOV347" s="50"/>
      <c r="KOW347" s="50"/>
      <c r="KOX347" s="50"/>
      <c r="KOY347" s="50"/>
      <c r="KOZ347" s="50"/>
      <c r="KPA347" s="50"/>
      <c r="KPB347" s="50"/>
      <c r="KPC347" s="50"/>
      <c r="KPD347" s="50"/>
      <c r="KPE347" s="50"/>
      <c r="KPF347" s="50"/>
      <c r="KPG347" s="50"/>
      <c r="KPH347" s="50"/>
      <c r="KPI347" s="50"/>
      <c r="KPJ347" s="50"/>
      <c r="KPK347" s="50"/>
      <c r="KPL347" s="50"/>
      <c r="KPM347" s="50"/>
      <c r="KPN347" s="50"/>
      <c r="KPO347" s="50"/>
      <c r="KPP347" s="50"/>
      <c r="KPQ347" s="50"/>
      <c r="KPR347" s="50"/>
      <c r="KPS347" s="50"/>
      <c r="KPT347" s="50"/>
      <c r="KPU347" s="50"/>
      <c r="KPV347" s="50"/>
      <c r="KPW347" s="50"/>
      <c r="KPX347" s="50"/>
      <c r="KPY347" s="50"/>
      <c r="KPZ347" s="50"/>
      <c r="KQA347" s="50"/>
      <c r="KQB347" s="50"/>
      <c r="KQC347" s="50"/>
      <c r="KQD347" s="50"/>
      <c r="KQE347" s="50"/>
      <c r="KQF347" s="50"/>
      <c r="KQG347" s="50"/>
      <c r="KQH347" s="50"/>
      <c r="KQI347" s="50"/>
      <c r="KQJ347" s="50"/>
      <c r="KQK347" s="50"/>
      <c r="KQL347" s="50"/>
      <c r="KQM347" s="50"/>
      <c r="KQN347" s="50"/>
      <c r="KQO347" s="50"/>
      <c r="KQP347" s="50"/>
      <c r="KQQ347" s="50"/>
      <c r="KQR347" s="50"/>
      <c r="KQS347" s="50"/>
      <c r="KQT347" s="50"/>
      <c r="KQU347" s="50"/>
      <c r="KQV347" s="50"/>
      <c r="KQW347" s="50"/>
      <c r="KQX347" s="50"/>
      <c r="KQY347" s="50"/>
      <c r="KQZ347" s="50"/>
      <c r="KRA347" s="50"/>
      <c r="KRB347" s="50"/>
      <c r="KRC347" s="50"/>
      <c r="KRD347" s="50"/>
      <c r="KRE347" s="50"/>
      <c r="KRF347" s="50"/>
      <c r="KRG347" s="50"/>
      <c r="KRH347" s="50"/>
      <c r="KRI347" s="50"/>
      <c r="KRJ347" s="50"/>
      <c r="KRK347" s="50"/>
      <c r="KRL347" s="50"/>
      <c r="KRM347" s="50"/>
      <c r="KRN347" s="50"/>
      <c r="KRO347" s="50"/>
      <c r="KRP347" s="50"/>
      <c r="KRQ347" s="50"/>
      <c r="KRR347" s="50"/>
      <c r="KRS347" s="50"/>
      <c r="KRT347" s="50"/>
      <c r="KRU347" s="50"/>
      <c r="KRV347" s="50"/>
      <c r="KRW347" s="50"/>
      <c r="KRX347" s="50"/>
      <c r="KRY347" s="50"/>
      <c r="KRZ347" s="50"/>
      <c r="KSA347" s="50"/>
      <c r="KSB347" s="50"/>
      <c r="KSC347" s="50"/>
      <c r="KSD347" s="50"/>
      <c r="KSE347" s="50"/>
      <c r="KSF347" s="50"/>
      <c r="KSG347" s="50"/>
      <c r="KSH347" s="50"/>
      <c r="KSI347" s="50"/>
      <c r="KSJ347" s="50"/>
      <c r="KSK347" s="50"/>
      <c r="KSL347" s="50"/>
      <c r="KSM347" s="50"/>
      <c r="KSN347" s="50"/>
      <c r="KSO347" s="50"/>
      <c r="KSP347" s="50"/>
      <c r="KSQ347" s="50"/>
      <c r="KSR347" s="50"/>
      <c r="KSS347" s="50"/>
      <c r="KST347" s="50"/>
      <c r="KSU347" s="50"/>
      <c r="KSV347" s="50"/>
      <c r="KSW347" s="50"/>
      <c r="KSX347" s="50"/>
      <c r="KSY347" s="50"/>
      <c r="KSZ347" s="50"/>
      <c r="KTA347" s="50"/>
      <c r="KTB347" s="50"/>
      <c r="KTC347" s="50"/>
      <c r="KTD347" s="50"/>
      <c r="KTE347" s="50"/>
      <c r="KTF347" s="50"/>
      <c r="KTG347" s="50"/>
      <c r="KTH347" s="50"/>
      <c r="KTI347" s="50"/>
      <c r="KTJ347" s="50"/>
      <c r="KTK347" s="50"/>
      <c r="KTL347" s="50"/>
      <c r="KTM347" s="50"/>
      <c r="KTN347" s="50"/>
      <c r="KTO347" s="50"/>
      <c r="KTP347" s="50"/>
      <c r="KTQ347" s="50"/>
      <c r="KTR347" s="50"/>
      <c r="KTS347" s="50"/>
      <c r="KTT347" s="50"/>
      <c r="KTU347" s="50"/>
      <c r="KTV347" s="50"/>
      <c r="KTW347" s="50"/>
      <c r="KTX347" s="50"/>
      <c r="KTY347" s="50"/>
      <c r="KTZ347" s="50"/>
      <c r="KUA347" s="50"/>
      <c r="KUB347" s="50"/>
      <c r="KUC347" s="50"/>
      <c r="KUD347" s="50"/>
      <c r="KUE347" s="50"/>
      <c r="KUF347" s="50"/>
      <c r="KUG347" s="50"/>
      <c r="KUH347" s="50"/>
      <c r="KUI347" s="50"/>
      <c r="KUJ347" s="50"/>
      <c r="KUK347" s="50"/>
      <c r="KUL347" s="50"/>
      <c r="KUM347" s="50"/>
      <c r="KUN347" s="50"/>
      <c r="KUO347" s="50"/>
      <c r="KUP347" s="50"/>
      <c r="KUQ347" s="50"/>
      <c r="KUR347" s="50"/>
      <c r="KUS347" s="50"/>
      <c r="KUT347" s="50"/>
      <c r="KUU347" s="50"/>
      <c r="KUV347" s="50"/>
      <c r="KUW347" s="50"/>
      <c r="KUX347" s="50"/>
      <c r="KUY347" s="50"/>
      <c r="KUZ347" s="50"/>
      <c r="KVA347" s="50"/>
      <c r="KVB347" s="50"/>
      <c r="KVC347" s="50"/>
      <c r="KVD347" s="50"/>
      <c r="KVE347" s="50"/>
      <c r="KVF347" s="50"/>
      <c r="KVG347" s="50"/>
      <c r="KVH347" s="50"/>
      <c r="KVI347" s="50"/>
      <c r="KVJ347" s="50"/>
      <c r="KVK347" s="50"/>
      <c r="KVL347" s="50"/>
      <c r="KVM347" s="50"/>
      <c r="KVN347" s="50"/>
      <c r="KVO347" s="50"/>
      <c r="KVP347" s="50"/>
      <c r="KVQ347" s="50"/>
      <c r="KVR347" s="50"/>
      <c r="KVS347" s="50"/>
      <c r="KVT347" s="50"/>
      <c r="KVU347" s="50"/>
      <c r="KVV347" s="50"/>
      <c r="KVW347" s="50"/>
      <c r="KVX347" s="50"/>
      <c r="KVY347" s="50"/>
      <c r="KVZ347" s="50"/>
      <c r="KWA347" s="50"/>
      <c r="KWB347" s="50"/>
      <c r="KWC347" s="50"/>
      <c r="KWD347" s="50"/>
      <c r="KWE347" s="50"/>
      <c r="KWF347" s="50"/>
      <c r="KWG347" s="50"/>
      <c r="KWH347" s="50"/>
      <c r="KWI347" s="50"/>
      <c r="KWJ347" s="50"/>
      <c r="KWK347" s="50"/>
      <c r="KWL347" s="50"/>
      <c r="KWM347" s="50"/>
      <c r="KWN347" s="50"/>
      <c r="KWO347" s="50"/>
      <c r="KWP347" s="50"/>
      <c r="KWQ347" s="50"/>
      <c r="KWR347" s="50"/>
      <c r="KWS347" s="50"/>
      <c r="KWT347" s="50"/>
      <c r="KWU347" s="50"/>
      <c r="KWV347" s="50"/>
      <c r="KWW347" s="50"/>
      <c r="KWX347" s="50"/>
      <c r="KWY347" s="50"/>
      <c r="KWZ347" s="50"/>
      <c r="KXA347" s="50"/>
      <c r="KXB347" s="50"/>
      <c r="KXC347" s="50"/>
      <c r="KXD347" s="50"/>
      <c r="KXE347" s="50"/>
      <c r="KXF347" s="50"/>
      <c r="KXG347" s="50"/>
      <c r="KXH347" s="50"/>
      <c r="KXI347" s="50"/>
      <c r="KXJ347" s="50"/>
      <c r="KXK347" s="50"/>
      <c r="KXL347" s="50"/>
      <c r="KXM347" s="50"/>
      <c r="KXN347" s="50"/>
      <c r="KXO347" s="50"/>
      <c r="KXP347" s="50"/>
      <c r="KXQ347" s="50"/>
      <c r="KXR347" s="50"/>
      <c r="KXS347" s="50"/>
      <c r="KXT347" s="50"/>
      <c r="KXU347" s="50"/>
      <c r="KXV347" s="50"/>
      <c r="KXW347" s="50"/>
      <c r="KXX347" s="50"/>
      <c r="KXY347" s="50"/>
      <c r="KXZ347" s="50"/>
      <c r="KYA347" s="50"/>
      <c r="KYB347" s="50"/>
      <c r="KYC347" s="50"/>
      <c r="KYD347" s="50"/>
      <c r="KYE347" s="50"/>
      <c r="KYF347" s="50"/>
      <c r="KYG347" s="50"/>
      <c r="KYH347" s="50"/>
      <c r="KYI347" s="50"/>
      <c r="KYJ347" s="50"/>
      <c r="KYK347" s="50"/>
      <c r="KYL347" s="50"/>
      <c r="KYM347" s="50"/>
      <c r="KYN347" s="50"/>
      <c r="KYO347" s="50"/>
      <c r="KYP347" s="50"/>
      <c r="KYQ347" s="50"/>
      <c r="KYR347" s="50"/>
      <c r="KYS347" s="50"/>
      <c r="KYT347" s="50"/>
      <c r="KYU347" s="50"/>
      <c r="KYV347" s="50"/>
      <c r="KYW347" s="50"/>
      <c r="KYX347" s="50"/>
      <c r="KYY347" s="50"/>
      <c r="KYZ347" s="50"/>
      <c r="KZA347" s="50"/>
      <c r="KZB347" s="50"/>
      <c r="KZC347" s="50"/>
      <c r="KZD347" s="50"/>
      <c r="KZE347" s="50"/>
      <c r="KZF347" s="50"/>
      <c r="KZG347" s="50"/>
      <c r="KZH347" s="50"/>
      <c r="KZI347" s="50"/>
      <c r="KZJ347" s="50"/>
      <c r="KZK347" s="50"/>
      <c r="KZL347" s="50"/>
      <c r="KZM347" s="50"/>
      <c r="KZN347" s="50"/>
      <c r="KZO347" s="50"/>
      <c r="KZP347" s="50"/>
      <c r="KZQ347" s="50"/>
      <c r="KZR347" s="50"/>
      <c r="KZS347" s="50"/>
      <c r="KZT347" s="50"/>
      <c r="KZU347" s="50"/>
      <c r="KZV347" s="50"/>
      <c r="KZW347" s="50"/>
      <c r="KZX347" s="50"/>
      <c r="KZY347" s="50"/>
      <c r="KZZ347" s="50"/>
      <c r="LAA347" s="50"/>
      <c r="LAB347" s="50"/>
      <c r="LAC347" s="50"/>
      <c r="LAD347" s="50"/>
      <c r="LAE347" s="50"/>
      <c r="LAF347" s="50"/>
      <c r="LAG347" s="50"/>
      <c r="LAH347" s="50"/>
      <c r="LAI347" s="50"/>
      <c r="LAJ347" s="50"/>
      <c r="LAK347" s="50"/>
      <c r="LAL347" s="50"/>
      <c r="LAM347" s="50"/>
      <c r="LAN347" s="50"/>
      <c r="LAO347" s="50"/>
      <c r="LAP347" s="50"/>
      <c r="LAQ347" s="50"/>
      <c r="LAR347" s="50"/>
      <c r="LAS347" s="50"/>
      <c r="LAT347" s="50"/>
      <c r="LAU347" s="50"/>
      <c r="LAV347" s="50"/>
      <c r="LAW347" s="50"/>
      <c r="LAX347" s="50"/>
      <c r="LAY347" s="50"/>
      <c r="LAZ347" s="50"/>
      <c r="LBA347" s="50"/>
      <c r="LBB347" s="50"/>
      <c r="LBC347" s="50"/>
      <c r="LBD347" s="50"/>
      <c r="LBE347" s="50"/>
      <c r="LBF347" s="50"/>
      <c r="LBG347" s="50"/>
      <c r="LBH347" s="50"/>
      <c r="LBI347" s="50"/>
      <c r="LBJ347" s="50"/>
      <c r="LBK347" s="50"/>
      <c r="LBL347" s="50"/>
      <c r="LBM347" s="50"/>
      <c r="LBN347" s="50"/>
      <c r="LBO347" s="50"/>
      <c r="LBP347" s="50"/>
      <c r="LBQ347" s="50"/>
      <c r="LBR347" s="50"/>
      <c r="LBS347" s="50"/>
      <c r="LBT347" s="50"/>
      <c r="LBU347" s="50"/>
      <c r="LBV347" s="50"/>
      <c r="LBW347" s="50"/>
      <c r="LBX347" s="50"/>
      <c r="LBY347" s="50"/>
      <c r="LBZ347" s="50"/>
      <c r="LCA347" s="50"/>
      <c r="LCB347" s="50"/>
      <c r="LCC347" s="50"/>
      <c r="LCD347" s="50"/>
      <c r="LCE347" s="50"/>
      <c r="LCF347" s="50"/>
      <c r="LCG347" s="50"/>
      <c r="LCH347" s="50"/>
      <c r="LCI347" s="50"/>
      <c r="LCJ347" s="50"/>
      <c r="LCK347" s="50"/>
      <c r="LCL347" s="50"/>
      <c r="LCM347" s="50"/>
      <c r="LCN347" s="50"/>
      <c r="LCO347" s="50"/>
      <c r="LCP347" s="50"/>
      <c r="LCQ347" s="50"/>
      <c r="LCR347" s="50"/>
      <c r="LCS347" s="50"/>
      <c r="LCT347" s="50"/>
      <c r="LCU347" s="50"/>
      <c r="LCV347" s="50"/>
      <c r="LCW347" s="50"/>
      <c r="LCX347" s="50"/>
      <c r="LCY347" s="50"/>
      <c r="LCZ347" s="50"/>
      <c r="LDA347" s="50"/>
      <c r="LDB347" s="50"/>
      <c r="LDC347" s="50"/>
      <c r="LDD347" s="50"/>
      <c r="LDE347" s="50"/>
      <c r="LDF347" s="50"/>
      <c r="LDG347" s="50"/>
      <c r="LDH347" s="50"/>
      <c r="LDI347" s="50"/>
      <c r="LDJ347" s="50"/>
      <c r="LDK347" s="50"/>
      <c r="LDL347" s="50"/>
      <c r="LDM347" s="50"/>
      <c r="LDN347" s="50"/>
      <c r="LDO347" s="50"/>
      <c r="LDP347" s="50"/>
      <c r="LDQ347" s="50"/>
      <c r="LDR347" s="50"/>
      <c r="LDS347" s="50"/>
      <c r="LDT347" s="50"/>
      <c r="LDU347" s="50"/>
      <c r="LDV347" s="50"/>
      <c r="LDW347" s="50"/>
      <c r="LDX347" s="50"/>
      <c r="LDY347" s="50"/>
      <c r="LDZ347" s="50"/>
      <c r="LEA347" s="50"/>
      <c r="LEB347" s="50"/>
      <c r="LEC347" s="50"/>
      <c r="LED347" s="50"/>
      <c r="LEE347" s="50"/>
      <c r="LEF347" s="50"/>
      <c r="LEG347" s="50"/>
      <c r="LEH347" s="50"/>
      <c r="LEI347" s="50"/>
      <c r="LEJ347" s="50"/>
      <c r="LEK347" s="50"/>
      <c r="LEL347" s="50"/>
      <c r="LEM347" s="50"/>
      <c r="LEN347" s="50"/>
      <c r="LEO347" s="50"/>
      <c r="LEP347" s="50"/>
      <c r="LEQ347" s="50"/>
      <c r="LER347" s="50"/>
      <c r="LES347" s="50"/>
      <c r="LET347" s="50"/>
      <c r="LEU347" s="50"/>
      <c r="LEV347" s="50"/>
      <c r="LEW347" s="50"/>
      <c r="LEX347" s="50"/>
      <c r="LEY347" s="50"/>
      <c r="LEZ347" s="50"/>
      <c r="LFA347" s="50"/>
      <c r="LFB347" s="50"/>
      <c r="LFC347" s="50"/>
      <c r="LFD347" s="50"/>
      <c r="LFE347" s="50"/>
      <c r="LFF347" s="50"/>
      <c r="LFG347" s="50"/>
      <c r="LFH347" s="50"/>
      <c r="LFI347" s="50"/>
      <c r="LFJ347" s="50"/>
      <c r="LFK347" s="50"/>
      <c r="LFL347" s="50"/>
      <c r="LFM347" s="50"/>
      <c r="LFN347" s="50"/>
      <c r="LFO347" s="50"/>
      <c r="LFP347" s="50"/>
      <c r="LFQ347" s="50"/>
      <c r="LFR347" s="50"/>
      <c r="LFS347" s="50"/>
      <c r="LFT347" s="50"/>
      <c r="LFU347" s="50"/>
      <c r="LFV347" s="50"/>
      <c r="LFW347" s="50"/>
      <c r="LFX347" s="50"/>
      <c r="LFY347" s="50"/>
      <c r="LFZ347" s="50"/>
      <c r="LGA347" s="50"/>
      <c r="LGB347" s="50"/>
      <c r="LGC347" s="50"/>
      <c r="LGD347" s="50"/>
      <c r="LGE347" s="50"/>
      <c r="LGF347" s="50"/>
      <c r="LGG347" s="50"/>
      <c r="LGH347" s="50"/>
      <c r="LGI347" s="50"/>
      <c r="LGJ347" s="50"/>
      <c r="LGK347" s="50"/>
      <c r="LGL347" s="50"/>
      <c r="LGM347" s="50"/>
      <c r="LGN347" s="50"/>
      <c r="LGO347" s="50"/>
      <c r="LGP347" s="50"/>
      <c r="LGQ347" s="50"/>
      <c r="LGR347" s="50"/>
      <c r="LGS347" s="50"/>
      <c r="LGT347" s="50"/>
      <c r="LGU347" s="50"/>
      <c r="LGV347" s="50"/>
      <c r="LGW347" s="50"/>
      <c r="LGX347" s="50"/>
      <c r="LGY347" s="50"/>
      <c r="LGZ347" s="50"/>
      <c r="LHA347" s="50"/>
      <c r="LHB347" s="50"/>
      <c r="LHC347" s="50"/>
      <c r="LHD347" s="50"/>
      <c r="LHE347" s="50"/>
      <c r="LHF347" s="50"/>
      <c r="LHG347" s="50"/>
      <c r="LHH347" s="50"/>
      <c r="LHI347" s="50"/>
      <c r="LHJ347" s="50"/>
      <c r="LHK347" s="50"/>
      <c r="LHL347" s="50"/>
      <c r="LHM347" s="50"/>
      <c r="LHN347" s="50"/>
      <c r="LHO347" s="50"/>
      <c r="LHP347" s="50"/>
      <c r="LHQ347" s="50"/>
      <c r="LHR347" s="50"/>
      <c r="LHS347" s="50"/>
      <c r="LHT347" s="50"/>
      <c r="LHU347" s="50"/>
      <c r="LHV347" s="50"/>
      <c r="LHW347" s="50"/>
      <c r="LHX347" s="50"/>
      <c r="LHY347" s="50"/>
      <c r="LHZ347" s="50"/>
      <c r="LIA347" s="50"/>
      <c r="LIB347" s="50"/>
      <c r="LIC347" s="50"/>
      <c r="LID347" s="50"/>
      <c r="LIE347" s="50"/>
      <c r="LIF347" s="50"/>
      <c r="LIG347" s="50"/>
      <c r="LIH347" s="50"/>
      <c r="LII347" s="50"/>
      <c r="LIJ347" s="50"/>
      <c r="LIK347" s="50"/>
      <c r="LIL347" s="50"/>
      <c r="LIM347" s="50"/>
      <c r="LIN347" s="50"/>
      <c r="LIO347" s="50"/>
      <c r="LIP347" s="50"/>
      <c r="LIQ347" s="50"/>
      <c r="LIR347" s="50"/>
      <c r="LIS347" s="50"/>
      <c r="LIT347" s="50"/>
      <c r="LIU347" s="50"/>
      <c r="LIV347" s="50"/>
      <c r="LIW347" s="50"/>
      <c r="LIX347" s="50"/>
      <c r="LIY347" s="50"/>
      <c r="LIZ347" s="50"/>
      <c r="LJA347" s="50"/>
      <c r="LJB347" s="50"/>
      <c r="LJC347" s="50"/>
      <c r="LJD347" s="50"/>
      <c r="LJE347" s="50"/>
      <c r="LJF347" s="50"/>
      <c r="LJG347" s="50"/>
      <c r="LJH347" s="50"/>
      <c r="LJI347" s="50"/>
      <c r="LJJ347" s="50"/>
      <c r="LJK347" s="50"/>
      <c r="LJL347" s="50"/>
      <c r="LJM347" s="50"/>
      <c r="LJN347" s="50"/>
      <c r="LJO347" s="50"/>
      <c r="LJP347" s="50"/>
      <c r="LJQ347" s="50"/>
      <c r="LJR347" s="50"/>
      <c r="LJS347" s="50"/>
      <c r="LJT347" s="50"/>
      <c r="LJU347" s="50"/>
      <c r="LJV347" s="50"/>
      <c r="LJW347" s="50"/>
      <c r="LJX347" s="50"/>
      <c r="LJY347" s="50"/>
      <c r="LJZ347" s="50"/>
      <c r="LKA347" s="50"/>
      <c r="LKB347" s="50"/>
      <c r="LKC347" s="50"/>
      <c r="LKD347" s="50"/>
      <c r="LKE347" s="50"/>
      <c r="LKF347" s="50"/>
      <c r="LKG347" s="50"/>
      <c r="LKH347" s="50"/>
      <c r="LKI347" s="50"/>
      <c r="LKJ347" s="50"/>
      <c r="LKK347" s="50"/>
      <c r="LKL347" s="50"/>
      <c r="LKM347" s="50"/>
      <c r="LKN347" s="50"/>
      <c r="LKO347" s="50"/>
      <c r="LKP347" s="50"/>
      <c r="LKQ347" s="50"/>
      <c r="LKR347" s="50"/>
      <c r="LKS347" s="50"/>
      <c r="LKT347" s="50"/>
      <c r="LKU347" s="50"/>
      <c r="LKV347" s="50"/>
      <c r="LKW347" s="50"/>
      <c r="LKX347" s="50"/>
      <c r="LKY347" s="50"/>
      <c r="LKZ347" s="50"/>
      <c r="LLA347" s="50"/>
      <c r="LLB347" s="50"/>
      <c r="LLC347" s="50"/>
      <c r="LLD347" s="50"/>
      <c r="LLE347" s="50"/>
      <c r="LLF347" s="50"/>
      <c r="LLG347" s="50"/>
      <c r="LLH347" s="50"/>
      <c r="LLI347" s="50"/>
      <c r="LLJ347" s="50"/>
      <c r="LLK347" s="50"/>
      <c r="LLL347" s="50"/>
      <c r="LLM347" s="50"/>
      <c r="LLN347" s="50"/>
      <c r="LLO347" s="50"/>
      <c r="LLP347" s="50"/>
      <c r="LLQ347" s="50"/>
      <c r="LLR347" s="50"/>
      <c r="LLS347" s="50"/>
      <c r="LLT347" s="50"/>
      <c r="LLU347" s="50"/>
      <c r="LLV347" s="50"/>
      <c r="LLW347" s="50"/>
      <c r="LLX347" s="50"/>
      <c r="LLY347" s="50"/>
      <c r="LLZ347" s="50"/>
      <c r="LMA347" s="50"/>
      <c r="LMB347" s="50"/>
      <c r="LMC347" s="50"/>
      <c r="LMD347" s="50"/>
      <c r="LME347" s="50"/>
      <c r="LMF347" s="50"/>
      <c r="LMG347" s="50"/>
      <c r="LMH347" s="50"/>
      <c r="LMI347" s="50"/>
      <c r="LMJ347" s="50"/>
      <c r="LMK347" s="50"/>
      <c r="LML347" s="50"/>
      <c r="LMM347" s="50"/>
      <c r="LMN347" s="50"/>
      <c r="LMO347" s="50"/>
      <c r="LMP347" s="50"/>
      <c r="LMQ347" s="50"/>
      <c r="LMR347" s="50"/>
      <c r="LMS347" s="50"/>
      <c r="LMT347" s="50"/>
      <c r="LMU347" s="50"/>
      <c r="LMV347" s="50"/>
      <c r="LMW347" s="50"/>
      <c r="LMX347" s="50"/>
      <c r="LMY347" s="50"/>
      <c r="LMZ347" s="50"/>
      <c r="LNA347" s="50"/>
      <c r="LNB347" s="50"/>
      <c r="LNC347" s="50"/>
      <c r="LND347" s="50"/>
      <c r="LNE347" s="50"/>
      <c r="LNF347" s="50"/>
      <c r="LNG347" s="50"/>
      <c r="LNH347" s="50"/>
      <c r="LNI347" s="50"/>
      <c r="LNJ347" s="50"/>
      <c r="LNK347" s="50"/>
      <c r="LNL347" s="50"/>
      <c r="LNM347" s="50"/>
      <c r="LNN347" s="50"/>
      <c r="LNO347" s="50"/>
      <c r="LNP347" s="50"/>
      <c r="LNQ347" s="50"/>
      <c r="LNR347" s="50"/>
      <c r="LNS347" s="50"/>
      <c r="LNT347" s="50"/>
      <c r="LNU347" s="50"/>
      <c r="LNV347" s="50"/>
      <c r="LNW347" s="50"/>
      <c r="LNX347" s="50"/>
      <c r="LNY347" s="50"/>
      <c r="LNZ347" s="50"/>
      <c r="LOA347" s="50"/>
      <c r="LOB347" s="50"/>
      <c r="LOC347" s="50"/>
      <c r="LOD347" s="50"/>
      <c r="LOE347" s="50"/>
      <c r="LOF347" s="50"/>
      <c r="LOG347" s="50"/>
      <c r="LOH347" s="50"/>
      <c r="LOI347" s="50"/>
      <c r="LOJ347" s="50"/>
      <c r="LOK347" s="50"/>
      <c r="LOL347" s="50"/>
      <c r="LOM347" s="50"/>
      <c r="LON347" s="50"/>
      <c r="LOO347" s="50"/>
      <c r="LOP347" s="50"/>
      <c r="LOQ347" s="50"/>
      <c r="LOR347" s="50"/>
      <c r="LOS347" s="50"/>
      <c r="LOT347" s="50"/>
      <c r="LOU347" s="50"/>
      <c r="LOV347" s="50"/>
      <c r="LOW347" s="50"/>
      <c r="LOX347" s="50"/>
      <c r="LOY347" s="50"/>
      <c r="LOZ347" s="50"/>
      <c r="LPA347" s="50"/>
      <c r="LPB347" s="50"/>
      <c r="LPC347" s="50"/>
      <c r="LPD347" s="50"/>
      <c r="LPE347" s="50"/>
      <c r="LPF347" s="50"/>
      <c r="LPG347" s="50"/>
      <c r="LPH347" s="50"/>
      <c r="LPI347" s="50"/>
      <c r="LPJ347" s="50"/>
      <c r="LPK347" s="50"/>
      <c r="LPL347" s="50"/>
      <c r="LPM347" s="50"/>
      <c r="LPN347" s="50"/>
      <c r="LPO347" s="50"/>
      <c r="LPP347" s="50"/>
      <c r="LPQ347" s="50"/>
      <c r="LPR347" s="50"/>
      <c r="LPS347" s="50"/>
      <c r="LPT347" s="50"/>
      <c r="LPU347" s="50"/>
      <c r="LPV347" s="50"/>
      <c r="LPW347" s="50"/>
      <c r="LPX347" s="50"/>
      <c r="LPY347" s="50"/>
      <c r="LPZ347" s="50"/>
      <c r="LQA347" s="50"/>
      <c r="LQB347" s="50"/>
      <c r="LQC347" s="50"/>
      <c r="LQD347" s="50"/>
      <c r="LQE347" s="50"/>
      <c r="LQF347" s="50"/>
      <c r="LQG347" s="50"/>
      <c r="LQH347" s="50"/>
      <c r="LQI347" s="50"/>
      <c r="LQJ347" s="50"/>
      <c r="LQK347" s="50"/>
      <c r="LQL347" s="50"/>
      <c r="LQM347" s="50"/>
      <c r="LQN347" s="50"/>
      <c r="LQO347" s="50"/>
      <c r="LQP347" s="50"/>
      <c r="LQQ347" s="50"/>
      <c r="LQR347" s="50"/>
      <c r="LQS347" s="50"/>
      <c r="LQT347" s="50"/>
      <c r="LQU347" s="50"/>
      <c r="LQV347" s="50"/>
      <c r="LQW347" s="50"/>
      <c r="LQX347" s="50"/>
      <c r="LQY347" s="50"/>
      <c r="LQZ347" s="50"/>
      <c r="LRA347" s="50"/>
      <c r="LRB347" s="50"/>
      <c r="LRC347" s="50"/>
      <c r="LRD347" s="50"/>
      <c r="LRE347" s="50"/>
      <c r="LRF347" s="50"/>
      <c r="LRG347" s="50"/>
      <c r="LRH347" s="50"/>
      <c r="LRI347" s="50"/>
      <c r="LRJ347" s="50"/>
      <c r="LRK347" s="50"/>
      <c r="LRL347" s="50"/>
      <c r="LRM347" s="50"/>
      <c r="LRN347" s="50"/>
      <c r="LRO347" s="50"/>
      <c r="LRP347" s="50"/>
      <c r="LRQ347" s="50"/>
      <c r="LRR347" s="50"/>
      <c r="LRS347" s="50"/>
      <c r="LRT347" s="50"/>
      <c r="LRU347" s="50"/>
      <c r="LRV347" s="50"/>
      <c r="LRW347" s="50"/>
      <c r="LRX347" s="50"/>
      <c r="LRY347" s="50"/>
      <c r="LRZ347" s="50"/>
      <c r="LSA347" s="50"/>
      <c r="LSB347" s="50"/>
      <c r="LSC347" s="50"/>
      <c r="LSD347" s="50"/>
      <c r="LSE347" s="50"/>
      <c r="LSF347" s="50"/>
      <c r="LSG347" s="50"/>
      <c r="LSH347" s="50"/>
      <c r="LSI347" s="50"/>
      <c r="LSJ347" s="50"/>
      <c r="LSK347" s="50"/>
      <c r="LSL347" s="50"/>
      <c r="LSM347" s="50"/>
      <c r="LSN347" s="50"/>
      <c r="LSO347" s="50"/>
      <c r="LSP347" s="50"/>
      <c r="LSQ347" s="50"/>
      <c r="LSR347" s="50"/>
      <c r="LSS347" s="50"/>
      <c r="LST347" s="50"/>
      <c r="LSU347" s="50"/>
      <c r="LSV347" s="50"/>
      <c r="LSW347" s="50"/>
      <c r="LSX347" s="50"/>
      <c r="LSY347" s="50"/>
      <c r="LSZ347" s="50"/>
      <c r="LTA347" s="50"/>
      <c r="LTB347" s="50"/>
      <c r="LTC347" s="50"/>
      <c r="LTD347" s="50"/>
      <c r="LTE347" s="50"/>
      <c r="LTF347" s="50"/>
      <c r="LTG347" s="50"/>
      <c r="LTH347" s="50"/>
      <c r="LTI347" s="50"/>
      <c r="LTJ347" s="50"/>
      <c r="LTK347" s="50"/>
      <c r="LTL347" s="50"/>
      <c r="LTM347" s="50"/>
      <c r="LTN347" s="50"/>
      <c r="LTO347" s="50"/>
      <c r="LTP347" s="50"/>
      <c r="LTQ347" s="50"/>
      <c r="LTR347" s="50"/>
      <c r="LTS347" s="50"/>
      <c r="LTT347" s="50"/>
      <c r="LTU347" s="50"/>
      <c r="LTV347" s="50"/>
      <c r="LTW347" s="50"/>
      <c r="LTX347" s="50"/>
      <c r="LTY347" s="50"/>
      <c r="LTZ347" s="50"/>
      <c r="LUA347" s="50"/>
      <c r="LUB347" s="50"/>
      <c r="LUC347" s="50"/>
      <c r="LUD347" s="50"/>
      <c r="LUE347" s="50"/>
      <c r="LUF347" s="50"/>
      <c r="LUG347" s="50"/>
      <c r="LUH347" s="50"/>
      <c r="LUI347" s="50"/>
      <c r="LUJ347" s="50"/>
      <c r="LUK347" s="50"/>
      <c r="LUL347" s="50"/>
      <c r="LUM347" s="50"/>
      <c r="LUN347" s="50"/>
      <c r="LUO347" s="50"/>
      <c r="LUP347" s="50"/>
      <c r="LUQ347" s="50"/>
      <c r="LUR347" s="50"/>
      <c r="LUS347" s="50"/>
      <c r="LUT347" s="50"/>
      <c r="LUU347" s="50"/>
      <c r="LUV347" s="50"/>
      <c r="LUW347" s="50"/>
      <c r="LUX347" s="50"/>
      <c r="LUY347" s="50"/>
      <c r="LUZ347" s="50"/>
      <c r="LVA347" s="50"/>
      <c r="LVB347" s="50"/>
      <c r="LVC347" s="50"/>
      <c r="LVD347" s="50"/>
      <c r="LVE347" s="50"/>
      <c r="LVF347" s="50"/>
      <c r="LVG347" s="50"/>
      <c r="LVH347" s="50"/>
      <c r="LVI347" s="50"/>
      <c r="LVJ347" s="50"/>
      <c r="LVK347" s="50"/>
      <c r="LVL347" s="50"/>
      <c r="LVM347" s="50"/>
      <c r="LVN347" s="50"/>
      <c r="LVO347" s="50"/>
      <c r="LVP347" s="50"/>
      <c r="LVQ347" s="50"/>
      <c r="LVR347" s="50"/>
      <c r="LVS347" s="50"/>
      <c r="LVT347" s="50"/>
      <c r="LVU347" s="50"/>
      <c r="LVV347" s="50"/>
      <c r="LVW347" s="50"/>
      <c r="LVX347" s="50"/>
      <c r="LVY347" s="50"/>
      <c r="LVZ347" s="50"/>
      <c r="LWA347" s="50"/>
      <c r="LWB347" s="50"/>
      <c r="LWC347" s="50"/>
      <c r="LWD347" s="50"/>
      <c r="LWE347" s="50"/>
      <c r="LWF347" s="50"/>
      <c r="LWG347" s="50"/>
      <c r="LWH347" s="50"/>
      <c r="LWI347" s="50"/>
      <c r="LWJ347" s="50"/>
      <c r="LWK347" s="50"/>
      <c r="LWL347" s="50"/>
      <c r="LWM347" s="50"/>
      <c r="LWN347" s="50"/>
      <c r="LWO347" s="50"/>
      <c r="LWP347" s="50"/>
      <c r="LWQ347" s="50"/>
      <c r="LWR347" s="50"/>
      <c r="LWS347" s="50"/>
      <c r="LWT347" s="50"/>
      <c r="LWU347" s="50"/>
      <c r="LWV347" s="50"/>
      <c r="LWW347" s="50"/>
      <c r="LWX347" s="50"/>
      <c r="LWY347" s="50"/>
      <c r="LWZ347" s="50"/>
      <c r="LXA347" s="50"/>
      <c r="LXB347" s="50"/>
      <c r="LXC347" s="50"/>
      <c r="LXD347" s="50"/>
      <c r="LXE347" s="50"/>
      <c r="LXF347" s="50"/>
      <c r="LXG347" s="50"/>
      <c r="LXH347" s="50"/>
      <c r="LXI347" s="50"/>
      <c r="LXJ347" s="50"/>
      <c r="LXK347" s="50"/>
      <c r="LXL347" s="50"/>
      <c r="LXM347" s="50"/>
      <c r="LXN347" s="50"/>
      <c r="LXO347" s="50"/>
      <c r="LXP347" s="50"/>
      <c r="LXQ347" s="50"/>
      <c r="LXR347" s="50"/>
      <c r="LXS347" s="50"/>
      <c r="LXT347" s="50"/>
      <c r="LXU347" s="50"/>
      <c r="LXV347" s="50"/>
      <c r="LXW347" s="50"/>
      <c r="LXX347" s="50"/>
      <c r="LXY347" s="50"/>
      <c r="LXZ347" s="50"/>
      <c r="LYA347" s="50"/>
      <c r="LYB347" s="50"/>
      <c r="LYC347" s="50"/>
      <c r="LYD347" s="50"/>
      <c r="LYE347" s="50"/>
      <c r="LYF347" s="50"/>
      <c r="LYG347" s="50"/>
      <c r="LYH347" s="50"/>
      <c r="LYI347" s="50"/>
      <c r="LYJ347" s="50"/>
      <c r="LYK347" s="50"/>
      <c r="LYL347" s="50"/>
      <c r="LYM347" s="50"/>
      <c r="LYN347" s="50"/>
      <c r="LYO347" s="50"/>
      <c r="LYP347" s="50"/>
      <c r="LYQ347" s="50"/>
      <c r="LYR347" s="50"/>
      <c r="LYS347" s="50"/>
      <c r="LYT347" s="50"/>
      <c r="LYU347" s="50"/>
      <c r="LYV347" s="50"/>
      <c r="LYW347" s="50"/>
      <c r="LYX347" s="50"/>
      <c r="LYY347" s="50"/>
      <c r="LYZ347" s="50"/>
      <c r="LZA347" s="50"/>
      <c r="LZB347" s="50"/>
      <c r="LZC347" s="50"/>
      <c r="LZD347" s="50"/>
      <c r="LZE347" s="50"/>
      <c r="LZF347" s="50"/>
      <c r="LZG347" s="50"/>
      <c r="LZH347" s="50"/>
      <c r="LZI347" s="50"/>
      <c r="LZJ347" s="50"/>
      <c r="LZK347" s="50"/>
      <c r="LZL347" s="50"/>
      <c r="LZM347" s="50"/>
      <c r="LZN347" s="50"/>
      <c r="LZO347" s="50"/>
      <c r="LZP347" s="50"/>
      <c r="LZQ347" s="50"/>
      <c r="LZR347" s="50"/>
      <c r="LZS347" s="50"/>
      <c r="LZT347" s="50"/>
      <c r="LZU347" s="50"/>
      <c r="LZV347" s="50"/>
      <c r="LZW347" s="50"/>
      <c r="LZX347" s="50"/>
      <c r="LZY347" s="50"/>
      <c r="LZZ347" s="50"/>
      <c r="MAA347" s="50"/>
      <c r="MAB347" s="50"/>
      <c r="MAC347" s="50"/>
      <c r="MAD347" s="50"/>
      <c r="MAE347" s="50"/>
      <c r="MAF347" s="50"/>
      <c r="MAG347" s="50"/>
      <c r="MAH347" s="50"/>
      <c r="MAI347" s="50"/>
      <c r="MAJ347" s="50"/>
      <c r="MAK347" s="50"/>
      <c r="MAL347" s="50"/>
      <c r="MAM347" s="50"/>
      <c r="MAN347" s="50"/>
      <c r="MAO347" s="50"/>
      <c r="MAP347" s="50"/>
      <c r="MAQ347" s="50"/>
      <c r="MAR347" s="50"/>
      <c r="MAS347" s="50"/>
      <c r="MAT347" s="50"/>
      <c r="MAU347" s="50"/>
      <c r="MAV347" s="50"/>
      <c r="MAW347" s="50"/>
      <c r="MAX347" s="50"/>
      <c r="MAY347" s="50"/>
      <c r="MAZ347" s="50"/>
      <c r="MBA347" s="50"/>
      <c r="MBB347" s="50"/>
      <c r="MBC347" s="50"/>
      <c r="MBD347" s="50"/>
      <c r="MBE347" s="50"/>
      <c r="MBF347" s="50"/>
      <c r="MBG347" s="50"/>
      <c r="MBH347" s="50"/>
      <c r="MBI347" s="50"/>
      <c r="MBJ347" s="50"/>
      <c r="MBK347" s="50"/>
      <c r="MBL347" s="50"/>
      <c r="MBM347" s="50"/>
      <c r="MBN347" s="50"/>
      <c r="MBO347" s="50"/>
      <c r="MBP347" s="50"/>
      <c r="MBQ347" s="50"/>
      <c r="MBR347" s="50"/>
      <c r="MBS347" s="50"/>
      <c r="MBT347" s="50"/>
      <c r="MBU347" s="50"/>
      <c r="MBV347" s="50"/>
      <c r="MBW347" s="50"/>
      <c r="MBX347" s="50"/>
      <c r="MBY347" s="50"/>
      <c r="MBZ347" s="50"/>
      <c r="MCA347" s="50"/>
      <c r="MCB347" s="50"/>
      <c r="MCC347" s="50"/>
      <c r="MCD347" s="50"/>
      <c r="MCE347" s="50"/>
      <c r="MCF347" s="50"/>
      <c r="MCG347" s="50"/>
      <c r="MCH347" s="50"/>
      <c r="MCI347" s="50"/>
      <c r="MCJ347" s="50"/>
      <c r="MCK347" s="50"/>
      <c r="MCL347" s="50"/>
      <c r="MCM347" s="50"/>
      <c r="MCN347" s="50"/>
      <c r="MCO347" s="50"/>
      <c r="MCP347" s="50"/>
      <c r="MCQ347" s="50"/>
      <c r="MCR347" s="50"/>
      <c r="MCS347" s="50"/>
      <c r="MCT347" s="50"/>
      <c r="MCU347" s="50"/>
      <c r="MCV347" s="50"/>
      <c r="MCW347" s="50"/>
      <c r="MCX347" s="50"/>
      <c r="MCY347" s="50"/>
      <c r="MCZ347" s="50"/>
      <c r="MDA347" s="50"/>
      <c r="MDB347" s="50"/>
      <c r="MDC347" s="50"/>
      <c r="MDD347" s="50"/>
      <c r="MDE347" s="50"/>
      <c r="MDF347" s="50"/>
      <c r="MDG347" s="50"/>
      <c r="MDH347" s="50"/>
      <c r="MDI347" s="50"/>
      <c r="MDJ347" s="50"/>
      <c r="MDK347" s="50"/>
      <c r="MDL347" s="50"/>
      <c r="MDM347" s="50"/>
      <c r="MDN347" s="50"/>
      <c r="MDO347" s="50"/>
      <c r="MDP347" s="50"/>
      <c r="MDQ347" s="50"/>
      <c r="MDR347" s="50"/>
      <c r="MDS347" s="50"/>
      <c r="MDT347" s="50"/>
      <c r="MDU347" s="50"/>
      <c r="MDV347" s="50"/>
      <c r="MDW347" s="50"/>
      <c r="MDX347" s="50"/>
      <c r="MDY347" s="50"/>
      <c r="MDZ347" s="50"/>
      <c r="MEA347" s="50"/>
      <c r="MEB347" s="50"/>
      <c r="MEC347" s="50"/>
      <c r="MED347" s="50"/>
      <c r="MEE347" s="50"/>
      <c r="MEF347" s="50"/>
      <c r="MEG347" s="50"/>
      <c r="MEH347" s="50"/>
      <c r="MEI347" s="50"/>
      <c r="MEJ347" s="50"/>
      <c r="MEK347" s="50"/>
      <c r="MEL347" s="50"/>
      <c r="MEM347" s="50"/>
      <c r="MEN347" s="50"/>
      <c r="MEO347" s="50"/>
      <c r="MEP347" s="50"/>
      <c r="MEQ347" s="50"/>
      <c r="MER347" s="50"/>
      <c r="MES347" s="50"/>
      <c r="MET347" s="50"/>
      <c r="MEU347" s="50"/>
      <c r="MEV347" s="50"/>
      <c r="MEW347" s="50"/>
      <c r="MEX347" s="50"/>
      <c r="MEY347" s="50"/>
      <c r="MEZ347" s="50"/>
      <c r="MFA347" s="50"/>
      <c r="MFB347" s="50"/>
      <c r="MFC347" s="50"/>
      <c r="MFD347" s="50"/>
      <c r="MFE347" s="50"/>
      <c r="MFF347" s="50"/>
      <c r="MFG347" s="50"/>
      <c r="MFH347" s="50"/>
      <c r="MFI347" s="50"/>
      <c r="MFJ347" s="50"/>
      <c r="MFK347" s="50"/>
      <c r="MFL347" s="50"/>
      <c r="MFM347" s="50"/>
      <c r="MFN347" s="50"/>
      <c r="MFO347" s="50"/>
      <c r="MFP347" s="50"/>
      <c r="MFQ347" s="50"/>
      <c r="MFR347" s="50"/>
      <c r="MFS347" s="50"/>
      <c r="MFT347" s="50"/>
      <c r="MFU347" s="50"/>
      <c r="MFV347" s="50"/>
      <c r="MFW347" s="50"/>
      <c r="MFX347" s="50"/>
      <c r="MFY347" s="50"/>
      <c r="MFZ347" s="50"/>
      <c r="MGA347" s="50"/>
      <c r="MGB347" s="50"/>
      <c r="MGC347" s="50"/>
      <c r="MGD347" s="50"/>
      <c r="MGE347" s="50"/>
      <c r="MGF347" s="50"/>
      <c r="MGG347" s="50"/>
      <c r="MGH347" s="50"/>
      <c r="MGI347" s="50"/>
      <c r="MGJ347" s="50"/>
      <c r="MGK347" s="50"/>
      <c r="MGL347" s="50"/>
      <c r="MGM347" s="50"/>
      <c r="MGN347" s="50"/>
      <c r="MGO347" s="50"/>
      <c r="MGP347" s="50"/>
      <c r="MGQ347" s="50"/>
      <c r="MGR347" s="50"/>
      <c r="MGS347" s="50"/>
      <c r="MGT347" s="50"/>
      <c r="MGU347" s="50"/>
      <c r="MGV347" s="50"/>
      <c r="MGW347" s="50"/>
      <c r="MGX347" s="50"/>
      <c r="MGY347" s="50"/>
      <c r="MGZ347" s="50"/>
      <c r="MHA347" s="50"/>
      <c r="MHB347" s="50"/>
      <c r="MHC347" s="50"/>
      <c r="MHD347" s="50"/>
      <c r="MHE347" s="50"/>
      <c r="MHF347" s="50"/>
      <c r="MHG347" s="50"/>
      <c r="MHH347" s="50"/>
      <c r="MHI347" s="50"/>
      <c r="MHJ347" s="50"/>
      <c r="MHK347" s="50"/>
      <c r="MHL347" s="50"/>
      <c r="MHM347" s="50"/>
      <c r="MHN347" s="50"/>
      <c r="MHO347" s="50"/>
      <c r="MHP347" s="50"/>
      <c r="MHQ347" s="50"/>
      <c r="MHR347" s="50"/>
      <c r="MHS347" s="50"/>
      <c r="MHT347" s="50"/>
      <c r="MHU347" s="50"/>
      <c r="MHV347" s="50"/>
      <c r="MHW347" s="50"/>
      <c r="MHX347" s="50"/>
      <c r="MHY347" s="50"/>
      <c r="MHZ347" s="50"/>
      <c r="MIA347" s="50"/>
      <c r="MIB347" s="50"/>
      <c r="MIC347" s="50"/>
      <c r="MID347" s="50"/>
      <c r="MIE347" s="50"/>
      <c r="MIF347" s="50"/>
      <c r="MIG347" s="50"/>
      <c r="MIH347" s="50"/>
      <c r="MII347" s="50"/>
      <c r="MIJ347" s="50"/>
      <c r="MIK347" s="50"/>
      <c r="MIL347" s="50"/>
      <c r="MIM347" s="50"/>
      <c r="MIN347" s="50"/>
      <c r="MIO347" s="50"/>
      <c r="MIP347" s="50"/>
      <c r="MIQ347" s="50"/>
      <c r="MIR347" s="50"/>
      <c r="MIS347" s="50"/>
      <c r="MIT347" s="50"/>
      <c r="MIU347" s="50"/>
      <c r="MIV347" s="50"/>
      <c r="MIW347" s="50"/>
      <c r="MIX347" s="50"/>
      <c r="MIY347" s="50"/>
      <c r="MIZ347" s="50"/>
      <c r="MJA347" s="50"/>
      <c r="MJB347" s="50"/>
      <c r="MJC347" s="50"/>
      <c r="MJD347" s="50"/>
      <c r="MJE347" s="50"/>
      <c r="MJF347" s="50"/>
      <c r="MJG347" s="50"/>
      <c r="MJH347" s="50"/>
      <c r="MJI347" s="50"/>
      <c r="MJJ347" s="50"/>
      <c r="MJK347" s="50"/>
      <c r="MJL347" s="50"/>
      <c r="MJM347" s="50"/>
      <c r="MJN347" s="50"/>
      <c r="MJO347" s="50"/>
      <c r="MJP347" s="50"/>
      <c r="MJQ347" s="50"/>
      <c r="MJR347" s="50"/>
      <c r="MJS347" s="50"/>
      <c r="MJT347" s="50"/>
      <c r="MJU347" s="50"/>
      <c r="MJV347" s="50"/>
      <c r="MJW347" s="50"/>
      <c r="MJX347" s="50"/>
      <c r="MJY347" s="50"/>
      <c r="MJZ347" s="50"/>
      <c r="MKA347" s="50"/>
      <c r="MKB347" s="50"/>
      <c r="MKC347" s="50"/>
      <c r="MKD347" s="50"/>
      <c r="MKE347" s="50"/>
      <c r="MKF347" s="50"/>
      <c r="MKG347" s="50"/>
      <c r="MKH347" s="50"/>
      <c r="MKI347" s="50"/>
      <c r="MKJ347" s="50"/>
      <c r="MKK347" s="50"/>
      <c r="MKL347" s="50"/>
      <c r="MKM347" s="50"/>
      <c r="MKN347" s="50"/>
      <c r="MKO347" s="50"/>
      <c r="MKP347" s="50"/>
      <c r="MKQ347" s="50"/>
      <c r="MKR347" s="50"/>
      <c r="MKS347" s="50"/>
      <c r="MKT347" s="50"/>
      <c r="MKU347" s="50"/>
      <c r="MKV347" s="50"/>
      <c r="MKW347" s="50"/>
      <c r="MKX347" s="50"/>
      <c r="MKY347" s="50"/>
      <c r="MKZ347" s="50"/>
      <c r="MLA347" s="50"/>
      <c r="MLB347" s="50"/>
      <c r="MLC347" s="50"/>
      <c r="MLD347" s="50"/>
      <c r="MLE347" s="50"/>
      <c r="MLF347" s="50"/>
      <c r="MLG347" s="50"/>
      <c r="MLH347" s="50"/>
      <c r="MLI347" s="50"/>
      <c r="MLJ347" s="50"/>
      <c r="MLK347" s="50"/>
      <c r="MLL347" s="50"/>
      <c r="MLM347" s="50"/>
      <c r="MLN347" s="50"/>
      <c r="MLO347" s="50"/>
      <c r="MLP347" s="50"/>
      <c r="MLQ347" s="50"/>
      <c r="MLR347" s="50"/>
      <c r="MLS347" s="50"/>
      <c r="MLT347" s="50"/>
      <c r="MLU347" s="50"/>
      <c r="MLV347" s="50"/>
      <c r="MLW347" s="50"/>
      <c r="MLX347" s="50"/>
      <c r="MLY347" s="50"/>
      <c r="MLZ347" s="50"/>
      <c r="MMA347" s="50"/>
      <c r="MMB347" s="50"/>
      <c r="MMC347" s="50"/>
      <c r="MMD347" s="50"/>
      <c r="MME347" s="50"/>
      <c r="MMF347" s="50"/>
      <c r="MMG347" s="50"/>
      <c r="MMH347" s="50"/>
      <c r="MMI347" s="50"/>
      <c r="MMJ347" s="50"/>
      <c r="MMK347" s="50"/>
      <c r="MML347" s="50"/>
      <c r="MMM347" s="50"/>
      <c r="MMN347" s="50"/>
      <c r="MMO347" s="50"/>
      <c r="MMP347" s="50"/>
      <c r="MMQ347" s="50"/>
      <c r="MMR347" s="50"/>
      <c r="MMS347" s="50"/>
      <c r="MMT347" s="50"/>
      <c r="MMU347" s="50"/>
      <c r="MMV347" s="50"/>
      <c r="MMW347" s="50"/>
      <c r="MMX347" s="50"/>
      <c r="MMY347" s="50"/>
      <c r="MMZ347" s="50"/>
      <c r="MNA347" s="50"/>
      <c r="MNB347" s="50"/>
      <c r="MNC347" s="50"/>
      <c r="MND347" s="50"/>
      <c r="MNE347" s="50"/>
      <c r="MNF347" s="50"/>
      <c r="MNG347" s="50"/>
      <c r="MNH347" s="50"/>
      <c r="MNI347" s="50"/>
      <c r="MNJ347" s="50"/>
      <c r="MNK347" s="50"/>
      <c r="MNL347" s="50"/>
      <c r="MNM347" s="50"/>
      <c r="MNN347" s="50"/>
      <c r="MNO347" s="50"/>
      <c r="MNP347" s="50"/>
      <c r="MNQ347" s="50"/>
      <c r="MNR347" s="50"/>
      <c r="MNS347" s="50"/>
      <c r="MNT347" s="50"/>
      <c r="MNU347" s="50"/>
      <c r="MNV347" s="50"/>
      <c r="MNW347" s="50"/>
      <c r="MNX347" s="50"/>
      <c r="MNY347" s="50"/>
      <c r="MNZ347" s="50"/>
      <c r="MOA347" s="50"/>
      <c r="MOB347" s="50"/>
      <c r="MOC347" s="50"/>
      <c r="MOD347" s="50"/>
      <c r="MOE347" s="50"/>
      <c r="MOF347" s="50"/>
      <c r="MOG347" s="50"/>
      <c r="MOH347" s="50"/>
      <c r="MOI347" s="50"/>
      <c r="MOJ347" s="50"/>
      <c r="MOK347" s="50"/>
      <c r="MOL347" s="50"/>
      <c r="MOM347" s="50"/>
      <c r="MON347" s="50"/>
      <c r="MOO347" s="50"/>
      <c r="MOP347" s="50"/>
      <c r="MOQ347" s="50"/>
      <c r="MOR347" s="50"/>
      <c r="MOS347" s="50"/>
      <c r="MOT347" s="50"/>
      <c r="MOU347" s="50"/>
      <c r="MOV347" s="50"/>
      <c r="MOW347" s="50"/>
      <c r="MOX347" s="50"/>
      <c r="MOY347" s="50"/>
      <c r="MOZ347" s="50"/>
      <c r="MPA347" s="50"/>
      <c r="MPB347" s="50"/>
      <c r="MPC347" s="50"/>
      <c r="MPD347" s="50"/>
      <c r="MPE347" s="50"/>
      <c r="MPF347" s="50"/>
      <c r="MPG347" s="50"/>
      <c r="MPH347" s="50"/>
      <c r="MPI347" s="50"/>
      <c r="MPJ347" s="50"/>
      <c r="MPK347" s="50"/>
      <c r="MPL347" s="50"/>
      <c r="MPM347" s="50"/>
      <c r="MPN347" s="50"/>
      <c r="MPO347" s="50"/>
      <c r="MPP347" s="50"/>
      <c r="MPQ347" s="50"/>
      <c r="MPR347" s="50"/>
      <c r="MPS347" s="50"/>
      <c r="MPT347" s="50"/>
      <c r="MPU347" s="50"/>
      <c r="MPV347" s="50"/>
      <c r="MPW347" s="50"/>
      <c r="MPX347" s="50"/>
      <c r="MPY347" s="50"/>
      <c r="MPZ347" s="50"/>
      <c r="MQA347" s="50"/>
      <c r="MQB347" s="50"/>
      <c r="MQC347" s="50"/>
      <c r="MQD347" s="50"/>
      <c r="MQE347" s="50"/>
      <c r="MQF347" s="50"/>
      <c r="MQG347" s="50"/>
      <c r="MQH347" s="50"/>
      <c r="MQI347" s="50"/>
      <c r="MQJ347" s="50"/>
      <c r="MQK347" s="50"/>
      <c r="MQL347" s="50"/>
      <c r="MQM347" s="50"/>
      <c r="MQN347" s="50"/>
      <c r="MQO347" s="50"/>
      <c r="MQP347" s="50"/>
      <c r="MQQ347" s="50"/>
      <c r="MQR347" s="50"/>
      <c r="MQS347" s="50"/>
      <c r="MQT347" s="50"/>
      <c r="MQU347" s="50"/>
      <c r="MQV347" s="50"/>
      <c r="MQW347" s="50"/>
      <c r="MQX347" s="50"/>
      <c r="MQY347" s="50"/>
      <c r="MQZ347" s="50"/>
      <c r="MRA347" s="50"/>
      <c r="MRB347" s="50"/>
      <c r="MRC347" s="50"/>
      <c r="MRD347" s="50"/>
      <c r="MRE347" s="50"/>
      <c r="MRF347" s="50"/>
      <c r="MRG347" s="50"/>
      <c r="MRH347" s="50"/>
      <c r="MRI347" s="50"/>
      <c r="MRJ347" s="50"/>
      <c r="MRK347" s="50"/>
      <c r="MRL347" s="50"/>
      <c r="MRM347" s="50"/>
      <c r="MRN347" s="50"/>
      <c r="MRO347" s="50"/>
      <c r="MRP347" s="50"/>
      <c r="MRQ347" s="50"/>
      <c r="MRR347" s="50"/>
      <c r="MRS347" s="50"/>
      <c r="MRT347" s="50"/>
      <c r="MRU347" s="50"/>
      <c r="MRV347" s="50"/>
      <c r="MRW347" s="50"/>
      <c r="MRX347" s="50"/>
      <c r="MRY347" s="50"/>
      <c r="MRZ347" s="50"/>
      <c r="MSA347" s="50"/>
      <c r="MSB347" s="50"/>
      <c r="MSC347" s="50"/>
      <c r="MSD347" s="50"/>
      <c r="MSE347" s="50"/>
      <c r="MSF347" s="50"/>
      <c r="MSG347" s="50"/>
      <c r="MSH347" s="50"/>
      <c r="MSI347" s="50"/>
      <c r="MSJ347" s="50"/>
      <c r="MSK347" s="50"/>
      <c r="MSL347" s="50"/>
      <c r="MSM347" s="50"/>
      <c r="MSN347" s="50"/>
      <c r="MSO347" s="50"/>
      <c r="MSP347" s="50"/>
      <c r="MSQ347" s="50"/>
      <c r="MSR347" s="50"/>
      <c r="MSS347" s="50"/>
      <c r="MST347" s="50"/>
      <c r="MSU347" s="50"/>
      <c r="MSV347" s="50"/>
      <c r="MSW347" s="50"/>
      <c r="MSX347" s="50"/>
      <c r="MSY347" s="50"/>
      <c r="MSZ347" s="50"/>
      <c r="MTA347" s="50"/>
      <c r="MTB347" s="50"/>
      <c r="MTC347" s="50"/>
      <c r="MTD347" s="50"/>
      <c r="MTE347" s="50"/>
      <c r="MTF347" s="50"/>
      <c r="MTG347" s="50"/>
      <c r="MTH347" s="50"/>
      <c r="MTI347" s="50"/>
      <c r="MTJ347" s="50"/>
      <c r="MTK347" s="50"/>
      <c r="MTL347" s="50"/>
      <c r="MTM347" s="50"/>
      <c r="MTN347" s="50"/>
      <c r="MTO347" s="50"/>
      <c r="MTP347" s="50"/>
      <c r="MTQ347" s="50"/>
      <c r="MTR347" s="50"/>
      <c r="MTS347" s="50"/>
      <c r="MTT347" s="50"/>
      <c r="MTU347" s="50"/>
      <c r="MTV347" s="50"/>
      <c r="MTW347" s="50"/>
      <c r="MTX347" s="50"/>
      <c r="MTY347" s="50"/>
      <c r="MTZ347" s="50"/>
      <c r="MUA347" s="50"/>
      <c r="MUB347" s="50"/>
      <c r="MUC347" s="50"/>
      <c r="MUD347" s="50"/>
      <c r="MUE347" s="50"/>
      <c r="MUF347" s="50"/>
      <c r="MUG347" s="50"/>
      <c r="MUH347" s="50"/>
      <c r="MUI347" s="50"/>
      <c r="MUJ347" s="50"/>
      <c r="MUK347" s="50"/>
      <c r="MUL347" s="50"/>
      <c r="MUM347" s="50"/>
      <c r="MUN347" s="50"/>
      <c r="MUO347" s="50"/>
      <c r="MUP347" s="50"/>
      <c r="MUQ347" s="50"/>
      <c r="MUR347" s="50"/>
      <c r="MUS347" s="50"/>
      <c r="MUT347" s="50"/>
      <c r="MUU347" s="50"/>
      <c r="MUV347" s="50"/>
      <c r="MUW347" s="50"/>
      <c r="MUX347" s="50"/>
      <c r="MUY347" s="50"/>
      <c r="MUZ347" s="50"/>
      <c r="MVA347" s="50"/>
      <c r="MVB347" s="50"/>
      <c r="MVC347" s="50"/>
      <c r="MVD347" s="50"/>
      <c r="MVE347" s="50"/>
      <c r="MVF347" s="50"/>
      <c r="MVG347" s="50"/>
      <c r="MVH347" s="50"/>
      <c r="MVI347" s="50"/>
      <c r="MVJ347" s="50"/>
      <c r="MVK347" s="50"/>
      <c r="MVL347" s="50"/>
      <c r="MVM347" s="50"/>
      <c r="MVN347" s="50"/>
      <c r="MVO347" s="50"/>
      <c r="MVP347" s="50"/>
      <c r="MVQ347" s="50"/>
      <c r="MVR347" s="50"/>
      <c r="MVS347" s="50"/>
      <c r="MVT347" s="50"/>
      <c r="MVU347" s="50"/>
      <c r="MVV347" s="50"/>
      <c r="MVW347" s="50"/>
      <c r="MVX347" s="50"/>
      <c r="MVY347" s="50"/>
      <c r="MVZ347" s="50"/>
      <c r="MWA347" s="50"/>
      <c r="MWB347" s="50"/>
      <c r="MWC347" s="50"/>
      <c r="MWD347" s="50"/>
      <c r="MWE347" s="50"/>
      <c r="MWF347" s="50"/>
      <c r="MWG347" s="50"/>
      <c r="MWH347" s="50"/>
      <c r="MWI347" s="50"/>
      <c r="MWJ347" s="50"/>
      <c r="MWK347" s="50"/>
      <c r="MWL347" s="50"/>
      <c r="MWM347" s="50"/>
      <c r="MWN347" s="50"/>
      <c r="MWO347" s="50"/>
      <c r="MWP347" s="50"/>
      <c r="MWQ347" s="50"/>
      <c r="MWR347" s="50"/>
      <c r="MWS347" s="50"/>
      <c r="MWT347" s="50"/>
      <c r="MWU347" s="50"/>
      <c r="MWV347" s="50"/>
      <c r="MWW347" s="50"/>
      <c r="MWX347" s="50"/>
      <c r="MWY347" s="50"/>
      <c r="MWZ347" s="50"/>
      <c r="MXA347" s="50"/>
      <c r="MXB347" s="50"/>
      <c r="MXC347" s="50"/>
      <c r="MXD347" s="50"/>
      <c r="MXE347" s="50"/>
      <c r="MXF347" s="50"/>
      <c r="MXG347" s="50"/>
      <c r="MXH347" s="50"/>
      <c r="MXI347" s="50"/>
      <c r="MXJ347" s="50"/>
      <c r="MXK347" s="50"/>
      <c r="MXL347" s="50"/>
      <c r="MXM347" s="50"/>
      <c r="MXN347" s="50"/>
      <c r="MXO347" s="50"/>
      <c r="MXP347" s="50"/>
      <c r="MXQ347" s="50"/>
      <c r="MXR347" s="50"/>
      <c r="MXS347" s="50"/>
      <c r="MXT347" s="50"/>
      <c r="MXU347" s="50"/>
      <c r="MXV347" s="50"/>
      <c r="MXW347" s="50"/>
      <c r="MXX347" s="50"/>
      <c r="MXY347" s="50"/>
      <c r="MXZ347" s="50"/>
      <c r="MYA347" s="50"/>
      <c r="MYB347" s="50"/>
      <c r="MYC347" s="50"/>
      <c r="MYD347" s="50"/>
      <c r="MYE347" s="50"/>
      <c r="MYF347" s="50"/>
      <c r="MYG347" s="50"/>
      <c r="MYH347" s="50"/>
      <c r="MYI347" s="50"/>
      <c r="MYJ347" s="50"/>
      <c r="MYK347" s="50"/>
      <c r="MYL347" s="50"/>
      <c r="MYM347" s="50"/>
      <c r="MYN347" s="50"/>
      <c r="MYO347" s="50"/>
      <c r="MYP347" s="50"/>
      <c r="MYQ347" s="50"/>
      <c r="MYR347" s="50"/>
      <c r="MYS347" s="50"/>
      <c r="MYT347" s="50"/>
      <c r="MYU347" s="50"/>
      <c r="MYV347" s="50"/>
      <c r="MYW347" s="50"/>
      <c r="MYX347" s="50"/>
      <c r="MYY347" s="50"/>
      <c r="MYZ347" s="50"/>
      <c r="MZA347" s="50"/>
      <c r="MZB347" s="50"/>
      <c r="MZC347" s="50"/>
      <c r="MZD347" s="50"/>
      <c r="MZE347" s="50"/>
      <c r="MZF347" s="50"/>
      <c r="MZG347" s="50"/>
      <c r="MZH347" s="50"/>
      <c r="MZI347" s="50"/>
      <c r="MZJ347" s="50"/>
      <c r="MZK347" s="50"/>
      <c r="MZL347" s="50"/>
      <c r="MZM347" s="50"/>
      <c r="MZN347" s="50"/>
      <c r="MZO347" s="50"/>
      <c r="MZP347" s="50"/>
      <c r="MZQ347" s="50"/>
      <c r="MZR347" s="50"/>
      <c r="MZS347" s="50"/>
      <c r="MZT347" s="50"/>
      <c r="MZU347" s="50"/>
      <c r="MZV347" s="50"/>
      <c r="MZW347" s="50"/>
      <c r="MZX347" s="50"/>
      <c r="MZY347" s="50"/>
      <c r="MZZ347" s="50"/>
      <c r="NAA347" s="50"/>
      <c r="NAB347" s="50"/>
      <c r="NAC347" s="50"/>
      <c r="NAD347" s="50"/>
      <c r="NAE347" s="50"/>
      <c r="NAF347" s="50"/>
      <c r="NAG347" s="50"/>
      <c r="NAH347" s="50"/>
      <c r="NAI347" s="50"/>
      <c r="NAJ347" s="50"/>
      <c r="NAK347" s="50"/>
      <c r="NAL347" s="50"/>
      <c r="NAM347" s="50"/>
      <c r="NAN347" s="50"/>
      <c r="NAO347" s="50"/>
      <c r="NAP347" s="50"/>
      <c r="NAQ347" s="50"/>
      <c r="NAR347" s="50"/>
      <c r="NAS347" s="50"/>
      <c r="NAT347" s="50"/>
      <c r="NAU347" s="50"/>
      <c r="NAV347" s="50"/>
      <c r="NAW347" s="50"/>
      <c r="NAX347" s="50"/>
      <c r="NAY347" s="50"/>
      <c r="NAZ347" s="50"/>
      <c r="NBA347" s="50"/>
      <c r="NBB347" s="50"/>
      <c r="NBC347" s="50"/>
      <c r="NBD347" s="50"/>
      <c r="NBE347" s="50"/>
      <c r="NBF347" s="50"/>
      <c r="NBG347" s="50"/>
      <c r="NBH347" s="50"/>
      <c r="NBI347" s="50"/>
      <c r="NBJ347" s="50"/>
      <c r="NBK347" s="50"/>
      <c r="NBL347" s="50"/>
      <c r="NBM347" s="50"/>
      <c r="NBN347" s="50"/>
      <c r="NBO347" s="50"/>
      <c r="NBP347" s="50"/>
      <c r="NBQ347" s="50"/>
      <c r="NBR347" s="50"/>
      <c r="NBS347" s="50"/>
      <c r="NBT347" s="50"/>
      <c r="NBU347" s="50"/>
      <c r="NBV347" s="50"/>
      <c r="NBW347" s="50"/>
      <c r="NBX347" s="50"/>
      <c r="NBY347" s="50"/>
      <c r="NBZ347" s="50"/>
      <c r="NCA347" s="50"/>
      <c r="NCB347" s="50"/>
      <c r="NCC347" s="50"/>
      <c r="NCD347" s="50"/>
      <c r="NCE347" s="50"/>
      <c r="NCF347" s="50"/>
      <c r="NCG347" s="50"/>
      <c r="NCH347" s="50"/>
      <c r="NCI347" s="50"/>
      <c r="NCJ347" s="50"/>
      <c r="NCK347" s="50"/>
      <c r="NCL347" s="50"/>
      <c r="NCM347" s="50"/>
      <c r="NCN347" s="50"/>
      <c r="NCO347" s="50"/>
      <c r="NCP347" s="50"/>
      <c r="NCQ347" s="50"/>
      <c r="NCR347" s="50"/>
      <c r="NCS347" s="50"/>
      <c r="NCT347" s="50"/>
      <c r="NCU347" s="50"/>
      <c r="NCV347" s="50"/>
      <c r="NCW347" s="50"/>
      <c r="NCX347" s="50"/>
      <c r="NCY347" s="50"/>
      <c r="NCZ347" s="50"/>
      <c r="NDA347" s="50"/>
      <c r="NDB347" s="50"/>
      <c r="NDC347" s="50"/>
      <c r="NDD347" s="50"/>
      <c r="NDE347" s="50"/>
      <c r="NDF347" s="50"/>
      <c r="NDG347" s="50"/>
      <c r="NDH347" s="50"/>
      <c r="NDI347" s="50"/>
      <c r="NDJ347" s="50"/>
      <c r="NDK347" s="50"/>
      <c r="NDL347" s="50"/>
      <c r="NDM347" s="50"/>
      <c r="NDN347" s="50"/>
      <c r="NDO347" s="50"/>
      <c r="NDP347" s="50"/>
      <c r="NDQ347" s="50"/>
      <c r="NDR347" s="50"/>
      <c r="NDS347" s="50"/>
      <c r="NDT347" s="50"/>
      <c r="NDU347" s="50"/>
      <c r="NDV347" s="50"/>
      <c r="NDW347" s="50"/>
      <c r="NDX347" s="50"/>
      <c r="NDY347" s="50"/>
      <c r="NDZ347" s="50"/>
      <c r="NEA347" s="50"/>
      <c r="NEB347" s="50"/>
      <c r="NEC347" s="50"/>
      <c r="NED347" s="50"/>
      <c r="NEE347" s="50"/>
      <c r="NEF347" s="50"/>
      <c r="NEG347" s="50"/>
      <c r="NEH347" s="50"/>
      <c r="NEI347" s="50"/>
      <c r="NEJ347" s="50"/>
      <c r="NEK347" s="50"/>
      <c r="NEL347" s="50"/>
      <c r="NEM347" s="50"/>
      <c r="NEN347" s="50"/>
      <c r="NEO347" s="50"/>
      <c r="NEP347" s="50"/>
      <c r="NEQ347" s="50"/>
      <c r="NER347" s="50"/>
      <c r="NES347" s="50"/>
      <c r="NET347" s="50"/>
      <c r="NEU347" s="50"/>
      <c r="NEV347" s="50"/>
      <c r="NEW347" s="50"/>
      <c r="NEX347" s="50"/>
      <c r="NEY347" s="50"/>
      <c r="NEZ347" s="50"/>
      <c r="NFA347" s="50"/>
      <c r="NFB347" s="50"/>
      <c r="NFC347" s="50"/>
      <c r="NFD347" s="50"/>
      <c r="NFE347" s="50"/>
      <c r="NFF347" s="50"/>
      <c r="NFG347" s="50"/>
      <c r="NFH347" s="50"/>
      <c r="NFI347" s="50"/>
      <c r="NFJ347" s="50"/>
      <c r="NFK347" s="50"/>
      <c r="NFL347" s="50"/>
      <c r="NFM347" s="50"/>
      <c r="NFN347" s="50"/>
      <c r="NFO347" s="50"/>
      <c r="NFP347" s="50"/>
      <c r="NFQ347" s="50"/>
      <c r="NFR347" s="50"/>
      <c r="NFS347" s="50"/>
      <c r="NFT347" s="50"/>
      <c r="NFU347" s="50"/>
      <c r="NFV347" s="50"/>
      <c r="NFW347" s="50"/>
      <c r="NFX347" s="50"/>
      <c r="NFY347" s="50"/>
      <c r="NFZ347" s="50"/>
      <c r="NGA347" s="50"/>
      <c r="NGB347" s="50"/>
      <c r="NGC347" s="50"/>
      <c r="NGD347" s="50"/>
      <c r="NGE347" s="50"/>
      <c r="NGF347" s="50"/>
      <c r="NGG347" s="50"/>
      <c r="NGH347" s="50"/>
      <c r="NGI347" s="50"/>
      <c r="NGJ347" s="50"/>
      <c r="NGK347" s="50"/>
      <c r="NGL347" s="50"/>
      <c r="NGM347" s="50"/>
      <c r="NGN347" s="50"/>
      <c r="NGO347" s="50"/>
      <c r="NGP347" s="50"/>
      <c r="NGQ347" s="50"/>
      <c r="NGR347" s="50"/>
      <c r="NGS347" s="50"/>
      <c r="NGT347" s="50"/>
      <c r="NGU347" s="50"/>
      <c r="NGV347" s="50"/>
      <c r="NGW347" s="50"/>
      <c r="NGX347" s="50"/>
      <c r="NGY347" s="50"/>
      <c r="NGZ347" s="50"/>
      <c r="NHA347" s="50"/>
      <c r="NHB347" s="50"/>
      <c r="NHC347" s="50"/>
      <c r="NHD347" s="50"/>
      <c r="NHE347" s="50"/>
      <c r="NHF347" s="50"/>
      <c r="NHG347" s="50"/>
      <c r="NHH347" s="50"/>
      <c r="NHI347" s="50"/>
      <c r="NHJ347" s="50"/>
      <c r="NHK347" s="50"/>
      <c r="NHL347" s="50"/>
      <c r="NHM347" s="50"/>
      <c r="NHN347" s="50"/>
      <c r="NHO347" s="50"/>
      <c r="NHP347" s="50"/>
      <c r="NHQ347" s="50"/>
      <c r="NHR347" s="50"/>
      <c r="NHS347" s="50"/>
      <c r="NHT347" s="50"/>
      <c r="NHU347" s="50"/>
      <c r="NHV347" s="50"/>
      <c r="NHW347" s="50"/>
      <c r="NHX347" s="50"/>
      <c r="NHY347" s="50"/>
      <c r="NHZ347" s="50"/>
      <c r="NIA347" s="50"/>
      <c r="NIB347" s="50"/>
      <c r="NIC347" s="50"/>
      <c r="NID347" s="50"/>
      <c r="NIE347" s="50"/>
      <c r="NIF347" s="50"/>
      <c r="NIG347" s="50"/>
      <c r="NIH347" s="50"/>
      <c r="NII347" s="50"/>
      <c r="NIJ347" s="50"/>
      <c r="NIK347" s="50"/>
      <c r="NIL347" s="50"/>
      <c r="NIM347" s="50"/>
      <c r="NIN347" s="50"/>
      <c r="NIO347" s="50"/>
      <c r="NIP347" s="50"/>
      <c r="NIQ347" s="50"/>
      <c r="NIR347" s="50"/>
      <c r="NIS347" s="50"/>
      <c r="NIT347" s="50"/>
      <c r="NIU347" s="50"/>
      <c r="NIV347" s="50"/>
      <c r="NIW347" s="50"/>
      <c r="NIX347" s="50"/>
      <c r="NIY347" s="50"/>
      <c r="NIZ347" s="50"/>
      <c r="NJA347" s="50"/>
      <c r="NJB347" s="50"/>
      <c r="NJC347" s="50"/>
      <c r="NJD347" s="50"/>
      <c r="NJE347" s="50"/>
      <c r="NJF347" s="50"/>
      <c r="NJG347" s="50"/>
      <c r="NJH347" s="50"/>
      <c r="NJI347" s="50"/>
      <c r="NJJ347" s="50"/>
      <c r="NJK347" s="50"/>
      <c r="NJL347" s="50"/>
      <c r="NJM347" s="50"/>
      <c r="NJN347" s="50"/>
      <c r="NJO347" s="50"/>
      <c r="NJP347" s="50"/>
      <c r="NJQ347" s="50"/>
      <c r="NJR347" s="50"/>
      <c r="NJS347" s="50"/>
      <c r="NJT347" s="50"/>
      <c r="NJU347" s="50"/>
      <c r="NJV347" s="50"/>
      <c r="NJW347" s="50"/>
      <c r="NJX347" s="50"/>
      <c r="NJY347" s="50"/>
      <c r="NJZ347" s="50"/>
      <c r="NKA347" s="50"/>
      <c r="NKB347" s="50"/>
      <c r="NKC347" s="50"/>
      <c r="NKD347" s="50"/>
      <c r="NKE347" s="50"/>
      <c r="NKF347" s="50"/>
      <c r="NKG347" s="50"/>
      <c r="NKH347" s="50"/>
      <c r="NKI347" s="50"/>
      <c r="NKJ347" s="50"/>
      <c r="NKK347" s="50"/>
      <c r="NKL347" s="50"/>
      <c r="NKM347" s="50"/>
      <c r="NKN347" s="50"/>
      <c r="NKO347" s="50"/>
      <c r="NKP347" s="50"/>
      <c r="NKQ347" s="50"/>
      <c r="NKR347" s="50"/>
      <c r="NKS347" s="50"/>
      <c r="NKT347" s="50"/>
      <c r="NKU347" s="50"/>
      <c r="NKV347" s="50"/>
      <c r="NKW347" s="50"/>
      <c r="NKX347" s="50"/>
      <c r="NKY347" s="50"/>
      <c r="NKZ347" s="50"/>
      <c r="NLA347" s="50"/>
      <c r="NLB347" s="50"/>
      <c r="NLC347" s="50"/>
      <c r="NLD347" s="50"/>
      <c r="NLE347" s="50"/>
      <c r="NLF347" s="50"/>
      <c r="NLG347" s="50"/>
      <c r="NLH347" s="50"/>
      <c r="NLI347" s="50"/>
      <c r="NLJ347" s="50"/>
      <c r="NLK347" s="50"/>
      <c r="NLL347" s="50"/>
      <c r="NLM347" s="50"/>
      <c r="NLN347" s="50"/>
      <c r="NLO347" s="50"/>
      <c r="NLP347" s="50"/>
      <c r="NLQ347" s="50"/>
      <c r="NLR347" s="50"/>
      <c r="NLS347" s="50"/>
      <c r="NLT347" s="50"/>
      <c r="NLU347" s="50"/>
      <c r="NLV347" s="50"/>
      <c r="NLW347" s="50"/>
      <c r="NLX347" s="50"/>
      <c r="NLY347" s="50"/>
      <c r="NLZ347" s="50"/>
      <c r="NMA347" s="50"/>
      <c r="NMB347" s="50"/>
      <c r="NMC347" s="50"/>
      <c r="NMD347" s="50"/>
      <c r="NME347" s="50"/>
      <c r="NMF347" s="50"/>
      <c r="NMG347" s="50"/>
      <c r="NMH347" s="50"/>
      <c r="NMI347" s="50"/>
      <c r="NMJ347" s="50"/>
      <c r="NMK347" s="50"/>
      <c r="NML347" s="50"/>
      <c r="NMM347" s="50"/>
      <c r="NMN347" s="50"/>
      <c r="NMO347" s="50"/>
      <c r="NMP347" s="50"/>
      <c r="NMQ347" s="50"/>
      <c r="NMR347" s="50"/>
      <c r="NMS347" s="50"/>
      <c r="NMT347" s="50"/>
      <c r="NMU347" s="50"/>
      <c r="NMV347" s="50"/>
      <c r="NMW347" s="50"/>
      <c r="NMX347" s="50"/>
      <c r="NMY347" s="50"/>
      <c r="NMZ347" s="50"/>
      <c r="NNA347" s="50"/>
      <c r="NNB347" s="50"/>
      <c r="NNC347" s="50"/>
      <c r="NND347" s="50"/>
      <c r="NNE347" s="50"/>
      <c r="NNF347" s="50"/>
      <c r="NNG347" s="50"/>
      <c r="NNH347" s="50"/>
      <c r="NNI347" s="50"/>
      <c r="NNJ347" s="50"/>
      <c r="NNK347" s="50"/>
      <c r="NNL347" s="50"/>
      <c r="NNM347" s="50"/>
      <c r="NNN347" s="50"/>
      <c r="NNO347" s="50"/>
      <c r="NNP347" s="50"/>
      <c r="NNQ347" s="50"/>
      <c r="NNR347" s="50"/>
      <c r="NNS347" s="50"/>
      <c r="NNT347" s="50"/>
      <c r="NNU347" s="50"/>
      <c r="NNV347" s="50"/>
      <c r="NNW347" s="50"/>
      <c r="NNX347" s="50"/>
      <c r="NNY347" s="50"/>
      <c r="NNZ347" s="50"/>
      <c r="NOA347" s="50"/>
      <c r="NOB347" s="50"/>
      <c r="NOC347" s="50"/>
      <c r="NOD347" s="50"/>
      <c r="NOE347" s="50"/>
      <c r="NOF347" s="50"/>
      <c r="NOG347" s="50"/>
      <c r="NOH347" s="50"/>
      <c r="NOI347" s="50"/>
      <c r="NOJ347" s="50"/>
      <c r="NOK347" s="50"/>
      <c r="NOL347" s="50"/>
      <c r="NOM347" s="50"/>
      <c r="NON347" s="50"/>
      <c r="NOO347" s="50"/>
      <c r="NOP347" s="50"/>
      <c r="NOQ347" s="50"/>
      <c r="NOR347" s="50"/>
      <c r="NOS347" s="50"/>
      <c r="NOT347" s="50"/>
      <c r="NOU347" s="50"/>
      <c r="NOV347" s="50"/>
      <c r="NOW347" s="50"/>
      <c r="NOX347" s="50"/>
      <c r="NOY347" s="50"/>
      <c r="NOZ347" s="50"/>
      <c r="NPA347" s="50"/>
      <c r="NPB347" s="50"/>
      <c r="NPC347" s="50"/>
      <c r="NPD347" s="50"/>
      <c r="NPE347" s="50"/>
      <c r="NPF347" s="50"/>
      <c r="NPG347" s="50"/>
      <c r="NPH347" s="50"/>
      <c r="NPI347" s="50"/>
      <c r="NPJ347" s="50"/>
      <c r="NPK347" s="50"/>
      <c r="NPL347" s="50"/>
      <c r="NPM347" s="50"/>
      <c r="NPN347" s="50"/>
      <c r="NPO347" s="50"/>
      <c r="NPP347" s="50"/>
      <c r="NPQ347" s="50"/>
      <c r="NPR347" s="50"/>
      <c r="NPS347" s="50"/>
      <c r="NPT347" s="50"/>
      <c r="NPU347" s="50"/>
      <c r="NPV347" s="50"/>
      <c r="NPW347" s="50"/>
      <c r="NPX347" s="50"/>
      <c r="NPY347" s="50"/>
      <c r="NPZ347" s="50"/>
      <c r="NQA347" s="50"/>
      <c r="NQB347" s="50"/>
      <c r="NQC347" s="50"/>
      <c r="NQD347" s="50"/>
      <c r="NQE347" s="50"/>
      <c r="NQF347" s="50"/>
      <c r="NQG347" s="50"/>
      <c r="NQH347" s="50"/>
      <c r="NQI347" s="50"/>
      <c r="NQJ347" s="50"/>
      <c r="NQK347" s="50"/>
      <c r="NQL347" s="50"/>
      <c r="NQM347" s="50"/>
      <c r="NQN347" s="50"/>
      <c r="NQO347" s="50"/>
      <c r="NQP347" s="50"/>
      <c r="NQQ347" s="50"/>
      <c r="NQR347" s="50"/>
      <c r="NQS347" s="50"/>
      <c r="NQT347" s="50"/>
      <c r="NQU347" s="50"/>
      <c r="NQV347" s="50"/>
      <c r="NQW347" s="50"/>
      <c r="NQX347" s="50"/>
      <c r="NQY347" s="50"/>
      <c r="NQZ347" s="50"/>
      <c r="NRA347" s="50"/>
      <c r="NRB347" s="50"/>
      <c r="NRC347" s="50"/>
      <c r="NRD347" s="50"/>
      <c r="NRE347" s="50"/>
      <c r="NRF347" s="50"/>
      <c r="NRG347" s="50"/>
      <c r="NRH347" s="50"/>
      <c r="NRI347" s="50"/>
      <c r="NRJ347" s="50"/>
      <c r="NRK347" s="50"/>
      <c r="NRL347" s="50"/>
      <c r="NRM347" s="50"/>
      <c r="NRN347" s="50"/>
      <c r="NRO347" s="50"/>
      <c r="NRP347" s="50"/>
      <c r="NRQ347" s="50"/>
      <c r="NRR347" s="50"/>
      <c r="NRS347" s="50"/>
      <c r="NRT347" s="50"/>
      <c r="NRU347" s="50"/>
      <c r="NRV347" s="50"/>
      <c r="NRW347" s="50"/>
      <c r="NRX347" s="50"/>
      <c r="NRY347" s="50"/>
      <c r="NRZ347" s="50"/>
      <c r="NSA347" s="50"/>
      <c r="NSB347" s="50"/>
      <c r="NSC347" s="50"/>
      <c r="NSD347" s="50"/>
      <c r="NSE347" s="50"/>
      <c r="NSF347" s="50"/>
      <c r="NSG347" s="50"/>
      <c r="NSH347" s="50"/>
      <c r="NSI347" s="50"/>
      <c r="NSJ347" s="50"/>
      <c r="NSK347" s="50"/>
      <c r="NSL347" s="50"/>
      <c r="NSM347" s="50"/>
      <c r="NSN347" s="50"/>
      <c r="NSO347" s="50"/>
      <c r="NSP347" s="50"/>
      <c r="NSQ347" s="50"/>
      <c r="NSR347" s="50"/>
      <c r="NSS347" s="50"/>
      <c r="NST347" s="50"/>
      <c r="NSU347" s="50"/>
      <c r="NSV347" s="50"/>
      <c r="NSW347" s="50"/>
      <c r="NSX347" s="50"/>
      <c r="NSY347" s="50"/>
      <c r="NSZ347" s="50"/>
      <c r="NTA347" s="50"/>
      <c r="NTB347" s="50"/>
      <c r="NTC347" s="50"/>
      <c r="NTD347" s="50"/>
      <c r="NTE347" s="50"/>
      <c r="NTF347" s="50"/>
      <c r="NTG347" s="50"/>
      <c r="NTH347" s="50"/>
      <c r="NTI347" s="50"/>
      <c r="NTJ347" s="50"/>
      <c r="NTK347" s="50"/>
      <c r="NTL347" s="50"/>
      <c r="NTM347" s="50"/>
      <c r="NTN347" s="50"/>
      <c r="NTO347" s="50"/>
      <c r="NTP347" s="50"/>
      <c r="NTQ347" s="50"/>
      <c r="NTR347" s="50"/>
      <c r="NTS347" s="50"/>
      <c r="NTT347" s="50"/>
      <c r="NTU347" s="50"/>
      <c r="NTV347" s="50"/>
      <c r="NTW347" s="50"/>
      <c r="NTX347" s="50"/>
      <c r="NTY347" s="50"/>
      <c r="NTZ347" s="50"/>
      <c r="NUA347" s="50"/>
      <c r="NUB347" s="50"/>
      <c r="NUC347" s="50"/>
      <c r="NUD347" s="50"/>
      <c r="NUE347" s="50"/>
      <c r="NUF347" s="50"/>
      <c r="NUG347" s="50"/>
      <c r="NUH347" s="50"/>
      <c r="NUI347" s="50"/>
      <c r="NUJ347" s="50"/>
      <c r="NUK347" s="50"/>
      <c r="NUL347" s="50"/>
      <c r="NUM347" s="50"/>
      <c r="NUN347" s="50"/>
      <c r="NUO347" s="50"/>
      <c r="NUP347" s="50"/>
      <c r="NUQ347" s="50"/>
      <c r="NUR347" s="50"/>
      <c r="NUS347" s="50"/>
      <c r="NUT347" s="50"/>
      <c r="NUU347" s="50"/>
      <c r="NUV347" s="50"/>
      <c r="NUW347" s="50"/>
      <c r="NUX347" s="50"/>
      <c r="NUY347" s="50"/>
      <c r="NUZ347" s="50"/>
      <c r="NVA347" s="50"/>
      <c r="NVB347" s="50"/>
      <c r="NVC347" s="50"/>
      <c r="NVD347" s="50"/>
      <c r="NVE347" s="50"/>
      <c r="NVF347" s="50"/>
      <c r="NVG347" s="50"/>
      <c r="NVH347" s="50"/>
      <c r="NVI347" s="50"/>
      <c r="NVJ347" s="50"/>
      <c r="NVK347" s="50"/>
      <c r="NVL347" s="50"/>
      <c r="NVM347" s="50"/>
      <c r="NVN347" s="50"/>
      <c r="NVO347" s="50"/>
      <c r="NVP347" s="50"/>
      <c r="NVQ347" s="50"/>
      <c r="NVR347" s="50"/>
      <c r="NVS347" s="50"/>
      <c r="NVT347" s="50"/>
      <c r="NVU347" s="50"/>
      <c r="NVV347" s="50"/>
      <c r="NVW347" s="50"/>
      <c r="NVX347" s="50"/>
      <c r="NVY347" s="50"/>
      <c r="NVZ347" s="50"/>
      <c r="NWA347" s="50"/>
      <c r="NWB347" s="50"/>
      <c r="NWC347" s="50"/>
      <c r="NWD347" s="50"/>
      <c r="NWE347" s="50"/>
      <c r="NWF347" s="50"/>
      <c r="NWG347" s="50"/>
      <c r="NWH347" s="50"/>
      <c r="NWI347" s="50"/>
      <c r="NWJ347" s="50"/>
      <c r="NWK347" s="50"/>
      <c r="NWL347" s="50"/>
      <c r="NWM347" s="50"/>
      <c r="NWN347" s="50"/>
      <c r="NWO347" s="50"/>
      <c r="NWP347" s="50"/>
      <c r="NWQ347" s="50"/>
      <c r="NWR347" s="50"/>
      <c r="NWS347" s="50"/>
      <c r="NWT347" s="50"/>
      <c r="NWU347" s="50"/>
      <c r="NWV347" s="50"/>
      <c r="NWW347" s="50"/>
      <c r="NWX347" s="50"/>
      <c r="NWY347" s="50"/>
      <c r="NWZ347" s="50"/>
      <c r="NXA347" s="50"/>
      <c r="NXB347" s="50"/>
      <c r="NXC347" s="50"/>
      <c r="NXD347" s="50"/>
      <c r="NXE347" s="50"/>
      <c r="NXF347" s="50"/>
      <c r="NXG347" s="50"/>
      <c r="NXH347" s="50"/>
      <c r="NXI347" s="50"/>
      <c r="NXJ347" s="50"/>
      <c r="NXK347" s="50"/>
      <c r="NXL347" s="50"/>
      <c r="NXM347" s="50"/>
      <c r="NXN347" s="50"/>
      <c r="NXO347" s="50"/>
      <c r="NXP347" s="50"/>
      <c r="NXQ347" s="50"/>
      <c r="NXR347" s="50"/>
      <c r="NXS347" s="50"/>
      <c r="NXT347" s="50"/>
      <c r="NXU347" s="50"/>
      <c r="NXV347" s="50"/>
      <c r="NXW347" s="50"/>
      <c r="NXX347" s="50"/>
      <c r="NXY347" s="50"/>
      <c r="NXZ347" s="50"/>
      <c r="NYA347" s="50"/>
      <c r="NYB347" s="50"/>
      <c r="NYC347" s="50"/>
      <c r="NYD347" s="50"/>
      <c r="NYE347" s="50"/>
      <c r="NYF347" s="50"/>
      <c r="NYG347" s="50"/>
      <c r="NYH347" s="50"/>
      <c r="NYI347" s="50"/>
      <c r="NYJ347" s="50"/>
      <c r="NYK347" s="50"/>
      <c r="NYL347" s="50"/>
      <c r="NYM347" s="50"/>
      <c r="NYN347" s="50"/>
      <c r="NYO347" s="50"/>
      <c r="NYP347" s="50"/>
      <c r="NYQ347" s="50"/>
      <c r="NYR347" s="50"/>
      <c r="NYS347" s="50"/>
      <c r="NYT347" s="50"/>
      <c r="NYU347" s="50"/>
      <c r="NYV347" s="50"/>
      <c r="NYW347" s="50"/>
      <c r="NYX347" s="50"/>
      <c r="NYY347" s="50"/>
      <c r="NYZ347" s="50"/>
      <c r="NZA347" s="50"/>
      <c r="NZB347" s="50"/>
      <c r="NZC347" s="50"/>
      <c r="NZD347" s="50"/>
      <c r="NZE347" s="50"/>
      <c r="NZF347" s="50"/>
      <c r="NZG347" s="50"/>
      <c r="NZH347" s="50"/>
      <c r="NZI347" s="50"/>
      <c r="NZJ347" s="50"/>
      <c r="NZK347" s="50"/>
      <c r="NZL347" s="50"/>
      <c r="NZM347" s="50"/>
      <c r="NZN347" s="50"/>
      <c r="NZO347" s="50"/>
      <c r="NZP347" s="50"/>
      <c r="NZQ347" s="50"/>
      <c r="NZR347" s="50"/>
      <c r="NZS347" s="50"/>
      <c r="NZT347" s="50"/>
      <c r="NZU347" s="50"/>
      <c r="NZV347" s="50"/>
      <c r="NZW347" s="50"/>
      <c r="NZX347" s="50"/>
      <c r="NZY347" s="50"/>
      <c r="NZZ347" s="50"/>
      <c r="OAA347" s="50"/>
      <c r="OAB347" s="50"/>
      <c r="OAC347" s="50"/>
      <c r="OAD347" s="50"/>
      <c r="OAE347" s="50"/>
      <c r="OAF347" s="50"/>
      <c r="OAG347" s="50"/>
      <c r="OAH347" s="50"/>
      <c r="OAI347" s="50"/>
      <c r="OAJ347" s="50"/>
      <c r="OAK347" s="50"/>
      <c r="OAL347" s="50"/>
      <c r="OAM347" s="50"/>
      <c r="OAN347" s="50"/>
      <c r="OAO347" s="50"/>
      <c r="OAP347" s="50"/>
      <c r="OAQ347" s="50"/>
      <c r="OAR347" s="50"/>
      <c r="OAS347" s="50"/>
      <c r="OAT347" s="50"/>
      <c r="OAU347" s="50"/>
      <c r="OAV347" s="50"/>
      <c r="OAW347" s="50"/>
      <c r="OAX347" s="50"/>
      <c r="OAY347" s="50"/>
      <c r="OAZ347" s="50"/>
      <c r="OBA347" s="50"/>
      <c r="OBB347" s="50"/>
      <c r="OBC347" s="50"/>
      <c r="OBD347" s="50"/>
      <c r="OBE347" s="50"/>
      <c r="OBF347" s="50"/>
      <c r="OBG347" s="50"/>
      <c r="OBH347" s="50"/>
      <c r="OBI347" s="50"/>
      <c r="OBJ347" s="50"/>
      <c r="OBK347" s="50"/>
      <c r="OBL347" s="50"/>
      <c r="OBM347" s="50"/>
      <c r="OBN347" s="50"/>
      <c r="OBO347" s="50"/>
      <c r="OBP347" s="50"/>
      <c r="OBQ347" s="50"/>
      <c r="OBR347" s="50"/>
      <c r="OBS347" s="50"/>
      <c r="OBT347" s="50"/>
      <c r="OBU347" s="50"/>
      <c r="OBV347" s="50"/>
      <c r="OBW347" s="50"/>
      <c r="OBX347" s="50"/>
      <c r="OBY347" s="50"/>
      <c r="OBZ347" s="50"/>
      <c r="OCA347" s="50"/>
      <c r="OCB347" s="50"/>
      <c r="OCC347" s="50"/>
      <c r="OCD347" s="50"/>
      <c r="OCE347" s="50"/>
      <c r="OCF347" s="50"/>
      <c r="OCG347" s="50"/>
      <c r="OCH347" s="50"/>
      <c r="OCI347" s="50"/>
      <c r="OCJ347" s="50"/>
      <c r="OCK347" s="50"/>
      <c r="OCL347" s="50"/>
      <c r="OCM347" s="50"/>
      <c r="OCN347" s="50"/>
      <c r="OCO347" s="50"/>
      <c r="OCP347" s="50"/>
      <c r="OCQ347" s="50"/>
      <c r="OCR347" s="50"/>
      <c r="OCS347" s="50"/>
      <c r="OCT347" s="50"/>
      <c r="OCU347" s="50"/>
      <c r="OCV347" s="50"/>
      <c r="OCW347" s="50"/>
      <c r="OCX347" s="50"/>
      <c r="OCY347" s="50"/>
      <c r="OCZ347" s="50"/>
      <c r="ODA347" s="50"/>
      <c r="ODB347" s="50"/>
      <c r="ODC347" s="50"/>
      <c r="ODD347" s="50"/>
      <c r="ODE347" s="50"/>
      <c r="ODF347" s="50"/>
      <c r="ODG347" s="50"/>
      <c r="ODH347" s="50"/>
      <c r="ODI347" s="50"/>
      <c r="ODJ347" s="50"/>
      <c r="ODK347" s="50"/>
      <c r="ODL347" s="50"/>
      <c r="ODM347" s="50"/>
      <c r="ODN347" s="50"/>
      <c r="ODO347" s="50"/>
      <c r="ODP347" s="50"/>
      <c r="ODQ347" s="50"/>
      <c r="ODR347" s="50"/>
      <c r="ODS347" s="50"/>
      <c r="ODT347" s="50"/>
      <c r="ODU347" s="50"/>
      <c r="ODV347" s="50"/>
      <c r="ODW347" s="50"/>
      <c r="ODX347" s="50"/>
      <c r="ODY347" s="50"/>
      <c r="ODZ347" s="50"/>
      <c r="OEA347" s="50"/>
      <c r="OEB347" s="50"/>
      <c r="OEC347" s="50"/>
      <c r="OED347" s="50"/>
      <c r="OEE347" s="50"/>
      <c r="OEF347" s="50"/>
      <c r="OEG347" s="50"/>
      <c r="OEH347" s="50"/>
      <c r="OEI347" s="50"/>
      <c r="OEJ347" s="50"/>
      <c r="OEK347" s="50"/>
      <c r="OEL347" s="50"/>
      <c r="OEM347" s="50"/>
      <c r="OEN347" s="50"/>
      <c r="OEO347" s="50"/>
      <c r="OEP347" s="50"/>
      <c r="OEQ347" s="50"/>
      <c r="OER347" s="50"/>
      <c r="OES347" s="50"/>
      <c r="OET347" s="50"/>
      <c r="OEU347" s="50"/>
      <c r="OEV347" s="50"/>
      <c r="OEW347" s="50"/>
      <c r="OEX347" s="50"/>
      <c r="OEY347" s="50"/>
      <c r="OEZ347" s="50"/>
      <c r="OFA347" s="50"/>
      <c r="OFB347" s="50"/>
      <c r="OFC347" s="50"/>
      <c r="OFD347" s="50"/>
      <c r="OFE347" s="50"/>
      <c r="OFF347" s="50"/>
      <c r="OFG347" s="50"/>
      <c r="OFH347" s="50"/>
      <c r="OFI347" s="50"/>
      <c r="OFJ347" s="50"/>
      <c r="OFK347" s="50"/>
      <c r="OFL347" s="50"/>
      <c r="OFM347" s="50"/>
      <c r="OFN347" s="50"/>
      <c r="OFO347" s="50"/>
      <c r="OFP347" s="50"/>
      <c r="OFQ347" s="50"/>
      <c r="OFR347" s="50"/>
      <c r="OFS347" s="50"/>
      <c r="OFT347" s="50"/>
      <c r="OFU347" s="50"/>
      <c r="OFV347" s="50"/>
      <c r="OFW347" s="50"/>
      <c r="OFX347" s="50"/>
      <c r="OFY347" s="50"/>
      <c r="OFZ347" s="50"/>
      <c r="OGA347" s="50"/>
      <c r="OGB347" s="50"/>
      <c r="OGC347" s="50"/>
      <c r="OGD347" s="50"/>
      <c r="OGE347" s="50"/>
      <c r="OGF347" s="50"/>
      <c r="OGG347" s="50"/>
      <c r="OGH347" s="50"/>
      <c r="OGI347" s="50"/>
      <c r="OGJ347" s="50"/>
      <c r="OGK347" s="50"/>
      <c r="OGL347" s="50"/>
      <c r="OGM347" s="50"/>
      <c r="OGN347" s="50"/>
      <c r="OGO347" s="50"/>
      <c r="OGP347" s="50"/>
      <c r="OGQ347" s="50"/>
      <c r="OGR347" s="50"/>
      <c r="OGS347" s="50"/>
      <c r="OGT347" s="50"/>
      <c r="OGU347" s="50"/>
      <c r="OGV347" s="50"/>
      <c r="OGW347" s="50"/>
      <c r="OGX347" s="50"/>
      <c r="OGY347" s="50"/>
      <c r="OGZ347" s="50"/>
      <c r="OHA347" s="50"/>
      <c r="OHB347" s="50"/>
      <c r="OHC347" s="50"/>
      <c r="OHD347" s="50"/>
      <c r="OHE347" s="50"/>
      <c r="OHF347" s="50"/>
      <c r="OHG347" s="50"/>
      <c r="OHH347" s="50"/>
      <c r="OHI347" s="50"/>
      <c r="OHJ347" s="50"/>
      <c r="OHK347" s="50"/>
      <c r="OHL347" s="50"/>
      <c r="OHM347" s="50"/>
      <c r="OHN347" s="50"/>
      <c r="OHO347" s="50"/>
      <c r="OHP347" s="50"/>
      <c r="OHQ347" s="50"/>
      <c r="OHR347" s="50"/>
      <c r="OHS347" s="50"/>
      <c r="OHT347" s="50"/>
      <c r="OHU347" s="50"/>
      <c r="OHV347" s="50"/>
      <c r="OHW347" s="50"/>
      <c r="OHX347" s="50"/>
      <c r="OHY347" s="50"/>
      <c r="OHZ347" s="50"/>
      <c r="OIA347" s="50"/>
      <c r="OIB347" s="50"/>
      <c r="OIC347" s="50"/>
      <c r="OID347" s="50"/>
      <c r="OIE347" s="50"/>
      <c r="OIF347" s="50"/>
      <c r="OIG347" s="50"/>
      <c r="OIH347" s="50"/>
      <c r="OII347" s="50"/>
      <c r="OIJ347" s="50"/>
      <c r="OIK347" s="50"/>
      <c r="OIL347" s="50"/>
      <c r="OIM347" s="50"/>
      <c r="OIN347" s="50"/>
      <c r="OIO347" s="50"/>
      <c r="OIP347" s="50"/>
      <c r="OIQ347" s="50"/>
      <c r="OIR347" s="50"/>
      <c r="OIS347" s="50"/>
      <c r="OIT347" s="50"/>
      <c r="OIU347" s="50"/>
      <c r="OIV347" s="50"/>
      <c r="OIW347" s="50"/>
      <c r="OIX347" s="50"/>
      <c r="OIY347" s="50"/>
      <c r="OIZ347" s="50"/>
      <c r="OJA347" s="50"/>
      <c r="OJB347" s="50"/>
      <c r="OJC347" s="50"/>
      <c r="OJD347" s="50"/>
      <c r="OJE347" s="50"/>
      <c r="OJF347" s="50"/>
      <c r="OJG347" s="50"/>
      <c r="OJH347" s="50"/>
      <c r="OJI347" s="50"/>
      <c r="OJJ347" s="50"/>
      <c r="OJK347" s="50"/>
      <c r="OJL347" s="50"/>
      <c r="OJM347" s="50"/>
      <c r="OJN347" s="50"/>
      <c r="OJO347" s="50"/>
      <c r="OJP347" s="50"/>
      <c r="OJQ347" s="50"/>
      <c r="OJR347" s="50"/>
      <c r="OJS347" s="50"/>
      <c r="OJT347" s="50"/>
      <c r="OJU347" s="50"/>
      <c r="OJV347" s="50"/>
      <c r="OJW347" s="50"/>
      <c r="OJX347" s="50"/>
      <c r="OJY347" s="50"/>
      <c r="OJZ347" s="50"/>
      <c r="OKA347" s="50"/>
      <c r="OKB347" s="50"/>
      <c r="OKC347" s="50"/>
      <c r="OKD347" s="50"/>
      <c r="OKE347" s="50"/>
      <c r="OKF347" s="50"/>
      <c r="OKG347" s="50"/>
      <c r="OKH347" s="50"/>
      <c r="OKI347" s="50"/>
      <c r="OKJ347" s="50"/>
      <c r="OKK347" s="50"/>
      <c r="OKL347" s="50"/>
      <c r="OKM347" s="50"/>
      <c r="OKN347" s="50"/>
      <c r="OKO347" s="50"/>
      <c r="OKP347" s="50"/>
      <c r="OKQ347" s="50"/>
      <c r="OKR347" s="50"/>
      <c r="OKS347" s="50"/>
      <c r="OKT347" s="50"/>
      <c r="OKU347" s="50"/>
      <c r="OKV347" s="50"/>
      <c r="OKW347" s="50"/>
      <c r="OKX347" s="50"/>
      <c r="OKY347" s="50"/>
      <c r="OKZ347" s="50"/>
      <c r="OLA347" s="50"/>
      <c r="OLB347" s="50"/>
      <c r="OLC347" s="50"/>
      <c r="OLD347" s="50"/>
      <c r="OLE347" s="50"/>
      <c r="OLF347" s="50"/>
      <c r="OLG347" s="50"/>
      <c r="OLH347" s="50"/>
      <c r="OLI347" s="50"/>
      <c r="OLJ347" s="50"/>
      <c r="OLK347" s="50"/>
      <c r="OLL347" s="50"/>
      <c r="OLM347" s="50"/>
      <c r="OLN347" s="50"/>
      <c r="OLO347" s="50"/>
      <c r="OLP347" s="50"/>
      <c r="OLQ347" s="50"/>
      <c r="OLR347" s="50"/>
      <c r="OLS347" s="50"/>
      <c r="OLT347" s="50"/>
      <c r="OLU347" s="50"/>
      <c r="OLV347" s="50"/>
      <c r="OLW347" s="50"/>
      <c r="OLX347" s="50"/>
      <c r="OLY347" s="50"/>
      <c r="OLZ347" s="50"/>
      <c r="OMA347" s="50"/>
      <c r="OMB347" s="50"/>
      <c r="OMC347" s="50"/>
      <c r="OMD347" s="50"/>
      <c r="OME347" s="50"/>
      <c r="OMF347" s="50"/>
      <c r="OMG347" s="50"/>
      <c r="OMH347" s="50"/>
      <c r="OMI347" s="50"/>
      <c r="OMJ347" s="50"/>
      <c r="OMK347" s="50"/>
      <c r="OML347" s="50"/>
      <c r="OMM347" s="50"/>
      <c r="OMN347" s="50"/>
      <c r="OMO347" s="50"/>
      <c r="OMP347" s="50"/>
      <c r="OMQ347" s="50"/>
      <c r="OMR347" s="50"/>
      <c r="OMS347" s="50"/>
      <c r="OMT347" s="50"/>
      <c r="OMU347" s="50"/>
      <c r="OMV347" s="50"/>
      <c r="OMW347" s="50"/>
      <c r="OMX347" s="50"/>
      <c r="OMY347" s="50"/>
      <c r="OMZ347" s="50"/>
      <c r="ONA347" s="50"/>
      <c r="ONB347" s="50"/>
      <c r="ONC347" s="50"/>
      <c r="OND347" s="50"/>
      <c r="ONE347" s="50"/>
      <c r="ONF347" s="50"/>
      <c r="ONG347" s="50"/>
      <c r="ONH347" s="50"/>
      <c r="ONI347" s="50"/>
      <c r="ONJ347" s="50"/>
      <c r="ONK347" s="50"/>
      <c r="ONL347" s="50"/>
      <c r="ONM347" s="50"/>
      <c r="ONN347" s="50"/>
      <c r="ONO347" s="50"/>
      <c r="ONP347" s="50"/>
      <c r="ONQ347" s="50"/>
      <c r="ONR347" s="50"/>
      <c r="ONS347" s="50"/>
      <c r="ONT347" s="50"/>
      <c r="ONU347" s="50"/>
      <c r="ONV347" s="50"/>
      <c r="ONW347" s="50"/>
      <c r="ONX347" s="50"/>
      <c r="ONY347" s="50"/>
      <c r="ONZ347" s="50"/>
      <c r="OOA347" s="50"/>
      <c r="OOB347" s="50"/>
      <c r="OOC347" s="50"/>
      <c r="OOD347" s="50"/>
      <c r="OOE347" s="50"/>
      <c r="OOF347" s="50"/>
      <c r="OOG347" s="50"/>
      <c r="OOH347" s="50"/>
      <c r="OOI347" s="50"/>
      <c r="OOJ347" s="50"/>
      <c r="OOK347" s="50"/>
      <c r="OOL347" s="50"/>
      <c r="OOM347" s="50"/>
      <c r="OON347" s="50"/>
      <c r="OOO347" s="50"/>
      <c r="OOP347" s="50"/>
      <c r="OOQ347" s="50"/>
      <c r="OOR347" s="50"/>
      <c r="OOS347" s="50"/>
      <c r="OOT347" s="50"/>
      <c r="OOU347" s="50"/>
      <c r="OOV347" s="50"/>
      <c r="OOW347" s="50"/>
      <c r="OOX347" s="50"/>
      <c r="OOY347" s="50"/>
      <c r="OOZ347" s="50"/>
      <c r="OPA347" s="50"/>
      <c r="OPB347" s="50"/>
      <c r="OPC347" s="50"/>
      <c r="OPD347" s="50"/>
      <c r="OPE347" s="50"/>
      <c r="OPF347" s="50"/>
      <c r="OPG347" s="50"/>
      <c r="OPH347" s="50"/>
      <c r="OPI347" s="50"/>
      <c r="OPJ347" s="50"/>
      <c r="OPK347" s="50"/>
      <c r="OPL347" s="50"/>
      <c r="OPM347" s="50"/>
      <c r="OPN347" s="50"/>
      <c r="OPO347" s="50"/>
      <c r="OPP347" s="50"/>
      <c r="OPQ347" s="50"/>
      <c r="OPR347" s="50"/>
      <c r="OPS347" s="50"/>
      <c r="OPT347" s="50"/>
      <c r="OPU347" s="50"/>
      <c r="OPV347" s="50"/>
      <c r="OPW347" s="50"/>
      <c r="OPX347" s="50"/>
      <c r="OPY347" s="50"/>
      <c r="OPZ347" s="50"/>
      <c r="OQA347" s="50"/>
      <c r="OQB347" s="50"/>
      <c r="OQC347" s="50"/>
      <c r="OQD347" s="50"/>
      <c r="OQE347" s="50"/>
      <c r="OQF347" s="50"/>
      <c r="OQG347" s="50"/>
      <c r="OQH347" s="50"/>
      <c r="OQI347" s="50"/>
      <c r="OQJ347" s="50"/>
      <c r="OQK347" s="50"/>
      <c r="OQL347" s="50"/>
      <c r="OQM347" s="50"/>
      <c r="OQN347" s="50"/>
      <c r="OQO347" s="50"/>
      <c r="OQP347" s="50"/>
      <c r="OQQ347" s="50"/>
      <c r="OQR347" s="50"/>
      <c r="OQS347" s="50"/>
      <c r="OQT347" s="50"/>
      <c r="OQU347" s="50"/>
      <c r="OQV347" s="50"/>
      <c r="OQW347" s="50"/>
      <c r="OQX347" s="50"/>
      <c r="OQY347" s="50"/>
      <c r="OQZ347" s="50"/>
      <c r="ORA347" s="50"/>
      <c r="ORB347" s="50"/>
      <c r="ORC347" s="50"/>
      <c r="ORD347" s="50"/>
      <c r="ORE347" s="50"/>
      <c r="ORF347" s="50"/>
      <c r="ORG347" s="50"/>
      <c r="ORH347" s="50"/>
      <c r="ORI347" s="50"/>
      <c r="ORJ347" s="50"/>
      <c r="ORK347" s="50"/>
      <c r="ORL347" s="50"/>
      <c r="ORM347" s="50"/>
      <c r="ORN347" s="50"/>
      <c r="ORO347" s="50"/>
      <c r="ORP347" s="50"/>
      <c r="ORQ347" s="50"/>
      <c r="ORR347" s="50"/>
      <c r="ORS347" s="50"/>
      <c r="ORT347" s="50"/>
      <c r="ORU347" s="50"/>
      <c r="ORV347" s="50"/>
      <c r="ORW347" s="50"/>
      <c r="ORX347" s="50"/>
      <c r="ORY347" s="50"/>
      <c r="ORZ347" s="50"/>
      <c r="OSA347" s="50"/>
      <c r="OSB347" s="50"/>
      <c r="OSC347" s="50"/>
      <c r="OSD347" s="50"/>
      <c r="OSE347" s="50"/>
      <c r="OSF347" s="50"/>
      <c r="OSG347" s="50"/>
      <c r="OSH347" s="50"/>
      <c r="OSI347" s="50"/>
      <c r="OSJ347" s="50"/>
      <c r="OSK347" s="50"/>
      <c r="OSL347" s="50"/>
      <c r="OSM347" s="50"/>
      <c r="OSN347" s="50"/>
      <c r="OSO347" s="50"/>
      <c r="OSP347" s="50"/>
      <c r="OSQ347" s="50"/>
      <c r="OSR347" s="50"/>
      <c r="OSS347" s="50"/>
      <c r="OST347" s="50"/>
      <c r="OSU347" s="50"/>
      <c r="OSV347" s="50"/>
      <c r="OSW347" s="50"/>
      <c r="OSX347" s="50"/>
      <c r="OSY347" s="50"/>
      <c r="OSZ347" s="50"/>
      <c r="OTA347" s="50"/>
      <c r="OTB347" s="50"/>
      <c r="OTC347" s="50"/>
      <c r="OTD347" s="50"/>
      <c r="OTE347" s="50"/>
      <c r="OTF347" s="50"/>
      <c r="OTG347" s="50"/>
      <c r="OTH347" s="50"/>
      <c r="OTI347" s="50"/>
      <c r="OTJ347" s="50"/>
      <c r="OTK347" s="50"/>
      <c r="OTL347" s="50"/>
      <c r="OTM347" s="50"/>
      <c r="OTN347" s="50"/>
      <c r="OTO347" s="50"/>
      <c r="OTP347" s="50"/>
      <c r="OTQ347" s="50"/>
      <c r="OTR347" s="50"/>
      <c r="OTS347" s="50"/>
      <c r="OTT347" s="50"/>
      <c r="OTU347" s="50"/>
      <c r="OTV347" s="50"/>
      <c r="OTW347" s="50"/>
      <c r="OTX347" s="50"/>
      <c r="OTY347" s="50"/>
      <c r="OTZ347" s="50"/>
      <c r="OUA347" s="50"/>
      <c r="OUB347" s="50"/>
      <c r="OUC347" s="50"/>
      <c r="OUD347" s="50"/>
      <c r="OUE347" s="50"/>
      <c r="OUF347" s="50"/>
      <c r="OUG347" s="50"/>
      <c r="OUH347" s="50"/>
      <c r="OUI347" s="50"/>
      <c r="OUJ347" s="50"/>
      <c r="OUK347" s="50"/>
      <c r="OUL347" s="50"/>
      <c r="OUM347" s="50"/>
      <c r="OUN347" s="50"/>
      <c r="OUO347" s="50"/>
      <c r="OUP347" s="50"/>
      <c r="OUQ347" s="50"/>
      <c r="OUR347" s="50"/>
      <c r="OUS347" s="50"/>
      <c r="OUT347" s="50"/>
      <c r="OUU347" s="50"/>
      <c r="OUV347" s="50"/>
      <c r="OUW347" s="50"/>
      <c r="OUX347" s="50"/>
      <c r="OUY347" s="50"/>
      <c r="OUZ347" s="50"/>
      <c r="OVA347" s="50"/>
      <c r="OVB347" s="50"/>
      <c r="OVC347" s="50"/>
      <c r="OVD347" s="50"/>
      <c r="OVE347" s="50"/>
      <c r="OVF347" s="50"/>
      <c r="OVG347" s="50"/>
      <c r="OVH347" s="50"/>
      <c r="OVI347" s="50"/>
      <c r="OVJ347" s="50"/>
      <c r="OVK347" s="50"/>
      <c r="OVL347" s="50"/>
      <c r="OVM347" s="50"/>
      <c r="OVN347" s="50"/>
      <c r="OVO347" s="50"/>
      <c r="OVP347" s="50"/>
      <c r="OVQ347" s="50"/>
      <c r="OVR347" s="50"/>
      <c r="OVS347" s="50"/>
      <c r="OVT347" s="50"/>
      <c r="OVU347" s="50"/>
      <c r="OVV347" s="50"/>
      <c r="OVW347" s="50"/>
      <c r="OVX347" s="50"/>
      <c r="OVY347" s="50"/>
      <c r="OVZ347" s="50"/>
      <c r="OWA347" s="50"/>
      <c r="OWB347" s="50"/>
      <c r="OWC347" s="50"/>
      <c r="OWD347" s="50"/>
      <c r="OWE347" s="50"/>
      <c r="OWF347" s="50"/>
      <c r="OWG347" s="50"/>
      <c r="OWH347" s="50"/>
      <c r="OWI347" s="50"/>
      <c r="OWJ347" s="50"/>
      <c r="OWK347" s="50"/>
      <c r="OWL347" s="50"/>
      <c r="OWM347" s="50"/>
      <c r="OWN347" s="50"/>
      <c r="OWO347" s="50"/>
      <c r="OWP347" s="50"/>
      <c r="OWQ347" s="50"/>
      <c r="OWR347" s="50"/>
      <c r="OWS347" s="50"/>
      <c r="OWT347" s="50"/>
      <c r="OWU347" s="50"/>
      <c r="OWV347" s="50"/>
      <c r="OWW347" s="50"/>
      <c r="OWX347" s="50"/>
      <c r="OWY347" s="50"/>
      <c r="OWZ347" s="50"/>
      <c r="OXA347" s="50"/>
      <c r="OXB347" s="50"/>
      <c r="OXC347" s="50"/>
      <c r="OXD347" s="50"/>
      <c r="OXE347" s="50"/>
      <c r="OXF347" s="50"/>
      <c r="OXG347" s="50"/>
      <c r="OXH347" s="50"/>
      <c r="OXI347" s="50"/>
      <c r="OXJ347" s="50"/>
      <c r="OXK347" s="50"/>
      <c r="OXL347" s="50"/>
      <c r="OXM347" s="50"/>
      <c r="OXN347" s="50"/>
      <c r="OXO347" s="50"/>
      <c r="OXP347" s="50"/>
      <c r="OXQ347" s="50"/>
      <c r="OXR347" s="50"/>
      <c r="OXS347" s="50"/>
      <c r="OXT347" s="50"/>
      <c r="OXU347" s="50"/>
      <c r="OXV347" s="50"/>
      <c r="OXW347" s="50"/>
      <c r="OXX347" s="50"/>
      <c r="OXY347" s="50"/>
      <c r="OXZ347" s="50"/>
      <c r="OYA347" s="50"/>
      <c r="OYB347" s="50"/>
      <c r="OYC347" s="50"/>
      <c r="OYD347" s="50"/>
      <c r="OYE347" s="50"/>
      <c r="OYF347" s="50"/>
      <c r="OYG347" s="50"/>
      <c r="OYH347" s="50"/>
      <c r="OYI347" s="50"/>
      <c r="OYJ347" s="50"/>
      <c r="OYK347" s="50"/>
      <c r="OYL347" s="50"/>
      <c r="OYM347" s="50"/>
      <c r="OYN347" s="50"/>
      <c r="OYO347" s="50"/>
      <c r="OYP347" s="50"/>
      <c r="OYQ347" s="50"/>
      <c r="OYR347" s="50"/>
      <c r="OYS347" s="50"/>
      <c r="OYT347" s="50"/>
      <c r="OYU347" s="50"/>
      <c r="OYV347" s="50"/>
      <c r="OYW347" s="50"/>
      <c r="OYX347" s="50"/>
      <c r="OYY347" s="50"/>
      <c r="OYZ347" s="50"/>
      <c r="OZA347" s="50"/>
      <c r="OZB347" s="50"/>
      <c r="OZC347" s="50"/>
      <c r="OZD347" s="50"/>
      <c r="OZE347" s="50"/>
      <c r="OZF347" s="50"/>
      <c r="OZG347" s="50"/>
      <c r="OZH347" s="50"/>
      <c r="OZI347" s="50"/>
      <c r="OZJ347" s="50"/>
      <c r="OZK347" s="50"/>
      <c r="OZL347" s="50"/>
      <c r="OZM347" s="50"/>
      <c r="OZN347" s="50"/>
      <c r="OZO347" s="50"/>
      <c r="OZP347" s="50"/>
      <c r="OZQ347" s="50"/>
      <c r="OZR347" s="50"/>
      <c r="OZS347" s="50"/>
      <c r="OZT347" s="50"/>
      <c r="OZU347" s="50"/>
      <c r="OZV347" s="50"/>
      <c r="OZW347" s="50"/>
      <c r="OZX347" s="50"/>
      <c r="OZY347" s="50"/>
      <c r="OZZ347" s="50"/>
      <c r="PAA347" s="50"/>
      <c r="PAB347" s="50"/>
      <c r="PAC347" s="50"/>
      <c r="PAD347" s="50"/>
      <c r="PAE347" s="50"/>
      <c r="PAF347" s="50"/>
      <c r="PAG347" s="50"/>
      <c r="PAH347" s="50"/>
      <c r="PAI347" s="50"/>
      <c r="PAJ347" s="50"/>
      <c r="PAK347" s="50"/>
      <c r="PAL347" s="50"/>
      <c r="PAM347" s="50"/>
      <c r="PAN347" s="50"/>
      <c r="PAO347" s="50"/>
      <c r="PAP347" s="50"/>
      <c r="PAQ347" s="50"/>
      <c r="PAR347" s="50"/>
      <c r="PAS347" s="50"/>
      <c r="PAT347" s="50"/>
      <c r="PAU347" s="50"/>
      <c r="PAV347" s="50"/>
      <c r="PAW347" s="50"/>
      <c r="PAX347" s="50"/>
      <c r="PAY347" s="50"/>
      <c r="PAZ347" s="50"/>
      <c r="PBA347" s="50"/>
      <c r="PBB347" s="50"/>
      <c r="PBC347" s="50"/>
      <c r="PBD347" s="50"/>
      <c r="PBE347" s="50"/>
      <c r="PBF347" s="50"/>
      <c r="PBG347" s="50"/>
      <c r="PBH347" s="50"/>
      <c r="PBI347" s="50"/>
      <c r="PBJ347" s="50"/>
      <c r="PBK347" s="50"/>
      <c r="PBL347" s="50"/>
      <c r="PBM347" s="50"/>
      <c r="PBN347" s="50"/>
      <c r="PBO347" s="50"/>
      <c r="PBP347" s="50"/>
      <c r="PBQ347" s="50"/>
      <c r="PBR347" s="50"/>
      <c r="PBS347" s="50"/>
      <c r="PBT347" s="50"/>
      <c r="PBU347" s="50"/>
      <c r="PBV347" s="50"/>
      <c r="PBW347" s="50"/>
      <c r="PBX347" s="50"/>
      <c r="PBY347" s="50"/>
      <c r="PBZ347" s="50"/>
      <c r="PCA347" s="50"/>
      <c r="PCB347" s="50"/>
      <c r="PCC347" s="50"/>
      <c r="PCD347" s="50"/>
      <c r="PCE347" s="50"/>
      <c r="PCF347" s="50"/>
      <c r="PCG347" s="50"/>
      <c r="PCH347" s="50"/>
      <c r="PCI347" s="50"/>
      <c r="PCJ347" s="50"/>
      <c r="PCK347" s="50"/>
      <c r="PCL347" s="50"/>
      <c r="PCM347" s="50"/>
      <c r="PCN347" s="50"/>
      <c r="PCO347" s="50"/>
      <c r="PCP347" s="50"/>
      <c r="PCQ347" s="50"/>
      <c r="PCR347" s="50"/>
      <c r="PCS347" s="50"/>
      <c r="PCT347" s="50"/>
      <c r="PCU347" s="50"/>
      <c r="PCV347" s="50"/>
      <c r="PCW347" s="50"/>
      <c r="PCX347" s="50"/>
      <c r="PCY347" s="50"/>
      <c r="PCZ347" s="50"/>
      <c r="PDA347" s="50"/>
      <c r="PDB347" s="50"/>
      <c r="PDC347" s="50"/>
      <c r="PDD347" s="50"/>
      <c r="PDE347" s="50"/>
      <c r="PDF347" s="50"/>
      <c r="PDG347" s="50"/>
      <c r="PDH347" s="50"/>
      <c r="PDI347" s="50"/>
      <c r="PDJ347" s="50"/>
      <c r="PDK347" s="50"/>
      <c r="PDL347" s="50"/>
      <c r="PDM347" s="50"/>
      <c r="PDN347" s="50"/>
      <c r="PDO347" s="50"/>
      <c r="PDP347" s="50"/>
      <c r="PDQ347" s="50"/>
      <c r="PDR347" s="50"/>
      <c r="PDS347" s="50"/>
      <c r="PDT347" s="50"/>
      <c r="PDU347" s="50"/>
      <c r="PDV347" s="50"/>
      <c r="PDW347" s="50"/>
      <c r="PDX347" s="50"/>
      <c r="PDY347" s="50"/>
      <c r="PDZ347" s="50"/>
      <c r="PEA347" s="50"/>
      <c r="PEB347" s="50"/>
      <c r="PEC347" s="50"/>
      <c r="PED347" s="50"/>
      <c r="PEE347" s="50"/>
      <c r="PEF347" s="50"/>
      <c r="PEG347" s="50"/>
      <c r="PEH347" s="50"/>
      <c r="PEI347" s="50"/>
      <c r="PEJ347" s="50"/>
      <c r="PEK347" s="50"/>
      <c r="PEL347" s="50"/>
      <c r="PEM347" s="50"/>
      <c r="PEN347" s="50"/>
      <c r="PEO347" s="50"/>
      <c r="PEP347" s="50"/>
      <c r="PEQ347" s="50"/>
      <c r="PER347" s="50"/>
      <c r="PES347" s="50"/>
      <c r="PET347" s="50"/>
      <c r="PEU347" s="50"/>
      <c r="PEV347" s="50"/>
      <c r="PEW347" s="50"/>
      <c r="PEX347" s="50"/>
      <c r="PEY347" s="50"/>
      <c r="PEZ347" s="50"/>
      <c r="PFA347" s="50"/>
      <c r="PFB347" s="50"/>
      <c r="PFC347" s="50"/>
      <c r="PFD347" s="50"/>
      <c r="PFE347" s="50"/>
      <c r="PFF347" s="50"/>
      <c r="PFG347" s="50"/>
      <c r="PFH347" s="50"/>
      <c r="PFI347" s="50"/>
      <c r="PFJ347" s="50"/>
      <c r="PFK347" s="50"/>
      <c r="PFL347" s="50"/>
      <c r="PFM347" s="50"/>
      <c r="PFN347" s="50"/>
      <c r="PFO347" s="50"/>
      <c r="PFP347" s="50"/>
      <c r="PFQ347" s="50"/>
      <c r="PFR347" s="50"/>
      <c r="PFS347" s="50"/>
      <c r="PFT347" s="50"/>
      <c r="PFU347" s="50"/>
      <c r="PFV347" s="50"/>
      <c r="PFW347" s="50"/>
      <c r="PFX347" s="50"/>
      <c r="PFY347" s="50"/>
      <c r="PFZ347" s="50"/>
      <c r="PGA347" s="50"/>
      <c r="PGB347" s="50"/>
      <c r="PGC347" s="50"/>
      <c r="PGD347" s="50"/>
      <c r="PGE347" s="50"/>
      <c r="PGF347" s="50"/>
      <c r="PGG347" s="50"/>
      <c r="PGH347" s="50"/>
      <c r="PGI347" s="50"/>
      <c r="PGJ347" s="50"/>
      <c r="PGK347" s="50"/>
      <c r="PGL347" s="50"/>
      <c r="PGM347" s="50"/>
      <c r="PGN347" s="50"/>
      <c r="PGO347" s="50"/>
      <c r="PGP347" s="50"/>
      <c r="PGQ347" s="50"/>
      <c r="PGR347" s="50"/>
      <c r="PGS347" s="50"/>
      <c r="PGT347" s="50"/>
      <c r="PGU347" s="50"/>
      <c r="PGV347" s="50"/>
      <c r="PGW347" s="50"/>
      <c r="PGX347" s="50"/>
      <c r="PGY347" s="50"/>
      <c r="PGZ347" s="50"/>
      <c r="PHA347" s="50"/>
      <c r="PHB347" s="50"/>
      <c r="PHC347" s="50"/>
      <c r="PHD347" s="50"/>
      <c r="PHE347" s="50"/>
      <c r="PHF347" s="50"/>
      <c r="PHG347" s="50"/>
      <c r="PHH347" s="50"/>
      <c r="PHI347" s="50"/>
      <c r="PHJ347" s="50"/>
      <c r="PHK347" s="50"/>
      <c r="PHL347" s="50"/>
      <c r="PHM347" s="50"/>
      <c r="PHN347" s="50"/>
      <c r="PHO347" s="50"/>
      <c r="PHP347" s="50"/>
      <c r="PHQ347" s="50"/>
      <c r="PHR347" s="50"/>
      <c r="PHS347" s="50"/>
      <c r="PHT347" s="50"/>
      <c r="PHU347" s="50"/>
      <c r="PHV347" s="50"/>
      <c r="PHW347" s="50"/>
      <c r="PHX347" s="50"/>
      <c r="PHY347" s="50"/>
      <c r="PHZ347" s="50"/>
      <c r="PIA347" s="50"/>
      <c r="PIB347" s="50"/>
      <c r="PIC347" s="50"/>
      <c r="PID347" s="50"/>
      <c r="PIE347" s="50"/>
      <c r="PIF347" s="50"/>
      <c r="PIG347" s="50"/>
      <c r="PIH347" s="50"/>
      <c r="PII347" s="50"/>
      <c r="PIJ347" s="50"/>
      <c r="PIK347" s="50"/>
      <c r="PIL347" s="50"/>
      <c r="PIM347" s="50"/>
      <c r="PIN347" s="50"/>
      <c r="PIO347" s="50"/>
      <c r="PIP347" s="50"/>
      <c r="PIQ347" s="50"/>
      <c r="PIR347" s="50"/>
      <c r="PIS347" s="50"/>
      <c r="PIT347" s="50"/>
      <c r="PIU347" s="50"/>
      <c r="PIV347" s="50"/>
      <c r="PIW347" s="50"/>
      <c r="PIX347" s="50"/>
      <c r="PIY347" s="50"/>
      <c r="PIZ347" s="50"/>
      <c r="PJA347" s="50"/>
      <c r="PJB347" s="50"/>
      <c r="PJC347" s="50"/>
      <c r="PJD347" s="50"/>
      <c r="PJE347" s="50"/>
      <c r="PJF347" s="50"/>
      <c r="PJG347" s="50"/>
      <c r="PJH347" s="50"/>
      <c r="PJI347" s="50"/>
      <c r="PJJ347" s="50"/>
      <c r="PJK347" s="50"/>
      <c r="PJL347" s="50"/>
      <c r="PJM347" s="50"/>
      <c r="PJN347" s="50"/>
      <c r="PJO347" s="50"/>
      <c r="PJP347" s="50"/>
      <c r="PJQ347" s="50"/>
      <c r="PJR347" s="50"/>
      <c r="PJS347" s="50"/>
      <c r="PJT347" s="50"/>
      <c r="PJU347" s="50"/>
      <c r="PJV347" s="50"/>
      <c r="PJW347" s="50"/>
      <c r="PJX347" s="50"/>
      <c r="PJY347" s="50"/>
      <c r="PJZ347" s="50"/>
      <c r="PKA347" s="50"/>
      <c r="PKB347" s="50"/>
      <c r="PKC347" s="50"/>
      <c r="PKD347" s="50"/>
      <c r="PKE347" s="50"/>
      <c r="PKF347" s="50"/>
      <c r="PKG347" s="50"/>
      <c r="PKH347" s="50"/>
      <c r="PKI347" s="50"/>
      <c r="PKJ347" s="50"/>
      <c r="PKK347" s="50"/>
      <c r="PKL347" s="50"/>
      <c r="PKM347" s="50"/>
      <c r="PKN347" s="50"/>
      <c r="PKO347" s="50"/>
      <c r="PKP347" s="50"/>
      <c r="PKQ347" s="50"/>
      <c r="PKR347" s="50"/>
      <c r="PKS347" s="50"/>
      <c r="PKT347" s="50"/>
      <c r="PKU347" s="50"/>
      <c r="PKV347" s="50"/>
      <c r="PKW347" s="50"/>
      <c r="PKX347" s="50"/>
      <c r="PKY347" s="50"/>
      <c r="PKZ347" s="50"/>
      <c r="PLA347" s="50"/>
      <c r="PLB347" s="50"/>
      <c r="PLC347" s="50"/>
      <c r="PLD347" s="50"/>
      <c r="PLE347" s="50"/>
      <c r="PLF347" s="50"/>
      <c r="PLG347" s="50"/>
      <c r="PLH347" s="50"/>
      <c r="PLI347" s="50"/>
      <c r="PLJ347" s="50"/>
      <c r="PLK347" s="50"/>
      <c r="PLL347" s="50"/>
      <c r="PLM347" s="50"/>
      <c r="PLN347" s="50"/>
      <c r="PLO347" s="50"/>
      <c r="PLP347" s="50"/>
      <c r="PLQ347" s="50"/>
      <c r="PLR347" s="50"/>
      <c r="PLS347" s="50"/>
      <c r="PLT347" s="50"/>
      <c r="PLU347" s="50"/>
      <c r="PLV347" s="50"/>
      <c r="PLW347" s="50"/>
      <c r="PLX347" s="50"/>
      <c r="PLY347" s="50"/>
      <c r="PLZ347" s="50"/>
      <c r="PMA347" s="50"/>
      <c r="PMB347" s="50"/>
      <c r="PMC347" s="50"/>
      <c r="PMD347" s="50"/>
      <c r="PME347" s="50"/>
      <c r="PMF347" s="50"/>
      <c r="PMG347" s="50"/>
      <c r="PMH347" s="50"/>
      <c r="PMI347" s="50"/>
      <c r="PMJ347" s="50"/>
      <c r="PMK347" s="50"/>
      <c r="PML347" s="50"/>
      <c r="PMM347" s="50"/>
      <c r="PMN347" s="50"/>
      <c r="PMO347" s="50"/>
      <c r="PMP347" s="50"/>
      <c r="PMQ347" s="50"/>
      <c r="PMR347" s="50"/>
      <c r="PMS347" s="50"/>
      <c r="PMT347" s="50"/>
      <c r="PMU347" s="50"/>
      <c r="PMV347" s="50"/>
      <c r="PMW347" s="50"/>
      <c r="PMX347" s="50"/>
      <c r="PMY347" s="50"/>
      <c r="PMZ347" s="50"/>
      <c r="PNA347" s="50"/>
      <c r="PNB347" s="50"/>
      <c r="PNC347" s="50"/>
      <c r="PND347" s="50"/>
      <c r="PNE347" s="50"/>
      <c r="PNF347" s="50"/>
      <c r="PNG347" s="50"/>
      <c r="PNH347" s="50"/>
      <c r="PNI347" s="50"/>
      <c r="PNJ347" s="50"/>
      <c r="PNK347" s="50"/>
      <c r="PNL347" s="50"/>
      <c r="PNM347" s="50"/>
      <c r="PNN347" s="50"/>
      <c r="PNO347" s="50"/>
      <c r="PNP347" s="50"/>
      <c r="PNQ347" s="50"/>
      <c r="PNR347" s="50"/>
      <c r="PNS347" s="50"/>
      <c r="PNT347" s="50"/>
      <c r="PNU347" s="50"/>
      <c r="PNV347" s="50"/>
      <c r="PNW347" s="50"/>
      <c r="PNX347" s="50"/>
      <c r="PNY347" s="50"/>
      <c r="PNZ347" s="50"/>
      <c r="POA347" s="50"/>
      <c r="POB347" s="50"/>
      <c r="POC347" s="50"/>
      <c r="POD347" s="50"/>
      <c r="POE347" s="50"/>
      <c r="POF347" s="50"/>
      <c r="POG347" s="50"/>
      <c r="POH347" s="50"/>
      <c r="POI347" s="50"/>
      <c r="POJ347" s="50"/>
      <c r="POK347" s="50"/>
      <c r="POL347" s="50"/>
      <c r="POM347" s="50"/>
      <c r="PON347" s="50"/>
      <c r="POO347" s="50"/>
      <c r="POP347" s="50"/>
      <c r="POQ347" s="50"/>
      <c r="POR347" s="50"/>
      <c r="POS347" s="50"/>
      <c r="POT347" s="50"/>
      <c r="POU347" s="50"/>
      <c r="POV347" s="50"/>
      <c r="POW347" s="50"/>
      <c r="POX347" s="50"/>
      <c r="POY347" s="50"/>
      <c r="POZ347" s="50"/>
      <c r="PPA347" s="50"/>
      <c r="PPB347" s="50"/>
      <c r="PPC347" s="50"/>
      <c r="PPD347" s="50"/>
      <c r="PPE347" s="50"/>
      <c r="PPF347" s="50"/>
      <c r="PPG347" s="50"/>
      <c r="PPH347" s="50"/>
      <c r="PPI347" s="50"/>
      <c r="PPJ347" s="50"/>
      <c r="PPK347" s="50"/>
      <c r="PPL347" s="50"/>
      <c r="PPM347" s="50"/>
      <c r="PPN347" s="50"/>
      <c r="PPO347" s="50"/>
      <c r="PPP347" s="50"/>
      <c r="PPQ347" s="50"/>
      <c r="PPR347" s="50"/>
      <c r="PPS347" s="50"/>
      <c r="PPT347" s="50"/>
      <c r="PPU347" s="50"/>
      <c r="PPV347" s="50"/>
      <c r="PPW347" s="50"/>
      <c r="PPX347" s="50"/>
      <c r="PPY347" s="50"/>
      <c r="PPZ347" s="50"/>
      <c r="PQA347" s="50"/>
      <c r="PQB347" s="50"/>
      <c r="PQC347" s="50"/>
      <c r="PQD347" s="50"/>
      <c r="PQE347" s="50"/>
      <c r="PQF347" s="50"/>
      <c r="PQG347" s="50"/>
      <c r="PQH347" s="50"/>
      <c r="PQI347" s="50"/>
      <c r="PQJ347" s="50"/>
      <c r="PQK347" s="50"/>
      <c r="PQL347" s="50"/>
      <c r="PQM347" s="50"/>
      <c r="PQN347" s="50"/>
      <c r="PQO347" s="50"/>
      <c r="PQP347" s="50"/>
      <c r="PQQ347" s="50"/>
      <c r="PQR347" s="50"/>
      <c r="PQS347" s="50"/>
      <c r="PQT347" s="50"/>
      <c r="PQU347" s="50"/>
      <c r="PQV347" s="50"/>
      <c r="PQW347" s="50"/>
      <c r="PQX347" s="50"/>
      <c r="PQY347" s="50"/>
      <c r="PQZ347" s="50"/>
      <c r="PRA347" s="50"/>
      <c r="PRB347" s="50"/>
      <c r="PRC347" s="50"/>
      <c r="PRD347" s="50"/>
      <c r="PRE347" s="50"/>
      <c r="PRF347" s="50"/>
      <c r="PRG347" s="50"/>
      <c r="PRH347" s="50"/>
      <c r="PRI347" s="50"/>
      <c r="PRJ347" s="50"/>
      <c r="PRK347" s="50"/>
      <c r="PRL347" s="50"/>
      <c r="PRM347" s="50"/>
      <c r="PRN347" s="50"/>
      <c r="PRO347" s="50"/>
      <c r="PRP347" s="50"/>
      <c r="PRQ347" s="50"/>
      <c r="PRR347" s="50"/>
      <c r="PRS347" s="50"/>
      <c r="PRT347" s="50"/>
      <c r="PRU347" s="50"/>
      <c r="PRV347" s="50"/>
      <c r="PRW347" s="50"/>
      <c r="PRX347" s="50"/>
      <c r="PRY347" s="50"/>
      <c r="PRZ347" s="50"/>
      <c r="PSA347" s="50"/>
      <c r="PSB347" s="50"/>
      <c r="PSC347" s="50"/>
      <c r="PSD347" s="50"/>
      <c r="PSE347" s="50"/>
      <c r="PSF347" s="50"/>
      <c r="PSG347" s="50"/>
      <c r="PSH347" s="50"/>
      <c r="PSI347" s="50"/>
      <c r="PSJ347" s="50"/>
      <c r="PSK347" s="50"/>
      <c r="PSL347" s="50"/>
      <c r="PSM347" s="50"/>
      <c r="PSN347" s="50"/>
      <c r="PSO347" s="50"/>
      <c r="PSP347" s="50"/>
      <c r="PSQ347" s="50"/>
      <c r="PSR347" s="50"/>
      <c r="PSS347" s="50"/>
      <c r="PST347" s="50"/>
      <c r="PSU347" s="50"/>
      <c r="PSV347" s="50"/>
      <c r="PSW347" s="50"/>
      <c r="PSX347" s="50"/>
      <c r="PSY347" s="50"/>
      <c r="PSZ347" s="50"/>
      <c r="PTA347" s="50"/>
      <c r="PTB347" s="50"/>
      <c r="PTC347" s="50"/>
      <c r="PTD347" s="50"/>
      <c r="PTE347" s="50"/>
      <c r="PTF347" s="50"/>
      <c r="PTG347" s="50"/>
      <c r="PTH347" s="50"/>
      <c r="PTI347" s="50"/>
      <c r="PTJ347" s="50"/>
      <c r="PTK347" s="50"/>
      <c r="PTL347" s="50"/>
      <c r="PTM347" s="50"/>
      <c r="PTN347" s="50"/>
      <c r="PTO347" s="50"/>
      <c r="PTP347" s="50"/>
      <c r="PTQ347" s="50"/>
      <c r="PTR347" s="50"/>
      <c r="PTS347" s="50"/>
      <c r="PTT347" s="50"/>
      <c r="PTU347" s="50"/>
      <c r="PTV347" s="50"/>
      <c r="PTW347" s="50"/>
      <c r="PTX347" s="50"/>
      <c r="PTY347" s="50"/>
      <c r="PTZ347" s="50"/>
      <c r="PUA347" s="50"/>
      <c r="PUB347" s="50"/>
      <c r="PUC347" s="50"/>
      <c r="PUD347" s="50"/>
      <c r="PUE347" s="50"/>
      <c r="PUF347" s="50"/>
      <c r="PUG347" s="50"/>
      <c r="PUH347" s="50"/>
      <c r="PUI347" s="50"/>
      <c r="PUJ347" s="50"/>
      <c r="PUK347" s="50"/>
      <c r="PUL347" s="50"/>
      <c r="PUM347" s="50"/>
      <c r="PUN347" s="50"/>
      <c r="PUO347" s="50"/>
      <c r="PUP347" s="50"/>
      <c r="PUQ347" s="50"/>
      <c r="PUR347" s="50"/>
      <c r="PUS347" s="50"/>
      <c r="PUT347" s="50"/>
      <c r="PUU347" s="50"/>
      <c r="PUV347" s="50"/>
      <c r="PUW347" s="50"/>
      <c r="PUX347" s="50"/>
      <c r="PUY347" s="50"/>
      <c r="PUZ347" s="50"/>
      <c r="PVA347" s="50"/>
      <c r="PVB347" s="50"/>
      <c r="PVC347" s="50"/>
      <c r="PVD347" s="50"/>
      <c r="PVE347" s="50"/>
      <c r="PVF347" s="50"/>
      <c r="PVG347" s="50"/>
      <c r="PVH347" s="50"/>
      <c r="PVI347" s="50"/>
      <c r="PVJ347" s="50"/>
      <c r="PVK347" s="50"/>
      <c r="PVL347" s="50"/>
      <c r="PVM347" s="50"/>
      <c r="PVN347" s="50"/>
      <c r="PVO347" s="50"/>
      <c r="PVP347" s="50"/>
      <c r="PVQ347" s="50"/>
      <c r="PVR347" s="50"/>
      <c r="PVS347" s="50"/>
      <c r="PVT347" s="50"/>
      <c r="PVU347" s="50"/>
      <c r="PVV347" s="50"/>
      <c r="PVW347" s="50"/>
      <c r="PVX347" s="50"/>
      <c r="PVY347" s="50"/>
      <c r="PVZ347" s="50"/>
      <c r="PWA347" s="50"/>
      <c r="PWB347" s="50"/>
      <c r="PWC347" s="50"/>
      <c r="PWD347" s="50"/>
      <c r="PWE347" s="50"/>
      <c r="PWF347" s="50"/>
      <c r="PWG347" s="50"/>
      <c r="PWH347" s="50"/>
      <c r="PWI347" s="50"/>
      <c r="PWJ347" s="50"/>
      <c r="PWK347" s="50"/>
      <c r="PWL347" s="50"/>
      <c r="PWM347" s="50"/>
      <c r="PWN347" s="50"/>
      <c r="PWO347" s="50"/>
      <c r="PWP347" s="50"/>
      <c r="PWQ347" s="50"/>
      <c r="PWR347" s="50"/>
      <c r="PWS347" s="50"/>
      <c r="PWT347" s="50"/>
      <c r="PWU347" s="50"/>
      <c r="PWV347" s="50"/>
      <c r="PWW347" s="50"/>
      <c r="PWX347" s="50"/>
      <c r="PWY347" s="50"/>
      <c r="PWZ347" s="50"/>
      <c r="PXA347" s="50"/>
      <c r="PXB347" s="50"/>
      <c r="PXC347" s="50"/>
      <c r="PXD347" s="50"/>
      <c r="PXE347" s="50"/>
      <c r="PXF347" s="50"/>
      <c r="PXG347" s="50"/>
      <c r="PXH347" s="50"/>
      <c r="PXI347" s="50"/>
      <c r="PXJ347" s="50"/>
      <c r="PXK347" s="50"/>
      <c r="PXL347" s="50"/>
      <c r="PXM347" s="50"/>
      <c r="PXN347" s="50"/>
      <c r="PXO347" s="50"/>
      <c r="PXP347" s="50"/>
      <c r="PXQ347" s="50"/>
      <c r="PXR347" s="50"/>
      <c r="PXS347" s="50"/>
      <c r="PXT347" s="50"/>
      <c r="PXU347" s="50"/>
      <c r="PXV347" s="50"/>
      <c r="PXW347" s="50"/>
      <c r="PXX347" s="50"/>
      <c r="PXY347" s="50"/>
      <c r="PXZ347" s="50"/>
      <c r="PYA347" s="50"/>
      <c r="PYB347" s="50"/>
      <c r="PYC347" s="50"/>
      <c r="PYD347" s="50"/>
      <c r="PYE347" s="50"/>
      <c r="PYF347" s="50"/>
      <c r="PYG347" s="50"/>
      <c r="PYH347" s="50"/>
      <c r="PYI347" s="50"/>
      <c r="PYJ347" s="50"/>
      <c r="PYK347" s="50"/>
      <c r="PYL347" s="50"/>
      <c r="PYM347" s="50"/>
      <c r="PYN347" s="50"/>
      <c r="PYO347" s="50"/>
      <c r="PYP347" s="50"/>
      <c r="PYQ347" s="50"/>
      <c r="PYR347" s="50"/>
      <c r="PYS347" s="50"/>
      <c r="PYT347" s="50"/>
      <c r="PYU347" s="50"/>
      <c r="PYV347" s="50"/>
      <c r="PYW347" s="50"/>
      <c r="PYX347" s="50"/>
      <c r="PYY347" s="50"/>
      <c r="PYZ347" s="50"/>
      <c r="PZA347" s="50"/>
      <c r="PZB347" s="50"/>
      <c r="PZC347" s="50"/>
      <c r="PZD347" s="50"/>
      <c r="PZE347" s="50"/>
      <c r="PZF347" s="50"/>
      <c r="PZG347" s="50"/>
      <c r="PZH347" s="50"/>
      <c r="PZI347" s="50"/>
      <c r="PZJ347" s="50"/>
      <c r="PZK347" s="50"/>
      <c r="PZL347" s="50"/>
      <c r="PZM347" s="50"/>
      <c r="PZN347" s="50"/>
      <c r="PZO347" s="50"/>
      <c r="PZP347" s="50"/>
      <c r="PZQ347" s="50"/>
      <c r="PZR347" s="50"/>
      <c r="PZS347" s="50"/>
      <c r="PZT347" s="50"/>
      <c r="PZU347" s="50"/>
      <c r="PZV347" s="50"/>
      <c r="PZW347" s="50"/>
      <c r="PZX347" s="50"/>
      <c r="PZY347" s="50"/>
      <c r="PZZ347" s="50"/>
      <c r="QAA347" s="50"/>
      <c r="QAB347" s="50"/>
      <c r="QAC347" s="50"/>
      <c r="QAD347" s="50"/>
      <c r="QAE347" s="50"/>
      <c r="QAF347" s="50"/>
      <c r="QAG347" s="50"/>
      <c r="QAH347" s="50"/>
      <c r="QAI347" s="50"/>
      <c r="QAJ347" s="50"/>
      <c r="QAK347" s="50"/>
      <c r="QAL347" s="50"/>
      <c r="QAM347" s="50"/>
      <c r="QAN347" s="50"/>
      <c r="QAO347" s="50"/>
      <c r="QAP347" s="50"/>
      <c r="QAQ347" s="50"/>
      <c r="QAR347" s="50"/>
      <c r="QAS347" s="50"/>
      <c r="QAT347" s="50"/>
      <c r="QAU347" s="50"/>
      <c r="QAV347" s="50"/>
      <c r="QAW347" s="50"/>
      <c r="QAX347" s="50"/>
      <c r="QAY347" s="50"/>
      <c r="QAZ347" s="50"/>
      <c r="QBA347" s="50"/>
      <c r="QBB347" s="50"/>
      <c r="QBC347" s="50"/>
      <c r="QBD347" s="50"/>
      <c r="QBE347" s="50"/>
      <c r="QBF347" s="50"/>
      <c r="QBG347" s="50"/>
      <c r="QBH347" s="50"/>
      <c r="QBI347" s="50"/>
      <c r="QBJ347" s="50"/>
      <c r="QBK347" s="50"/>
      <c r="QBL347" s="50"/>
      <c r="QBM347" s="50"/>
      <c r="QBN347" s="50"/>
      <c r="QBO347" s="50"/>
      <c r="QBP347" s="50"/>
      <c r="QBQ347" s="50"/>
      <c r="QBR347" s="50"/>
      <c r="QBS347" s="50"/>
      <c r="QBT347" s="50"/>
      <c r="QBU347" s="50"/>
      <c r="QBV347" s="50"/>
      <c r="QBW347" s="50"/>
      <c r="QBX347" s="50"/>
      <c r="QBY347" s="50"/>
      <c r="QBZ347" s="50"/>
      <c r="QCA347" s="50"/>
      <c r="QCB347" s="50"/>
      <c r="QCC347" s="50"/>
      <c r="QCD347" s="50"/>
      <c r="QCE347" s="50"/>
      <c r="QCF347" s="50"/>
      <c r="QCG347" s="50"/>
      <c r="QCH347" s="50"/>
      <c r="QCI347" s="50"/>
      <c r="QCJ347" s="50"/>
      <c r="QCK347" s="50"/>
      <c r="QCL347" s="50"/>
      <c r="QCM347" s="50"/>
      <c r="QCN347" s="50"/>
      <c r="QCO347" s="50"/>
      <c r="QCP347" s="50"/>
      <c r="QCQ347" s="50"/>
      <c r="QCR347" s="50"/>
      <c r="QCS347" s="50"/>
      <c r="QCT347" s="50"/>
      <c r="QCU347" s="50"/>
      <c r="QCV347" s="50"/>
      <c r="QCW347" s="50"/>
      <c r="QCX347" s="50"/>
      <c r="QCY347" s="50"/>
      <c r="QCZ347" s="50"/>
      <c r="QDA347" s="50"/>
      <c r="QDB347" s="50"/>
      <c r="QDC347" s="50"/>
      <c r="QDD347" s="50"/>
      <c r="QDE347" s="50"/>
      <c r="QDF347" s="50"/>
      <c r="QDG347" s="50"/>
      <c r="QDH347" s="50"/>
      <c r="QDI347" s="50"/>
      <c r="QDJ347" s="50"/>
      <c r="QDK347" s="50"/>
      <c r="QDL347" s="50"/>
      <c r="QDM347" s="50"/>
      <c r="QDN347" s="50"/>
      <c r="QDO347" s="50"/>
      <c r="QDP347" s="50"/>
      <c r="QDQ347" s="50"/>
      <c r="QDR347" s="50"/>
      <c r="QDS347" s="50"/>
      <c r="QDT347" s="50"/>
      <c r="QDU347" s="50"/>
      <c r="QDV347" s="50"/>
      <c r="QDW347" s="50"/>
      <c r="QDX347" s="50"/>
      <c r="QDY347" s="50"/>
      <c r="QDZ347" s="50"/>
      <c r="QEA347" s="50"/>
      <c r="QEB347" s="50"/>
      <c r="QEC347" s="50"/>
      <c r="QED347" s="50"/>
      <c r="QEE347" s="50"/>
      <c r="QEF347" s="50"/>
      <c r="QEG347" s="50"/>
      <c r="QEH347" s="50"/>
      <c r="QEI347" s="50"/>
      <c r="QEJ347" s="50"/>
      <c r="QEK347" s="50"/>
      <c r="QEL347" s="50"/>
      <c r="QEM347" s="50"/>
      <c r="QEN347" s="50"/>
      <c r="QEO347" s="50"/>
      <c r="QEP347" s="50"/>
      <c r="QEQ347" s="50"/>
      <c r="QER347" s="50"/>
      <c r="QES347" s="50"/>
      <c r="QET347" s="50"/>
      <c r="QEU347" s="50"/>
      <c r="QEV347" s="50"/>
      <c r="QEW347" s="50"/>
      <c r="QEX347" s="50"/>
      <c r="QEY347" s="50"/>
      <c r="QEZ347" s="50"/>
      <c r="QFA347" s="50"/>
      <c r="QFB347" s="50"/>
      <c r="QFC347" s="50"/>
      <c r="QFD347" s="50"/>
      <c r="QFE347" s="50"/>
      <c r="QFF347" s="50"/>
      <c r="QFG347" s="50"/>
      <c r="QFH347" s="50"/>
      <c r="QFI347" s="50"/>
      <c r="QFJ347" s="50"/>
      <c r="QFK347" s="50"/>
      <c r="QFL347" s="50"/>
      <c r="QFM347" s="50"/>
      <c r="QFN347" s="50"/>
      <c r="QFO347" s="50"/>
      <c r="QFP347" s="50"/>
      <c r="QFQ347" s="50"/>
      <c r="QFR347" s="50"/>
      <c r="QFS347" s="50"/>
      <c r="QFT347" s="50"/>
      <c r="QFU347" s="50"/>
      <c r="QFV347" s="50"/>
      <c r="QFW347" s="50"/>
      <c r="QFX347" s="50"/>
      <c r="QFY347" s="50"/>
      <c r="QFZ347" s="50"/>
      <c r="QGA347" s="50"/>
      <c r="QGB347" s="50"/>
      <c r="QGC347" s="50"/>
      <c r="QGD347" s="50"/>
      <c r="QGE347" s="50"/>
      <c r="QGF347" s="50"/>
      <c r="QGG347" s="50"/>
      <c r="QGH347" s="50"/>
      <c r="QGI347" s="50"/>
      <c r="QGJ347" s="50"/>
      <c r="QGK347" s="50"/>
      <c r="QGL347" s="50"/>
      <c r="QGM347" s="50"/>
      <c r="QGN347" s="50"/>
      <c r="QGO347" s="50"/>
      <c r="QGP347" s="50"/>
      <c r="QGQ347" s="50"/>
      <c r="QGR347" s="50"/>
      <c r="QGS347" s="50"/>
      <c r="QGT347" s="50"/>
      <c r="QGU347" s="50"/>
      <c r="QGV347" s="50"/>
      <c r="QGW347" s="50"/>
      <c r="QGX347" s="50"/>
      <c r="QGY347" s="50"/>
      <c r="QGZ347" s="50"/>
      <c r="QHA347" s="50"/>
      <c r="QHB347" s="50"/>
      <c r="QHC347" s="50"/>
      <c r="QHD347" s="50"/>
      <c r="QHE347" s="50"/>
      <c r="QHF347" s="50"/>
      <c r="QHG347" s="50"/>
      <c r="QHH347" s="50"/>
      <c r="QHI347" s="50"/>
      <c r="QHJ347" s="50"/>
      <c r="QHK347" s="50"/>
      <c r="QHL347" s="50"/>
      <c r="QHM347" s="50"/>
      <c r="QHN347" s="50"/>
      <c r="QHO347" s="50"/>
      <c r="QHP347" s="50"/>
      <c r="QHQ347" s="50"/>
      <c r="QHR347" s="50"/>
      <c r="QHS347" s="50"/>
      <c r="QHT347" s="50"/>
      <c r="QHU347" s="50"/>
      <c r="QHV347" s="50"/>
      <c r="QHW347" s="50"/>
      <c r="QHX347" s="50"/>
      <c r="QHY347" s="50"/>
      <c r="QHZ347" s="50"/>
      <c r="QIA347" s="50"/>
      <c r="QIB347" s="50"/>
      <c r="QIC347" s="50"/>
      <c r="QID347" s="50"/>
      <c r="QIE347" s="50"/>
      <c r="QIF347" s="50"/>
      <c r="QIG347" s="50"/>
      <c r="QIH347" s="50"/>
      <c r="QII347" s="50"/>
      <c r="QIJ347" s="50"/>
      <c r="QIK347" s="50"/>
      <c r="QIL347" s="50"/>
      <c r="QIM347" s="50"/>
      <c r="QIN347" s="50"/>
      <c r="QIO347" s="50"/>
      <c r="QIP347" s="50"/>
      <c r="QIQ347" s="50"/>
      <c r="QIR347" s="50"/>
      <c r="QIS347" s="50"/>
      <c r="QIT347" s="50"/>
      <c r="QIU347" s="50"/>
      <c r="QIV347" s="50"/>
      <c r="QIW347" s="50"/>
      <c r="QIX347" s="50"/>
      <c r="QIY347" s="50"/>
      <c r="QIZ347" s="50"/>
      <c r="QJA347" s="50"/>
      <c r="QJB347" s="50"/>
      <c r="QJC347" s="50"/>
      <c r="QJD347" s="50"/>
      <c r="QJE347" s="50"/>
      <c r="QJF347" s="50"/>
      <c r="QJG347" s="50"/>
      <c r="QJH347" s="50"/>
      <c r="QJI347" s="50"/>
      <c r="QJJ347" s="50"/>
      <c r="QJK347" s="50"/>
      <c r="QJL347" s="50"/>
      <c r="QJM347" s="50"/>
      <c r="QJN347" s="50"/>
      <c r="QJO347" s="50"/>
      <c r="QJP347" s="50"/>
      <c r="QJQ347" s="50"/>
      <c r="QJR347" s="50"/>
      <c r="QJS347" s="50"/>
      <c r="QJT347" s="50"/>
      <c r="QJU347" s="50"/>
      <c r="QJV347" s="50"/>
      <c r="QJW347" s="50"/>
      <c r="QJX347" s="50"/>
      <c r="QJY347" s="50"/>
      <c r="QJZ347" s="50"/>
      <c r="QKA347" s="50"/>
      <c r="QKB347" s="50"/>
      <c r="QKC347" s="50"/>
      <c r="QKD347" s="50"/>
      <c r="QKE347" s="50"/>
      <c r="QKF347" s="50"/>
      <c r="QKG347" s="50"/>
      <c r="QKH347" s="50"/>
      <c r="QKI347" s="50"/>
      <c r="QKJ347" s="50"/>
      <c r="QKK347" s="50"/>
      <c r="QKL347" s="50"/>
      <c r="QKM347" s="50"/>
      <c r="QKN347" s="50"/>
      <c r="QKO347" s="50"/>
      <c r="QKP347" s="50"/>
      <c r="QKQ347" s="50"/>
      <c r="QKR347" s="50"/>
      <c r="QKS347" s="50"/>
      <c r="QKT347" s="50"/>
      <c r="QKU347" s="50"/>
      <c r="QKV347" s="50"/>
      <c r="QKW347" s="50"/>
      <c r="QKX347" s="50"/>
      <c r="QKY347" s="50"/>
      <c r="QKZ347" s="50"/>
      <c r="QLA347" s="50"/>
      <c r="QLB347" s="50"/>
      <c r="QLC347" s="50"/>
      <c r="QLD347" s="50"/>
      <c r="QLE347" s="50"/>
      <c r="QLF347" s="50"/>
      <c r="QLG347" s="50"/>
      <c r="QLH347" s="50"/>
      <c r="QLI347" s="50"/>
      <c r="QLJ347" s="50"/>
      <c r="QLK347" s="50"/>
      <c r="QLL347" s="50"/>
      <c r="QLM347" s="50"/>
      <c r="QLN347" s="50"/>
      <c r="QLO347" s="50"/>
      <c r="QLP347" s="50"/>
      <c r="QLQ347" s="50"/>
      <c r="QLR347" s="50"/>
      <c r="QLS347" s="50"/>
      <c r="QLT347" s="50"/>
      <c r="QLU347" s="50"/>
      <c r="QLV347" s="50"/>
      <c r="QLW347" s="50"/>
      <c r="QLX347" s="50"/>
      <c r="QLY347" s="50"/>
      <c r="QLZ347" s="50"/>
      <c r="QMA347" s="50"/>
      <c r="QMB347" s="50"/>
      <c r="QMC347" s="50"/>
      <c r="QMD347" s="50"/>
      <c r="QME347" s="50"/>
      <c r="QMF347" s="50"/>
      <c r="QMG347" s="50"/>
      <c r="QMH347" s="50"/>
      <c r="QMI347" s="50"/>
      <c r="QMJ347" s="50"/>
      <c r="QMK347" s="50"/>
      <c r="QML347" s="50"/>
      <c r="QMM347" s="50"/>
      <c r="QMN347" s="50"/>
      <c r="QMO347" s="50"/>
      <c r="QMP347" s="50"/>
      <c r="QMQ347" s="50"/>
      <c r="QMR347" s="50"/>
      <c r="QMS347" s="50"/>
      <c r="QMT347" s="50"/>
      <c r="QMU347" s="50"/>
      <c r="QMV347" s="50"/>
      <c r="QMW347" s="50"/>
      <c r="QMX347" s="50"/>
      <c r="QMY347" s="50"/>
      <c r="QMZ347" s="50"/>
      <c r="QNA347" s="50"/>
      <c r="QNB347" s="50"/>
      <c r="QNC347" s="50"/>
      <c r="QND347" s="50"/>
      <c r="QNE347" s="50"/>
      <c r="QNF347" s="50"/>
      <c r="QNG347" s="50"/>
      <c r="QNH347" s="50"/>
      <c r="QNI347" s="50"/>
      <c r="QNJ347" s="50"/>
      <c r="QNK347" s="50"/>
      <c r="QNL347" s="50"/>
      <c r="QNM347" s="50"/>
      <c r="QNN347" s="50"/>
      <c r="QNO347" s="50"/>
      <c r="QNP347" s="50"/>
      <c r="QNQ347" s="50"/>
      <c r="QNR347" s="50"/>
      <c r="QNS347" s="50"/>
      <c r="QNT347" s="50"/>
      <c r="QNU347" s="50"/>
      <c r="QNV347" s="50"/>
      <c r="QNW347" s="50"/>
      <c r="QNX347" s="50"/>
      <c r="QNY347" s="50"/>
      <c r="QNZ347" s="50"/>
      <c r="QOA347" s="50"/>
      <c r="QOB347" s="50"/>
      <c r="QOC347" s="50"/>
      <c r="QOD347" s="50"/>
      <c r="QOE347" s="50"/>
      <c r="QOF347" s="50"/>
      <c r="QOG347" s="50"/>
      <c r="QOH347" s="50"/>
      <c r="QOI347" s="50"/>
      <c r="QOJ347" s="50"/>
      <c r="QOK347" s="50"/>
      <c r="QOL347" s="50"/>
      <c r="QOM347" s="50"/>
      <c r="QON347" s="50"/>
      <c r="QOO347" s="50"/>
      <c r="QOP347" s="50"/>
      <c r="QOQ347" s="50"/>
      <c r="QOR347" s="50"/>
      <c r="QOS347" s="50"/>
      <c r="QOT347" s="50"/>
      <c r="QOU347" s="50"/>
      <c r="QOV347" s="50"/>
      <c r="QOW347" s="50"/>
      <c r="QOX347" s="50"/>
      <c r="QOY347" s="50"/>
      <c r="QOZ347" s="50"/>
      <c r="QPA347" s="50"/>
      <c r="QPB347" s="50"/>
      <c r="QPC347" s="50"/>
      <c r="QPD347" s="50"/>
      <c r="QPE347" s="50"/>
      <c r="QPF347" s="50"/>
      <c r="QPG347" s="50"/>
      <c r="QPH347" s="50"/>
      <c r="QPI347" s="50"/>
      <c r="QPJ347" s="50"/>
      <c r="QPK347" s="50"/>
      <c r="QPL347" s="50"/>
      <c r="QPM347" s="50"/>
      <c r="QPN347" s="50"/>
      <c r="QPO347" s="50"/>
      <c r="QPP347" s="50"/>
      <c r="QPQ347" s="50"/>
      <c r="QPR347" s="50"/>
      <c r="QPS347" s="50"/>
      <c r="QPT347" s="50"/>
      <c r="QPU347" s="50"/>
      <c r="QPV347" s="50"/>
      <c r="QPW347" s="50"/>
      <c r="QPX347" s="50"/>
      <c r="QPY347" s="50"/>
      <c r="QPZ347" s="50"/>
      <c r="QQA347" s="50"/>
      <c r="QQB347" s="50"/>
      <c r="QQC347" s="50"/>
      <c r="QQD347" s="50"/>
      <c r="QQE347" s="50"/>
      <c r="QQF347" s="50"/>
      <c r="QQG347" s="50"/>
      <c r="QQH347" s="50"/>
      <c r="QQI347" s="50"/>
      <c r="QQJ347" s="50"/>
      <c r="QQK347" s="50"/>
      <c r="QQL347" s="50"/>
      <c r="QQM347" s="50"/>
      <c r="QQN347" s="50"/>
      <c r="QQO347" s="50"/>
      <c r="QQP347" s="50"/>
      <c r="QQQ347" s="50"/>
      <c r="QQR347" s="50"/>
      <c r="QQS347" s="50"/>
      <c r="QQT347" s="50"/>
      <c r="QQU347" s="50"/>
      <c r="QQV347" s="50"/>
      <c r="QQW347" s="50"/>
      <c r="QQX347" s="50"/>
      <c r="QQY347" s="50"/>
      <c r="QQZ347" s="50"/>
      <c r="QRA347" s="50"/>
      <c r="QRB347" s="50"/>
      <c r="QRC347" s="50"/>
      <c r="QRD347" s="50"/>
      <c r="QRE347" s="50"/>
      <c r="QRF347" s="50"/>
      <c r="QRG347" s="50"/>
      <c r="QRH347" s="50"/>
      <c r="QRI347" s="50"/>
      <c r="QRJ347" s="50"/>
      <c r="QRK347" s="50"/>
      <c r="QRL347" s="50"/>
      <c r="QRM347" s="50"/>
      <c r="QRN347" s="50"/>
      <c r="QRO347" s="50"/>
      <c r="QRP347" s="50"/>
      <c r="QRQ347" s="50"/>
      <c r="QRR347" s="50"/>
      <c r="QRS347" s="50"/>
      <c r="QRT347" s="50"/>
      <c r="QRU347" s="50"/>
      <c r="QRV347" s="50"/>
      <c r="QRW347" s="50"/>
      <c r="QRX347" s="50"/>
      <c r="QRY347" s="50"/>
      <c r="QRZ347" s="50"/>
      <c r="QSA347" s="50"/>
      <c r="QSB347" s="50"/>
      <c r="QSC347" s="50"/>
      <c r="QSD347" s="50"/>
      <c r="QSE347" s="50"/>
      <c r="QSF347" s="50"/>
      <c r="QSG347" s="50"/>
      <c r="QSH347" s="50"/>
      <c r="QSI347" s="50"/>
      <c r="QSJ347" s="50"/>
      <c r="QSK347" s="50"/>
      <c r="QSL347" s="50"/>
      <c r="QSM347" s="50"/>
      <c r="QSN347" s="50"/>
      <c r="QSO347" s="50"/>
      <c r="QSP347" s="50"/>
      <c r="QSQ347" s="50"/>
      <c r="QSR347" s="50"/>
      <c r="QSS347" s="50"/>
      <c r="QST347" s="50"/>
      <c r="QSU347" s="50"/>
      <c r="QSV347" s="50"/>
      <c r="QSW347" s="50"/>
      <c r="QSX347" s="50"/>
      <c r="QSY347" s="50"/>
      <c r="QSZ347" s="50"/>
      <c r="QTA347" s="50"/>
      <c r="QTB347" s="50"/>
      <c r="QTC347" s="50"/>
      <c r="QTD347" s="50"/>
      <c r="QTE347" s="50"/>
      <c r="QTF347" s="50"/>
      <c r="QTG347" s="50"/>
      <c r="QTH347" s="50"/>
      <c r="QTI347" s="50"/>
      <c r="QTJ347" s="50"/>
      <c r="QTK347" s="50"/>
      <c r="QTL347" s="50"/>
      <c r="QTM347" s="50"/>
      <c r="QTN347" s="50"/>
      <c r="QTO347" s="50"/>
      <c r="QTP347" s="50"/>
      <c r="QTQ347" s="50"/>
      <c r="QTR347" s="50"/>
      <c r="QTS347" s="50"/>
      <c r="QTT347" s="50"/>
      <c r="QTU347" s="50"/>
      <c r="QTV347" s="50"/>
      <c r="QTW347" s="50"/>
      <c r="QTX347" s="50"/>
      <c r="QTY347" s="50"/>
      <c r="QTZ347" s="50"/>
      <c r="QUA347" s="50"/>
      <c r="QUB347" s="50"/>
      <c r="QUC347" s="50"/>
      <c r="QUD347" s="50"/>
      <c r="QUE347" s="50"/>
      <c r="QUF347" s="50"/>
      <c r="QUG347" s="50"/>
      <c r="QUH347" s="50"/>
      <c r="QUI347" s="50"/>
      <c r="QUJ347" s="50"/>
      <c r="QUK347" s="50"/>
      <c r="QUL347" s="50"/>
      <c r="QUM347" s="50"/>
      <c r="QUN347" s="50"/>
      <c r="QUO347" s="50"/>
      <c r="QUP347" s="50"/>
      <c r="QUQ347" s="50"/>
      <c r="QUR347" s="50"/>
      <c r="QUS347" s="50"/>
      <c r="QUT347" s="50"/>
      <c r="QUU347" s="50"/>
      <c r="QUV347" s="50"/>
      <c r="QUW347" s="50"/>
      <c r="QUX347" s="50"/>
      <c r="QUY347" s="50"/>
      <c r="QUZ347" s="50"/>
      <c r="QVA347" s="50"/>
      <c r="QVB347" s="50"/>
      <c r="QVC347" s="50"/>
      <c r="QVD347" s="50"/>
      <c r="QVE347" s="50"/>
      <c r="QVF347" s="50"/>
      <c r="QVG347" s="50"/>
      <c r="QVH347" s="50"/>
      <c r="QVI347" s="50"/>
      <c r="QVJ347" s="50"/>
      <c r="QVK347" s="50"/>
      <c r="QVL347" s="50"/>
      <c r="QVM347" s="50"/>
      <c r="QVN347" s="50"/>
      <c r="QVO347" s="50"/>
      <c r="QVP347" s="50"/>
      <c r="QVQ347" s="50"/>
      <c r="QVR347" s="50"/>
      <c r="QVS347" s="50"/>
      <c r="QVT347" s="50"/>
      <c r="QVU347" s="50"/>
      <c r="QVV347" s="50"/>
      <c r="QVW347" s="50"/>
      <c r="QVX347" s="50"/>
      <c r="QVY347" s="50"/>
      <c r="QVZ347" s="50"/>
      <c r="QWA347" s="50"/>
      <c r="QWB347" s="50"/>
      <c r="QWC347" s="50"/>
      <c r="QWD347" s="50"/>
      <c r="QWE347" s="50"/>
      <c r="QWF347" s="50"/>
      <c r="QWG347" s="50"/>
      <c r="QWH347" s="50"/>
      <c r="QWI347" s="50"/>
      <c r="QWJ347" s="50"/>
      <c r="QWK347" s="50"/>
      <c r="QWL347" s="50"/>
      <c r="QWM347" s="50"/>
      <c r="QWN347" s="50"/>
      <c r="QWO347" s="50"/>
      <c r="QWP347" s="50"/>
      <c r="QWQ347" s="50"/>
      <c r="QWR347" s="50"/>
      <c r="QWS347" s="50"/>
      <c r="QWT347" s="50"/>
      <c r="QWU347" s="50"/>
      <c r="QWV347" s="50"/>
      <c r="QWW347" s="50"/>
      <c r="QWX347" s="50"/>
      <c r="QWY347" s="50"/>
      <c r="QWZ347" s="50"/>
      <c r="QXA347" s="50"/>
      <c r="QXB347" s="50"/>
      <c r="QXC347" s="50"/>
      <c r="QXD347" s="50"/>
      <c r="QXE347" s="50"/>
      <c r="QXF347" s="50"/>
      <c r="QXG347" s="50"/>
      <c r="QXH347" s="50"/>
      <c r="QXI347" s="50"/>
      <c r="QXJ347" s="50"/>
      <c r="QXK347" s="50"/>
      <c r="QXL347" s="50"/>
      <c r="QXM347" s="50"/>
      <c r="QXN347" s="50"/>
      <c r="QXO347" s="50"/>
      <c r="QXP347" s="50"/>
      <c r="QXQ347" s="50"/>
      <c r="QXR347" s="50"/>
      <c r="QXS347" s="50"/>
      <c r="QXT347" s="50"/>
      <c r="QXU347" s="50"/>
      <c r="QXV347" s="50"/>
      <c r="QXW347" s="50"/>
      <c r="QXX347" s="50"/>
      <c r="QXY347" s="50"/>
      <c r="QXZ347" s="50"/>
      <c r="QYA347" s="50"/>
      <c r="QYB347" s="50"/>
      <c r="QYC347" s="50"/>
      <c r="QYD347" s="50"/>
      <c r="QYE347" s="50"/>
      <c r="QYF347" s="50"/>
      <c r="QYG347" s="50"/>
      <c r="QYH347" s="50"/>
      <c r="QYI347" s="50"/>
      <c r="QYJ347" s="50"/>
      <c r="QYK347" s="50"/>
      <c r="QYL347" s="50"/>
      <c r="QYM347" s="50"/>
      <c r="QYN347" s="50"/>
      <c r="QYO347" s="50"/>
      <c r="QYP347" s="50"/>
      <c r="QYQ347" s="50"/>
      <c r="QYR347" s="50"/>
      <c r="QYS347" s="50"/>
      <c r="QYT347" s="50"/>
      <c r="QYU347" s="50"/>
      <c r="QYV347" s="50"/>
      <c r="QYW347" s="50"/>
      <c r="QYX347" s="50"/>
      <c r="QYY347" s="50"/>
      <c r="QYZ347" s="50"/>
      <c r="QZA347" s="50"/>
      <c r="QZB347" s="50"/>
      <c r="QZC347" s="50"/>
      <c r="QZD347" s="50"/>
      <c r="QZE347" s="50"/>
      <c r="QZF347" s="50"/>
      <c r="QZG347" s="50"/>
      <c r="QZH347" s="50"/>
      <c r="QZI347" s="50"/>
      <c r="QZJ347" s="50"/>
      <c r="QZK347" s="50"/>
      <c r="QZL347" s="50"/>
      <c r="QZM347" s="50"/>
      <c r="QZN347" s="50"/>
      <c r="QZO347" s="50"/>
      <c r="QZP347" s="50"/>
      <c r="QZQ347" s="50"/>
      <c r="QZR347" s="50"/>
      <c r="QZS347" s="50"/>
      <c r="QZT347" s="50"/>
      <c r="QZU347" s="50"/>
      <c r="QZV347" s="50"/>
      <c r="QZW347" s="50"/>
      <c r="QZX347" s="50"/>
      <c r="QZY347" s="50"/>
      <c r="QZZ347" s="50"/>
      <c r="RAA347" s="50"/>
      <c r="RAB347" s="50"/>
      <c r="RAC347" s="50"/>
      <c r="RAD347" s="50"/>
      <c r="RAE347" s="50"/>
      <c r="RAF347" s="50"/>
      <c r="RAG347" s="50"/>
      <c r="RAH347" s="50"/>
      <c r="RAI347" s="50"/>
      <c r="RAJ347" s="50"/>
      <c r="RAK347" s="50"/>
      <c r="RAL347" s="50"/>
      <c r="RAM347" s="50"/>
      <c r="RAN347" s="50"/>
      <c r="RAO347" s="50"/>
      <c r="RAP347" s="50"/>
      <c r="RAQ347" s="50"/>
      <c r="RAR347" s="50"/>
      <c r="RAS347" s="50"/>
      <c r="RAT347" s="50"/>
      <c r="RAU347" s="50"/>
      <c r="RAV347" s="50"/>
      <c r="RAW347" s="50"/>
      <c r="RAX347" s="50"/>
      <c r="RAY347" s="50"/>
      <c r="RAZ347" s="50"/>
      <c r="RBA347" s="50"/>
      <c r="RBB347" s="50"/>
      <c r="RBC347" s="50"/>
      <c r="RBD347" s="50"/>
      <c r="RBE347" s="50"/>
      <c r="RBF347" s="50"/>
      <c r="RBG347" s="50"/>
      <c r="RBH347" s="50"/>
      <c r="RBI347" s="50"/>
      <c r="RBJ347" s="50"/>
      <c r="RBK347" s="50"/>
      <c r="RBL347" s="50"/>
      <c r="RBM347" s="50"/>
      <c r="RBN347" s="50"/>
      <c r="RBO347" s="50"/>
      <c r="RBP347" s="50"/>
      <c r="RBQ347" s="50"/>
      <c r="RBR347" s="50"/>
      <c r="RBS347" s="50"/>
      <c r="RBT347" s="50"/>
      <c r="RBU347" s="50"/>
      <c r="RBV347" s="50"/>
      <c r="RBW347" s="50"/>
      <c r="RBX347" s="50"/>
      <c r="RBY347" s="50"/>
      <c r="RBZ347" s="50"/>
      <c r="RCA347" s="50"/>
      <c r="RCB347" s="50"/>
      <c r="RCC347" s="50"/>
      <c r="RCD347" s="50"/>
      <c r="RCE347" s="50"/>
      <c r="RCF347" s="50"/>
      <c r="RCG347" s="50"/>
      <c r="RCH347" s="50"/>
      <c r="RCI347" s="50"/>
      <c r="RCJ347" s="50"/>
      <c r="RCK347" s="50"/>
      <c r="RCL347" s="50"/>
      <c r="RCM347" s="50"/>
      <c r="RCN347" s="50"/>
      <c r="RCO347" s="50"/>
      <c r="RCP347" s="50"/>
      <c r="RCQ347" s="50"/>
      <c r="RCR347" s="50"/>
      <c r="RCS347" s="50"/>
      <c r="RCT347" s="50"/>
      <c r="RCU347" s="50"/>
      <c r="RCV347" s="50"/>
      <c r="RCW347" s="50"/>
      <c r="RCX347" s="50"/>
      <c r="RCY347" s="50"/>
      <c r="RCZ347" s="50"/>
      <c r="RDA347" s="50"/>
      <c r="RDB347" s="50"/>
      <c r="RDC347" s="50"/>
      <c r="RDD347" s="50"/>
      <c r="RDE347" s="50"/>
      <c r="RDF347" s="50"/>
      <c r="RDG347" s="50"/>
      <c r="RDH347" s="50"/>
      <c r="RDI347" s="50"/>
      <c r="RDJ347" s="50"/>
      <c r="RDK347" s="50"/>
      <c r="RDL347" s="50"/>
      <c r="RDM347" s="50"/>
      <c r="RDN347" s="50"/>
      <c r="RDO347" s="50"/>
      <c r="RDP347" s="50"/>
      <c r="RDQ347" s="50"/>
      <c r="RDR347" s="50"/>
      <c r="RDS347" s="50"/>
      <c r="RDT347" s="50"/>
      <c r="RDU347" s="50"/>
      <c r="RDV347" s="50"/>
      <c r="RDW347" s="50"/>
      <c r="RDX347" s="50"/>
      <c r="RDY347" s="50"/>
      <c r="RDZ347" s="50"/>
      <c r="REA347" s="50"/>
      <c r="REB347" s="50"/>
      <c r="REC347" s="50"/>
      <c r="RED347" s="50"/>
      <c r="REE347" s="50"/>
      <c r="REF347" s="50"/>
      <c r="REG347" s="50"/>
      <c r="REH347" s="50"/>
      <c r="REI347" s="50"/>
      <c r="REJ347" s="50"/>
      <c r="REK347" s="50"/>
      <c r="REL347" s="50"/>
      <c r="REM347" s="50"/>
      <c r="REN347" s="50"/>
      <c r="REO347" s="50"/>
      <c r="REP347" s="50"/>
      <c r="REQ347" s="50"/>
      <c r="RER347" s="50"/>
      <c r="RES347" s="50"/>
      <c r="RET347" s="50"/>
      <c r="REU347" s="50"/>
      <c r="REV347" s="50"/>
      <c r="REW347" s="50"/>
      <c r="REX347" s="50"/>
      <c r="REY347" s="50"/>
      <c r="REZ347" s="50"/>
      <c r="RFA347" s="50"/>
      <c r="RFB347" s="50"/>
      <c r="RFC347" s="50"/>
      <c r="RFD347" s="50"/>
      <c r="RFE347" s="50"/>
      <c r="RFF347" s="50"/>
      <c r="RFG347" s="50"/>
      <c r="RFH347" s="50"/>
      <c r="RFI347" s="50"/>
      <c r="RFJ347" s="50"/>
      <c r="RFK347" s="50"/>
      <c r="RFL347" s="50"/>
      <c r="RFM347" s="50"/>
      <c r="RFN347" s="50"/>
      <c r="RFO347" s="50"/>
      <c r="RFP347" s="50"/>
      <c r="RFQ347" s="50"/>
      <c r="RFR347" s="50"/>
      <c r="RFS347" s="50"/>
      <c r="RFT347" s="50"/>
      <c r="RFU347" s="50"/>
      <c r="RFV347" s="50"/>
      <c r="RFW347" s="50"/>
      <c r="RFX347" s="50"/>
      <c r="RFY347" s="50"/>
      <c r="RFZ347" s="50"/>
      <c r="RGA347" s="50"/>
      <c r="RGB347" s="50"/>
      <c r="RGC347" s="50"/>
      <c r="RGD347" s="50"/>
      <c r="RGE347" s="50"/>
      <c r="RGF347" s="50"/>
      <c r="RGG347" s="50"/>
      <c r="RGH347" s="50"/>
      <c r="RGI347" s="50"/>
      <c r="RGJ347" s="50"/>
      <c r="RGK347" s="50"/>
      <c r="RGL347" s="50"/>
      <c r="RGM347" s="50"/>
      <c r="RGN347" s="50"/>
      <c r="RGO347" s="50"/>
      <c r="RGP347" s="50"/>
      <c r="RGQ347" s="50"/>
      <c r="RGR347" s="50"/>
      <c r="RGS347" s="50"/>
      <c r="RGT347" s="50"/>
      <c r="RGU347" s="50"/>
      <c r="RGV347" s="50"/>
      <c r="RGW347" s="50"/>
      <c r="RGX347" s="50"/>
      <c r="RGY347" s="50"/>
      <c r="RGZ347" s="50"/>
      <c r="RHA347" s="50"/>
      <c r="RHB347" s="50"/>
      <c r="RHC347" s="50"/>
      <c r="RHD347" s="50"/>
      <c r="RHE347" s="50"/>
      <c r="RHF347" s="50"/>
      <c r="RHG347" s="50"/>
      <c r="RHH347" s="50"/>
      <c r="RHI347" s="50"/>
      <c r="RHJ347" s="50"/>
      <c r="RHK347" s="50"/>
      <c r="RHL347" s="50"/>
      <c r="RHM347" s="50"/>
      <c r="RHN347" s="50"/>
      <c r="RHO347" s="50"/>
      <c r="RHP347" s="50"/>
      <c r="RHQ347" s="50"/>
      <c r="RHR347" s="50"/>
      <c r="RHS347" s="50"/>
      <c r="RHT347" s="50"/>
      <c r="RHU347" s="50"/>
      <c r="RHV347" s="50"/>
      <c r="RHW347" s="50"/>
      <c r="RHX347" s="50"/>
      <c r="RHY347" s="50"/>
      <c r="RHZ347" s="50"/>
      <c r="RIA347" s="50"/>
      <c r="RIB347" s="50"/>
      <c r="RIC347" s="50"/>
      <c r="RID347" s="50"/>
      <c r="RIE347" s="50"/>
      <c r="RIF347" s="50"/>
      <c r="RIG347" s="50"/>
      <c r="RIH347" s="50"/>
      <c r="RII347" s="50"/>
      <c r="RIJ347" s="50"/>
      <c r="RIK347" s="50"/>
      <c r="RIL347" s="50"/>
      <c r="RIM347" s="50"/>
      <c r="RIN347" s="50"/>
      <c r="RIO347" s="50"/>
      <c r="RIP347" s="50"/>
      <c r="RIQ347" s="50"/>
      <c r="RIR347" s="50"/>
      <c r="RIS347" s="50"/>
      <c r="RIT347" s="50"/>
      <c r="RIU347" s="50"/>
      <c r="RIV347" s="50"/>
      <c r="RIW347" s="50"/>
      <c r="RIX347" s="50"/>
      <c r="RIY347" s="50"/>
      <c r="RIZ347" s="50"/>
      <c r="RJA347" s="50"/>
      <c r="RJB347" s="50"/>
      <c r="RJC347" s="50"/>
      <c r="RJD347" s="50"/>
      <c r="RJE347" s="50"/>
      <c r="RJF347" s="50"/>
      <c r="RJG347" s="50"/>
      <c r="RJH347" s="50"/>
      <c r="RJI347" s="50"/>
      <c r="RJJ347" s="50"/>
      <c r="RJK347" s="50"/>
      <c r="RJL347" s="50"/>
      <c r="RJM347" s="50"/>
      <c r="RJN347" s="50"/>
      <c r="RJO347" s="50"/>
      <c r="RJP347" s="50"/>
      <c r="RJQ347" s="50"/>
      <c r="RJR347" s="50"/>
      <c r="RJS347" s="50"/>
      <c r="RJT347" s="50"/>
      <c r="RJU347" s="50"/>
      <c r="RJV347" s="50"/>
      <c r="RJW347" s="50"/>
      <c r="RJX347" s="50"/>
      <c r="RJY347" s="50"/>
      <c r="RJZ347" s="50"/>
      <c r="RKA347" s="50"/>
      <c r="RKB347" s="50"/>
      <c r="RKC347" s="50"/>
      <c r="RKD347" s="50"/>
      <c r="RKE347" s="50"/>
      <c r="RKF347" s="50"/>
      <c r="RKG347" s="50"/>
      <c r="RKH347" s="50"/>
      <c r="RKI347" s="50"/>
      <c r="RKJ347" s="50"/>
      <c r="RKK347" s="50"/>
      <c r="RKL347" s="50"/>
      <c r="RKM347" s="50"/>
      <c r="RKN347" s="50"/>
      <c r="RKO347" s="50"/>
      <c r="RKP347" s="50"/>
      <c r="RKQ347" s="50"/>
      <c r="RKR347" s="50"/>
      <c r="RKS347" s="50"/>
      <c r="RKT347" s="50"/>
      <c r="RKU347" s="50"/>
      <c r="RKV347" s="50"/>
      <c r="RKW347" s="50"/>
      <c r="RKX347" s="50"/>
      <c r="RKY347" s="50"/>
      <c r="RKZ347" s="50"/>
      <c r="RLA347" s="50"/>
      <c r="RLB347" s="50"/>
      <c r="RLC347" s="50"/>
      <c r="RLD347" s="50"/>
      <c r="RLE347" s="50"/>
      <c r="RLF347" s="50"/>
      <c r="RLG347" s="50"/>
      <c r="RLH347" s="50"/>
      <c r="RLI347" s="50"/>
      <c r="RLJ347" s="50"/>
      <c r="RLK347" s="50"/>
      <c r="RLL347" s="50"/>
      <c r="RLM347" s="50"/>
      <c r="RLN347" s="50"/>
      <c r="RLO347" s="50"/>
      <c r="RLP347" s="50"/>
      <c r="RLQ347" s="50"/>
      <c r="RLR347" s="50"/>
      <c r="RLS347" s="50"/>
      <c r="RLT347" s="50"/>
      <c r="RLU347" s="50"/>
      <c r="RLV347" s="50"/>
      <c r="RLW347" s="50"/>
      <c r="RLX347" s="50"/>
      <c r="RLY347" s="50"/>
      <c r="RLZ347" s="50"/>
      <c r="RMA347" s="50"/>
      <c r="RMB347" s="50"/>
      <c r="RMC347" s="50"/>
      <c r="RMD347" s="50"/>
      <c r="RME347" s="50"/>
      <c r="RMF347" s="50"/>
      <c r="RMG347" s="50"/>
      <c r="RMH347" s="50"/>
      <c r="RMI347" s="50"/>
      <c r="RMJ347" s="50"/>
      <c r="RMK347" s="50"/>
      <c r="RML347" s="50"/>
      <c r="RMM347" s="50"/>
      <c r="RMN347" s="50"/>
      <c r="RMO347" s="50"/>
      <c r="RMP347" s="50"/>
      <c r="RMQ347" s="50"/>
      <c r="RMR347" s="50"/>
      <c r="RMS347" s="50"/>
      <c r="RMT347" s="50"/>
      <c r="RMU347" s="50"/>
      <c r="RMV347" s="50"/>
      <c r="RMW347" s="50"/>
      <c r="RMX347" s="50"/>
      <c r="RMY347" s="50"/>
      <c r="RMZ347" s="50"/>
      <c r="RNA347" s="50"/>
      <c r="RNB347" s="50"/>
      <c r="RNC347" s="50"/>
      <c r="RND347" s="50"/>
      <c r="RNE347" s="50"/>
      <c r="RNF347" s="50"/>
      <c r="RNG347" s="50"/>
      <c r="RNH347" s="50"/>
      <c r="RNI347" s="50"/>
      <c r="RNJ347" s="50"/>
      <c r="RNK347" s="50"/>
      <c r="RNL347" s="50"/>
      <c r="RNM347" s="50"/>
      <c r="RNN347" s="50"/>
      <c r="RNO347" s="50"/>
      <c r="RNP347" s="50"/>
      <c r="RNQ347" s="50"/>
      <c r="RNR347" s="50"/>
      <c r="RNS347" s="50"/>
      <c r="RNT347" s="50"/>
      <c r="RNU347" s="50"/>
      <c r="RNV347" s="50"/>
      <c r="RNW347" s="50"/>
      <c r="RNX347" s="50"/>
      <c r="RNY347" s="50"/>
      <c r="RNZ347" s="50"/>
      <c r="ROA347" s="50"/>
      <c r="ROB347" s="50"/>
      <c r="ROC347" s="50"/>
      <c r="ROD347" s="50"/>
      <c r="ROE347" s="50"/>
      <c r="ROF347" s="50"/>
      <c r="ROG347" s="50"/>
      <c r="ROH347" s="50"/>
      <c r="ROI347" s="50"/>
      <c r="ROJ347" s="50"/>
      <c r="ROK347" s="50"/>
      <c r="ROL347" s="50"/>
      <c r="ROM347" s="50"/>
      <c r="RON347" s="50"/>
      <c r="ROO347" s="50"/>
      <c r="ROP347" s="50"/>
      <c r="ROQ347" s="50"/>
      <c r="ROR347" s="50"/>
      <c r="ROS347" s="50"/>
      <c r="ROT347" s="50"/>
      <c r="ROU347" s="50"/>
      <c r="ROV347" s="50"/>
      <c r="ROW347" s="50"/>
      <c r="ROX347" s="50"/>
      <c r="ROY347" s="50"/>
      <c r="ROZ347" s="50"/>
      <c r="RPA347" s="50"/>
      <c r="RPB347" s="50"/>
      <c r="RPC347" s="50"/>
      <c r="RPD347" s="50"/>
      <c r="RPE347" s="50"/>
      <c r="RPF347" s="50"/>
      <c r="RPG347" s="50"/>
      <c r="RPH347" s="50"/>
      <c r="RPI347" s="50"/>
      <c r="RPJ347" s="50"/>
      <c r="RPK347" s="50"/>
      <c r="RPL347" s="50"/>
      <c r="RPM347" s="50"/>
      <c r="RPN347" s="50"/>
      <c r="RPO347" s="50"/>
      <c r="RPP347" s="50"/>
      <c r="RPQ347" s="50"/>
      <c r="RPR347" s="50"/>
      <c r="RPS347" s="50"/>
      <c r="RPT347" s="50"/>
      <c r="RPU347" s="50"/>
      <c r="RPV347" s="50"/>
      <c r="RPW347" s="50"/>
      <c r="RPX347" s="50"/>
      <c r="RPY347" s="50"/>
      <c r="RPZ347" s="50"/>
      <c r="RQA347" s="50"/>
      <c r="RQB347" s="50"/>
      <c r="RQC347" s="50"/>
      <c r="RQD347" s="50"/>
      <c r="RQE347" s="50"/>
      <c r="RQF347" s="50"/>
      <c r="RQG347" s="50"/>
      <c r="RQH347" s="50"/>
      <c r="RQI347" s="50"/>
      <c r="RQJ347" s="50"/>
      <c r="RQK347" s="50"/>
      <c r="RQL347" s="50"/>
      <c r="RQM347" s="50"/>
      <c r="RQN347" s="50"/>
      <c r="RQO347" s="50"/>
      <c r="RQP347" s="50"/>
      <c r="RQQ347" s="50"/>
      <c r="RQR347" s="50"/>
      <c r="RQS347" s="50"/>
      <c r="RQT347" s="50"/>
      <c r="RQU347" s="50"/>
      <c r="RQV347" s="50"/>
      <c r="RQW347" s="50"/>
      <c r="RQX347" s="50"/>
      <c r="RQY347" s="50"/>
      <c r="RQZ347" s="50"/>
      <c r="RRA347" s="50"/>
      <c r="RRB347" s="50"/>
      <c r="RRC347" s="50"/>
      <c r="RRD347" s="50"/>
      <c r="RRE347" s="50"/>
      <c r="RRF347" s="50"/>
      <c r="RRG347" s="50"/>
      <c r="RRH347" s="50"/>
      <c r="RRI347" s="50"/>
      <c r="RRJ347" s="50"/>
      <c r="RRK347" s="50"/>
      <c r="RRL347" s="50"/>
      <c r="RRM347" s="50"/>
      <c r="RRN347" s="50"/>
      <c r="RRO347" s="50"/>
      <c r="RRP347" s="50"/>
      <c r="RRQ347" s="50"/>
      <c r="RRR347" s="50"/>
      <c r="RRS347" s="50"/>
      <c r="RRT347" s="50"/>
      <c r="RRU347" s="50"/>
      <c r="RRV347" s="50"/>
      <c r="RRW347" s="50"/>
      <c r="RRX347" s="50"/>
      <c r="RRY347" s="50"/>
      <c r="RRZ347" s="50"/>
      <c r="RSA347" s="50"/>
      <c r="RSB347" s="50"/>
      <c r="RSC347" s="50"/>
      <c r="RSD347" s="50"/>
      <c r="RSE347" s="50"/>
      <c r="RSF347" s="50"/>
      <c r="RSG347" s="50"/>
      <c r="RSH347" s="50"/>
      <c r="RSI347" s="50"/>
      <c r="RSJ347" s="50"/>
      <c r="RSK347" s="50"/>
      <c r="RSL347" s="50"/>
      <c r="RSM347" s="50"/>
      <c r="RSN347" s="50"/>
      <c r="RSO347" s="50"/>
      <c r="RSP347" s="50"/>
      <c r="RSQ347" s="50"/>
      <c r="RSR347" s="50"/>
      <c r="RSS347" s="50"/>
      <c r="RST347" s="50"/>
      <c r="RSU347" s="50"/>
      <c r="RSV347" s="50"/>
      <c r="RSW347" s="50"/>
      <c r="RSX347" s="50"/>
      <c r="RSY347" s="50"/>
      <c r="RSZ347" s="50"/>
      <c r="RTA347" s="50"/>
      <c r="RTB347" s="50"/>
      <c r="RTC347" s="50"/>
      <c r="RTD347" s="50"/>
      <c r="RTE347" s="50"/>
      <c r="RTF347" s="50"/>
      <c r="RTG347" s="50"/>
      <c r="RTH347" s="50"/>
      <c r="RTI347" s="50"/>
      <c r="RTJ347" s="50"/>
      <c r="RTK347" s="50"/>
      <c r="RTL347" s="50"/>
      <c r="RTM347" s="50"/>
      <c r="RTN347" s="50"/>
      <c r="RTO347" s="50"/>
      <c r="RTP347" s="50"/>
      <c r="RTQ347" s="50"/>
      <c r="RTR347" s="50"/>
      <c r="RTS347" s="50"/>
      <c r="RTT347" s="50"/>
      <c r="RTU347" s="50"/>
      <c r="RTV347" s="50"/>
      <c r="RTW347" s="50"/>
      <c r="RTX347" s="50"/>
      <c r="RTY347" s="50"/>
      <c r="RTZ347" s="50"/>
      <c r="RUA347" s="50"/>
      <c r="RUB347" s="50"/>
      <c r="RUC347" s="50"/>
      <c r="RUD347" s="50"/>
      <c r="RUE347" s="50"/>
      <c r="RUF347" s="50"/>
      <c r="RUG347" s="50"/>
      <c r="RUH347" s="50"/>
      <c r="RUI347" s="50"/>
      <c r="RUJ347" s="50"/>
      <c r="RUK347" s="50"/>
      <c r="RUL347" s="50"/>
      <c r="RUM347" s="50"/>
      <c r="RUN347" s="50"/>
      <c r="RUO347" s="50"/>
      <c r="RUP347" s="50"/>
      <c r="RUQ347" s="50"/>
      <c r="RUR347" s="50"/>
      <c r="RUS347" s="50"/>
      <c r="RUT347" s="50"/>
      <c r="RUU347" s="50"/>
      <c r="RUV347" s="50"/>
      <c r="RUW347" s="50"/>
      <c r="RUX347" s="50"/>
      <c r="RUY347" s="50"/>
      <c r="RUZ347" s="50"/>
      <c r="RVA347" s="50"/>
      <c r="RVB347" s="50"/>
      <c r="RVC347" s="50"/>
      <c r="RVD347" s="50"/>
      <c r="RVE347" s="50"/>
      <c r="RVF347" s="50"/>
      <c r="RVG347" s="50"/>
      <c r="RVH347" s="50"/>
      <c r="RVI347" s="50"/>
      <c r="RVJ347" s="50"/>
      <c r="RVK347" s="50"/>
      <c r="RVL347" s="50"/>
      <c r="RVM347" s="50"/>
      <c r="RVN347" s="50"/>
      <c r="RVO347" s="50"/>
      <c r="RVP347" s="50"/>
      <c r="RVQ347" s="50"/>
      <c r="RVR347" s="50"/>
      <c r="RVS347" s="50"/>
      <c r="RVT347" s="50"/>
      <c r="RVU347" s="50"/>
      <c r="RVV347" s="50"/>
      <c r="RVW347" s="50"/>
      <c r="RVX347" s="50"/>
      <c r="RVY347" s="50"/>
      <c r="RVZ347" s="50"/>
      <c r="RWA347" s="50"/>
      <c r="RWB347" s="50"/>
      <c r="RWC347" s="50"/>
      <c r="RWD347" s="50"/>
      <c r="RWE347" s="50"/>
      <c r="RWF347" s="50"/>
      <c r="RWG347" s="50"/>
      <c r="RWH347" s="50"/>
      <c r="RWI347" s="50"/>
      <c r="RWJ347" s="50"/>
      <c r="RWK347" s="50"/>
      <c r="RWL347" s="50"/>
      <c r="RWM347" s="50"/>
      <c r="RWN347" s="50"/>
      <c r="RWO347" s="50"/>
      <c r="RWP347" s="50"/>
      <c r="RWQ347" s="50"/>
      <c r="RWR347" s="50"/>
      <c r="RWS347" s="50"/>
      <c r="RWT347" s="50"/>
      <c r="RWU347" s="50"/>
      <c r="RWV347" s="50"/>
      <c r="RWW347" s="50"/>
      <c r="RWX347" s="50"/>
      <c r="RWY347" s="50"/>
      <c r="RWZ347" s="50"/>
      <c r="RXA347" s="50"/>
      <c r="RXB347" s="50"/>
      <c r="RXC347" s="50"/>
      <c r="RXD347" s="50"/>
      <c r="RXE347" s="50"/>
      <c r="RXF347" s="50"/>
      <c r="RXG347" s="50"/>
      <c r="RXH347" s="50"/>
      <c r="RXI347" s="50"/>
      <c r="RXJ347" s="50"/>
      <c r="RXK347" s="50"/>
      <c r="RXL347" s="50"/>
      <c r="RXM347" s="50"/>
      <c r="RXN347" s="50"/>
      <c r="RXO347" s="50"/>
      <c r="RXP347" s="50"/>
      <c r="RXQ347" s="50"/>
      <c r="RXR347" s="50"/>
      <c r="RXS347" s="50"/>
      <c r="RXT347" s="50"/>
      <c r="RXU347" s="50"/>
      <c r="RXV347" s="50"/>
      <c r="RXW347" s="50"/>
      <c r="RXX347" s="50"/>
      <c r="RXY347" s="50"/>
      <c r="RXZ347" s="50"/>
      <c r="RYA347" s="50"/>
      <c r="RYB347" s="50"/>
      <c r="RYC347" s="50"/>
      <c r="RYD347" s="50"/>
      <c r="RYE347" s="50"/>
      <c r="RYF347" s="50"/>
      <c r="RYG347" s="50"/>
      <c r="RYH347" s="50"/>
      <c r="RYI347" s="50"/>
      <c r="RYJ347" s="50"/>
      <c r="RYK347" s="50"/>
      <c r="RYL347" s="50"/>
      <c r="RYM347" s="50"/>
      <c r="RYN347" s="50"/>
      <c r="RYO347" s="50"/>
      <c r="RYP347" s="50"/>
      <c r="RYQ347" s="50"/>
      <c r="RYR347" s="50"/>
      <c r="RYS347" s="50"/>
      <c r="RYT347" s="50"/>
      <c r="RYU347" s="50"/>
      <c r="RYV347" s="50"/>
      <c r="RYW347" s="50"/>
      <c r="RYX347" s="50"/>
      <c r="RYY347" s="50"/>
      <c r="RYZ347" s="50"/>
      <c r="RZA347" s="50"/>
      <c r="RZB347" s="50"/>
      <c r="RZC347" s="50"/>
      <c r="RZD347" s="50"/>
      <c r="RZE347" s="50"/>
      <c r="RZF347" s="50"/>
      <c r="RZG347" s="50"/>
      <c r="RZH347" s="50"/>
      <c r="RZI347" s="50"/>
      <c r="RZJ347" s="50"/>
      <c r="RZK347" s="50"/>
      <c r="RZL347" s="50"/>
      <c r="RZM347" s="50"/>
      <c r="RZN347" s="50"/>
      <c r="RZO347" s="50"/>
      <c r="RZP347" s="50"/>
      <c r="RZQ347" s="50"/>
      <c r="RZR347" s="50"/>
      <c r="RZS347" s="50"/>
      <c r="RZT347" s="50"/>
      <c r="RZU347" s="50"/>
      <c r="RZV347" s="50"/>
      <c r="RZW347" s="50"/>
      <c r="RZX347" s="50"/>
      <c r="RZY347" s="50"/>
      <c r="RZZ347" s="50"/>
      <c r="SAA347" s="50"/>
      <c r="SAB347" s="50"/>
      <c r="SAC347" s="50"/>
      <c r="SAD347" s="50"/>
      <c r="SAE347" s="50"/>
      <c r="SAF347" s="50"/>
      <c r="SAG347" s="50"/>
      <c r="SAH347" s="50"/>
      <c r="SAI347" s="50"/>
      <c r="SAJ347" s="50"/>
      <c r="SAK347" s="50"/>
      <c r="SAL347" s="50"/>
      <c r="SAM347" s="50"/>
      <c r="SAN347" s="50"/>
      <c r="SAO347" s="50"/>
      <c r="SAP347" s="50"/>
      <c r="SAQ347" s="50"/>
      <c r="SAR347" s="50"/>
      <c r="SAS347" s="50"/>
      <c r="SAT347" s="50"/>
      <c r="SAU347" s="50"/>
      <c r="SAV347" s="50"/>
      <c r="SAW347" s="50"/>
      <c r="SAX347" s="50"/>
      <c r="SAY347" s="50"/>
      <c r="SAZ347" s="50"/>
      <c r="SBA347" s="50"/>
      <c r="SBB347" s="50"/>
      <c r="SBC347" s="50"/>
      <c r="SBD347" s="50"/>
      <c r="SBE347" s="50"/>
      <c r="SBF347" s="50"/>
      <c r="SBG347" s="50"/>
      <c r="SBH347" s="50"/>
      <c r="SBI347" s="50"/>
      <c r="SBJ347" s="50"/>
      <c r="SBK347" s="50"/>
      <c r="SBL347" s="50"/>
      <c r="SBM347" s="50"/>
      <c r="SBN347" s="50"/>
      <c r="SBO347" s="50"/>
      <c r="SBP347" s="50"/>
      <c r="SBQ347" s="50"/>
      <c r="SBR347" s="50"/>
      <c r="SBS347" s="50"/>
      <c r="SBT347" s="50"/>
      <c r="SBU347" s="50"/>
      <c r="SBV347" s="50"/>
      <c r="SBW347" s="50"/>
      <c r="SBX347" s="50"/>
      <c r="SBY347" s="50"/>
      <c r="SBZ347" s="50"/>
      <c r="SCA347" s="50"/>
      <c r="SCB347" s="50"/>
      <c r="SCC347" s="50"/>
      <c r="SCD347" s="50"/>
      <c r="SCE347" s="50"/>
      <c r="SCF347" s="50"/>
      <c r="SCG347" s="50"/>
      <c r="SCH347" s="50"/>
      <c r="SCI347" s="50"/>
      <c r="SCJ347" s="50"/>
      <c r="SCK347" s="50"/>
      <c r="SCL347" s="50"/>
      <c r="SCM347" s="50"/>
      <c r="SCN347" s="50"/>
      <c r="SCO347" s="50"/>
      <c r="SCP347" s="50"/>
      <c r="SCQ347" s="50"/>
      <c r="SCR347" s="50"/>
      <c r="SCS347" s="50"/>
      <c r="SCT347" s="50"/>
      <c r="SCU347" s="50"/>
      <c r="SCV347" s="50"/>
      <c r="SCW347" s="50"/>
      <c r="SCX347" s="50"/>
      <c r="SCY347" s="50"/>
      <c r="SCZ347" s="50"/>
      <c r="SDA347" s="50"/>
      <c r="SDB347" s="50"/>
      <c r="SDC347" s="50"/>
      <c r="SDD347" s="50"/>
      <c r="SDE347" s="50"/>
      <c r="SDF347" s="50"/>
      <c r="SDG347" s="50"/>
      <c r="SDH347" s="50"/>
      <c r="SDI347" s="50"/>
      <c r="SDJ347" s="50"/>
      <c r="SDK347" s="50"/>
      <c r="SDL347" s="50"/>
      <c r="SDM347" s="50"/>
      <c r="SDN347" s="50"/>
      <c r="SDO347" s="50"/>
      <c r="SDP347" s="50"/>
      <c r="SDQ347" s="50"/>
      <c r="SDR347" s="50"/>
      <c r="SDS347" s="50"/>
      <c r="SDT347" s="50"/>
      <c r="SDU347" s="50"/>
      <c r="SDV347" s="50"/>
      <c r="SDW347" s="50"/>
      <c r="SDX347" s="50"/>
      <c r="SDY347" s="50"/>
      <c r="SDZ347" s="50"/>
      <c r="SEA347" s="50"/>
      <c r="SEB347" s="50"/>
      <c r="SEC347" s="50"/>
      <c r="SED347" s="50"/>
      <c r="SEE347" s="50"/>
      <c r="SEF347" s="50"/>
      <c r="SEG347" s="50"/>
      <c r="SEH347" s="50"/>
      <c r="SEI347" s="50"/>
      <c r="SEJ347" s="50"/>
      <c r="SEK347" s="50"/>
      <c r="SEL347" s="50"/>
      <c r="SEM347" s="50"/>
      <c r="SEN347" s="50"/>
      <c r="SEO347" s="50"/>
      <c r="SEP347" s="50"/>
      <c r="SEQ347" s="50"/>
      <c r="SER347" s="50"/>
      <c r="SES347" s="50"/>
      <c r="SET347" s="50"/>
      <c r="SEU347" s="50"/>
      <c r="SEV347" s="50"/>
      <c r="SEW347" s="50"/>
      <c r="SEX347" s="50"/>
      <c r="SEY347" s="50"/>
      <c r="SEZ347" s="50"/>
      <c r="SFA347" s="50"/>
      <c r="SFB347" s="50"/>
      <c r="SFC347" s="50"/>
      <c r="SFD347" s="50"/>
      <c r="SFE347" s="50"/>
      <c r="SFF347" s="50"/>
      <c r="SFG347" s="50"/>
      <c r="SFH347" s="50"/>
      <c r="SFI347" s="50"/>
      <c r="SFJ347" s="50"/>
      <c r="SFK347" s="50"/>
      <c r="SFL347" s="50"/>
      <c r="SFM347" s="50"/>
      <c r="SFN347" s="50"/>
      <c r="SFO347" s="50"/>
      <c r="SFP347" s="50"/>
      <c r="SFQ347" s="50"/>
      <c r="SFR347" s="50"/>
      <c r="SFS347" s="50"/>
      <c r="SFT347" s="50"/>
      <c r="SFU347" s="50"/>
      <c r="SFV347" s="50"/>
      <c r="SFW347" s="50"/>
      <c r="SFX347" s="50"/>
      <c r="SFY347" s="50"/>
      <c r="SFZ347" s="50"/>
      <c r="SGA347" s="50"/>
      <c r="SGB347" s="50"/>
      <c r="SGC347" s="50"/>
      <c r="SGD347" s="50"/>
      <c r="SGE347" s="50"/>
      <c r="SGF347" s="50"/>
      <c r="SGG347" s="50"/>
      <c r="SGH347" s="50"/>
      <c r="SGI347" s="50"/>
      <c r="SGJ347" s="50"/>
      <c r="SGK347" s="50"/>
      <c r="SGL347" s="50"/>
      <c r="SGM347" s="50"/>
      <c r="SGN347" s="50"/>
      <c r="SGO347" s="50"/>
      <c r="SGP347" s="50"/>
      <c r="SGQ347" s="50"/>
      <c r="SGR347" s="50"/>
      <c r="SGS347" s="50"/>
      <c r="SGT347" s="50"/>
      <c r="SGU347" s="50"/>
      <c r="SGV347" s="50"/>
      <c r="SGW347" s="50"/>
      <c r="SGX347" s="50"/>
      <c r="SGY347" s="50"/>
      <c r="SGZ347" s="50"/>
      <c r="SHA347" s="50"/>
      <c r="SHB347" s="50"/>
      <c r="SHC347" s="50"/>
      <c r="SHD347" s="50"/>
      <c r="SHE347" s="50"/>
      <c r="SHF347" s="50"/>
      <c r="SHG347" s="50"/>
      <c r="SHH347" s="50"/>
      <c r="SHI347" s="50"/>
      <c r="SHJ347" s="50"/>
      <c r="SHK347" s="50"/>
      <c r="SHL347" s="50"/>
      <c r="SHM347" s="50"/>
      <c r="SHN347" s="50"/>
      <c r="SHO347" s="50"/>
      <c r="SHP347" s="50"/>
      <c r="SHQ347" s="50"/>
      <c r="SHR347" s="50"/>
      <c r="SHS347" s="50"/>
      <c r="SHT347" s="50"/>
      <c r="SHU347" s="50"/>
      <c r="SHV347" s="50"/>
      <c r="SHW347" s="50"/>
      <c r="SHX347" s="50"/>
      <c r="SHY347" s="50"/>
      <c r="SHZ347" s="50"/>
      <c r="SIA347" s="50"/>
      <c r="SIB347" s="50"/>
      <c r="SIC347" s="50"/>
      <c r="SID347" s="50"/>
      <c r="SIE347" s="50"/>
      <c r="SIF347" s="50"/>
      <c r="SIG347" s="50"/>
      <c r="SIH347" s="50"/>
      <c r="SII347" s="50"/>
      <c r="SIJ347" s="50"/>
      <c r="SIK347" s="50"/>
      <c r="SIL347" s="50"/>
      <c r="SIM347" s="50"/>
      <c r="SIN347" s="50"/>
      <c r="SIO347" s="50"/>
      <c r="SIP347" s="50"/>
      <c r="SIQ347" s="50"/>
      <c r="SIR347" s="50"/>
      <c r="SIS347" s="50"/>
      <c r="SIT347" s="50"/>
      <c r="SIU347" s="50"/>
      <c r="SIV347" s="50"/>
      <c r="SIW347" s="50"/>
      <c r="SIX347" s="50"/>
      <c r="SIY347" s="50"/>
      <c r="SIZ347" s="50"/>
      <c r="SJA347" s="50"/>
      <c r="SJB347" s="50"/>
      <c r="SJC347" s="50"/>
      <c r="SJD347" s="50"/>
      <c r="SJE347" s="50"/>
      <c r="SJF347" s="50"/>
      <c r="SJG347" s="50"/>
      <c r="SJH347" s="50"/>
      <c r="SJI347" s="50"/>
      <c r="SJJ347" s="50"/>
      <c r="SJK347" s="50"/>
      <c r="SJL347" s="50"/>
      <c r="SJM347" s="50"/>
      <c r="SJN347" s="50"/>
      <c r="SJO347" s="50"/>
      <c r="SJP347" s="50"/>
      <c r="SJQ347" s="50"/>
      <c r="SJR347" s="50"/>
      <c r="SJS347" s="50"/>
      <c r="SJT347" s="50"/>
      <c r="SJU347" s="50"/>
      <c r="SJV347" s="50"/>
      <c r="SJW347" s="50"/>
      <c r="SJX347" s="50"/>
      <c r="SJY347" s="50"/>
      <c r="SJZ347" s="50"/>
      <c r="SKA347" s="50"/>
      <c r="SKB347" s="50"/>
      <c r="SKC347" s="50"/>
      <c r="SKD347" s="50"/>
      <c r="SKE347" s="50"/>
      <c r="SKF347" s="50"/>
      <c r="SKG347" s="50"/>
      <c r="SKH347" s="50"/>
      <c r="SKI347" s="50"/>
      <c r="SKJ347" s="50"/>
      <c r="SKK347" s="50"/>
      <c r="SKL347" s="50"/>
      <c r="SKM347" s="50"/>
      <c r="SKN347" s="50"/>
      <c r="SKO347" s="50"/>
      <c r="SKP347" s="50"/>
      <c r="SKQ347" s="50"/>
      <c r="SKR347" s="50"/>
      <c r="SKS347" s="50"/>
      <c r="SKT347" s="50"/>
      <c r="SKU347" s="50"/>
      <c r="SKV347" s="50"/>
      <c r="SKW347" s="50"/>
      <c r="SKX347" s="50"/>
      <c r="SKY347" s="50"/>
      <c r="SKZ347" s="50"/>
      <c r="SLA347" s="50"/>
      <c r="SLB347" s="50"/>
      <c r="SLC347" s="50"/>
      <c r="SLD347" s="50"/>
      <c r="SLE347" s="50"/>
      <c r="SLF347" s="50"/>
      <c r="SLG347" s="50"/>
      <c r="SLH347" s="50"/>
      <c r="SLI347" s="50"/>
      <c r="SLJ347" s="50"/>
      <c r="SLK347" s="50"/>
      <c r="SLL347" s="50"/>
      <c r="SLM347" s="50"/>
      <c r="SLN347" s="50"/>
      <c r="SLO347" s="50"/>
      <c r="SLP347" s="50"/>
      <c r="SLQ347" s="50"/>
      <c r="SLR347" s="50"/>
      <c r="SLS347" s="50"/>
      <c r="SLT347" s="50"/>
      <c r="SLU347" s="50"/>
      <c r="SLV347" s="50"/>
      <c r="SLW347" s="50"/>
      <c r="SLX347" s="50"/>
      <c r="SLY347" s="50"/>
      <c r="SLZ347" s="50"/>
      <c r="SMA347" s="50"/>
      <c r="SMB347" s="50"/>
      <c r="SMC347" s="50"/>
      <c r="SMD347" s="50"/>
      <c r="SME347" s="50"/>
      <c r="SMF347" s="50"/>
      <c r="SMG347" s="50"/>
      <c r="SMH347" s="50"/>
      <c r="SMI347" s="50"/>
      <c r="SMJ347" s="50"/>
      <c r="SMK347" s="50"/>
      <c r="SML347" s="50"/>
      <c r="SMM347" s="50"/>
      <c r="SMN347" s="50"/>
      <c r="SMO347" s="50"/>
      <c r="SMP347" s="50"/>
      <c r="SMQ347" s="50"/>
      <c r="SMR347" s="50"/>
      <c r="SMS347" s="50"/>
      <c r="SMT347" s="50"/>
      <c r="SMU347" s="50"/>
      <c r="SMV347" s="50"/>
      <c r="SMW347" s="50"/>
      <c r="SMX347" s="50"/>
      <c r="SMY347" s="50"/>
      <c r="SMZ347" s="50"/>
      <c r="SNA347" s="50"/>
      <c r="SNB347" s="50"/>
      <c r="SNC347" s="50"/>
      <c r="SND347" s="50"/>
      <c r="SNE347" s="50"/>
      <c r="SNF347" s="50"/>
      <c r="SNG347" s="50"/>
      <c r="SNH347" s="50"/>
      <c r="SNI347" s="50"/>
      <c r="SNJ347" s="50"/>
      <c r="SNK347" s="50"/>
      <c r="SNL347" s="50"/>
      <c r="SNM347" s="50"/>
      <c r="SNN347" s="50"/>
      <c r="SNO347" s="50"/>
      <c r="SNP347" s="50"/>
      <c r="SNQ347" s="50"/>
      <c r="SNR347" s="50"/>
      <c r="SNS347" s="50"/>
      <c r="SNT347" s="50"/>
      <c r="SNU347" s="50"/>
      <c r="SNV347" s="50"/>
      <c r="SNW347" s="50"/>
      <c r="SNX347" s="50"/>
      <c r="SNY347" s="50"/>
      <c r="SNZ347" s="50"/>
      <c r="SOA347" s="50"/>
      <c r="SOB347" s="50"/>
      <c r="SOC347" s="50"/>
      <c r="SOD347" s="50"/>
      <c r="SOE347" s="50"/>
      <c r="SOF347" s="50"/>
      <c r="SOG347" s="50"/>
      <c r="SOH347" s="50"/>
      <c r="SOI347" s="50"/>
      <c r="SOJ347" s="50"/>
      <c r="SOK347" s="50"/>
      <c r="SOL347" s="50"/>
      <c r="SOM347" s="50"/>
      <c r="SON347" s="50"/>
      <c r="SOO347" s="50"/>
      <c r="SOP347" s="50"/>
      <c r="SOQ347" s="50"/>
      <c r="SOR347" s="50"/>
      <c r="SOS347" s="50"/>
      <c r="SOT347" s="50"/>
      <c r="SOU347" s="50"/>
      <c r="SOV347" s="50"/>
      <c r="SOW347" s="50"/>
      <c r="SOX347" s="50"/>
      <c r="SOY347" s="50"/>
      <c r="SOZ347" s="50"/>
      <c r="SPA347" s="50"/>
      <c r="SPB347" s="50"/>
      <c r="SPC347" s="50"/>
      <c r="SPD347" s="50"/>
      <c r="SPE347" s="50"/>
      <c r="SPF347" s="50"/>
      <c r="SPG347" s="50"/>
      <c r="SPH347" s="50"/>
      <c r="SPI347" s="50"/>
      <c r="SPJ347" s="50"/>
      <c r="SPK347" s="50"/>
      <c r="SPL347" s="50"/>
      <c r="SPM347" s="50"/>
      <c r="SPN347" s="50"/>
      <c r="SPO347" s="50"/>
      <c r="SPP347" s="50"/>
      <c r="SPQ347" s="50"/>
      <c r="SPR347" s="50"/>
      <c r="SPS347" s="50"/>
      <c r="SPT347" s="50"/>
      <c r="SPU347" s="50"/>
      <c r="SPV347" s="50"/>
      <c r="SPW347" s="50"/>
      <c r="SPX347" s="50"/>
      <c r="SPY347" s="50"/>
      <c r="SPZ347" s="50"/>
      <c r="SQA347" s="50"/>
      <c r="SQB347" s="50"/>
      <c r="SQC347" s="50"/>
      <c r="SQD347" s="50"/>
      <c r="SQE347" s="50"/>
      <c r="SQF347" s="50"/>
      <c r="SQG347" s="50"/>
      <c r="SQH347" s="50"/>
      <c r="SQI347" s="50"/>
      <c r="SQJ347" s="50"/>
      <c r="SQK347" s="50"/>
      <c r="SQL347" s="50"/>
      <c r="SQM347" s="50"/>
      <c r="SQN347" s="50"/>
      <c r="SQO347" s="50"/>
      <c r="SQP347" s="50"/>
      <c r="SQQ347" s="50"/>
      <c r="SQR347" s="50"/>
      <c r="SQS347" s="50"/>
      <c r="SQT347" s="50"/>
      <c r="SQU347" s="50"/>
      <c r="SQV347" s="50"/>
      <c r="SQW347" s="50"/>
      <c r="SQX347" s="50"/>
      <c r="SQY347" s="50"/>
      <c r="SQZ347" s="50"/>
      <c r="SRA347" s="50"/>
      <c r="SRB347" s="50"/>
      <c r="SRC347" s="50"/>
      <c r="SRD347" s="50"/>
      <c r="SRE347" s="50"/>
      <c r="SRF347" s="50"/>
      <c r="SRG347" s="50"/>
      <c r="SRH347" s="50"/>
      <c r="SRI347" s="50"/>
      <c r="SRJ347" s="50"/>
      <c r="SRK347" s="50"/>
      <c r="SRL347" s="50"/>
      <c r="SRM347" s="50"/>
      <c r="SRN347" s="50"/>
      <c r="SRO347" s="50"/>
      <c r="SRP347" s="50"/>
      <c r="SRQ347" s="50"/>
      <c r="SRR347" s="50"/>
      <c r="SRS347" s="50"/>
      <c r="SRT347" s="50"/>
      <c r="SRU347" s="50"/>
      <c r="SRV347" s="50"/>
      <c r="SRW347" s="50"/>
      <c r="SRX347" s="50"/>
      <c r="SRY347" s="50"/>
      <c r="SRZ347" s="50"/>
      <c r="SSA347" s="50"/>
      <c r="SSB347" s="50"/>
      <c r="SSC347" s="50"/>
      <c r="SSD347" s="50"/>
      <c r="SSE347" s="50"/>
      <c r="SSF347" s="50"/>
      <c r="SSG347" s="50"/>
      <c r="SSH347" s="50"/>
      <c r="SSI347" s="50"/>
      <c r="SSJ347" s="50"/>
      <c r="SSK347" s="50"/>
      <c r="SSL347" s="50"/>
      <c r="SSM347" s="50"/>
      <c r="SSN347" s="50"/>
      <c r="SSO347" s="50"/>
      <c r="SSP347" s="50"/>
      <c r="SSQ347" s="50"/>
      <c r="SSR347" s="50"/>
      <c r="SSS347" s="50"/>
      <c r="SST347" s="50"/>
      <c r="SSU347" s="50"/>
      <c r="SSV347" s="50"/>
      <c r="SSW347" s="50"/>
      <c r="SSX347" s="50"/>
      <c r="SSY347" s="50"/>
      <c r="SSZ347" s="50"/>
      <c r="STA347" s="50"/>
      <c r="STB347" s="50"/>
      <c r="STC347" s="50"/>
      <c r="STD347" s="50"/>
      <c r="STE347" s="50"/>
      <c r="STF347" s="50"/>
      <c r="STG347" s="50"/>
      <c r="STH347" s="50"/>
      <c r="STI347" s="50"/>
      <c r="STJ347" s="50"/>
      <c r="STK347" s="50"/>
      <c r="STL347" s="50"/>
      <c r="STM347" s="50"/>
      <c r="STN347" s="50"/>
      <c r="STO347" s="50"/>
      <c r="STP347" s="50"/>
      <c r="STQ347" s="50"/>
      <c r="STR347" s="50"/>
      <c r="STS347" s="50"/>
      <c r="STT347" s="50"/>
      <c r="STU347" s="50"/>
      <c r="STV347" s="50"/>
      <c r="STW347" s="50"/>
      <c r="STX347" s="50"/>
      <c r="STY347" s="50"/>
      <c r="STZ347" s="50"/>
      <c r="SUA347" s="50"/>
      <c r="SUB347" s="50"/>
      <c r="SUC347" s="50"/>
      <c r="SUD347" s="50"/>
      <c r="SUE347" s="50"/>
      <c r="SUF347" s="50"/>
      <c r="SUG347" s="50"/>
      <c r="SUH347" s="50"/>
      <c r="SUI347" s="50"/>
      <c r="SUJ347" s="50"/>
      <c r="SUK347" s="50"/>
      <c r="SUL347" s="50"/>
      <c r="SUM347" s="50"/>
      <c r="SUN347" s="50"/>
      <c r="SUO347" s="50"/>
      <c r="SUP347" s="50"/>
      <c r="SUQ347" s="50"/>
      <c r="SUR347" s="50"/>
      <c r="SUS347" s="50"/>
      <c r="SUT347" s="50"/>
      <c r="SUU347" s="50"/>
      <c r="SUV347" s="50"/>
      <c r="SUW347" s="50"/>
      <c r="SUX347" s="50"/>
      <c r="SUY347" s="50"/>
      <c r="SUZ347" s="50"/>
      <c r="SVA347" s="50"/>
      <c r="SVB347" s="50"/>
      <c r="SVC347" s="50"/>
      <c r="SVD347" s="50"/>
      <c r="SVE347" s="50"/>
      <c r="SVF347" s="50"/>
      <c r="SVG347" s="50"/>
      <c r="SVH347" s="50"/>
      <c r="SVI347" s="50"/>
      <c r="SVJ347" s="50"/>
      <c r="SVK347" s="50"/>
      <c r="SVL347" s="50"/>
      <c r="SVM347" s="50"/>
      <c r="SVN347" s="50"/>
      <c r="SVO347" s="50"/>
      <c r="SVP347" s="50"/>
      <c r="SVQ347" s="50"/>
      <c r="SVR347" s="50"/>
      <c r="SVS347" s="50"/>
      <c r="SVT347" s="50"/>
      <c r="SVU347" s="50"/>
      <c r="SVV347" s="50"/>
      <c r="SVW347" s="50"/>
      <c r="SVX347" s="50"/>
      <c r="SVY347" s="50"/>
      <c r="SVZ347" s="50"/>
      <c r="SWA347" s="50"/>
      <c r="SWB347" s="50"/>
      <c r="SWC347" s="50"/>
      <c r="SWD347" s="50"/>
      <c r="SWE347" s="50"/>
      <c r="SWF347" s="50"/>
      <c r="SWG347" s="50"/>
      <c r="SWH347" s="50"/>
      <c r="SWI347" s="50"/>
      <c r="SWJ347" s="50"/>
      <c r="SWK347" s="50"/>
      <c r="SWL347" s="50"/>
      <c r="SWM347" s="50"/>
      <c r="SWN347" s="50"/>
      <c r="SWO347" s="50"/>
      <c r="SWP347" s="50"/>
      <c r="SWQ347" s="50"/>
      <c r="SWR347" s="50"/>
      <c r="SWS347" s="50"/>
      <c r="SWT347" s="50"/>
      <c r="SWU347" s="50"/>
      <c r="SWV347" s="50"/>
      <c r="SWW347" s="50"/>
      <c r="SWX347" s="50"/>
      <c r="SWY347" s="50"/>
      <c r="SWZ347" s="50"/>
      <c r="SXA347" s="50"/>
      <c r="SXB347" s="50"/>
      <c r="SXC347" s="50"/>
      <c r="SXD347" s="50"/>
      <c r="SXE347" s="50"/>
      <c r="SXF347" s="50"/>
      <c r="SXG347" s="50"/>
      <c r="SXH347" s="50"/>
      <c r="SXI347" s="50"/>
      <c r="SXJ347" s="50"/>
      <c r="SXK347" s="50"/>
      <c r="SXL347" s="50"/>
      <c r="SXM347" s="50"/>
      <c r="SXN347" s="50"/>
      <c r="SXO347" s="50"/>
      <c r="SXP347" s="50"/>
      <c r="SXQ347" s="50"/>
      <c r="SXR347" s="50"/>
      <c r="SXS347" s="50"/>
      <c r="SXT347" s="50"/>
      <c r="SXU347" s="50"/>
      <c r="SXV347" s="50"/>
      <c r="SXW347" s="50"/>
      <c r="SXX347" s="50"/>
      <c r="SXY347" s="50"/>
      <c r="SXZ347" s="50"/>
      <c r="SYA347" s="50"/>
      <c r="SYB347" s="50"/>
      <c r="SYC347" s="50"/>
      <c r="SYD347" s="50"/>
      <c r="SYE347" s="50"/>
      <c r="SYF347" s="50"/>
      <c r="SYG347" s="50"/>
      <c r="SYH347" s="50"/>
      <c r="SYI347" s="50"/>
      <c r="SYJ347" s="50"/>
      <c r="SYK347" s="50"/>
      <c r="SYL347" s="50"/>
      <c r="SYM347" s="50"/>
      <c r="SYN347" s="50"/>
      <c r="SYO347" s="50"/>
      <c r="SYP347" s="50"/>
      <c r="SYQ347" s="50"/>
      <c r="SYR347" s="50"/>
      <c r="SYS347" s="50"/>
      <c r="SYT347" s="50"/>
      <c r="SYU347" s="50"/>
      <c r="SYV347" s="50"/>
      <c r="SYW347" s="50"/>
      <c r="SYX347" s="50"/>
      <c r="SYY347" s="50"/>
      <c r="SYZ347" s="50"/>
      <c r="SZA347" s="50"/>
      <c r="SZB347" s="50"/>
      <c r="SZC347" s="50"/>
      <c r="SZD347" s="50"/>
      <c r="SZE347" s="50"/>
      <c r="SZF347" s="50"/>
      <c r="SZG347" s="50"/>
      <c r="SZH347" s="50"/>
      <c r="SZI347" s="50"/>
      <c r="SZJ347" s="50"/>
      <c r="SZK347" s="50"/>
      <c r="SZL347" s="50"/>
      <c r="SZM347" s="50"/>
      <c r="SZN347" s="50"/>
      <c r="SZO347" s="50"/>
      <c r="SZP347" s="50"/>
      <c r="SZQ347" s="50"/>
      <c r="SZR347" s="50"/>
      <c r="SZS347" s="50"/>
      <c r="SZT347" s="50"/>
      <c r="SZU347" s="50"/>
      <c r="SZV347" s="50"/>
      <c r="SZW347" s="50"/>
      <c r="SZX347" s="50"/>
      <c r="SZY347" s="50"/>
      <c r="SZZ347" s="50"/>
      <c r="TAA347" s="50"/>
      <c r="TAB347" s="50"/>
      <c r="TAC347" s="50"/>
      <c r="TAD347" s="50"/>
      <c r="TAE347" s="50"/>
      <c r="TAF347" s="50"/>
      <c r="TAG347" s="50"/>
      <c r="TAH347" s="50"/>
      <c r="TAI347" s="50"/>
      <c r="TAJ347" s="50"/>
      <c r="TAK347" s="50"/>
      <c r="TAL347" s="50"/>
      <c r="TAM347" s="50"/>
      <c r="TAN347" s="50"/>
      <c r="TAO347" s="50"/>
      <c r="TAP347" s="50"/>
      <c r="TAQ347" s="50"/>
      <c r="TAR347" s="50"/>
      <c r="TAS347" s="50"/>
      <c r="TAT347" s="50"/>
      <c r="TAU347" s="50"/>
      <c r="TAV347" s="50"/>
      <c r="TAW347" s="50"/>
      <c r="TAX347" s="50"/>
      <c r="TAY347" s="50"/>
      <c r="TAZ347" s="50"/>
      <c r="TBA347" s="50"/>
      <c r="TBB347" s="50"/>
      <c r="TBC347" s="50"/>
      <c r="TBD347" s="50"/>
      <c r="TBE347" s="50"/>
      <c r="TBF347" s="50"/>
      <c r="TBG347" s="50"/>
      <c r="TBH347" s="50"/>
      <c r="TBI347" s="50"/>
      <c r="TBJ347" s="50"/>
      <c r="TBK347" s="50"/>
      <c r="TBL347" s="50"/>
      <c r="TBM347" s="50"/>
      <c r="TBN347" s="50"/>
      <c r="TBO347" s="50"/>
      <c r="TBP347" s="50"/>
      <c r="TBQ347" s="50"/>
      <c r="TBR347" s="50"/>
      <c r="TBS347" s="50"/>
      <c r="TBT347" s="50"/>
      <c r="TBU347" s="50"/>
      <c r="TBV347" s="50"/>
      <c r="TBW347" s="50"/>
      <c r="TBX347" s="50"/>
      <c r="TBY347" s="50"/>
      <c r="TBZ347" s="50"/>
      <c r="TCA347" s="50"/>
      <c r="TCB347" s="50"/>
      <c r="TCC347" s="50"/>
      <c r="TCD347" s="50"/>
      <c r="TCE347" s="50"/>
      <c r="TCF347" s="50"/>
      <c r="TCG347" s="50"/>
      <c r="TCH347" s="50"/>
      <c r="TCI347" s="50"/>
      <c r="TCJ347" s="50"/>
      <c r="TCK347" s="50"/>
      <c r="TCL347" s="50"/>
      <c r="TCM347" s="50"/>
      <c r="TCN347" s="50"/>
      <c r="TCO347" s="50"/>
      <c r="TCP347" s="50"/>
      <c r="TCQ347" s="50"/>
      <c r="TCR347" s="50"/>
      <c r="TCS347" s="50"/>
      <c r="TCT347" s="50"/>
      <c r="TCU347" s="50"/>
      <c r="TCV347" s="50"/>
      <c r="TCW347" s="50"/>
      <c r="TCX347" s="50"/>
      <c r="TCY347" s="50"/>
      <c r="TCZ347" s="50"/>
      <c r="TDA347" s="50"/>
      <c r="TDB347" s="50"/>
      <c r="TDC347" s="50"/>
      <c r="TDD347" s="50"/>
      <c r="TDE347" s="50"/>
      <c r="TDF347" s="50"/>
      <c r="TDG347" s="50"/>
      <c r="TDH347" s="50"/>
      <c r="TDI347" s="50"/>
      <c r="TDJ347" s="50"/>
      <c r="TDK347" s="50"/>
      <c r="TDL347" s="50"/>
      <c r="TDM347" s="50"/>
      <c r="TDN347" s="50"/>
      <c r="TDO347" s="50"/>
      <c r="TDP347" s="50"/>
      <c r="TDQ347" s="50"/>
      <c r="TDR347" s="50"/>
      <c r="TDS347" s="50"/>
      <c r="TDT347" s="50"/>
      <c r="TDU347" s="50"/>
      <c r="TDV347" s="50"/>
      <c r="TDW347" s="50"/>
      <c r="TDX347" s="50"/>
      <c r="TDY347" s="50"/>
      <c r="TDZ347" s="50"/>
      <c r="TEA347" s="50"/>
      <c r="TEB347" s="50"/>
      <c r="TEC347" s="50"/>
      <c r="TED347" s="50"/>
      <c r="TEE347" s="50"/>
      <c r="TEF347" s="50"/>
      <c r="TEG347" s="50"/>
      <c r="TEH347" s="50"/>
      <c r="TEI347" s="50"/>
      <c r="TEJ347" s="50"/>
      <c r="TEK347" s="50"/>
      <c r="TEL347" s="50"/>
      <c r="TEM347" s="50"/>
      <c r="TEN347" s="50"/>
      <c r="TEO347" s="50"/>
      <c r="TEP347" s="50"/>
      <c r="TEQ347" s="50"/>
      <c r="TER347" s="50"/>
      <c r="TES347" s="50"/>
      <c r="TET347" s="50"/>
      <c r="TEU347" s="50"/>
      <c r="TEV347" s="50"/>
      <c r="TEW347" s="50"/>
      <c r="TEX347" s="50"/>
      <c r="TEY347" s="50"/>
      <c r="TEZ347" s="50"/>
      <c r="TFA347" s="50"/>
      <c r="TFB347" s="50"/>
      <c r="TFC347" s="50"/>
      <c r="TFD347" s="50"/>
      <c r="TFE347" s="50"/>
      <c r="TFF347" s="50"/>
      <c r="TFG347" s="50"/>
      <c r="TFH347" s="50"/>
      <c r="TFI347" s="50"/>
      <c r="TFJ347" s="50"/>
      <c r="TFK347" s="50"/>
      <c r="TFL347" s="50"/>
      <c r="TFM347" s="50"/>
      <c r="TFN347" s="50"/>
      <c r="TFO347" s="50"/>
      <c r="TFP347" s="50"/>
      <c r="TFQ347" s="50"/>
      <c r="TFR347" s="50"/>
      <c r="TFS347" s="50"/>
      <c r="TFT347" s="50"/>
      <c r="TFU347" s="50"/>
      <c r="TFV347" s="50"/>
      <c r="TFW347" s="50"/>
      <c r="TFX347" s="50"/>
      <c r="TFY347" s="50"/>
      <c r="TFZ347" s="50"/>
      <c r="TGA347" s="50"/>
      <c r="TGB347" s="50"/>
      <c r="TGC347" s="50"/>
      <c r="TGD347" s="50"/>
      <c r="TGE347" s="50"/>
      <c r="TGF347" s="50"/>
      <c r="TGG347" s="50"/>
      <c r="TGH347" s="50"/>
      <c r="TGI347" s="50"/>
      <c r="TGJ347" s="50"/>
      <c r="TGK347" s="50"/>
      <c r="TGL347" s="50"/>
      <c r="TGM347" s="50"/>
      <c r="TGN347" s="50"/>
      <c r="TGO347" s="50"/>
      <c r="TGP347" s="50"/>
      <c r="TGQ347" s="50"/>
      <c r="TGR347" s="50"/>
      <c r="TGS347" s="50"/>
      <c r="TGT347" s="50"/>
      <c r="TGU347" s="50"/>
      <c r="TGV347" s="50"/>
      <c r="TGW347" s="50"/>
      <c r="TGX347" s="50"/>
      <c r="TGY347" s="50"/>
      <c r="TGZ347" s="50"/>
      <c r="THA347" s="50"/>
      <c r="THB347" s="50"/>
      <c r="THC347" s="50"/>
      <c r="THD347" s="50"/>
      <c r="THE347" s="50"/>
      <c r="THF347" s="50"/>
      <c r="THG347" s="50"/>
      <c r="THH347" s="50"/>
      <c r="THI347" s="50"/>
      <c r="THJ347" s="50"/>
      <c r="THK347" s="50"/>
      <c r="THL347" s="50"/>
      <c r="THM347" s="50"/>
      <c r="THN347" s="50"/>
      <c r="THO347" s="50"/>
      <c r="THP347" s="50"/>
      <c r="THQ347" s="50"/>
      <c r="THR347" s="50"/>
      <c r="THS347" s="50"/>
      <c r="THT347" s="50"/>
      <c r="THU347" s="50"/>
      <c r="THV347" s="50"/>
      <c r="THW347" s="50"/>
      <c r="THX347" s="50"/>
      <c r="THY347" s="50"/>
      <c r="THZ347" s="50"/>
      <c r="TIA347" s="50"/>
      <c r="TIB347" s="50"/>
      <c r="TIC347" s="50"/>
      <c r="TID347" s="50"/>
      <c r="TIE347" s="50"/>
      <c r="TIF347" s="50"/>
      <c r="TIG347" s="50"/>
      <c r="TIH347" s="50"/>
      <c r="TII347" s="50"/>
      <c r="TIJ347" s="50"/>
      <c r="TIK347" s="50"/>
      <c r="TIL347" s="50"/>
      <c r="TIM347" s="50"/>
      <c r="TIN347" s="50"/>
      <c r="TIO347" s="50"/>
      <c r="TIP347" s="50"/>
      <c r="TIQ347" s="50"/>
      <c r="TIR347" s="50"/>
      <c r="TIS347" s="50"/>
      <c r="TIT347" s="50"/>
      <c r="TIU347" s="50"/>
      <c r="TIV347" s="50"/>
      <c r="TIW347" s="50"/>
      <c r="TIX347" s="50"/>
      <c r="TIY347" s="50"/>
      <c r="TIZ347" s="50"/>
      <c r="TJA347" s="50"/>
      <c r="TJB347" s="50"/>
      <c r="TJC347" s="50"/>
      <c r="TJD347" s="50"/>
      <c r="TJE347" s="50"/>
      <c r="TJF347" s="50"/>
      <c r="TJG347" s="50"/>
      <c r="TJH347" s="50"/>
      <c r="TJI347" s="50"/>
      <c r="TJJ347" s="50"/>
      <c r="TJK347" s="50"/>
      <c r="TJL347" s="50"/>
      <c r="TJM347" s="50"/>
      <c r="TJN347" s="50"/>
      <c r="TJO347" s="50"/>
      <c r="TJP347" s="50"/>
      <c r="TJQ347" s="50"/>
      <c r="TJR347" s="50"/>
      <c r="TJS347" s="50"/>
      <c r="TJT347" s="50"/>
      <c r="TJU347" s="50"/>
      <c r="TJV347" s="50"/>
      <c r="TJW347" s="50"/>
      <c r="TJX347" s="50"/>
      <c r="TJY347" s="50"/>
      <c r="TJZ347" s="50"/>
      <c r="TKA347" s="50"/>
      <c r="TKB347" s="50"/>
      <c r="TKC347" s="50"/>
      <c r="TKD347" s="50"/>
      <c r="TKE347" s="50"/>
      <c r="TKF347" s="50"/>
      <c r="TKG347" s="50"/>
      <c r="TKH347" s="50"/>
      <c r="TKI347" s="50"/>
      <c r="TKJ347" s="50"/>
      <c r="TKK347" s="50"/>
      <c r="TKL347" s="50"/>
      <c r="TKM347" s="50"/>
      <c r="TKN347" s="50"/>
      <c r="TKO347" s="50"/>
      <c r="TKP347" s="50"/>
      <c r="TKQ347" s="50"/>
      <c r="TKR347" s="50"/>
      <c r="TKS347" s="50"/>
      <c r="TKT347" s="50"/>
      <c r="TKU347" s="50"/>
      <c r="TKV347" s="50"/>
      <c r="TKW347" s="50"/>
      <c r="TKX347" s="50"/>
      <c r="TKY347" s="50"/>
      <c r="TKZ347" s="50"/>
      <c r="TLA347" s="50"/>
      <c r="TLB347" s="50"/>
      <c r="TLC347" s="50"/>
      <c r="TLD347" s="50"/>
      <c r="TLE347" s="50"/>
      <c r="TLF347" s="50"/>
      <c r="TLG347" s="50"/>
      <c r="TLH347" s="50"/>
      <c r="TLI347" s="50"/>
      <c r="TLJ347" s="50"/>
      <c r="TLK347" s="50"/>
      <c r="TLL347" s="50"/>
      <c r="TLM347" s="50"/>
      <c r="TLN347" s="50"/>
      <c r="TLO347" s="50"/>
      <c r="TLP347" s="50"/>
      <c r="TLQ347" s="50"/>
      <c r="TLR347" s="50"/>
      <c r="TLS347" s="50"/>
      <c r="TLT347" s="50"/>
      <c r="TLU347" s="50"/>
      <c r="TLV347" s="50"/>
      <c r="TLW347" s="50"/>
      <c r="TLX347" s="50"/>
      <c r="TLY347" s="50"/>
      <c r="TLZ347" s="50"/>
      <c r="TMA347" s="50"/>
      <c r="TMB347" s="50"/>
      <c r="TMC347" s="50"/>
      <c r="TMD347" s="50"/>
      <c r="TME347" s="50"/>
      <c r="TMF347" s="50"/>
      <c r="TMG347" s="50"/>
      <c r="TMH347" s="50"/>
      <c r="TMI347" s="50"/>
      <c r="TMJ347" s="50"/>
      <c r="TMK347" s="50"/>
      <c r="TML347" s="50"/>
      <c r="TMM347" s="50"/>
      <c r="TMN347" s="50"/>
      <c r="TMO347" s="50"/>
      <c r="TMP347" s="50"/>
      <c r="TMQ347" s="50"/>
      <c r="TMR347" s="50"/>
      <c r="TMS347" s="50"/>
      <c r="TMT347" s="50"/>
      <c r="TMU347" s="50"/>
      <c r="TMV347" s="50"/>
      <c r="TMW347" s="50"/>
      <c r="TMX347" s="50"/>
      <c r="TMY347" s="50"/>
      <c r="TMZ347" s="50"/>
      <c r="TNA347" s="50"/>
      <c r="TNB347" s="50"/>
      <c r="TNC347" s="50"/>
      <c r="TND347" s="50"/>
      <c r="TNE347" s="50"/>
      <c r="TNF347" s="50"/>
      <c r="TNG347" s="50"/>
      <c r="TNH347" s="50"/>
      <c r="TNI347" s="50"/>
      <c r="TNJ347" s="50"/>
      <c r="TNK347" s="50"/>
      <c r="TNL347" s="50"/>
      <c r="TNM347" s="50"/>
      <c r="TNN347" s="50"/>
      <c r="TNO347" s="50"/>
      <c r="TNP347" s="50"/>
      <c r="TNQ347" s="50"/>
      <c r="TNR347" s="50"/>
      <c r="TNS347" s="50"/>
      <c r="TNT347" s="50"/>
      <c r="TNU347" s="50"/>
      <c r="TNV347" s="50"/>
      <c r="TNW347" s="50"/>
      <c r="TNX347" s="50"/>
      <c r="TNY347" s="50"/>
      <c r="TNZ347" s="50"/>
      <c r="TOA347" s="50"/>
      <c r="TOB347" s="50"/>
      <c r="TOC347" s="50"/>
      <c r="TOD347" s="50"/>
      <c r="TOE347" s="50"/>
      <c r="TOF347" s="50"/>
      <c r="TOG347" s="50"/>
      <c r="TOH347" s="50"/>
      <c r="TOI347" s="50"/>
      <c r="TOJ347" s="50"/>
      <c r="TOK347" s="50"/>
      <c r="TOL347" s="50"/>
      <c r="TOM347" s="50"/>
      <c r="TON347" s="50"/>
      <c r="TOO347" s="50"/>
      <c r="TOP347" s="50"/>
      <c r="TOQ347" s="50"/>
      <c r="TOR347" s="50"/>
      <c r="TOS347" s="50"/>
      <c r="TOT347" s="50"/>
      <c r="TOU347" s="50"/>
      <c r="TOV347" s="50"/>
      <c r="TOW347" s="50"/>
      <c r="TOX347" s="50"/>
      <c r="TOY347" s="50"/>
      <c r="TOZ347" s="50"/>
      <c r="TPA347" s="50"/>
      <c r="TPB347" s="50"/>
      <c r="TPC347" s="50"/>
      <c r="TPD347" s="50"/>
      <c r="TPE347" s="50"/>
      <c r="TPF347" s="50"/>
      <c r="TPG347" s="50"/>
      <c r="TPH347" s="50"/>
      <c r="TPI347" s="50"/>
      <c r="TPJ347" s="50"/>
      <c r="TPK347" s="50"/>
      <c r="TPL347" s="50"/>
      <c r="TPM347" s="50"/>
      <c r="TPN347" s="50"/>
      <c r="TPO347" s="50"/>
      <c r="TPP347" s="50"/>
      <c r="TPQ347" s="50"/>
      <c r="TPR347" s="50"/>
      <c r="TPS347" s="50"/>
      <c r="TPT347" s="50"/>
      <c r="TPU347" s="50"/>
      <c r="TPV347" s="50"/>
      <c r="TPW347" s="50"/>
      <c r="TPX347" s="50"/>
      <c r="TPY347" s="50"/>
      <c r="TPZ347" s="50"/>
      <c r="TQA347" s="50"/>
      <c r="TQB347" s="50"/>
      <c r="TQC347" s="50"/>
      <c r="TQD347" s="50"/>
      <c r="TQE347" s="50"/>
      <c r="TQF347" s="50"/>
      <c r="TQG347" s="50"/>
      <c r="TQH347" s="50"/>
      <c r="TQI347" s="50"/>
      <c r="TQJ347" s="50"/>
      <c r="TQK347" s="50"/>
      <c r="TQL347" s="50"/>
      <c r="TQM347" s="50"/>
      <c r="TQN347" s="50"/>
      <c r="TQO347" s="50"/>
      <c r="TQP347" s="50"/>
      <c r="TQQ347" s="50"/>
      <c r="TQR347" s="50"/>
      <c r="TQS347" s="50"/>
      <c r="TQT347" s="50"/>
      <c r="TQU347" s="50"/>
      <c r="TQV347" s="50"/>
      <c r="TQW347" s="50"/>
      <c r="TQX347" s="50"/>
      <c r="TQY347" s="50"/>
      <c r="TQZ347" s="50"/>
      <c r="TRA347" s="50"/>
      <c r="TRB347" s="50"/>
      <c r="TRC347" s="50"/>
      <c r="TRD347" s="50"/>
      <c r="TRE347" s="50"/>
      <c r="TRF347" s="50"/>
      <c r="TRG347" s="50"/>
      <c r="TRH347" s="50"/>
      <c r="TRI347" s="50"/>
      <c r="TRJ347" s="50"/>
      <c r="TRK347" s="50"/>
      <c r="TRL347" s="50"/>
      <c r="TRM347" s="50"/>
      <c r="TRN347" s="50"/>
      <c r="TRO347" s="50"/>
      <c r="TRP347" s="50"/>
      <c r="TRQ347" s="50"/>
      <c r="TRR347" s="50"/>
      <c r="TRS347" s="50"/>
      <c r="TRT347" s="50"/>
      <c r="TRU347" s="50"/>
      <c r="TRV347" s="50"/>
      <c r="TRW347" s="50"/>
      <c r="TRX347" s="50"/>
      <c r="TRY347" s="50"/>
      <c r="TRZ347" s="50"/>
      <c r="TSA347" s="50"/>
      <c r="TSB347" s="50"/>
      <c r="TSC347" s="50"/>
      <c r="TSD347" s="50"/>
      <c r="TSE347" s="50"/>
      <c r="TSF347" s="50"/>
      <c r="TSG347" s="50"/>
      <c r="TSH347" s="50"/>
      <c r="TSI347" s="50"/>
      <c r="TSJ347" s="50"/>
      <c r="TSK347" s="50"/>
      <c r="TSL347" s="50"/>
      <c r="TSM347" s="50"/>
      <c r="TSN347" s="50"/>
      <c r="TSO347" s="50"/>
      <c r="TSP347" s="50"/>
      <c r="TSQ347" s="50"/>
      <c r="TSR347" s="50"/>
      <c r="TSS347" s="50"/>
      <c r="TST347" s="50"/>
      <c r="TSU347" s="50"/>
      <c r="TSV347" s="50"/>
      <c r="TSW347" s="50"/>
      <c r="TSX347" s="50"/>
      <c r="TSY347" s="50"/>
      <c r="TSZ347" s="50"/>
      <c r="TTA347" s="50"/>
      <c r="TTB347" s="50"/>
      <c r="TTC347" s="50"/>
      <c r="TTD347" s="50"/>
      <c r="TTE347" s="50"/>
      <c r="TTF347" s="50"/>
      <c r="TTG347" s="50"/>
      <c r="TTH347" s="50"/>
      <c r="TTI347" s="50"/>
      <c r="TTJ347" s="50"/>
      <c r="TTK347" s="50"/>
      <c r="TTL347" s="50"/>
      <c r="TTM347" s="50"/>
      <c r="TTN347" s="50"/>
      <c r="TTO347" s="50"/>
      <c r="TTP347" s="50"/>
      <c r="TTQ347" s="50"/>
      <c r="TTR347" s="50"/>
      <c r="TTS347" s="50"/>
      <c r="TTT347" s="50"/>
      <c r="TTU347" s="50"/>
      <c r="TTV347" s="50"/>
      <c r="TTW347" s="50"/>
      <c r="TTX347" s="50"/>
      <c r="TTY347" s="50"/>
      <c r="TTZ347" s="50"/>
      <c r="TUA347" s="50"/>
      <c r="TUB347" s="50"/>
      <c r="TUC347" s="50"/>
      <c r="TUD347" s="50"/>
      <c r="TUE347" s="50"/>
      <c r="TUF347" s="50"/>
      <c r="TUG347" s="50"/>
      <c r="TUH347" s="50"/>
      <c r="TUI347" s="50"/>
      <c r="TUJ347" s="50"/>
      <c r="TUK347" s="50"/>
      <c r="TUL347" s="50"/>
      <c r="TUM347" s="50"/>
      <c r="TUN347" s="50"/>
      <c r="TUO347" s="50"/>
      <c r="TUP347" s="50"/>
      <c r="TUQ347" s="50"/>
      <c r="TUR347" s="50"/>
      <c r="TUS347" s="50"/>
      <c r="TUT347" s="50"/>
      <c r="TUU347" s="50"/>
      <c r="TUV347" s="50"/>
      <c r="TUW347" s="50"/>
      <c r="TUX347" s="50"/>
      <c r="TUY347" s="50"/>
      <c r="TUZ347" s="50"/>
      <c r="TVA347" s="50"/>
      <c r="TVB347" s="50"/>
      <c r="TVC347" s="50"/>
      <c r="TVD347" s="50"/>
      <c r="TVE347" s="50"/>
      <c r="TVF347" s="50"/>
      <c r="TVG347" s="50"/>
      <c r="TVH347" s="50"/>
      <c r="TVI347" s="50"/>
      <c r="TVJ347" s="50"/>
      <c r="TVK347" s="50"/>
      <c r="TVL347" s="50"/>
      <c r="TVM347" s="50"/>
      <c r="TVN347" s="50"/>
      <c r="TVO347" s="50"/>
      <c r="TVP347" s="50"/>
      <c r="TVQ347" s="50"/>
      <c r="TVR347" s="50"/>
      <c r="TVS347" s="50"/>
      <c r="TVT347" s="50"/>
      <c r="TVU347" s="50"/>
      <c r="TVV347" s="50"/>
      <c r="TVW347" s="50"/>
      <c r="TVX347" s="50"/>
      <c r="TVY347" s="50"/>
      <c r="TVZ347" s="50"/>
      <c r="TWA347" s="50"/>
      <c r="TWB347" s="50"/>
      <c r="TWC347" s="50"/>
      <c r="TWD347" s="50"/>
      <c r="TWE347" s="50"/>
      <c r="TWF347" s="50"/>
      <c r="TWG347" s="50"/>
      <c r="TWH347" s="50"/>
      <c r="TWI347" s="50"/>
      <c r="TWJ347" s="50"/>
      <c r="TWK347" s="50"/>
      <c r="TWL347" s="50"/>
      <c r="TWM347" s="50"/>
      <c r="TWN347" s="50"/>
      <c r="TWO347" s="50"/>
      <c r="TWP347" s="50"/>
      <c r="TWQ347" s="50"/>
      <c r="TWR347" s="50"/>
      <c r="TWS347" s="50"/>
      <c r="TWT347" s="50"/>
      <c r="TWU347" s="50"/>
      <c r="TWV347" s="50"/>
      <c r="TWW347" s="50"/>
      <c r="TWX347" s="50"/>
      <c r="TWY347" s="50"/>
      <c r="TWZ347" s="50"/>
      <c r="TXA347" s="50"/>
      <c r="TXB347" s="50"/>
      <c r="TXC347" s="50"/>
      <c r="TXD347" s="50"/>
      <c r="TXE347" s="50"/>
      <c r="TXF347" s="50"/>
      <c r="TXG347" s="50"/>
      <c r="TXH347" s="50"/>
      <c r="TXI347" s="50"/>
      <c r="TXJ347" s="50"/>
      <c r="TXK347" s="50"/>
      <c r="TXL347" s="50"/>
      <c r="TXM347" s="50"/>
      <c r="TXN347" s="50"/>
      <c r="TXO347" s="50"/>
      <c r="TXP347" s="50"/>
      <c r="TXQ347" s="50"/>
      <c r="TXR347" s="50"/>
      <c r="TXS347" s="50"/>
      <c r="TXT347" s="50"/>
      <c r="TXU347" s="50"/>
      <c r="TXV347" s="50"/>
      <c r="TXW347" s="50"/>
      <c r="TXX347" s="50"/>
      <c r="TXY347" s="50"/>
      <c r="TXZ347" s="50"/>
      <c r="TYA347" s="50"/>
      <c r="TYB347" s="50"/>
      <c r="TYC347" s="50"/>
      <c r="TYD347" s="50"/>
      <c r="TYE347" s="50"/>
      <c r="TYF347" s="50"/>
      <c r="TYG347" s="50"/>
      <c r="TYH347" s="50"/>
      <c r="TYI347" s="50"/>
      <c r="TYJ347" s="50"/>
      <c r="TYK347" s="50"/>
      <c r="TYL347" s="50"/>
      <c r="TYM347" s="50"/>
      <c r="TYN347" s="50"/>
      <c r="TYO347" s="50"/>
      <c r="TYP347" s="50"/>
      <c r="TYQ347" s="50"/>
      <c r="TYR347" s="50"/>
      <c r="TYS347" s="50"/>
      <c r="TYT347" s="50"/>
      <c r="TYU347" s="50"/>
      <c r="TYV347" s="50"/>
      <c r="TYW347" s="50"/>
      <c r="TYX347" s="50"/>
      <c r="TYY347" s="50"/>
      <c r="TYZ347" s="50"/>
      <c r="TZA347" s="50"/>
      <c r="TZB347" s="50"/>
      <c r="TZC347" s="50"/>
      <c r="TZD347" s="50"/>
      <c r="TZE347" s="50"/>
      <c r="TZF347" s="50"/>
      <c r="TZG347" s="50"/>
      <c r="TZH347" s="50"/>
      <c r="TZI347" s="50"/>
      <c r="TZJ347" s="50"/>
      <c r="TZK347" s="50"/>
      <c r="TZL347" s="50"/>
      <c r="TZM347" s="50"/>
      <c r="TZN347" s="50"/>
      <c r="TZO347" s="50"/>
      <c r="TZP347" s="50"/>
      <c r="TZQ347" s="50"/>
      <c r="TZR347" s="50"/>
      <c r="TZS347" s="50"/>
      <c r="TZT347" s="50"/>
      <c r="TZU347" s="50"/>
      <c r="TZV347" s="50"/>
      <c r="TZW347" s="50"/>
      <c r="TZX347" s="50"/>
      <c r="TZY347" s="50"/>
      <c r="TZZ347" s="50"/>
      <c r="UAA347" s="50"/>
      <c r="UAB347" s="50"/>
      <c r="UAC347" s="50"/>
      <c r="UAD347" s="50"/>
      <c r="UAE347" s="50"/>
      <c r="UAF347" s="50"/>
      <c r="UAG347" s="50"/>
      <c r="UAH347" s="50"/>
      <c r="UAI347" s="50"/>
      <c r="UAJ347" s="50"/>
      <c r="UAK347" s="50"/>
      <c r="UAL347" s="50"/>
      <c r="UAM347" s="50"/>
      <c r="UAN347" s="50"/>
      <c r="UAO347" s="50"/>
      <c r="UAP347" s="50"/>
      <c r="UAQ347" s="50"/>
      <c r="UAR347" s="50"/>
      <c r="UAS347" s="50"/>
      <c r="UAT347" s="50"/>
      <c r="UAU347" s="50"/>
      <c r="UAV347" s="50"/>
      <c r="UAW347" s="50"/>
      <c r="UAX347" s="50"/>
      <c r="UAY347" s="50"/>
      <c r="UAZ347" s="50"/>
      <c r="UBA347" s="50"/>
      <c r="UBB347" s="50"/>
      <c r="UBC347" s="50"/>
      <c r="UBD347" s="50"/>
      <c r="UBE347" s="50"/>
      <c r="UBF347" s="50"/>
      <c r="UBG347" s="50"/>
      <c r="UBH347" s="50"/>
      <c r="UBI347" s="50"/>
      <c r="UBJ347" s="50"/>
      <c r="UBK347" s="50"/>
      <c r="UBL347" s="50"/>
      <c r="UBM347" s="50"/>
      <c r="UBN347" s="50"/>
      <c r="UBO347" s="50"/>
      <c r="UBP347" s="50"/>
      <c r="UBQ347" s="50"/>
      <c r="UBR347" s="50"/>
      <c r="UBS347" s="50"/>
      <c r="UBT347" s="50"/>
      <c r="UBU347" s="50"/>
      <c r="UBV347" s="50"/>
      <c r="UBW347" s="50"/>
      <c r="UBX347" s="50"/>
      <c r="UBY347" s="50"/>
      <c r="UBZ347" s="50"/>
      <c r="UCA347" s="50"/>
      <c r="UCB347" s="50"/>
      <c r="UCC347" s="50"/>
      <c r="UCD347" s="50"/>
      <c r="UCE347" s="50"/>
      <c r="UCF347" s="50"/>
      <c r="UCG347" s="50"/>
      <c r="UCH347" s="50"/>
      <c r="UCI347" s="50"/>
      <c r="UCJ347" s="50"/>
      <c r="UCK347" s="50"/>
      <c r="UCL347" s="50"/>
      <c r="UCM347" s="50"/>
      <c r="UCN347" s="50"/>
      <c r="UCO347" s="50"/>
      <c r="UCP347" s="50"/>
      <c r="UCQ347" s="50"/>
      <c r="UCR347" s="50"/>
      <c r="UCS347" s="50"/>
      <c r="UCT347" s="50"/>
      <c r="UCU347" s="50"/>
      <c r="UCV347" s="50"/>
      <c r="UCW347" s="50"/>
      <c r="UCX347" s="50"/>
      <c r="UCY347" s="50"/>
      <c r="UCZ347" s="50"/>
      <c r="UDA347" s="50"/>
      <c r="UDB347" s="50"/>
      <c r="UDC347" s="50"/>
      <c r="UDD347" s="50"/>
      <c r="UDE347" s="50"/>
      <c r="UDF347" s="50"/>
      <c r="UDG347" s="50"/>
      <c r="UDH347" s="50"/>
      <c r="UDI347" s="50"/>
      <c r="UDJ347" s="50"/>
      <c r="UDK347" s="50"/>
      <c r="UDL347" s="50"/>
      <c r="UDM347" s="50"/>
      <c r="UDN347" s="50"/>
      <c r="UDO347" s="50"/>
      <c r="UDP347" s="50"/>
      <c r="UDQ347" s="50"/>
      <c r="UDR347" s="50"/>
      <c r="UDS347" s="50"/>
      <c r="UDT347" s="50"/>
      <c r="UDU347" s="50"/>
      <c r="UDV347" s="50"/>
      <c r="UDW347" s="50"/>
      <c r="UDX347" s="50"/>
      <c r="UDY347" s="50"/>
      <c r="UDZ347" s="50"/>
      <c r="UEA347" s="50"/>
      <c r="UEB347" s="50"/>
      <c r="UEC347" s="50"/>
      <c r="UED347" s="50"/>
      <c r="UEE347" s="50"/>
      <c r="UEF347" s="50"/>
      <c r="UEG347" s="50"/>
      <c r="UEH347" s="50"/>
      <c r="UEI347" s="50"/>
      <c r="UEJ347" s="50"/>
      <c r="UEK347" s="50"/>
      <c r="UEL347" s="50"/>
      <c r="UEM347" s="50"/>
      <c r="UEN347" s="50"/>
      <c r="UEO347" s="50"/>
      <c r="UEP347" s="50"/>
      <c r="UEQ347" s="50"/>
      <c r="UER347" s="50"/>
      <c r="UES347" s="50"/>
      <c r="UET347" s="50"/>
      <c r="UEU347" s="50"/>
      <c r="UEV347" s="50"/>
      <c r="UEW347" s="50"/>
      <c r="UEX347" s="50"/>
      <c r="UEY347" s="50"/>
      <c r="UEZ347" s="50"/>
      <c r="UFA347" s="50"/>
      <c r="UFB347" s="50"/>
      <c r="UFC347" s="50"/>
      <c r="UFD347" s="50"/>
      <c r="UFE347" s="50"/>
      <c r="UFF347" s="50"/>
      <c r="UFG347" s="50"/>
      <c r="UFH347" s="50"/>
      <c r="UFI347" s="50"/>
      <c r="UFJ347" s="50"/>
      <c r="UFK347" s="50"/>
      <c r="UFL347" s="50"/>
      <c r="UFM347" s="50"/>
      <c r="UFN347" s="50"/>
      <c r="UFO347" s="50"/>
      <c r="UFP347" s="50"/>
      <c r="UFQ347" s="50"/>
      <c r="UFR347" s="50"/>
      <c r="UFS347" s="50"/>
      <c r="UFT347" s="50"/>
      <c r="UFU347" s="50"/>
      <c r="UFV347" s="50"/>
      <c r="UFW347" s="50"/>
      <c r="UFX347" s="50"/>
      <c r="UFY347" s="50"/>
      <c r="UFZ347" s="50"/>
      <c r="UGA347" s="50"/>
      <c r="UGB347" s="50"/>
      <c r="UGC347" s="50"/>
      <c r="UGD347" s="50"/>
      <c r="UGE347" s="50"/>
      <c r="UGF347" s="50"/>
      <c r="UGG347" s="50"/>
      <c r="UGH347" s="50"/>
      <c r="UGI347" s="50"/>
      <c r="UGJ347" s="50"/>
      <c r="UGK347" s="50"/>
      <c r="UGL347" s="50"/>
      <c r="UGM347" s="50"/>
      <c r="UGN347" s="50"/>
      <c r="UGO347" s="50"/>
      <c r="UGP347" s="50"/>
      <c r="UGQ347" s="50"/>
      <c r="UGR347" s="50"/>
      <c r="UGS347" s="50"/>
      <c r="UGT347" s="50"/>
      <c r="UGU347" s="50"/>
      <c r="UGV347" s="50"/>
      <c r="UGW347" s="50"/>
      <c r="UGX347" s="50"/>
      <c r="UGY347" s="50"/>
      <c r="UGZ347" s="50"/>
      <c r="UHA347" s="50"/>
      <c r="UHB347" s="50"/>
      <c r="UHC347" s="50"/>
      <c r="UHD347" s="50"/>
      <c r="UHE347" s="50"/>
      <c r="UHF347" s="50"/>
      <c r="UHG347" s="50"/>
      <c r="UHH347" s="50"/>
      <c r="UHI347" s="50"/>
      <c r="UHJ347" s="50"/>
      <c r="UHK347" s="50"/>
      <c r="UHL347" s="50"/>
      <c r="UHM347" s="50"/>
      <c r="UHN347" s="50"/>
      <c r="UHO347" s="50"/>
      <c r="UHP347" s="50"/>
      <c r="UHQ347" s="50"/>
      <c r="UHR347" s="50"/>
      <c r="UHS347" s="50"/>
      <c r="UHT347" s="50"/>
      <c r="UHU347" s="50"/>
      <c r="UHV347" s="50"/>
      <c r="UHW347" s="50"/>
      <c r="UHX347" s="50"/>
      <c r="UHY347" s="50"/>
      <c r="UHZ347" s="50"/>
      <c r="UIA347" s="50"/>
      <c r="UIB347" s="50"/>
      <c r="UIC347" s="50"/>
      <c r="UID347" s="50"/>
      <c r="UIE347" s="50"/>
      <c r="UIF347" s="50"/>
      <c r="UIG347" s="50"/>
      <c r="UIH347" s="50"/>
      <c r="UII347" s="50"/>
      <c r="UIJ347" s="50"/>
      <c r="UIK347" s="50"/>
      <c r="UIL347" s="50"/>
      <c r="UIM347" s="50"/>
      <c r="UIN347" s="50"/>
      <c r="UIO347" s="50"/>
      <c r="UIP347" s="50"/>
      <c r="UIQ347" s="50"/>
      <c r="UIR347" s="50"/>
      <c r="UIS347" s="50"/>
      <c r="UIT347" s="50"/>
      <c r="UIU347" s="50"/>
      <c r="UIV347" s="50"/>
      <c r="UIW347" s="50"/>
      <c r="UIX347" s="50"/>
      <c r="UIY347" s="50"/>
      <c r="UIZ347" s="50"/>
      <c r="UJA347" s="50"/>
      <c r="UJB347" s="50"/>
      <c r="UJC347" s="50"/>
      <c r="UJD347" s="50"/>
      <c r="UJE347" s="50"/>
      <c r="UJF347" s="50"/>
      <c r="UJG347" s="50"/>
      <c r="UJH347" s="50"/>
      <c r="UJI347" s="50"/>
      <c r="UJJ347" s="50"/>
      <c r="UJK347" s="50"/>
      <c r="UJL347" s="50"/>
      <c r="UJM347" s="50"/>
      <c r="UJN347" s="50"/>
      <c r="UJO347" s="50"/>
      <c r="UJP347" s="50"/>
      <c r="UJQ347" s="50"/>
      <c r="UJR347" s="50"/>
      <c r="UJS347" s="50"/>
      <c r="UJT347" s="50"/>
      <c r="UJU347" s="50"/>
      <c r="UJV347" s="50"/>
      <c r="UJW347" s="50"/>
      <c r="UJX347" s="50"/>
      <c r="UJY347" s="50"/>
      <c r="UJZ347" s="50"/>
      <c r="UKA347" s="50"/>
      <c r="UKB347" s="50"/>
      <c r="UKC347" s="50"/>
      <c r="UKD347" s="50"/>
      <c r="UKE347" s="50"/>
      <c r="UKF347" s="50"/>
      <c r="UKG347" s="50"/>
      <c r="UKH347" s="50"/>
      <c r="UKI347" s="50"/>
      <c r="UKJ347" s="50"/>
      <c r="UKK347" s="50"/>
      <c r="UKL347" s="50"/>
      <c r="UKM347" s="50"/>
      <c r="UKN347" s="50"/>
      <c r="UKO347" s="50"/>
      <c r="UKP347" s="50"/>
      <c r="UKQ347" s="50"/>
      <c r="UKR347" s="50"/>
      <c r="UKS347" s="50"/>
      <c r="UKT347" s="50"/>
      <c r="UKU347" s="50"/>
      <c r="UKV347" s="50"/>
      <c r="UKW347" s="50"/>
      <c r="UKX347" s="50"/>
      <c r="UKY347" s="50"/>
      <c r="UKZ347" s="50"/>
      <c r="ULA347" s="50"/>
      <c r="ULB347" s="50"/>
      <c r="ULC347" s="50"/>
      <c r="ULD347" s="50"/>
      <c r="ULE347" s="50"/>
      <c r="ULF347" s="50"/>
      <c r="ULG347" s="50"/>
      <c r="ULH347" s="50"/>
      <c r="ULI347" s="50"/>
      <c r="ULJ347" s="50"/>
      <c r="ULK347" s="50"/>
      <c r="ULL347" s="50"/>
      <c r="ULM347" s="50"/>
      <c r="ULN347" s="50"/>
      <c r="ULO347" s="50"/>
      <c r="ULP347" s="50"/>
      <c r="ULQ347" s="50"/>
      <c r="ULR347" s="50"/>
      <c r="ULS347" s="50"/>
      <c r="ULT347" s="50"/>
      <c r="ULU347" s="50"/>
      <c r="ULV347" s="50"/>
      <c r="ULW347" s="50"/>
      <c r="ULX347" s="50"/>
      <c r="ULY347" s="50"/>
      <c r="ULZ347" s="50"/>
      <c r="UMA347" s="50"/>
      <c r="UMB347" s="50"/>
      <c r="UMC347" s="50"/>
      <c r="UMD347" s="50"/>
      <c r="UME347" s="50"/>
      <c r="UMF347" s="50"/>
      <c r="UMG347" s="50"/>
      <c r="UMH347" s="50"/>
      <c r="UMI347" s="50"/>
      <c r="UMJ347" s="50"/>
      <c r="UMK347" s="50"/>
      <c r="UML347" s="50"/>
      <c r="UMM347" s="50"/>
      <c r="UMN347" s="50"/>
      <c r="UMO347" s="50"/>
      <c r="UMP347" s="50"/>
      <c r="UMQ347" s="50"/>
      <c r="UMR347" s="50"/>
      <c r="UMS347" s="50"/>
      <c r="UMT347" s="50"/>
      <c r="UMU347" s="50"/>
      <c r="UMV347" s="50"/>
      <c r="UMW347" s="50"/>
      <c r="UMX347" s="50"/>
      <c r="UMY347" s="50"/>
      <c r="UMZ347" s="50"/>
      <c r="UNA347" s="50"/>
      <c r="UNB347" s="50"/>
      <c r="UNC347" s="50"/>
      <c r="UND347" s="50"/>
      <c r="UNE347" s="50"/>
      <c r="UNF347" s="50"/>
      <c r="UNG347" s="50"/>
      <c r="UNH347" s="50"/>
      <c r="UNI347" s="50"/>
      <c r="UNJ347" s="50"/>
      <c r="UNK347" s="50"/>
      <c r="UNL347" s="50"/>
      <c r="UNM347" s="50"/>
      <c r="UNN347" s="50"/>
      <c r="UNO347" s="50"/>
      <c r="UNP347" s="50"/>
      <c r="UNQ347" s="50"/>
      <c r="UNR347" s="50"/>
      <c r="UNS347" s="50"/>
      <c r="UNT347" s="50"/>
      <c r="UNU347" s="50"/>
      <c r="UNV347" s="50"/>
      <c r="UNW347" s="50"/>
      <c r="UNX347" s="50"/>
      <c r="UNY347" s="50"/>
      <c r="UNZ347" s="50"/>
      <c r="UOA347" s="50"/>
      <c r="UOB347" s="50"/>
      <c r="UOC347" s="50"/>
      <c r="UOD347" s="50"/>
      <c r="UOE347" s="50"/>
      <c r="UOF347" s="50"/>
      <c r="UOG347" s="50"/>
      <c r="UOH347" s="50"/>
      <c r="UOI347" s="50"/>
      <c r="UOJ347" s="50"/>
      <c r="UOK347" s="50"/>
      <c r="UOL347" s="50"/>
      <c r="UOM347" s="50"/>
      <c r="UON347" s="50"/>
      <c r="UOO347" s="50"/>
      <c r="UOP347" s="50"/>
      <c r="UOQ347" s="50"/>
      <c r="UOR347" s="50"/>
      <c r="UOS347" s="50"/>
      <c r="UOT347" s="50"/>
      <c r="UOU347" s="50"/>
      <c r="UOV347" s="50"/>
      <c r="UOW347" s="50"/>
      <c r="UOX347" s="50"/>
      <c r="UOY347" s="50"/>
      <c r="UOZ347" s="50"/>
      <c r="UPA347" s="50"/>
      <c r="UPB347" s="50"/>
      <c r="UPC347" s="50"/>
      <c r="UPD347" s="50"/>
      <c r="UPE347" s="50"/>
      <c r="UPF347" s="50"/>
      <c r="UPG347" s="50"/>
      <c r="UPH347" s="50"/>
      <c r="UPI347" s="50"/>
      <c r="UPJ347" s="50"/>
      <c r="UPK347" s="50"/>
      <c r="UPL347" s="50"/>
      <c r="UPM347" s="50"/>
      <c r="UPN347" s="50"/>
      <c r="UPO347" s="50"/>
      <c r="UPP347" s="50"/>
      <c r="UPQ347" s="50"/>
      <c r="UPR347" s="50"/>
      <c r="UPS347" s="50"/>
      <c r="UPT347" s="50"/>
      <c r="UPU347" s="50"/>
      <c r="UPV347" s="50"/>
      <c r="UPW347" s="50"/>
      <c r="UPX347" s="50"/>
      <c r="UPY347" s="50"/>
      <c r="UPZ347" s="50"/>
      <c r="UQA347" s="50"/>
      <c r="UQB347" s="50"/>
      <c r="UQC347" s="50"/>
      <c r="UQD347" s="50"/>
      <c r="UQE347" s="50"/>
      <c r="UQF347" s="50"/>
      <c r="UQG347" s="50"/>
      <c r="UQH347" s="50"/>
      <c r="UQI347" s="50"/>
      <c r="UQJ347" s="50"/>
      <c r="UQK347" s="50"/>
      <c r="UQL347" s="50"/>
      <c r="UQM347" s="50"/>
      <c r="UQN347" s="50"/>
      <c r="UQO347" s="50"/>
      <c r="UQP347" s="50"/>
      <c r="UQQ347" s="50"/>
      <c r="UQR347" s="50"/>
      <c r="UQS347" s="50"/>
      <c r="UQT347" s="50"/>
      <c r="UQU347" s="50"/>
      <c r="UQV347" s="50"/>
      <c r="UQW347" s="50"/>
      <c r="UQX347" s="50"/>
      <c r="UQY347" s="50"/>
      <c r="UQZ347" s="50"/>
      <c r="URA347" s="50"/>
      <c r="URB347" s="50"/>
      <c r="URC347" s="50"/>
      <c r="URD347" s="50"/>
      <c r="URE347" s="50"/>
      <c r="URF347" s="50"/>
      <c r="URG347" s="50"/>
      <c r="URH347" s="50"/>
      <c r="URI347" s="50"/>
      <c r="URJ347" s="50"/>
      <c r="URK347" s="50"/>
      <c r="URL347" s="50"/>
      <c r="URM347" s="50"/>
      <c r="URN347" s="50"/>
      <c r="URO347" s="50"/>
      <c r="URP347" s="50"/>
      <c r="URQ347" s="50"/>
      <c r="URR347" s="50"/>
      <c r="URS347" s="50"/>
      <c r="URT347" s="50"/>
      <c r="URU347" s="50"/>
      <c r="URV347" s="50"/>
      <c r="URW347" s="50"/>
      <c r="URX347" s="50"/>
      <c r="URY347" s="50"/>
      <c r="URZ347" s="50"/>
      <c r="USA347" s="50"/>
      <c r="USB347" s="50"/>
      <c r="USC347" s="50"/>
      <c r="USD347" s="50"/>
      <c r="USE347" s="50"/>
      <c r="USF347" s="50"/>
      <c r="USG347" s="50"/>
      <c r="USH347" s="50"/>
      <c r="USI347" s="50"/>
      <c r="USJ347" s="50"/>
      <c r="USK347" s="50"/>
      <c r="USL347" s="50"/>
      <c r="USM347" s="50"/>
      <c r="USN347" s="50"/>
      <c r="USO347" s="50"/>
      <c r="USP347" s="50"/>
      <c r="USQ347" s="50"/>
      <c r="USR347" s="50"/>
      <c r="USS347" s="50"/>
      <c r="UST347" s="50"/>
      <c r="USU347" s="50"/>
      <c r="USV347" s="50"/>
      <c r="USW347" s="50"/>
      <c r="USX347" s="50"/>
      <c r="USY347" s="50"/>
      <c r="USZ347" s="50"/>
      <c r="UTA347" s="50"/>
      <c r="UTB347" s="50"/>
      <c r="UTC347" s="50"/>
      <c r="UTD347" s="50"/>
      <c r="UTE347" s="50"/>
      <c r="UTF347" s="50"/>
      <c r="UTG347" s="50"/>
      <c r="UTH347" s="50"/>
      <c r="UTI347" s="50"/>
      <c r="UTJ347" s="50"/>
      <c r="UTK347" s="50"/>
      <c r="UTL347" s="50"/>
      <c r="UTM347" s="50"/>
      <c r="UTN347" s="50"/>
      <c r="UTO347" s="50"/>
      <c r="UTP347" s="50"/>
      <c r="UTQ347" s="50"/>
      <c r="UTR347" s="50"/>
      <c r="UTS347" s="50"/>
      <c r="UTT347" s="50"/>
      <c r="UTU347" s="50"/>
      <c r="UTV347" s="50"/>
      <c r="UTW347" s="50"/>
      <c r="UTX347" s="50"/>
      <c r="UTY347" s="50"/>
      <c r="UTZ347" s="50"/>
      <c r="UUA347" s="50"/>
      <c r="UUB347" s="50"/>
      <c r="UUC347" s="50"/>
      <c r="UUD347" s="50"/>
      <c r="UUE347" s="50"/>
      <c r="UUF347" s="50"/>
      <c r="UUG347" s="50"/>
      <c r="UUH347" s="50"/>
      <c r="UUI347" s="50"/>
      <c r="UUJ347" s="50"/>
      <c r="UUK347" s="50"/>
      <c r="UUL347" s="50"/>
      <c r="UUM347" s="50"/>
      <c r="UUN347" s="50"/>
      <c r="UUO347" s="50"/>
      <c r="UUP347" s="50"/>
      <c r="UUQ347" s="50"/>
      <c r="UUR347" s="50"/>
      <c r="UUS347" s="50"/>
      <c r="UUT347" s="50"/>
      <c r="UUU347" s="50"/>
      <c r="UUV347" s="50"/>
      <c r="UUW347" s="50"/>
      <c r="UUX347" s="50"/>
      <c r="UUY347" s="50"/>
      <c r="UUZ347" s="50"/>
      <c r="UVA347" s="50"/>
      <c r="UVB347" s="50"/>
      <c r="UVC347" s="50"/>
      <c r="UVD347" s="50"/>
      <c r="UVE347" s="50"/>
      <c r="UVF347" s="50"/>
      <c r="UVG347" s="50"/>
      <c r="UVH347" s="50"/>
      <c r="UVI347" s="50"/>
      <c r="UVJ347" s="50"/>
      <c r="UVK347" s="50"/>
      <c r="UVL347" s="50"/>
      <c r="UVM347" s="50"/>
      <c r="UVN347" s="50"/>
      <c r="UVO347" s="50"/>
      <c r="UVP347" s="50"/>
      <c r="UVQ347" s="50"/>
      <c r="UVR347" s="50"/>
      <c r="UVS347" s="50"/>
      <c r="UVT347" s="50"/>
      <c r="UVU347" s="50"/>
      <c r="UVV347" s="50"/>
      <c r="UVW347" s="50"/>
      <c r="UVX347" s="50"/>
      <c r="UVY347" s="50"/>
      <c r="UVZ347" s="50"/>
      <c r="UWA347" s="50"/>
      <c r="UWB347" s="50"/>
      <c r="UWC347" s="50"/>
      <c r="UWD347" s="50"/>
      <c r="UWE347" s="50"/>
      <c r="UWF347" s="50"/>
      <c r="UWG347" s="50"/>
      <c r="UWH347" s="50"/>
      <c r="UWI347" s="50"/>
      <c r="UWJ347" s="50"/>
      <c r="UWK347" s="50"/>
      <c r="UWL347" s="50"/>
      <c r="UWM347" s="50"/>
      <c r="UWN347" s="50"/>
      <c r="UWO347" s="50"/>
      <c r="UWP347" s="50"/>
      <c r="UWQ347" s="50"/>
      <c r="UWR347" s="50"/>
      <c r="UWS347" s="50"/>
      <c r="UWT347" s="50"/>
      <c r="UWU347" s="50"/>
      <c r="UWV347" s="50"/>
      <c r="UWW347" s="50"/>
      <c r="UWX347" s="50"/>
      <c r="UWY347" s="50"/>
      <c r="UWZ347" s="50"/>
      <c r="UXA347" s="50"/>
      <c r="UXB347" s="50"/>
      <c r="UXC347" s="50"/>
      <c r="UXD347" s="50"/>
      <c r="UXE347" s="50"/>
      <c r="UXF347" s="50"/>
      <c r="UXG347" s="50"/>
      <c r="UXH347" s="50"/>
      <c r="UXI347" s="50"/>
      <c r="UXJ347" s="50"/>
      <c r="UXK347" s="50"/>
      <c r="UXL347" s="50"/>
      <c r="UXM347" s="50"/>
      <c r="UXN347" s="50"/>
      <c r="UXO347" s="50"/>
      <c r="UXP347" s="50"/>
      <c r="UXQ347" s="50"/>
      <c r="UXR347" s="50"/>
      <c r="UXS347" s="50"/>
      <c r="UXT347" s="50"/>
      <c r="UXU347" s="50"/>
      <c r="UXV347" s="50"/>
      <c r="UXW347" s="50"/>
      <c r="UXX347" s="50"/>
      <c r="UXY347" s="50"/>
      <c r="UXZ347" s="50"/>
      <c r="UYA347" s="50"/>
      <c r="UYB347" s="50"/>
      <c r="UYC347" s="50"/>
      <c r="UYD347" s="50"/>
      <c r="UYE347" s="50"/>
      <c r="UYF347" s="50"/>
      <c r="UYG347" s="50"/>
      <c r="UYH347" s="50"/>
      <c r="UYI347" s="50"/>
      <c r="UYJ347" s="50"/>
      <c r="UYK347" s="50"/>
      <c r="UYL347" s="50"/>
      <c r="UYM347" s="50"/>
      <c r="UYN347" s="50"/>
      <c r="UYO347" s="50"/>
      <c r="UYP347" s="50"/>
      <c r="UYQ347" s="50"/>
      <c r="UYR347" s="50"/>
      <c r="UYS347" s="50"/>
      <c r="UYT347" s="50"/>
      <c r="UYU347" s="50"/>
      <c r="UYV347" s="50"/>
      <c r="UYW347" s="50"/>
      <c r="UYX347" s="50"/>
      <c r="UYY347" s="50"/>
      <c r="UYZ347" s="50"/>
      <c r="UZA347" s="50"/>
      <c r="UZB347" s="50"/>
      <c r="UZC347" s="50"/>
      <c r="UZD347" s="50"/>
      <c r="UZE347" s="50"/>
      <c r="UZF347" s="50"/>
      <c r="UZG347" s="50"/>
      <c r="UZH347" s="50"/>
      <c r="UZI347" s="50"/>
      <c r="UZJ347" s="50"/>
      <c r="UZK347" s="50"/>
      <c r="UZL347" s="50"/>
      <c r="UZM347" s="50"/>
      <c r="UZN347" s="50"/>
      <c r="UZO347" s="50"/>
      <c r="UZP347" s="50"/>
      <c r="UZQ347" s="50"/>
      <c r="UZR347" s="50"/>
      <c r="UZS347" s="50"/>
      <c r="UZT347" s="50"/>
      <c r="UZU347" s="50"/>
      <c r="UZV347" s="50"/>
      <c r="UZW347" s="50"/>
      <c r="UZX347" s="50"/>
      <c r="UZY347" s="50"/>
      <c r="UZZ347" s="50"/>
      <c r="VAA347" s="50"/>
      <c r="VAB347" s="50"/>
      <c r="VAC347" s="50"/>
      <c r="VAD347" s="50"/>
      <c r="VAE347" s="50"/>
      <c r="VAF347" s="50"/>
      <c r="VAG347" s="50"/>
      <c r="VAH347" s="50"/>
      <c r="VAI347" s="50"/>
      <c r="VAJ347" s="50"/>
      <c r="VAK347" s="50"/>
      <c r="VAL347" s="50"/>
      <c r="VAM347" s="50"/>
      <c r="VAN347" s="50"/>
      <c r="VAO347" s="50"/>
      <c r="VAP347" s="50"/>
      <c r="VAQ347" s="50"/>
      <c r="VAR347" s="50"/>
      <c r="VAS347" s="50"/>
      <c r="VAT347" s="50"/>
      <c r="VAU347" s="50"/>
      <c r="VAV347" s="50"/>
      <c r="VAW347" s="50"/>
      <c r="VAX347" s="50"/>
      <c r="VAY347" s="50"/>
      <c r="VAZ347" s="50"/>
      <c r="VBA347" s="50"/>
      <c r="VBB347" s="50"/>
      <c r="VBC347" s="50"/>
      <c r="VBD347" s="50"/>
      <c r="VBE347" s="50"/>
      <c r="VBF347" s="50"/>
      <c r="VBG347" s="50"/>
      <c r="VBH347" s="50"/>
      <c r="VBI347" s="50"/>
      <c r="VBJ347" s="50"/>
      <c r="VBK347" s="50"/>
      <c r="VBL347" s="50"/>
      <c r="VBM347" s="50"/>
      <c r="VBN347" s="50"/>
      <c r="VBO347" s="50"/>
      <c r="VBP347" s="50"/>
      <c r="VBQ347" s="50"/>
      <c r="VBR347" s="50"/>
      <c r="VBS347" s="50"/>
      <c r="VBT347" s="50"/>
      <c r="VBU347" s="50"/>
      <c r="VBV347" s="50"/>
      <c r="VBW347" s="50"/>
      <c r="VBX347" s="50"/>
      <c r="VBY347" s="50"/>
      <c r="VBZ347" s="50"/>
      <c r="VCA347" s="50"/>
      <c r="VCB347" s="50"/>
      <c r="VCC347" s="50"/>
      <c r="VCD347" s="50"/>
      <c r="VCE347" s="50"/>
      <c r="VCF347" s="50"/>
      <c r="VCG347" s="50"/>
      <c r="VCH347" s="50"/>
      <c r="VCI347" s="50"/>
      <c r="VCJ347" s="50"/>
      <c r="VCK347" s="50"/>
      <c r="VCL347" s="50"/>
      <c r="VCM347" s="50"/>
      <c r="VCN347" s="50"/>
      <c r="VCO347" s="50"/>
      <c r="VCP347" s="50"/>
      <c r="VCQ347" s="50"/>
      <c r="VCR347" s="50"/>
      <c r="VCS347" s="50"/>
      <c r="VCT347" s="50"/>
      <c r="VCU347" s="50"/>
      <c r="VCV347" s="50"/>
      <c r="VCW347" s="50"/>
      <c r="VCX347" s="50"/>
      <c r="VCY347" s="50"/>
      <c r="VCZ347" s="50"/>
      <c r="VDA347" s="50"/>
      <c r="VDB347" s="50"/>
      <c r="VDC347" s="50"/>
      <c r="VDD347" s="50"/>
      <c r="VDE347" s="50"/>
      <c r="VDF347" s="50"/>
      <c r="VDG347" s="50"/>
      <c r="VDH347" s="50"/>
      <c r="VDI347" s="50"/>
      <c r="VDJ347" s="50"/>
      <c r="VDK347" s="50"/>
      <c r="VDL347" s="50"/>
      <c r="VDM347" s="50"/>
      <c r="VDN347" s="50"/>
      <c r="VDO347" s="50"/>
      <c r="VDP347" s="50"/>
      <c r="VDQ347" s="50"/>
      <c r="VDR347" s="50"/>
      <c r="VDS347" s="50"/>
      <c r="VDT347" s="50"/>
      <c r="VDU347" s="50"/>
      <c r="VDV347" s="50"/>
      <c r="VDW347" s="50"/>
      <c r="VDX347" s="50"/>
      <c r="VDY347" s="50"/>
      <c r="VDZ347" s="50"/>
      <c r="VEA347" s="50"/>
      <c r="VEB347" s="50"/>
      <c r="VEC347" s="50"/>
      <c r="VED347" s="50"/>
      <c r="VEE347" s="50"/>
      <c r="VEF347" s="50"/>
      <c r="VEG347" s="50"/>
      <c r="VEH347" s="50"/>
      <c r="VEI347" s="50"/>
      <c r="VEJ347" s="50"/>
      <c r="VEK347" s="50"/>
      <c r="VEL347" s="50"/>
      <c r="VEM347" s="50"/>
      <c r="VEN347" s="50"/>
      <c r="VEO347" s="50"/>
      <c r="VEP347" s="50"/>
      <c r="VEQ347" s="50"/>
      <c r="VER347" s="50"/>
      <c r="VES347" s="50"/>
      <c r="VET347" s="50"/>
      <c r="VEU347" s="50"/>
      <c r="VEV347" s="50"/>
      <c r="VEW347" s="50"/>
      <c r="VEX347" s="50"/>
      <c r="VEY347" s="50"/>
      <c r="VEZ347" s="50"/>
      <c r="VFA347" s="50"/>
      <c r="VFB347" s="50"/>
      <c r="VFC347" s="50"/>
      <c r="VFD347" s="50"/>
      <c r="VFE347" s="50"/>
      <c r="VFF347" s="50"/>
      <c r="VFG347" s="50"/>
      <c r="VFH347" s="50"/>
      <c r="VFI347" s="50"/>
      <c r="VFJ347" s="50"/>
      <c r="VFK347" s="50"/>
      <c r="VFL347" s="50"/>
      <c r="VFM347" s="50"/>
      <c r="VFN347" s="50"/>
      <c r="VFO347" s="50"/>
      <c r="VFP347" s="50"/>
      <c r="VFQ347" s="50"/>
      <c r="VFR347" s="50"/>
      <c r="VFS347" s="50"/>
      <c r="VFT347" s="50"/>
      <c r="VFU347" s="50"/>
      <c r="VFV347" s="50"/>
      <c r="VFW347" s="50"/>
      <c r="VFX347" s="50"/>
      <c r="VFY347" s="50"/>
      <c r="VFZ347" s="50"/>
      <c r="VGA347" s="50"/>
      <c r="VGB347" s="50"/>
      <c r="VGC347" s="50"/>
      <c r="VGD347" s="50"/>
      <c r="VGE347" s="50"/>
      <c r="VGF347" s="50"/>
      <c r="VGG347" s="50"/>
      <c r="VGH347" s="50"/>
      <c r="VGI347" s="50"/>
      <c r="VGJ347" s="50"/>
      <c r="VGK347" s="50"/>
      <c r="VGL347" s="50"/>
      <c r="VGM347" s="50"/>
      <c r="VGN347" s="50"/>
      <c r="VGO347" s="50"/>
      <c r="VGP347" s="50"/>
      <c r="VGQ347" s="50"/>
      <c r="VGR347" s="50"/>
      <c r="VGS347" s="50"/>
      <c r="VGT347" s="50"/>
      <c r="VGU347" s="50"/>
      <c r="VGV347" s="50"/>
      <c r="VGW347" s="50"/>
      <c r="VGX347" s="50"/>
      <c r="VGY347" s="50"/>
      <c r="VGZ347" s="50"/>
      <c r="VHA347" s="50"/>
      <c r="VHB347" s="50"/>
      <c r="VHC347" s="50"/>
      <c r="VHD347" s="50"/>
      <c r="VHE347" s="50"/>
      <c r="VHF347" s="50"/>
      <c r="VHG347" s="50"/>
      <c r="VHH347" s="50"/>
      <c r="VHI347" s="50"/>
      <c r="VHJ347" s="50"/>
      <c r="VHK347" s="50"/>
      <c r="VHL347" s="50"/>
      <c r="VHM347" s="50"/>
      <c r="VHN347" s="50"/>
      <c r="VHO347" s="50"/>
      <c r="VHP347" s="50"/>
      <c r="VHQ347" s="50"/>
      <c r="VHR347" s="50"/>
      <c r="VHS347" s="50"/>
      <c r="VHT347" s="50"/>
      <c r="VHU347" s="50"/>
      <c r="VHV347" s="50"/>
      <c r="VHW347" s="50"/>
      <c r="VHX347" s="50"/>
      <c r="VHY347" s="50"/>
      <c r="VHZ347" s="50"/>
      <c r="VIA347" s="50"/>
      <c r="VIB347" s="50"/>
      <c r="VIC347" s="50"/>
      <c r="VID347" s="50"/>
      <c r="VIE347" s="50"/>
      <c r="VIF347" s="50"/>
      <c r="VIG347" s="50"/>
      <c r="VIH347" s="50"/>
      <c r="VII347" s="50"/>
      <c r="VIJ347" s="50"/>
      <c r="VIK347" s="50"/>
      <c r="VIL347" s="50"/>
      <c r="VIM347" s="50"/>
      <c r="VIN347" s="50"/>
      <c r="VIO347" s="50"/>
      <c r="VIP347" s="50"/>
      <c r="VIQ347" s="50"/>
      <c r="VIR347" s="50"/>
      <c r="VIS347" s="50"/>
      <c r="VIT347" s="50"/>
      <c r="VIU347" s="50"/>
      <c r="VIV347" s="50"/>
      <c r="VIW347" s="50"/>
      <c r="VIX347" s="50"/>
      <c r="VIY347" s="50"/>
      <c r="VIZ347" s="50"/>
      <c r="VJA347" s="50"/>
      <c r="VJB347" s="50"/>
      <c r="VJC347" s="50"/>
      <c r="VJD347" s="50"/>
      <c r="VJE347" s="50"/>
      <c r="VJF347" s="50"/>
      <c r="VJG347" s="50"/>
      <c r="VJH347" s="50"/>
      <c r="VJI347" s="50"/>
      <c r="VJJ347" s="50"/>
      <c r="VJK347" s="50"/>
      <c r="VJL347" s="50"/>
      <c r="VJM347" s="50"/>
      <c r="VJN347" s="50"/>
      <c r="VJO347" s="50"/>
      <c r="VJP347" s="50"/>
      <c r="VJQ347" s="50"/>
      <c r="VJR347" s="50"/>
      <c r="VJS347" s="50"/>
      <c r="VJT347" s="50"/>
      <c r="VJU347" s="50"/>
      <c r="VJV347" s="50"/>
      <c r="VJW347" s="50"/>
      <c r="VJX347" s="50"/>
      <c r="VJY347" s="50"/>
      <c r="VJZ347" s="50"/>
      <c r="VKA347" s="50"/>
      <c r="VKB347" s="50"/>
      <c r="VKC347" s="50"/>
      <c r="VKD347" s="50"/>
      <c r="VKE347" s="50"/>
      <c r="VKF347" s="50"/>
      <c r="VKG347" s="50"/>
      <c r="VKH347" s="50"/>
      <c r="VKI347" s="50"/>
      <c r="VKJ347" s="50"/>
      <c r="VKK347" s="50"/>
      <c r="VKL347" s="50"/>
      <c r="VKM347" s="50"/>
      <c r="VKN347" s="50"/>
      <c r="VKO347" s="50"/>
      <c r="VKP347" s="50"/>
      <c r="VKQ347" s="50"/>
      <c r="VKR347" s="50"/>
      <c r="VKS347" s="50"/>
      <c r="VKT347" s="50"/>
      <c r="VKU347" s="50"/>
      <c r="VKV347" s="50"/>
      <c r="VKW347" s="50"/>
      <c r="VKX347" s="50"/>
      <c r="VKY347" s="50"/>
      <c r="VKZ347" s="50"/>
      <c r="VLA347" s="50"/>
      <c r="VLB347" s="50"/>
      <c r="VLC347" s="50"/>
      <c r="VLD347" s="50"/>
      <c r="VLE347" s="50"/>
      <c r="VLF347" s="50"/>
      <c r="VLG347" s="50"/>
      <c r="VLH347" s="50"/>
      <c r="VLI347" s="50"/>
      <c r="VLJ347" s="50"/>
      <c r="VLK347" s="50"/>
      <c r="VLL347" s="50"/>
      <c r="VLM347" s="50"/>
      <c r="VLN347" s="50"/>
      <c r="VLO347" s="50"/>
      <c r="VLP347" s="50"/>
      <c r="VLQ347" s="50"/>
      <c r="VLR347" s="50"/>
      <c r="VLS347" s="50"/>
      <c r="VLT347" s="50"/>
      <c r="VLU347" s="50"/>
      <c r="VLV347" s="50"/>
      <c r="VLW347" s="50"/>
      <c r="VLX347" s="50"/>
      <c r="VLY347" s="50"/>
      <c r="VLZ347" s="50"/>
      <c r="VMA347" s="50"/>
      <c r="VMB347" s="50"/>
      <c r="VMC347" s="50"/>
      <c r="VMD347" s="50"/>
      <c r="VME347" s="50"/>
      <c r="VMF347" s="50"/>
      <c r="VMG347" s="50"/>
      <c r="VMH347" s="50"/>
      <c r="VMI347" s="50"/>
      <c r="VMJ347" s="50"/>
      <c r="VMK347" s="50"/>
      <c r="VML347" s="50"/>
      <c r="VMM347" s="50"/>
      <c r="VMN347" s="50"/>
      <c r="VMO347" s="50"/>
      <c r="VMP347" s="50"/>
      <c r="VMQ347" s="50"/>
      <c r="VMR347" s="50"/>
      <c r="VMS347" s="50"/>
      <c r="VMT347" s="50"/>
      <c r="VMU347" s="50"/>
      <c r="VMV347" s="50"/>
      <c r="VMW347" s="50"/>
      <c r="VMX347" s="50"/>
      <c r="VMY347" s="50"/>
      <c r="VMZ347" s="50"/>
      <c r="VNA347" s="50"/>
      <c r="VNB347" s="50"/>
      <c r="VNC347" s="50"/>
      <c r="VND347" s="50"/>
      <c r="VNE347" s="50"/>
      <c r="VNF347" s="50"/>
      <c r="VNG347" s="50"/>
      <c r="VNH347" s="50"/>
      <c r="VNI347" s="50"/>
      <c r="VNJ347" s="50"/>
      <c r="VNK347" s="50"/>
      <c r="VNL347" s="50"/>
      <c r="VNM347" s="50"/>
      <c r="VNN347" s="50"/>
      <c r="VNO347" s="50"/>
      <c r="VNP347" s="50"/>
      <c r="VNQ347" s="50"/>
      <c r="VNR347" s="50"/>
      <c r="VNS347" s="50"/>
      <c r="VNT347" s="50"/>
      <c r="VNU347" s="50"/>
      <c r="VNV347" s="50"/>
      <c r="VNW347" s="50"/>
      <c r="VNX347" s="50"/>
      <c r="VNY347" s="50"/>
      <c r="VNZ347" s="50"/>
      <c r="VOA347" s="50"/>
      <c r="VOB347" s="50"/>
      <c r="VOC347" s="50"/>
      <c r="VOD347" s="50"/>
      <c r="VOE347" s="50"/>
      <c r="VOF347" s="50"/>
      <c r="VOG347" s="50"/>
      <c r="VOH347" s="50"/>
      <c r="VOI347" s="50"/>
      <c r="VOJ347" s="50"/>
      <c r="VOK347" s="50"/>
      <c r="VOL347" s="50"/>
      <c r="VOM347" s="50"/>
      <c r="VON347" s="50"/>
      <c r="VOO347" s="50"/>
      <c r="VOP347" s="50"/>
      <c r="VOQ347" s="50"/>
      <c r="VOR347" s="50"/>
      <c r="VOS347" s="50"/>
      <c r="VOT347" s="50"/>
      <c r="VOU347" s="50"/>
      <c r="VOV347" s="50"/>
      <c r="VOW347" s="50"/>
      <c r="VOX347" s="50"/>
      <c r="VOY347" s="50"/>
      <c r="VOZ347" s="50"/>
      <c r="VPA347" s="50"/>
      <c r="VPB347" s="50"/>
      <c r="VPC347" s="50"/>
      <c r="VPD347" s="50"/>
      <c r="VPE347" s="50"/>
      <c r="VPF347" s="50"/>
      <c r="VPG347" s="50"/>
      <c r="VPH347" s="50"/>
      <c r="VPI347" s="50"/>
      <c r="VPJ347" s="50"/>
      <c r="VPK347" s="50"/>
      <c r="VPL347" s="50"/>
      <c r="VPM347" s="50"/>
      <c r="VPN347" s="50"/>
      <c r="VPO347" s="50"/>
      <c r="VPP347" s="50"/>
      <c r="VPQ347" s="50"/>
      <c r="VPR347" s="50"/>
      <c r="VPS347" s="50"/>
      <c r="VPT347" s="50"/>
      <c r="VPU347" s="50"/>
      <c r="VPV347" s="50"/>
      <c r="VPW347" s="50"/>
      <c r="VPX347" s="50"/>
      <c r="VPY347" s="50"/>
      <c r="VPZ347" s="50"/>
      <c r="VQA347" s="50"/>
      <c r="VQB347" s="50"/>
      <c r="VQC347" s="50"/>
      <c r="VQD347" s="50"/>
      <c r="VQE347" s="50"/>
      <c r="VQF347" s="50"/>
      <c r="VQG347" s="50"/>
      <c r="VQH347" s="50"/>
      <c r="VQI347" s="50"/>
      <c r="VQJ347" s="50"/>
      <c r="VQK347" s="50"/>
      <c r="VQL347" s="50"/>
      <c r="VQM347" s="50"/>
      <c r="VQN347" s="50"/>
      <c r="VQO347" s="50"/>
      <c r="VQP347" s="50"/>
      <c r="VQQ347" s="50"/>
      <c r="VQR347" s="50"/>
      <c r="VQS347" s="50"/>
      <c r="VQT347" s="50"/>
      <c r="VQU347" s="50"/>
      <c r="VQV347" s="50"/>
      <c r="VQW347" s="50"/>
      <c r="VQX347" s="50"/>
      <c r="VQY347" s="50"/>
      <c r="VQZ347" s="50"/>
      <c r="VRA347" s="50"/>
      <c r="VRB347" s="50"/>
      <c r="VRC347" s="50"/>
      <c r="VRD347" s="50"/>
      <c r="VRE347" s="50"/>
      <c r="VRF347" s="50"/>
      <c r="VRG347" s="50"/>
      <c r="VRH347" s="50"/>
      <c r="VRI347" s="50"/>
      <c r="VRJ347" s="50"/>
      <c r="VRK347" s="50"/>
      <c r="VRL347" s="50"/>
      <c r="VRM347" s="50"/>
      <c r="VRN347" s="50"/>
      <c r="VRO347" s="50"/>
      <c r="VRP347" s="50"/>
      <c r="VRQ347" s="50"/>
      <c r="VRR347" s="50"/>
      <c r="VRS347" s="50"/>
      <c r="VRT347" s="50"/>
      <c r="VRU347" s="50"/>
      <c r="VRV347" s="50"/>
      <c r="VRW347" s="50"/>
      <c r="VRX347" s="50"/>
      <c r="VRY347" s="50"/>
      <c r="VRZ347" s="50"/>
      <c r="VSA347" s="50"/>
      <c r="VSB347" s="50"/>
      <c r="VSC347" s="50"/>
      <c r="VSD347" s="50"/>
      <c r="VSE347" s="50"/>
      <c r="VSF347" s="50"/>
      <c r="VSG347" s="50"/>
      <c r="VSH347" s="50"/>
      <c r="VSI347" s="50"/>
      <c r="VSJ347" s="50"/>
      <c r="VSK347" s="50"/>
      <c r="VSL347" s="50"/>
      <c r="VSM347" s="50"/>
      <c r="VSN347" s="50"/>
      <c r="VSO347" s="50"/>
      <c r="VSP347" s="50"/>
      <c r="VSQ347" s="50"/>
      <c r="VSR347" s="50"/>
      <c r="VSS347" s="50"/>
      <c r="VST347" s="50"/>
      <c r="VSU347" s="50"/>
      <c r="VSV347" s="50"/>
      <c r="VSW347" s="50"/>
      <c r="VSX347" s="50"/>
      <c r="VSY347" s="50"/>
      <c r="VSZ347" s="50"/>
      <c r="VTA347" s="50"/>
      <c r="VTB347" s="50"/>
      <c r="VTC347" s="50"/>
      <c r="VTD347" s="50"/>
      <c r="VTE347" s="50"/>
      <c r="VTF347" s="50"/>
      <c r="VTG347" s="50"/>
      <c r="VTH347" s="50"/>
      <c r="VTI347" s="50"/>
      <c r="VTJ347" s="50"/>
      <c r="VTK347" s="50"/>
      <c r="VTL347" s="50"/>
      <c r="VTM347" s="50"/>
      <c r="VTN347" s="50"/>
      <c r="VTO347" s="50"/>
      <c r="VTP347" s="50"/>
      <c r="VTQ347" s="50"/>
      <c r="VTR347" s="50"/>
      <c r="VTS347" s="50"/>
      <c r="VTT347" s="50"/>
      <c r="VTU347" s="50"/>
      <c r="VTV347" s="50"/>
      <c r="VTW347" s="50"/>
      <c r="VTX347" s="50"/>
      <c r="VTY347" s="50"/>
      <c r="VTZ347" s="50"/>
      <c r="VUA347" s="50"/>
      <c r="VUB347" s="50"/>
      <c r="VUC347" s="50"/>
      <c r="VUD347" s="50"/>
      <c r="VUE347" s="50"/>
      <c r="VUF347" s="50"/>
      <c r="VUG347" s="50"/>
      <c r="VUH347" s="50"/>
      <c r="VUI347" s="50"/>
      <c r="VUJ347" s="50"/>
      <c r="VUK347" s="50"/>
      <c r="VUL347" s="50"/>
      <c r="VUM347" s="50"/>
      <c r="VUN347" s="50"/>
      <c r="VUO347" s="50"/>
      <c r="VUP347" s="50"/>
      <c r="VUQ347" s="50"/>
      <c r="VUR347" s="50"/>
      <c r="VUS347" s="50"/>
      <c r="VUT347" s="50"/>
      <c r="VUU347" s="50"/>
      <c r="VUV347" s="50"/>
      <c r="VUW347" s="50"/>
      <c r="VUX347" s="50"/>
      <c r="VUY347" s="50"/>
      <c r="VUZ347" s="50"/>
      <c r="VVA347" s="50"/>
      <c r="VVB347" s="50"/>
      <c r="VVC347" s="50"/>
      <c r="VVD347" s="50"/>
      <c r="VVE347" s="50"/>
      <c r="VVF347" s="50"/>
      <c r="VVG347" s="50"/>
      <c r="VVH347" s="50"/>
      <c r="VVI347" s="50"/>
      <c r="VVJ347" s="50"/>
      <c r="VVK347" s="50"/>
      <c r="VVL347" s="50"/>
      <c r="VVM347" s="50"/>
      <c r="VVN347" s="50"/>
      <c r="VVO347" s="50"/>
      <c r="VVP347" s="50"/>
      <c r="VVQ347" s="50"/>
      <c r="VVR347" s="50"/>
      <c r="VVS347" s="50"/>
      <c r="VVT347" s="50"/>
      <c r="VVU347" s="50"/>
      <c r="VVV347" s="50"/>
      <c r="VVW347" s="50"/>
      <c r="VVX347" s="50"/>
      <c r="VVY347" s="50"/>
      <c r="VVZ347" s="50"/>
      <c r="VWA347" s="50"/>
      <c r="VWB347" s="50"/>
      <c r="VWC347" s="50"/>
      <c r="VWD347" s="50"/>
      <c r="VWE347" s="50"/>
      <c r="VWF347" s="50"/>
      <c r="VWG347" s="50"/>
      <c r="VWH347" s="50"/>
      <c r="VWI347" s="50"/>
      <c r="VWJ347" s="50"/>
      <c r="VWK347" s="50"/>
      <c r="VWL347" s="50"/>
      <c r="VWM347" s="50"/>
      <c r="VWN347" s="50"/>
      <c r="VWO347" s="50"/>
      <c r="VWP347" s="50"/>
      <c r="VWQ347" s="50"/>
      <c r="VWR347" s="50"/>
      <c r="VWS347" s="50"/>
      <c r="VWT347" s="50"/>
      <c r="VWU347" s="50"/>
      <c r="VWV347" s="50"/>
      <c r="VWW347" s="50"/>
      <c r="VWX347" s="50"/>
      <c r="VWY347" s="50"/>
      <c r="VWZ347" s="50"/>
      <c r="VXA347" s="50"/>
      <c r="VXB347" s="50"/>
      <c r="VXC347" s="50"/>
      <c r="VXD347" s="50"/>
      <c r="VXE347" s="50"/>
      <c r="VXF347" s="50"/>
      <c r="VXG347" s="50"/>
      <c r="VXH347" s="50"/>
      <c r="VXI347" s="50"/>
      <c r="VXJ347" s="50"/>
      <c r="VXK347" s="50"/>
      <c r="VXL347" s="50"/>
      <c r="VXM347" s="50"/>
      <c r="VXN347" s="50"/>
      <c r="VXO347" s="50"/>
      <c r="VXP347" s="50"/>
      <c r="VXQ347" s="50"/>
      <c r="VXR347" s="50"/>
      <c r="VXS347" s="50"/>
      <c r="VXT347" s="50"/>
      <c r="VXU347" s="50"/>
      <c r="VXV347" s="50"/>
      <c r="VXW347" s="50"/>
      <c r="VXX347" s="50"/>
      <c r="VXY347" s="50"/>
      <c r="VXZ347" s="50"/>
      <c r="VYA347" s="50"/>
      <c r="VYB347" s="50"/>
      <c r="VYC347" s="50"/>
      <c r="VYD347" s="50"/>
      <c r="VYE347" s="50"/>
      <c r="VYF347" s="50"/>
      <c r="VYG347" s="50"/>
      <c r="VYH347" s="50"/>
      <c r="VYI347" s="50"/>
      <c r="VYJ347" s="50"/>
      <c r="VYK347" s="50"/>
      <c r="VYL347" s="50"/>
      <c r="VYM347" s="50"/>
      <c r="VYN347" s="50"/>
      <c r="VYO347" s="50"/>
      <c r="VYP347" s="50"/>
      <c r="VYQ347" s="50"/>
      <c r="VYR347" s="50"/>
      <c r="VYS347" s="50"/>
      <c r="VYT347" s="50"/>
      <c r="VYU347" s="50"/>
      <c r="VYV347" s="50"/>
      <c r="VYW347" s="50"/>
      <c r="VYX347" s="50"/>
      <c r="VYY347" s="50"/>
      <c r="VYZ347" s="50"/>
      <c r="VZA347" s="50"/>
      <c r="VZB347" s="50"/>
      <c r="VZC347" s="50"/>
      <c r="VZD347" s="50"/>
      <c r="VZE347" s="50"/>
      <c r="VZF347" s="50"/>
      <c r="VZG347" s="50"/>
      <c r="VZH347" s="50"/>
      <c r="VZI347" s="50"/>
      <c r="VZJ347" s="50"/>
      <c r="VZK347" s="50"/>
      <c r="VZL347" s="50"/>
      <c r="VZM347" s="50"/>
      <c r="VZN347" s="50"/>
      <c r="VZO347" s="50"/>
      <c r="VZP347" s="50"/>
      <c r="VZQ347" s="50"/>
      <c r="VZR347" s="50"/>
      <c r="VZS347" s="50"/>
      <c r="VZT347" s="50"/>
      <c r="VZU347" s="50"/>
      <c r="VZV347" s="50"/>
      <c r="VZW347" s="50"/>
      <c r="VZX347" s="50"/>
      <c r="VZY347" s="50"/>
      <c r="VZZ347" s="50"/>
      <c r="WAA347" s="50"/>
      <c r="WAB347" s="50"/>
      <c r="WAC347" s="50"/>
      <c r="WAD347" s="50"/>
      <c r="WAE347" s="50"/>
      <c r="WAF347" s="50"/>
      <c r="WAG347" s="50"/>
      <c r="WAH347" s="50"/>
      <c r="WAI347" s="50"/>
      <c r="WAJ347" s="50"/>
      <c r="WAK347" s="50"/>
      <c r="WAL347" s="50"/>
      <c r="WAM347" s="50"/>
      <c r="WAN347" s="50"/>
      <c r="WAO347" s="50"/>
      <c r="WAP347" s="50"/>
      <c r="WAQ347" s="50"/>
      <c r="WAR347" s="50"/>
      <c r="WAS347" s="50"/>
      <c r="WAT347" s="50"/>
      <c r="WAU347" s="50"/>
      <c r="WAV347" s="50"/>
      <c r="WAW347" s="50"/>
      <c r="WAX347" s="50"/>
      <c r="WAY347" s="50"/>
      <c r="WAZ347" s="50"/>
      <c r="WBA347" s="50"/>
      <c r="WBB347" s="50"/>
      <c r="WBC347" s="50"/>
      <c r="WBD347" s="50"/>
      <c r="WBE347" s="50"/>
      <c r="WBF347" s="50"/>
      <c r="WBG347" s="50"/>
      <c r="WBH347" s="50"/>
      <c r="WBI347" s="50"/>
      <c r="WBJ347" s="50"/>
      <c r="WBK347" s="50"/>
      <c r="WBL347" s="50"/>
      <c r="WBM347" s="50"/>
      <c r="WBN347" s="50"/>
      <c r="WBO347" s="50"/>
      <c r="WBP347" s="50"/>
      <c r="WBQ347" s="50"/>
      <c r="WBR347" s="50"/>
      <c r="WBS347" s="50"/>
      <c r="WBT347" s="50"/>
      <c r="WBU347" s="50"/>
      <c r="WBV347" s="50"/>
      <c r="WBW347" s="50"/>
      <c r="WBX347" s="50"/>
      <c r="WBY347" s="50"/>
      <c r="WBZ347" s="50"/>
      <c r="WCA347" s="50"/>
      <c r="WCB347" s="50"/>
      <c r="WCC347" s="50"/>
      <c r="WCD347" s="50"/>
      <c r="WCE347" s="50"/>
      <c r="WCF347" s="50"/>
      <c r="WCG347" s="50"/>
      <c r="WCH347" s="50"/>
      <c r="WCI347" s="50"/>
      <c r="WCJ347" s="50"/>
      <c r="WCK347" s="50"/>
      <c r="WCL347" s="50"/>
      <c r="WCM347" s="50"/>
      <c r="WCN347" s="50"/>
      <c r="WCO347" s="50"/>
      <c r="WCP347" s="50"/>
      <c r="WCQ347" s="50"/>
      <c r="WCR347" s="50"/>
      <c r="WCS347" s="50"/>
      <c r="WCT347" s="50"/>
      <c r="WCU347" s="50"/>
      <c r="WCV347" s="50"/>
      <c r="WCW347" s="50"/>
      <c r="WCX347" s="50"/>
      <c r="WCY347" s="50"/>
      <c r="WCZ347" s="50"/>
      <c r="WDA347" s="50"/>
      <c r="WDB347" s="50"/>
      <c r="WDC347" s="50"/>
      <c r="WDD347" s="50"/>
      <c r="WDE347" s="50"/>
      <c r="WDF347" s="50"/>
      <c r="WDG347" s="50"/>
      <c r="WDH347" s="50"/>
      <c r="WDI347" s="50"/>
      <c r="WDJ347" s="50"/>
      <c r="WDK347" s="50"/>
      <c r="WDL347" s="50"/>
      <c r="WDM347" s="50"/>
      <c r="WDN347" s="50"/>
      <c r="WDO347" s="50"/>
      <c r="WDP347" s="50"/>
      <c r="WDQ347" s="50"/>
      <c r="WDR347" s="50"/>
      <c r="WDS347" s="50"/>
      <c r="WDT347" s="50"/>
      <c r="WDU347" s="50"/>
      <c r="WDV347" s="50"/>
      <c r="WDW347" s="50"/>
      <c r="WDX347" s="50"/>
      <c r="WDY347" s="50"/>
      <c r="WDZ347" s="50"/>
      <c r="WEA347" s="50"/>
      <c r="WEB347" s="50"/>
      <c r="WEC347" s="50"/>
      <c r="WED347" s="50"/>
      <c r="WEE347" s="50"/>
      <c r="WEF347" s="50"/>
      <c r="WEG347" s="50"/>
      <c r="WEH347" s="50"/>
      <c r="WEI347" s="50"/>
      <c r="WEJ347" s="50"/>
      <c r="WEK347" s="50"/>
      <c r="WEL347" s="50"/>
      <c r="WEM347" s="50"/>
      <c r="WEN347" s="50"/>
      <c r="WEO347" s="50"/>
      <c r="WEP347" s="50"/>
      <c r="WEQ347" s="50"/>
      <c r="WER347" s="50"/>
      <c r="WES347" s="50"/>
      <c r="WET347" s="50"/>
      <c r="WEU347" s="50"/>
      <c r="WEV347" s="50"/>
      <c r="WEW347" s="50"/>
      <c r="WEX347" s="50"/>
      <c r="WEY347" s="50"/>
      <c r="WEZ347" s="50"/>
      <c r="WFA347" s="50"/>
      <c r="WFB347" s="50"/>
      <c r="WFC347" s="50"/>
      <c r="WFD347" s="50"/>
      <c r="WFE347" s="50"/>
      <c r="WFF347" s="50"/>
      <c r="WFG347" s="50"/>
      <c r="WFH347" s="50"/>
      <c r="WFI347" s="50"/>
      <c r="WFJ347" s="50"/>
      <c r="WFK347" s="50"/>
      <c r="WFL347" s="50"/>
      <c r="WFM347" s="50"/>
      <c r="WFN347" s="50"/>
      <c r="WFO347" s="50"/>
      <c r="WFP347" s="50"/>
      <c r="WFQ347" s="50"/>
      <c r="WFR347" s="50"/>
      <c r="WFS347" s="50"/>
      <c r="WFT347" s="50"/>
      <c r="WFU347" s="50"/>
      <c r="WFV347" s="50"/>
      <c r="WFW347" s="50"/>
      <c r="WFX347" s="50"/>
      <c r="WFY347" s="50"/>
      <c r="WFZ347" s="50"/>
      <c r="WGA347" s="50"/>
      <c r="WGB347" s="50"/>
      <c r="WGC347" s="50"/>
      <c r="WGD347" s="50"/>
      <c r="WGE347" s="50"/>
      <c r="WGF347" s="50"/>
      <c r="WGG347" s="50"/>
      <c r="WGH347" s="50"/>
      <c r="WGI347" s="50"/>
      <c r="WGJ347" s="50"/>
      <c r="WGK347" s="50"/>
      <c r="WGL347" s="50"/>
      <c r="WGM347" s="50"/>
      <c r="WGN347" s="50"/>
      <c r="WGO347" s="50"/>
      <c r="WGP347" s="50"/>
      <c r="WGQ347" s="50"/>
      <c r="WGR347" s="50"/>
      <c r="WGS347" s="50"/>
      <c r="WGT347" s="50"/>
      <c r="WGU347" s="50"/>
      <c r="WGV347" s="50"/>
      <c r="WGW347" s="50"/>
      <c r="WGX347" s="50"/>
      <c r="WGY347" s="50"/>
      <c r="WGZ347" s="50"/>
      <c r="WHA347" s="50"/>
      <c r="WHB347" s="50"/>
      <c r="WHC347" s="50"/>
      <c r="WHD347" s="50"/>
      <c r="WHE347" s="50"/>
      <c r="WHF347" s="50"/>
      <c r="WHG347" s="50"/>
      <c r="WHH347" s="50"/>
      <c r="WHI347" s="50"/>
      <c r="WHJ347" s="50"/>
      <c r="WHK347" s="50"/>
      <c r="WHL347" s="50"/>
      <c r="WHM347" s="50"/>
      <c r="WHN347" s="50"/>
      <c r="WHO347" s="50"/>
      <c r="WHP347" s="50"/>
      <c r="WHQ347" s="50"/>
      <c r="WHR347" s="50"/>
      <c r="WHS347" s="50"/>
      <c r="WHT347" s="50"/>
      <c r="WHU347" s="50"/>
      <c r="WHV347" s="50"/>
      <c r="WHW347" s="50"/>
      <c r="WHX347" s="50"/>
      <c r="WHY347" s="50"/>
      <c r="WHZ347" s="50"/>
      <c r="WIA347" s="50"/>
      <c r="WIB347" s="50"/>
      <c r="WIC347" s="50"/>
      <c r="WID347" s="50"/>
      <c r="WIE347" s="50"/>
      <c r="WIF347" s="50"/>
      <c r="WIG347" s="50"/>
      <c r="WIH347" s="50"/>
      <c r="WII347" s="50"/>
      <c r="WIJ347" s="50"/>
      <c r="WIK347" s="50"/>
      <c r="WIL347" s="50"/>
      <c r="WIM347" s="50"/>
      <c r="WIN347" s="50"/>
      <c r="WIO347" s="50"/>
      <c r="WIP347" s="50"/>
      <c r="WIQ347" s="50"/>
      <c r="WIR347" s="50"/>
      <c r="WIS347" s="50"/>
      <c r="WIT347" s="50"/>
      <c r="WIU347" s="50"/>
      <c r="WIV347" s="50"/>
      <c r="WIW347" s="50"/>
      <c r="WIX347" s="50"/>
      <c r="WIY347" s="50"/>
      <c r="WIZ347" s="50"/>
      <c r="WJA347" s="50"/>
      <c r="WJB347" s="50"/>
      <c r="WJC347" s="50"/>
      <c r="WJD347" s="50"/>
      <c r="WJE347" s="50"/>
      <c r="WJF347" s="50"/>
      <c r="WJG347" s="50"/>
      <c r="WJH347" s="50"/>
      <c r="WJI347" s="50"/>
      <c r="WJJ347" s="50"/>
      <c r="WJK347" s="50"/>
      <c r="WJL347" s="50"/>
      <c r="WJM347" s="50"/>
      <c r="WJN347" s="50"/>
      <c r="WJO347" s="50"/>
      <c r="WJP347" s="50"/>
      <c r="WJQ347" s="50"/>
      <c r="WJR347" s="50"/>
      <c r="WJS347" s="50"/>
      <c r="WJT347" s="50"/>
      <c r="WJU347" s="50"/>
      <c r="WJV347" s="50"/>
      <c r="WJW347" s="50"/>
      <c r="WJX347" s="50"/>
      <c r="WJY347" s="50"/>
      <c r="WJZ347" s="50"/>
      <c r="WKA347" s="50"/>
      <c r="WKB347" s="50"/>
      <c r="WKC347" s="50"/>
      <c r="WKD347" s="50"/>
      <c r="WKE347" s="50"/>
      <c r="WKF347" s="50"/>
      <c r="WKG347" s="50"/>
      <c r="WKH347" s="50"/>
      <c r="WKI347" s="50"/>
      <c r="WKJ347" s="50"/>
      <c r="WKK347" s="50"/>
      <c r="WKL347" s="50"/>
      <c r="WKM347" s="50"/>
      <c r="WKN347" s="50"/>
      <c r="WKO347" s="50"/>
      <c r="WKP347" s="50"/>
      <c r="WKQ347" s="50"/>
      <c r="WKR347" s="50"/>
      <c r="WKS347" s="50"/>
      <c r="WKT347" s="50"/>
      <c r="WKU347" s="50"/>
      <c r="WKV347" s="50"/>
      <c r="WKW347" s="50"/>
      <c r="WKX347" s="50"/>
      <c r="WKY347" s="50"/>
      <c r="WKZ347" s="50"/>
      <c r="WLA347" s="50"/>
      <c r="WLB347" s="50"/>
      <c r="WLC347" s="50"/>
      <c r="WLD347" s="50"/>
      <c r="WLE347" s="50"/>
      <c r="WLF347" s="50"/>
      <c r="WLG347" s="50"/>
      <c r="WLH347" s="50"/>
      <c r="WLI347" s="50"/>
      <c r="WLJ347" s="50"/>
      <c r="WLK347" s="50"/>
      <c r="WLL347" s="50"/>
      <c r="WLM347" s="50"/>
      <c r="WLN347" s="50"/>
      <c r="WLO347" s="50"/>
      <c r="WLP347" s="50"/>
      <c r="WLQ347" s="50"/>
      <c r="WLR347" s="50"/>
      <c r="WLS347" s="50"/>
      <c r="WLT347" s="50"/>
      <c r="WLU347" s="50"/>
      <c r="WLV347" s="50"/>
      <c r="WLW347" s="50"/>
      <c r="WLX347" s="50"/>
      <c r="WLY347" s="50"/>
      <c r="WLZ347" s="50"/>
      <c r="WMA347" s="50"/>
      <c r="WMB347" s="50"/>
      <c r="WMC347" s="50"/>
      <c r="WMD347" s="50"/>
      <c r="WME347" s="50"/>
      <c r="WMF347" s="50"/>
      <c r="WMG347" s="50"/>
      <c r="WMH347" s="50"/>
      <c r="WMI347" s="50"/>
      <c r="WMJ347" s="50"/>
      <c r="WMK347" s="50"/>
      <c r="WML347" s="50"/>
      <c r="WMM347" s="50"/>
      <c r="WMN347" s="50"/>
      <c r="WMO347" s="50"/>
      <c r="WMP347" s="50"/>
      <c r="WMQ347" s="50"/>
      <c r="WMR347" s="50"/>
      <c r="WMS347" s="50"/>
      <c r="WMT347" s="50"/>
      <c r="WMU347" s="50"/>
      <c r="WMV347" s="50"/>
      <c r="WMW347" s="50"/>
      <c r="WMX347" s="50"/>
      <c r="WMY347" s="50"/>
      <c r="WMZ347" s="50"/>
      <c r="WNA347" s="50"/>
      <c r="WNB347" s="50"/>
      <c r="WNC347" s="50"/>
      <c r="WND347" s="50"/>
      <c r="WNE347" s="50"/>
      <c r="WNF347" s="50"/>
      <c r="WNG347" s="50"/>
      <c r="WNH347" s="50"/>
      <c r="WNI347" s="50"/>
      <c r="WNJ347" s="50"/>
      <c r="WNK347" s="50"/>
      <c r="WNL347" s="50"/>
      <c r="WNM347" s="50"/>
      <c r="WNN347" s="50"/>
      <c r="WNO347" s="50"/>
      <c r="WNP347" s="50"/>
      <c r="WNQ347" s="50"/>
      <c r="WNR347" s="50"/>
      <c r="WNS347" s="50"/>
      <c r="WNT347" s="50"/>
      <c r="WNU347" s="50"/>
      <c r="WNV347" s="50"/>
      <c r="WNW347" s="50"/>
      <c r="WNX347" s="50"/>
      <c r="WNY347" s="50"/>
      <c r="WNZ347" s="50"/>
      <c r="WOA347" s="50"/>
      <c r="WOB347" s="50"/>
      <c r="WOC347" s="50"/>
      <c r="WOD347" s="50"/>
      <c r="WOE347" s="50"/>
      <c r="WOF347" s="50"/>
      <c r="WOG347" s="50"/>
      <c r="WOH347" s="50"/>
      <c r="WOI347" s="50"/>
      <c r="WOJ347" s="50"/>
      <c r="WOK347" s="50"/>
      <c r="WOL347" s="50"/>
      <c r="WOM347" s="50"/>
      <c r="WON347" s="50"/>
      <c r="WOO347" s="50"/>
      <c r="WOP347" s="50"/>
      <c r="WOQ347" s="50"/>
      <c r="WOR347" s="50"/>
      <c r="WOS347" s="50"/>
      <c r="WOT347" s="50"/>
      <c r="WOU347" s="50"/>
      <c r="WOV347" s="50"/>
      <c r="WOW347" s="50"/>
      <c r="WOX347" s="50"/>
      <c r="WOY347" s="50"/>
      <c r="WOZ347" s="50"/>
      <c r="WPA347" s="50"/>
      <c r="WPB347" s="50"/>
      <c r="WPC347" s="50"/>
      <c r="WPD347" s="50"/>
      <c r="WPE347" s="50"/>
      <c r="WPF347" s="50"/>
      <c r="WPG347" s="50"/>
      <c r="WPH347" s="50"/>
      <c r="WPI347" s="50"/>
      <c r="WPJ347" s="50"/>
      <c r="WPK347" s="50"/>
      <c r="WPL347" s="50"/>
      <c r="WPM347" s="50"/>
      <c r="WPN347" s="50"/>
      <c r="WPO347" s="50"/>
      <c r="WPP347" s="50"/>
      <c r="WPQ347" s="50"/>
      <c r="WPR347" s="50"/>
      <c r="WPS347" s="50"/>
      <c r="WPT347" s="50"/>
      <c r="WPU347" s="50"/>
      <c r="WPV347" s="50"/>
      <c r="WPW347" s="50"/>
      <c r="WPX347" s="50"/>
      <c r="WPY347" s="50"/>
      <c r="WPZ347" s="50"/>
      <c r="WQA347" s="50"/>
      <c r="WQB347" s="50"/>
      <c r="WQC347" s="50"/>
      <c r="WQD347" s="50"/>
      <c r="WQE347" s="50"/>
      <c r="WQF347" s="50"/>
      <c r="WQG347" s="50"/>
      <c r="WQH347" s="50"/>
      <c r="WQI347" s="50"/>
      <c r="WQJ347" s="50"/>
      <c r="WQK347" s="50"/>
      <c r="WQL347" s="50"/>
      <c r="WQM347" s="50"/>
      <c r="WQN347" s="50"/>
      <c r="WQO347" s="50"/>
      <c r="WQP347" s="50"/>
      <c r="WQQ347" s="50"/>
      <c r="WQR347" s="50"/>
      <c r="WQS347" s="50"/>
      <c r="WQT347" s="50"/>
      <c r="WQU347" s="50"/>
      <c r="WQV347" s="50"/>
      <c r="WQW347" s="50"/>
      <c r="WQX347" s="50"/>
      <c r="WQY347" s="50"/>
      <c r="WQZ347" s="50"/>
      <c r="WRA347" s="50"/>
      <c r="WRB347" s="50"/>
      <c r="WRC347" s="50"/>
      <c r="WRD347" s="50"/>
      <c r="WRE347" s="50"/>
      <c r="WRF347" s="50"/>
      <c r="WRG347" s="50"/>
      <c r="WRH347" s="50"/>
      <c r="WRI347" s="50"/>
      <c r="WRJ347" s="50"/>
      <c r="WRK347" s="50"/>
      <c r="WRL347" s="50"/>
      <c r="WRM347" s="50"/>
      <c r="WRN347" s="50"/>
      <c r="WRO347" s="50"/>
      <c r="WRP347" s="50"/>
      <c r="WRQ347" s="50"/>
      <c r="WRR347" s="50"/>
      <c r="WRS347" s="50"/>
      <c r="WRT347" s="50"/>
      <c r="WRU347" s="50"/>
      <c r="WRV347" s="50"/>
      <c r="WRW347" s="50"/>
      <c r="WRX347" s="50"/>
      <c r="WRY347" s="50"/>
      <c r="WRZ347" s="50"/>
      <c r="WSA347" s="50"/>
      <c r="WSB347" s="50"/>
      <c r="WSC347" s="50"/>
      <c r="WSD347" s="50"/>
      <c r="WSE347" s="50"/>
      <c r="WSF347" s="50"/>
      <c r="WSG347" s="50"/>
      <c r="WSH347" s="50"/>
      <c r="WSI347" s="50"/>
      <c r="WSJ347" s="50"/>
      <c r="WSK347" s="50"/>
      <c r="WSL347" s="50"/>
      <c r="WSM347" s="50"/>
      <c r="WSN347" s="50"/>
      <c r="WSO347" s="50"/>
      <c r="WSP347" s="50"/>
      <c r="WSQ347" s="50"/>
      <c r="WSR347" s="50"/>
      <c r="WSS347" s="50"/>
      <c r="WST347" s="50"/>
      <c r="WSU347" s="50"/>
      <c r="WSV347" s="50"/>
      <c r="WSW347" s="50"/>
      <c r="WSX347" s="50"/>
      <c r="WSY347" s="50"/>
      <c r="WSZ347" s="50"/>
      <c r="WTA347" s="50"/>
      <c r="WTB347" s="50"/>
      <c r="WTC347" s="50"/>
      <c r="WTD347" s="50"/>
      <c r="WTE347" s="50"/>
      <c r="WTF347" s="50"/>
      <c r="WTG347" s="50"/>
      <c r="WTH347" s="50"/>
      <c r="WTI347" s="50"/>
      <c r="WTJ347" s="50"/>
      <c r="WTK347" s="50"/>
      <c r="WTL347" s="50"/>
      <c r="WTM347" s="50"/>
      <c r="WTN347" s="50"/>
      <c r="WTO347" s="50"/>
      <c r="WTP347" s="50"/>
      <c r="WTQ347" s="50"/>
      <c r="WTR347" s="50"/>
      <c r="WTS347" s="50"/>
      <c r="WTT347" s="50"/>
      <c r="WTU347" s="50"/>
      <c r="WTV347" s="50"/>
      <c r="WTW347" s="50"/>
      <c r="WTX347" s="50"/>
      <c r="WTY347" s="50"/>
      <c r="WTZ347" s="50"/>
      <c r="WUA347" s="50"/>
      <c r="WUB347" s="50"/>
      <c r="WUC347" s="50"/>
      <c r="WUD347" s="50"/>
      <c r="WUE347" s="50"/>
      <c r="WUF347" s="50"/>
      <c r="WUG347" s="50"/>
      <c r="WUH347" s="50"/>
      <c r="WUI347" s="50"/>
      <c r="WUJ347" s="50"/>
      <c r="WUK347" s="50"/>
      <c r="WUL347" s="50"/>
      <c r="WUM347" s="50"/>
      <c r="WUN347" s="50"/>
      <c r="WUO347" s="50"/>
    </row>
    <row r="348" spans="1:16109" s="29" customFormat="1" ht="90.75" customHeight="1" x14ac:dyDescent="0.25">
      <c r="A348" s="20"/>
      <c r="B348" s="20"/>
      <c r="C348" s="20"/>
      <c r="D348" s="21"/>
      <c r="E348" s="21"/>
      <c r="F348" s="22"/>
      <c r="G348" s="22"/>
      <c r="H348" s="24"/>
      <c r="I348" s="25"/>
      <c r="J348" s="24"/>
      <c r="K348" s="37">
        <v>4</v>
      </c>
      <c r="L348" s="20" t="s">
        <v>31</v>
      </c>
      <c r="M348" s="20"/>
      <c r="N348" s="62" t="s">
        <v>209</v>
      </c>
      <c r="O348" s="24">
        <v>180</v>
      </c>
      <c r="P348" s="35">
        <v>100</v>
      </c>
      <c r="Q348" s="40">
        <v>2550</v>
      </c>
      <c r="R348" s="77">
        <f t="shared" si="69"/>
        <v>459000</v>
      </c>
      <c r="S348" s="37">
        <v>5</v>
      </c>
      <c r="T348" s="28">
        <f t="shared" si="70"/>
        <v>22950</v>
      </c>
      <c r="U348" s="77">
        <f t="shared" si="71"/>
        <v>436050</v>
      </c>
      <c r="V348" s="20"/>
      <c r="W348" s="26"/>
      <c r="X348" s="27"/>
      <c r="Y348" s="20"/>
      <c r="Z348" s="2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50"/>
      <c r="AR348" s="50"/>
      <c r="AS348" s="50"/>
      <c r="AT348" s="50"/>
      <c r="AU348" s="50"/>
      <c r="AV348" s="50"/>
      <c r="AW348" s="50"/>
      <c r="AX348" s="50"/>
      <c r="AY348" s="50"/>
      <c r="AZ348" s="50"/>
      <c r="BA348" s="50"/>
      <c r="BB348" s="50"/>
      <c r="BC348" s="50"/>
      <c r="BD348" s="50"/>
      <c r="BE348" s="50"/>
      <c r="BF348" s="50"/>
      <c r="BG348" s="50"/>
      <c r="BH348" s="50"/>
      <c r="BI348" s="50"/>
      <c r="BJ348" s="50"/>
      <c r="BK348" s="50"/>
      <c r="BL348" s="50"/>
      <c r="BM348" s="50"/>
      <c r="BN348" s="50"/>
      <c r="BO348" s="50"/>
      <c r="BP348" s="50"/>
      <c r="BQ348" s="50"/>
      <c r="BR348" s="50"/>
      <c r="BS348" s="50"/>
      <c r="BT348" s="50"/>
      <c r="BU348" s="50"/>
      <c r="BV348" s="50"/>
      <c r="BW348" s="50"/>
      <c r="BX348" s="50"/>
      <c r="BY348" s="50"/>
      <c r="BZ348" s="50"/>
      <c r="CA348" s="50"/>
      <c r="CB348" s="50"/>
      <c r="CC348" s="50"/>
      <c r="CD348" s="50"/>
      <c r="CE348" s="50"/>
      <c r="CF348" s="50"/>
      <c r="CG348" s="50"/>
      <c r="CH348" s="50"/>
      <c r="CI348" s="50"/>
      <c r="CJ348" s="50"/>
      <c r="CK348" s="50"/>
      <c r="CL348" s="50"/>
      <c r="CM348" s="50"/>
      <c r="CN348" s="50"/>
      <c r="CO348" s="50"/>
      <c r="CP348" s="50"/>
      <c r="CQ348" s="50"/>
      <c r="CR348" s="50"/>
      <c r="CS348" s="50"/>
      <c r="CT348" s="50"/>
      <c r="CU348" s="50"/>
      <c r="CV348" s="50"/>
      <c r="CW348" s="50"/>
      <c r="CX348" s="50"/>
      <c r="CY348" s="50"/>
      <c r="CZ348" s="50"/>
      <c r="DA348" s="50"/>
      <c r="DB348" s="50"/>
      <c r="DC348" s="50"/>
      <c r="DD348" s="50"/>
      <c r="DE348" s="50"/>
      <c r="DF348" s="50"/>
      <c r="DG348" s="50"/>
      <c r="DH348" s="50"/>
      <c r="DI348" s="50"/>
      <c r="DJ348" s="50"/>
      <c r="DK348" s="50"/>
      <c r="DL348" s="50"/>
      <c r="DM348" s="50"/>
      <c r="DN348" s="50"/>
      <c r="DO348" s="50"/>
      <c r="DP348" s="50"/>
      <c r="DQ348" s="50"/>
      <c r="DR348" s="50"/>
      <c r="DS348" s="50"/>
      <c r="DT348" s="50"/>
      <c r="DU348" s="50"/>
      <c r="DV348" s="50"/>
      <c r="DW348" s="50"/>
      <c r="DX348" s="50"/>
      <c r="DY348" s="50"/>
      <c r="DZ348" s="50"/>
      <c r="EA348" s="50"/>
      <c r="EB348" s="50"/>
      <c r="EC348" s="50"/>
      <c r="ED348" s="50"/>
      <c r="EE348" s="50"/>
      <c r="EF348" s="50"/>
      <c r="EG348" s="50"/>
      <c r="EH348" s="50"/>
      <c r="EI348" s="50"/>
      <c r="EJ348" s="50"/>
      <c r="EK348" s="50"/>
      <c r="EL348" s="50"/>
      <c r="EM348" s="50"/>
      <c r="EN348" s="50"/>
      <c r="EO348" s="50"/>
      <c r="EP348" s="50"/>
      <c r="EQ348" s="50"/>
      <c r="ER348" s="50"/>
      <c r="ES348" s="50"/>
      <c r="ET348" s="50"/>
      <c r="EU348" s="50"/>
      <c r="EV348" s="50"/>
      <c r="EW348" s="50"/>
      <c r="EX348" s="50"/>
      <c r="EY348" s="50"/>
      <c r="EZ348" s="50"/>
      <c r="FA348" s="50"/>
      <c r="FB348" s="50"/>
      <c r="FC348" s="50"/>
      <c r="FD348" s="50"/>
      <c r="FE348" s="50"/>
      <c r="FF348" s="50"/>
      <c r="FG348" s="50"/>
      <c r="FH348" s="50"/>
      <c r="FI348" s="50"/>
      <c r="FJ348" s="50"/>
      <c r="FK348" s="50"/>
      <c r="FL348" s="50"/>
      <c r="FM348" s="50"/>
      <c r="FN348" s="50"/>
      <c r="FO348" s="50"/>
      <c r="FP348" s="50"/>
      <c r="FQ348" s="50"/>
      <c r="FR348" s="50"/>
      <c r="FS348" s="50"/>
      <c r="FT348" s="50"/>
      <c r="FU348" s="50"/>
      <c r="FV348" s="50"/>
      <c r="FW348" s="50"/>
      <c r="FX348" s="50"/>
      <c r="FY348" s="50"/>
      <c r="FZ348" s="50"/>
      <c r="GA348" s="50"/>
      <c r="GB348" s="50"/>
      <c r="GC348" s="50"/>
      <c r="GD348" s="50"/>
      <c r="GE348" s="50"/>
      <c r="GF348" s="50"/>
      <c r="GG348" s="50"/>
      <c r="GH348" s="50"/>
      <c r="GI348" s="50"/>
      <c r="GJ348" s="50"/>
      <c r="GK348" s="50"/>
      <c r="GL348" s="50"/>
      <c r="GM348" s="50"/>
      <c r="GN348" s="50"/>
      <c r="GO348" s="50"/>
      <c r="GP348" s="50"/>
      <c r="GQ348" s="50"/>
      <c r="GR348" s="50"/>
      <c r="GS348" s="50"/>
      <c r="GT348" s="50"/>
      <c r="GU348" s="50"/>
      <c r="GV348" s="50"/>
      <c r="GW348" s="50"/>
      <c r="GX348" s="50"/>
      <c r="GY348" s="50"/>
      <c r="GZ348" s="50"/>
      <c r="HA348" s="50"/>
      <c r="HB348" s="50"/>
      <c r="HC348" s="50"/>
      <c r="HD348" s="50"/>
      <c r="HE348" s="50"/>
      <c r="HF348" s="50"/>
      <c r="HG348" s="50"/>
      <c r="HH348" s="50"/>
      <c r="HI348" s="50"/>
      <c r="HJ348" s="50"/>
      <c r="HK348" s="50"/>
      <c r="HL348" s="50"/>
      <c r="HM348" s="50"/>
      <c r="HN348" s="50"/>
      <c r="HO348" s="50"/>
      <c r="HP348" s="50"/>
      <c r="HQ348" s="50"/>
      <c r="HR348" s="50"/>
      <c r="HS348" s="50"/>
      <c r="HT348" s="50"/>
      <c r="HU348" s="50"/>
      <c r="HV348" s="50"/>
      <c r="HW348" s="50"/>
      <c r="HX348" s="50"/>
      <c r="HY348" s="50"/>
      <c r="HZ348" s="50"/>
      <c r="IA348" s="50"/>
      <c r="IB348" s="50"/>
      <c r="IC348" s="50"/>
      <c r="ID348" s="50"/>
      <c r="IE348" s="50"/>
      <c r="IF348" s="50"/>
      <c r="IG348" s="50"/>
      <c r="IH348" s="50"/>
      <c r="II348" s="50"/>
      <c r="IJ348" s="50"/>
      <c r="IK348" s="50"/>
      <c r="IL348" s="50"/>
      <c r="IM348" s="50"/>
      <c r="IN348" s="50"/>
      <c r="IO348" s="50"/>
      <c r="IP348" s="50"/>
      <c r="IQ348" s="50"/>
      <c r="IR348" s="50"/>
      <c r="IS348" s="50"/>
      <c r="IT348" s="50"/>
      <c r="IU348" s="50"/>
      <c r="IV348" s="50"/>
      <c r="IW348" s="50"/>
      <c r="IX348" s="50"/>
      <c r="IY348" s="50"/>
      <c r="IZ348" s="50"/>
      <c r="JA348" s="50"/>
      <c r="JB348" s="50"/>
      <c r="JC348" s="50"/>
      <c r="JD348" s="50"/>
      <c r="JE348" s="50"/>
      <c r="JF348" s="50"/>
      <c r="JG348" s="50"/>
      <c r="JH348" s="50"/>
      <c r="JI348" s="50"/>
      <c r="JJ348" s="50"/>
      <c r="JK348" s="50"/>
      <c r="JL348" s="50"/>
      <c r="JM348" s="50"/>
      <c r="JN348" s="50"/>
      <c r="JO348" s="50"/>
      <c r="JP348" s="50"/>
      <c r="JQ348" s="50"/>
      <c r="JR348" s="50"/>
      <c r="JS348" s="50"/>
      <c r="JT348" s="50"/>
      <c r="JU348" s="50"/>
      <c r="JV348" s="50"/>
      <c r="JW348" s="50"/>
      <c r="JX348" s="50"/>
      <c r="JY348" s="50"/>
      <c r="JZ348" s="50"/>
      <c r="KA348" s="50"/>
      <c r="KB348" s="50"/>
      <c r="KC348" s="50"/>
      <c r="KD348" s="50"/>
      <c r="KE348" s="50"/>
      <c r="KF348" s="50"/>
      <c r="KG348" s="50"/>
      <c r="KH348" s="50"/>
      <c r="KI348" s="50"/>
      <c r="KJ348" s="50"/>
      <c r="KK348" s="50"/>
      <c r="KL348" s="50"/>
      <c r="KM348" s="50"/>
      <c r="KN348" s="50"/>
      <c r="KO348" s="50"/>
      <c r="KP348" s="50"/>
      <c r="KQ348" s="50"/>
      <c r="KR348" s="50"/>
      <c r="KS348" s="50"/>
      <c r="KT348" s="50"/>
      <c r="KU348" s="50"/>
      <c r="KV348" s="50"/>
      <c r="KW348" s="50"/>
      <c r="KX348" s="50"/>
      <c r="KY348" s="50"/>
      <c r="KZ348" s="50"/>
      <c r="LA348" s="50"/>
      <c r="LB348" s="50"/>
      <c r="LC348" s="50"/>
      <c r="LD348" s="50"/>
      <c r="LE348" s="50"/>
      <c r="LF348" s="50"/>
      <c r="LG348" s="50"/>
      <c r="LH348" s="50"/>
      <c r="LI348" s="50"/>
      <c r="LJ348" s="50"/>
      <c r="LK348" s="50"/>
      <c r="LL348" s="50"/>
      <c r="LM348" s="50"/>
      <c r="LN348" s="50"/>
      <c r="LO348" s="50"/>
      <c r="LP348" s="50"/>
      <c r="LQ348" s="50"/>
      <c r="LR348" s="50"/>
      <c r="LS348" s="50"/>
      <c r="LT348" s="50"/>
      <c r="LU348" s="50"/>
      <c r="LV348" s="50"/>
      <c r="LW348" s="50"/>
      <c r="LX348" s="50"/>
      <c r="LY348" s="50"/>
      <c r="LZ348" s="50"/>
      <c r="MA348" s="50"/>
      <c r="MB348" s="50"/>
      <c r="MC348" s="50"/>
      <c r="MD348" s="50"/>
      <c r="ME348" s="50"/>
      <c r="MF348" s="50"/>
      <c r="MG348" s="50"/>
      <c r="MH348" s="50"/>
      <c r="MI348" s="50"/>
      <c r="MJ348" s="50"/>
      <c r="MK348" s="50"/>
      <c r="ML348" s="50"/>
      <c r="MM348" s="50"/>
      <c r="MN348" s="50"/>
      <c r="MO348" s="50"/>
      <c r="MP348" s="50"/>
      <c r="MQ348" s="50"/>
      <c r="MR348" s="50"/>
      <c r="MS348" s="50"/>
      <c r="MT348" s="50"/>
      <c r="MU348" s="50"/>
      <c r="MV348" s="50"/>
      <c r="MW348" s="50"/>
      <c r="MX348" s="50"/>
      <c r="MY348" s="50"/>
      <c r="MZ348" s="50"/>
      <c r="NA348" s="50"/>
      <c r="NB348" s="50"/>
      <c r="NC348" s="50"/>
      <c r="ND348" s="50"/>
      <c r="NE348" s="50"/>
      <c r="NF348" s="50"/>
      <c r="NG348" s="50"/>
      <c r="NH348" s="50"/>
      <c r="NI348" s="50"/>
      <c r="NJ348" s="50"/>
      <c r="NK348" s="50"/>
      <c r="NL348" s="50"/>
      <c r="NM348" s="50"/>
      <c r="NN348" s="50"/>
      <c r="NO348" s="50"/>
      <c r="NP348" s="50"/>
      <c r="NQ348" s="50"/>
      <c r="NR348" s="50"/>
      <c r="NS348" s="50"/>
      <c r="NT348" s="50"/>
      <c r="NU348" s="50"/>
      <c r="NV348" s="50"/>
      <c r="NW348" s="50"/>
      <c r="NX348" s="50"/>
      <c r="NY348" s="50"/>
      <c r="NZ348" s="50"/>
      <c r="OA348" s="50"/>
      <c r="OB348" s="50"/>
      <c r="OC348" s="50"/>
      <c r="OD348" s="50"/>
      <c r="OE348" s="50"/>
      <c r="OF348" s="50"/>
      <c r="OG348" s="50"/>
      <c r="OH348" s="50"/>
      <c r="OI348" s="50"/>
      <c r="OJ348" s="50"/>
      <c r="OK348" s="50"/>
      <c r="OL348" s="50"/>
      <c r="OM348" s="50"/>
      <c r="ON348" s="50"/>
      <c r="OO348" s="50"/>
      <c r="OP348" s="50"/>
      <c r="OQ348" s="50"/>
      <c r="OR348" s="50"/>
      <c r="OS348" s="50"/>
      <c r="OT348" s="50"/>
      <c r="OU348" s="50"/>
      <c r="OV348" s="50"/>
      <c r="OW348" s="50"/>
      <c r="OX348" s="50"/>
      <c r="OY348" s="50"/>
      <c r="OZ348" s="50"/>
      <c r="PA348" s="50"/>
      <c r="PB348" s="50"/>
      <c r="PC348" s="50"/>
      <c r="PD348" s="50"/>
      <c r="PE348" s="50"/>
      <c r="PF348" s="50"/>
      <c r="PG348" s="50"/>
      <c r="PH348" s="50"/>
      <c r="PI348" s="50"/>
      <c r="PJ348" s="50"/>
      <c r="PK348" s="50"/>
      <c r="PL348" s="50"/>
      <c r="PM348" s="50"/>
      <c r="PN348" s="50"/>
      <c r="PO348" s="50"/>
      <c r="PP348" s="50"/>
      <c r="PQ348" s="50"/>
      <c r="PR348" s="50"/>
      <c r="PS348" s="50"/>
      <c r="PT348" s="50"/>
      <c r="PU348" s="50"/>
      <c r="PV348" s="50"/>
      <c r="PW348" s="50"/>
      <c r="PX348" s="50"/>
      <c r="PY348" s="50"/>
      <c r="PZ348" s="50"/>
      <c r="QA348" s="50"/>
      <c r="QB348" s="50"/>
      <c r="QC348" s="50"/>
      <c r="QD348" s="50"/>
      <c r="QE348" s="50"/>
      <c r="QF348" s="50"/>
      <c r="QG348" s="50"/>
      <c r="QH348" s="50"/>
      <c r="QI348" s="50"/>
      <c r="QJ348" s="50"/>
      <c r="QK348" s="50"/>
      <c r="QL348" s="50"/>
      <c r="QM348" s="50"/>
      <c r="QN348" s="50"/>
      <c r="QO348" s="50"/>
      <c r="QP348" s="50"/>
      <c r="QQ348" s="50"/>
      <c r="QR348" s="50"/>
      <c r="QS348" s="50"/>
      <c r="QT348" s="50"/>
      <c r="QU348" s="50"/>
      <c r="QV348" s="50"/>
      <c r="QW348" s="50"/>
      <c r="QX348" s="50"/>
      <c r="QY348" s="50"/>
      <c r="QZ348" s="50"/>
      <c r="RA348" s="50"/>
      <c r="RB348" s="50"/>
      <c r="RC348" s="50"/>
      <c r="RD348" s="50"/>
      <c r="RE348" s="50"/>
      <c r="RF348" s="50"/>
      <c r="RG348" s="50"/>
      <c r="RH348" s="50"/>
      <c r="RI348" s="50"/>
      <c r="RJ348" s="50"/>
      <c r="RK348" s="50"/>
      <c r="RL348" s="50"/>
      <c r="RM348" s="50"/>
      <c r="RN348" s="50"/>
      <c r="RO348" s="50"/>
      <c r="RP348" s="50"/>
      <c r="RQ348" s="50"/>
      <c r="RR348" s="50"/>
      <c r="RS348" s="50"/>
      <c r="RT348" s="50"/>
      <c r="RU348" s="50"/>
      <c r="RV348" s="50"/>
      <c r="RW348" s="50"/>
      <c r="RX348" s="50"/>
      <c r="RY348" s="50"/>
      <c r="RZ348" s="50"/>
      <c r="SA348" s="50"/>
      <c r="SB348" s="50"/>
      <c r="SC348" s="50"/>
      <c r="SD348" s="50"/>
      <c r="SE348" s="50"/>
      <c r="SF348" s="50"/>
      <c r="SG348" s="50"/>
      <c r="SH348" s="50"/>
      <c r="SI348" s="50"/>
      <c r="SJ348" s="50"/>
      <c r="SK348" s="50"/>
      <c r="SL348" s="50"/>
      <c r="SM348" s="50"/>
      <c r="SN348" s="50"/>
      <c r="SO348" s="50"/>
      <c r="SP348" s="50"/>
      <c r="SQ348" s="50"/>
      <c r="SR348" s="50"/>
      <c r="SS348" s="50"/>
      <c r="ST348" s="50"/>
      <c r="SU348" s="50"/>
      <c r="SV348" s="50"/>
      <c r="SW348" s="50"/>
      <c r="SX348" s="50"/>
      <c r="SY348" s="50"/>
      <c r="SZ348" s="50"/>
      <c r="TA348" s="50"/>
      <c r="TB348" s="50"/>
      <c r="TC348" s="50"/>
      <c r="TD348" s="50"/>
      <c r="TE348" s="50"/>
      <c r="TF348" s="50"/>
      <c r="TG348" s="50"/>
      <c r="TH348" s="50"/>
      <c r="TI348" s="50"/>
      <c r="TJ348" s="50"/>
      <c r="TK348" s="50"/>
      <c r="TL348" s="50"/>
      <c r="TM348" s="50"/>
      <c r="TN348" s="50"/>
      <c r="TO348" s="50"/>
      <c r="TP348" s="50"/>
      <c r="TQ348" s="50"/>
      <c r="TR348" s="50"/>
      <c r="TS348" s="50"/>
      <c r="TT348" s="50"/>
      <c r="TU348" s="50"/>
      <c r="TV348" s="50"/>
      <c r="TW348" s="50"/>
      <c r="TX348" s="50"/>
      <c r="TY348" s="50"/>
      <c r="TZ348" s="50"/>
      <c r="UA348" s="50"/>
      <c r="UB348" s="50"/>
      <c r="UC348" s="50"/>
      <c r="UD348" s="50"/>
      <c r="UE348" s="50"/>
      <c r="UF348" s="50"/>
      <c r="UG348" s="50"/>
      <c r="UH348" s="50"/>
      <c r="UI348" s="50"/>
      <c r="UJ348" s="50"/>
      <c r="UK348" s="50"/>
      <c r="UL348" s="50"/>
      <c r="UM348" s="50"/>
      <c r="UN348" s="50"/>
      <c r="UO348" s="50"/>
      <c r="UP348" s="50"/>
      <c r="UQ348" s="50"/>
      <c r="UR348" s="50"/>
      <c r="US348" s="50"/>
      <c r="UT348" s="50"/>
      <c r="UU348" s="50"/>
      <c r="UV348" s="50"/>
      <c r="UW348" s="50"/>
      <c r="UX348" s="50"/>
      <c r="UY348" s="50"/>
      <c r="UZ348" s="50"/>
      <c r="VA348" s="50"/>
      <c r="VB348" s="50"/>
      <c r="VC348" s="50"/>
      <c r="VD348" s="50"/>
      <c r="VE348" s="50"/>
      <c r="VF348" s="50"/>
      <c r="VG348" s="50"/>
      <c r="VH348" s="50"/>
      <c r="VI348" s="50"/>
      <c r="VJ348" s="50"/>
      <c r="VK348" s="50"/>
      <c r="VL348" s="50"/>
      <c r="VM348" s="50"/>
      <c r="VN348" s="50"/>
      <c r="VO348" s="50"/>
      <c r="VP348" s="50"/>
      <c r="VQ348" s="50"/>
      <c r="VR348" s="50"/>
      <c r="VS348" s="50"/>
      <c r="VT348" s="50"/>
      <c r="VU348" s="50"/>
      <c r="VV348" s="50"/>
      <c r="VW348" s="50"/>
      <c r="VX348" s="50"/>
      <c r="VY348" s="50"/>
      <c r="VZ348" s="50"/>
      <c r="WA348" s="50"/>
      <c r="WB348" s="50"/>
      <c r="WC348" s="50"/>
      <c r="WD348" s="50"/>
      <c r="WE348" s="50"/>
      <c r="WF348" s="50"/>
      <c r="WG348" s="50"/>
      <c r="WH348" s="50"/>
      <c r="WI348" s="50"/>
      <c r="WJ348" s="50"/>
      <c r="WK348" s="50"/>
      <c r="WL348" s="50"/>
      <c r="WM348" s="50"/>
      <c r="WN348" s="50"/>
      <c r="WO348" s="50"/>
      <c r="WP348" s="50"/>
      <c r="WQ348" s="50"/>
      <c r="WR348" s="50"/>
      <c r="WS348" s="50"/>
      <c r="WT348" s="50"/>
      <c r="WU348" s="50"/>
      <c r="WV348" s="50"/>
      <c r="WW348" s="50"/>
      <c r="WX348" s="50"/>
      <c r="WY348" s="50"/>
      <c r="WZ348" s="50"/>
      <c r="XA348" s="50"/>
      <c r="XB348" s="50"/>
      <c r="XC348" s="50"/>
      <c r="XD348" s="50"/>
      <c r="XE348" s="50"/>
      <c r="XF348" s="50"/>
      <c r="XG348" s="50"/>
      <c r="XH348" s="50"/>
      <c r="XI348" s="50"/>
      <c r="XJ348" s="50"/>
      <c r="XK348" s="50"/>
      <c r="XL348" s="50"/>
      <c r="XM348" s="50"/>
      <c r="XN348" s="50"/>
      <c r="XO348" s="50"/>
      <c r="XP348" s="50"/>
      <c r="XQ348" s="50"/>
      <c r="XR348" s="50"/>
      <c r="XS348" s="50"/>
      <c r="XT348" s="50"/>
      <c r="XU348" s="50"/>
      <c r="XV348" s="50"/>
      <c r="XW348" s="50"/>
      <c r="XX348" s="50"/>
      <c r="XY348" s="50"/>
      <c r="XZ348" s="50"/>
      <c r="YA348" s="50"/>
      <c r="YB348" s="50"/>
      <c r="YC348" s="50"/>
      <c r="YD348" s="50"/>
      <c r="YE348" s="50"/>
      <c r="YF348" s="50"/>
      <c r="YG348" s="50"/>
      <c r="YH348" s="50"/>
      <c r="YI348" s="50"/>
      <c r="YJ348" s="50"/>
      <c r="YK348" s="50"/>
      <c r="YL348" s="50"/>
      <c r="YM348" s="50"/>
      <c r="YN348" s="50"/>
      <c r="YO348" s="50"/>
      <c r="YP348" s="50"/>
      <c r="YQ348" s="50"/>
      <c r="YR348" s="50"/>
      <c r="YS348" s="50"/>
      <c r="YT348" s="50"/>
      <c r="YU348" s="50"/>
      <c r="YV348" s="50"/>
      <c r="YW348" s="50"/>
      <c r="YX348" s="50"/>
      <c r="YY348" s="50"/>
      <c r="YZ348" s="50"/>
      <c r="ZA348" s="50"/>
      <c r="ZB348" s="50"/>
      <c r="ZC348" s="50"/>
      <c r="ZD348" s="50"/>
      <c r="ZE348" s="50"/>
      <c r="ZF348" s="50"/>
      <c r="ZG348" s="50"/>
      <c r="ZH348" s="50"/>
      <c r="ZI348" s="50"/>
      <c r="ZJ348" s="50"/>
      <c r="ZK348" s="50"/>
      <c r="ZL348" s="50"/>
      <c r="ZM348" s="50"/>
      <c r="ZN348" s="50"/>
      <c r="ZO348" s="50"/>
      <c r="ZP348" s="50"/>
      <c r="ZQ348" s="50"/>
      <c r="ZR348" s="50"/>
      <c r="ZS348" s="50"/>
      <c r="ZT348" s="50"/>
      <c r="ZU348" s="50"/>
      <c r="ZV348" s="50"/>
      <c r="ZW348" s="50"/>
      <c r="ZX348" s="50"/>
      <c r="ZY348" s="50"/>
      <c r="ZZ348" s="50"/>
      <c r="AAA348" s="50"/>
      <c r="AAB348" s="50"/>
      <c r="AAC348" s="50"/>
      <c r="AAD348" s="50"/>
      <c r="AAE348" s="50"/>
      <c r="AAF348" s="50"/>
      <c r="AAG348" s="50"/>
      <c r="AAH348" s="50"/>
      <c r="AAI348" s="50"/>
      <c r="AAJ348" s="50"/>
      <c r="AAK348" s="50"/>
      <c r="AAL348" s="50"/>
      <c r="AAM348" s="50"/>
      <c r="AAN348" s="50"/>
      <c r="AAO348" s="50"/>
      <c r="AAP348" s="50"/>
      <c r="AAQ348" s="50"/>
      <c r="AAR348" s="50"/>
      <c r="AAS348" s="50"/>
      <c r="AAT348" s="50"/>
      <c r="AAU348" s="50"/>
      <c r="AAV348" s="50"/>
      <c r="AAW348" s="50"/>
      <c r="AAX348" s="50"/>
      <c r="AAY348" s="50"/>
      <c r="AAZ348" s="50"/>
      <c r="ABA348" s="50"/>
      <c r="ABB348" s="50"/>
      <c r="ABC348" s="50"/>
      <c r="ABD348" s="50"/>
      <c r="ABE348" s="50"/>
      <c r="ABF348" s="50"/>
      <c r="ABG348" s="50"/>
      <c r="ABH348" s="50"/>
      <c r="ABI348" s="50"/>
      <c r="ABJ348" s="50"/>
      <c r="ABK348" s="50"/>
      <c r="ABL348" s="50"/>
      <c r="ABM348" s="50"/>
      <c r="ABN348" s="50"/>
      <c r="ABO348" s="50"/>
      <c r="ABP348" s="50"/>
      <c r="ABQ348" s="50"/>
      <c r="ABR348" s="50"/>
      <c r="ABS348" s="50"/>
      <c r="ABT348" s="50"/>
      <c r="ABU348" s="50"/>
      <c r="ABV348" s="50"/>
      <c r="ABW348" s="50"/>
      <c r="ABX348" s="50"/>
      <c r="ABY348" s="50"/>
      <c r="ABZ348" s="50"/>
      <c r="ACA348" s="50"/>
      <c r="ACB348" s="50"/>
      <c r="ACC348" s="50"/>
      <c r="ACD348" s="50"/>
      <c r="ACE348" s="50"/>
      <c r="ACF348" s="50"/>
      <c r="ACG348" s="50"/>
      <c r="ACH348" s="50"/>
      <c r="ACI348" s="50"/>
      <c r="ACJ348" s="50"/>
      <c r="ACK348" s="50"/>
      <c r="ACL348" s="50"/>
      <c r="ACM348" s="50"/>
      <c r="ACN348" s="50"/>
      <c r="ACO348" s="50"/>
      <c r="ACP348" s="50"/>
      <c r="ACQ348" s="50"/>
      <c r="ACR348" s="50"/>
      <c r="ACS348" s="50"/>
      <c r="ACT348" s="50"/>
      <c r="ACU348" s="50"/>
      <c r="ACV348" s="50"/>
      <c r="ACW348" s="50"/>
      <c r="ACX348" s="50"/>
      <c r="ACY348" s="50"/>
      <c r="ACZ348" s="50"/>
      <c r="ADA348" s="50"/>
      <c r="ADB348" s="50"/>
      <c r="ADC348" s="50"/>
      <c r="ADD348" s="50"/>
      <c r="ADE348" s="50"/>
      <c r="ADF348" s="50"/>
      <c r="ADG348" s="50"/>
      <c r="ADH348" s="50"/>
      <c r="ADI348" s="50"/>
      <c r="ADJ348" s="50"/>
      <c r="ADK348" s="50"/>
      <c r="ADL348" s="50"/>
      <c r="ADM348" s="50"/>
      <c r="ADN348" s="50"/>
      <c r="ADO348" s="50"/>
      <c r="ADP348" s="50"/>
      <c r="ADQ348" s="50"/>
      <c r="ADR348" s="50"/>
      <c r="ADS348" s="50"/>
      <c r="ADT348" s="50"/>
      <c r="ADU348" s="50"/>
      <c r="ADV348" s="50"/>
      <c r="ADW348" s="50"/>
      <c r="ADX348" s="50"/>
      <c r="ADY348" s="50"/>
      <c r="ADZ348" s="50"/>
      <c r="AEA348" s="50"/>
      <c r="AEB348" s="50"/>
      <c r="AEC348" s="50"/>
      <c r="AED348" s="50"/>
      <c r="AEE348" s="50"/>
      <c r="AEF348" s="50"/>
      <c r="AEG348" s="50"/>
      <c r="AEH348" s="50"/>
      <c r="AEI348" s="50"/>
      <c r="AEJ348" s="50"/>
      <c r="AEK348" s="50"/>
      <c r="AEL348" s="50"/>
      <c r="AEM348" s="50"/>
      <c r="AEN348" s="50"/>
      <c r="AEO348" s="50"/>
      <c r="AEP348" s="50"/>
      <c r="AEQ348" s="50"/>
      <c r="AER348" s="50"/>
      <c r="AES348" s="50"/>
      <c r="AET348" s="50"/>
      <c r="AEU348" s="50"/>
      <c r="AEV348" s="50"/>
      <c r="AEW348" s="50"/>
      <c r="AEX348" s="50"/>
      <c r="AEY348" s="50"/>
      <c r="AEZ348" s="50"/>
      <c r="AFA348" s="50"/>
      <c r="AFB348" s="50"/>
      <c r="AFC348" s="50"/>
      <c r="AFD348" s="50"/>
      <c r="AFE348" s="50"/>
      <c r="AFF348" s="50"/>
      <c r="AFG348" s="50"/>
      <c r="AFH348" s="50"/>
      <c r="AFI348" s="50"/>
      <c r="AFJ348" s="50"/>
      <c r="AFK348" s="50"/>
      <c r="AFL348" s="50"/>
      <c r="AFM348" s="50"/>
      <c r="AFN348" s="50"/>
      <c r="AFO348" s="50"/>
      <c r="AFP348" s="50"/>
      <c r="AFQ348" s="50"/>
      <c r="AFR348" s="50"/>
      <c r="AFS348" s="50"/>
      <c r="AFT348" s="50"/>
      <c r="AFU348" s="50"/>
      <c r="AFV348" s="50"/>
      <c r="AFW348" s="50"/>
      <c r="AFX348" s="50"/>
      <c r="AFY348" s="50"/>
      <c r="AFZ348" s="50"/>
      <c r="AGA348" s="50"/>
      <c r="AGB348" s="50"/>
      <c r="AGC348" s="50"/>
      <c r="AGD348" s="50"/>
      <c r="AGE348" s="50"/>
      <c r="AGF348" s="50"/>
      <c r="AGG348" s="50"/>
      <c r="AGH348" s="50"/>
      <c r="AGI348" s="50"/>
      <c r="AGJ348" s="50"/>
      <c r="AGK348" s="50"/>
      <c r="AGL348" s="50"/>
      <c r="AGM348" s="50"/>
      <c r="AGN348" s="50"/>
      <c r="AGO348" s="50"/>
      <c r="AGP348" s="50"/>
      <c r="AGQ348" s="50"/>
      <c r="AGR348" s="50"/>
      <c r="AGS348" s="50"/>
      <c r="AGT348" s="50"/>
      <c r="AGU348" s="50"/>
      <c r="AGV348" s="50"/>
      <c r="AGW348" s="50"/>
      <c r="AGX348" s="50"/>
      <c r="AGY348" s="50"/>
      <c r="AGZ348" s="50"/>
      <c r="AHA348" s="50"/>
      <c r="AHB348" s="50"/>
      <c r="AHC348" s="50"/>
      <c r="AHD348" s="50"/>
      <c r="AHE348" s="50"/>
      <c r="AHF348" s="50"/>
      <c r="AHG348" s="50"/>
      <c r="AHH348" s="50"/>
      <c r="AHI348" s="50"/>
      <c r="AHJ348" s="50"/>
      <c r="AHK348" s="50"/>
      <c r="AHL348" s="50"/>
      <c r="AHM348" s="50"/>
      <c r="AHN348" s="50"/>
      <c r="AHO348" s="50"/>
      <c r="AHP348" s="50"/>
      <c r="AHQ348" s="50"/>
      <c r="AHR348" s="50"/>
      <c r="AHS348" s="50"/>
      <c r="AHT348" s="50"/>
      <c r="AHU348" s="50"/>
      <c r="AHV348" s="50"/>
      <c r="AHW348" s="50"/>
      <c r="AHX348" s="50"/>
      <c r="AHY348" s="50"/>
      <c r="AHZ348" s="50"/>
      <c r="AIA348" s="50"/>
      <c r="AIB348" s="50"/>
      <c r="AIC348" s="50"/>
      <c r="AID348" s="50"/>
      <c r="AIE348" s="50"/>
      <c r="AIF348" s="50"/>
      <c r="AIG348" s="50"/>
      <c r="AIH348" s="50"/>
      <c r="AII348" s="50"/>
      <c r="AIJ348" s="50"/>
      <c r="AIK348" s="50"/>
      <c r="AIL348" s="50"/>
      <c r="AIM348" s="50"/>
      <c r="AIN348" s="50"/>
      <c r="AIO348" s="50"/>
      <c r="AIP348" s="50"/>
      <c r="AIQ348" s="50"/>
      <c r="AIR348" s="50"/>
      <c r="AIS348" s="50"/>
      <c r="AIT348" s="50"/>
      <c r="AIU348" s="50"/>
      <c r="AIV348" s="50"/>
      <c r="AIW348" s="50"/>
      <c r="AIX348" s="50"/>
      <c r="AIY348" s="50"/>
      <c r="AIZ348" s="50"/>
      <c r="AJA348" s="50"/>
      <c r="AJB348" s="50"/>
      <c r="AJC348" s="50"/>
      <c r="AJD348" s="50"/>
      <c r="AJE348" s="50"/>
      <c r="AJF348" s="50"/>
      <c r="AJG348" s="50"/>
      <c r="AJH348" s="50"/>
      <c r="AJI348" s="50"/>
      <c r="AJJ348" s="50"/>
      <c r="AJK348" s="50"/>
      <c r="AJL348" s="50"/>
      <c r="AJM348" s="50"/>
      <c r="AJN348" s="50"/>
      <c r="AJO348" s="50"/>
      <c r="AJP348" s="50"/>
      <c r="AJQ348" s="50"/>
      <c r="AJR348" s="50"/>
      <c r="AJS348" s="50"/>
      <c r="AJT348" s="50"/>
      <c r="AJU348" s="50"/>
      <c r="AJV348" s="50"/>
      <c r="AJW348" s="50"/>
      <c r="AJX348" s="50"/>
      <c r="AJY348" s="50"/>
      <c r="AJZ348" s="50"/>
      <c r="AKA348" s="50"/>
      <c r="AKB348" s="50"/>
      <c r="AKC348" s="50"/>
      <c r="AKD348" s="50"/>
      <c r="AKE348" s="50"/>
      <c r="AKF348" s="50"/>
      <c r="AKG348" s="50"/>
      <c r="AKH348" s="50"/>
      <c r="AKI348" s="50"/>
      <c r="AKJ348" s="50"/>
      <c r="AKK348" s="50"/>
      <c r="AKL348" s="50"/>
      <c r="AKM348" s="50"/>
      <c r="AKN348" s="50"/>
      <c r="AKO348" s="50"/>
      <c r="AKP348" s="50"/>
      <c r="AKQ348" s="50"/>
      <c r="AKR348" s="50"/>
      <c r="AKS348" s="50"/>
      <c r="AKT348" s="50"/>
      <c r="AKU348" s="50"/>
      <c r="AKV348" s="50"/>
      <c r="AKW348" s="50"/>
      <c r="AKX348" s="50"/>
      <c r="AKY348" s="50"/>
      <c r="AKZ348" s="50"/>
      <c r="ALA348" s="50"/>
      <c r="ALB348" s="50"/>
      <c r="ALC348" s="50"/>
      <c r="ALD348" s="50"/>
      <c r="ALE348" s="50"/>
      <c r="ALF348" s="50"/>
      <c r="ALG348" s="50"/>
      <c r="ALH348" s="50"/>
      <c r="ALI348" s="50"/>
      <c r="ALJ348" s="50"/>
      <c r="ALK348" s="50"/>
      <c r="ALL348" s="50"/>
      <c r="ALM348" s="50"/>
      <c r="ALN348" s="50"/>
      <c r="ALO348" s="50"/>
      <c r="ALP348" s="50"/>
      <c r="ALQ348" s="50"/>
      <c r="ALR348" s="50"/>
      <c r="ALS348" s="50"/>
      <c r="ALT348" s="50"/>
      <c r="ALU348" s="50"/>
      <c r="ALV348" s="50"/>
      <c r="ALW348" s="50"/>
      <c r="ALX348" s="50"/>
      <c r="ALY348" s="50"/>
      <c r="ALZ348" s="50"/>
      <c r="AMA348" s="50"/>
      <c r="AMB348" s="50"/>
      <c r="AMC348" s="50"/>
      <c r="AMD348" s="50"/>
      <c r="AME348" s="50"/>
      <c r="AMF348" s="50"/>
      <c r="AMG348" s="50"/>
      <c r="AMH348" s="50"/>
      <c r="AMI348" s="50"/>
      <c r="AMJ348" s="50"/>
      <c r="AMK348" s="50"/>
      <c r="AML348" s="50"/>
      <c r="AMM348" s="50"/>
      <c r="AMN348" s="50"/>
      <c r="AMO348" s="50"/>
      <c r="AMP348" s="50"/>
      <c r="AMQ348" s="50"/>
      <c r="AMR348" s="50"/>
      <c r="AMS348" s="50"/>
      <c r="AMT348" s="50"/>
      <c r="AMU348" s="50"/>
      <c r="AMV348" s="50"/>
      <c r="AMW348" s="50"/>
      <c r="AMX348" s="50"/>
      <c r="AMY348" s="50"/>
      <c r="AMZ348" s="50"/>
      <c r="ANA348" s="50"/>
      <c r="ANB348" s="50"/>
      <c r="ANC348" s="50"/>
      <c r="AND348" s="50"/>
      <c r="ANE348" s="50"/>
      <c r="ANF348" s="50"/>
      <c r="ANG348" s="50"/>
      <c r="ANH348" s="50"/>
      <c r="ANI348" s="50"/>
      <c r="ANJ348" s="50"/>
      <c r="ANK348" s="50"/>
      <c r="ANL348" s="50"/>
      <c r="ANM348" s="50"/>
      <c r="ANN348" s="50"/>
      <c r="ANO348" s="50"/>
      <c r="ANP348" s="50"/>
      <c r="ANQ348" s="50"/>
      <c r="ANR348" s="50"/>
      <c r="ANS348" s="50"/>
      <c r="ANT348" s="50"/>
      <c r="ANU348" s="50"/>
      <c r="ANV348" s="50"/>
      <c r="ANW348" s="50"/>
      <c r="ANX348" s="50"/>
      <c r="ANY348" s="50"/>
      <c r="ANZ348" s="50"/>
      <c r="AOA348" s="50"/>
      <c r="AOB348" s="50"/>
      <c r="AOC348" s="50"/>
      <c r="AOD348" s="50"/>
      <c r="AOE348" s="50"/>
      <c r="AOF348" s="50"/>
      <c r="AOG348" s="50"/>
      <c r="AOH348" s="50"/>
      <c r="AOI348" s="50"/>
      <c r="AOJ348" s="50"/>
      <c r="AOK348" s="50"/>
      <c r="AOL348" s="50"/>
      <c r="AOM348" s="50"/>
      <c r="AON348" s="50"/>
      <c r="AOO348" s="50"/>
      <c r="AOP348" s="50"/>
      <c r="AOQ348" s="50"/>
      <c r="AOR348" s="50"/>
      <c r="AOS348" s="50"/>
      <c r="AOT348" s="50"/>
      <c r="AOU348" s="50"/>
      <c r="AOV348" s="50"/>
      <c r="AOW348" s="50"/>
      <c r="AOX348" s="50"/>
      <c r="AOY348" s="50"/>
      <c r="AOZ348" s="50"/>
      <c r="APA348" s="50"/>
      <c r="APB348" s="50"/>
      <c r="APC348" s="50"/>
      <c r="APD348" s="50"/>
      <c r="APE348" s="50"/>
      <c r="APF348" s="50"/>
      <c r="APG348" s="50"/>
      <c r="APH348" s="50"/>
      <c r="API348" s="50"/>
      <c r="APJ348" s="50"/>
      <c r="APK348" s="50"/>
      <c r="APL348" s="50"/>
      <c r="APM348" s="50"/>
      <c r="APN348" s="50"/>
      <c r="APO348" s="50"/>
      <c r="APP348" s="50"/>
      <c r="APQ348" s="50"/>
      <c r="APR348" s="50"/>
      <c r="APS348" s="50"/>
      <c r="APT348" s="50"/>
      <c r="APU348" s="50"/>
      <c r="APV348" s="50"/>
      <c r="APW348" s="50"/>
      <c r="APX348" s="50"/>
      <c r="APY348" s="50"/>
      <c r="APZ348" s="50"/>
      <c r="AQA348" s="50"/>
      <c r="AQB348" s="50"/>
      <c r="AQC348" s="50"/>
      <c r="AQD348" s="50"/>
      <c r="AQE348" s="50"/>
      <c r="AQF348" s="50"/>
      <c r="AQG348" s="50"/>
      <c r="AQH348" s="50"/>
      <c r="AQI348" s="50"/>
      <c r="AQJ348" s="50"/>
      <c r="AQK348" s="50"/>
      <c r="AQL348" s="50"/>
      <c r="AQM348" s="50"/>
      <c r="AQN348" s="50"/>
      <c r="AQO348" s="50"/>
      <c r="AQP348" s="50"/>
      <c r="AQQ348" s="50"/>
      <c r="AQR348" s="50"/>
      <c r="AQS348" s="50"/>
      <c r="AQT348" s="50"/>
      <c r="AQU348" s="50"/>
      <c r="AQV348" s="50"/>
      <c r="AQW348" s="50"/>
      <c r="AQX348" s="50"/>
      <c r="AQY348" s="50"/>
      <c r="AQZ348" s="50"/>
      <c r="ARA348" s="50"/>
      <c r="ARB348" s="50"/>
      <c r="ARC348" s="50"/>
      <c r="ARD348" s="50"/>
      <c r="ARE348" s="50"/>
      <c r="ARF348" s="50"/>
      <c r="ARG348" s="50"/>
      <c r="ARH348" s="50"/>
      <c r="ARI348" s="50"/>
      <c r="ARJ348" s="50"/>
      <c r="ARK348" s="50"/>
      <c r="ARL348" s="50"/>
      <c r="ARM348" s="50"/>
      <c r="ARN348" s="50"/>
      <c r="ARO348" s="50"/>
      <c r="ARP348" s="50"/>
      <c r="ARQ348" s="50"/>
      <c r="ARR348" s="50"/>
      <c r="ARS348" s="50"/>
      <c r="ART348" s="50"/>
      <c r="ARU348" s="50"/>
      <c r="ARV348" s="50"/>
      <c r="ARW348" s="50"/>
      <c r="ARX348" s="50"/>
      <c r="ARY348" s="50"/>
      <c r="ARZ348" s="50"/>
      <c r="ASA348" s="50"/>
      <c r="ASB348" s="50"/>
      <c r="ASC348" s="50"/>
      <c r="ASD348" s="50"/>
      <c r="ASE348" s="50"/>
      <c r="ASF348" s="50"/>
      <c r="ASG348" s="50"/>
      <c r="ASH348" s="50"/>
      <c r="ASI348" s="50"/>
      <c r="ASJ348" s="50"/>
      <c r="ASK348" s="50"/>
      <c r="ASL348" s="50"/>
      <c r="ASM348" s="50"/>
      <c r="ASN348" s="50"/>
      <c r="ASO348" s="50"/>
      <c r="ASP348" s="50"/>
      <c r="ASQ348" s="50"/>
      <c r="ASR348" s="50"/>
      <c r="ASS348" s="50"/>
      <c r="AST348" s="50"/>
      <c r="ASU348" s="50"/>
      <c r="ASV348" s="50"/>
      <c r="ASW348" s="50"/>
      <c r="ASX348" s="50"/>
      <c r="ASY348" s="50"/>
      <c r="ASZ348" s="50"/>
      <c r="ATA348" s="50"/>
      <c r="ATB348" s="50"/>
      <c r="ATC348" s="50"/>
      <c r="ATD348" s="50"/>
      <c r="ATE348" s="50"/>
      <c r="ATF348" s="50"/>
      <c r="ATG348" s="50"/>
      <c r="ATH348" s="50"/>
      <c r="ATI348" s="50"/>
      <c r="ATJ348" s="50"/>
      <c r="ATK348" s="50"/>
      <c r="ATL348" s="50"/>
      <c r="ATM348" s="50"/>
      <c r="ATN348" s="50"/>
      <c r="ATO348" s="50"/>
      <c r="ATP348" s="50"/>
      <c r="ATQ348" s="50"/>
      <c r="ATR348" s="50"/>
      <c r="ATS348" s="50"/>
      <c r="ATT348" s="50"/>
      <c r="ATU348" s="50"/>
      <c r="ATV348" s="50"/>
      <c r="ATW348" s="50"/>
      <c r="ATX348" s="50"/>
      <c r="ATY348" s="50"/>
      <c r="ATZ348" s="50"/>
      <c r="AUA348" s="50"/>
      <c r="AUB348" s="50"/>
      <c r="AUC348" s="50"/>
      <c r="AUD348" s="50"/>
      <c r="AUE348" s="50"/>
      <c r="AUF348" s="50"/>
      <c r="AUG348" s="50"/>
      <c r="AUH348" s="50"/>
      <c r="AUI348" s="50"/>
      <c r="AUJ348" s="50"/>
      <c r="AUK348" s="50"/>
      <c r="AUL348" s="50"/>
      <c r="AUM348" s="50"/>
      <c r="AUN348" s="50"/>
      <c r="AUO348" s="50"/>
      <c r="AUP348" s="50"/>
      <c r="AUQ348" s="50"/>
      <c r="AUR348" s="50"/>
      <c r="AUS348" s="50"/>
      <c r="AUT348" s="50"/>
      <c r="AUU348" s="50"/>
      <c r="AUV348" s="50"/>
      <c r="AUW348" s="50"/>
      <c r="AUX348" s="50"/>
      <c r="AUY348" s="50"/>
      <c r="AUZ348" s="50"/>
      <c r="AVA348" s="50"/>
      <c r="AVB348" s="50"/>
      <c r="AVC348" s="50"/>
      <c r="AVD348" s="50"/>
      <c r="AVE348" s="50"/>
      <c r="AVF348" s="50"/>
      <c r="AVG348" s="50"/>
      <c r="AVH348" s="50"/>
      <c r="AVI348" s="50"/>
      <c r="AVJ348" s="50"/>
      <c r="AVK348" s="50"/>
      <c r="AVL348" s="50"/>
      <c r="AVM348" s="50"/>
      <c r="AVN348" s="50"/>
      <c r="AVO348" s="50"/>
      <c r="AVP348" s="50"/>
      <c r="AVQ348" s="50"/>
      <c r="AVR348" s="50"/>
      <c r="AVS348" s="50"/>
      <c r="AVT348" s="50"/>
      <c r="AVU348" s="50"/>
      <c r="AVV348" s="50"/>
      <c r="AVW348" s="50"/>
      <c r="AVX348" s="50"/>
      <c r="AVY348" s="50"/>
      <c r="AVZ348" s="50"/>
      <c r="AWA348" s="50"/>
      <c r="AWB348" s="50"/>
      <c r="AWC348" s="50"/>
      <c r="AWD348" s="50"/>
      <c r="AWE348" s="50"/>
      <c r="AWF348" s="50"/>
      <c r="AWG348" s="50"/>
      <c r="AWH348" s="50"/>
      <c r="AWI348" s="50"/>
      <c r="AWJ348" s="50"/>
      <c r="AWK348" s="50"/>
      <c r="AWL348" s="50"/>
      <c r="AWM348" s="50"/>
      <c r="AWN348" s="50"/>
      <c r="AWO348" s="50"/>
      <c r="AWP348" s="50"/>
      <c r="AWQ348" s="50"/>
      <c r="AWR348" s="50"/>
      <c r="AWS348" s="50"/>
      <c r="AWT348" s="50"/>
      <c r="AWU348" s="50"/>
      <c r="AWV348" s="50"/>
      <c r="AWW348" s="50"/>
      <c r="AWX348" s="50"/>
      <c r="AWY348" s="50"/>
      <c r="AWZ348" s="50"/>
      <c r="AXA348" s="50"/>
      <c r="AXB348" s="50"/>
      <c r="AXC348" s="50"/>
      <c r="AXD348" s="50"/>
      <c r="AXE348" s="50"/>
      <c r="AXF348" s="50"/>
      <c r="AXG348" s="50"/>
      <c r="AXH348" s="50"/>
      <c r="AXI348" s="50"/>
      <c r="AXJ348" s="50"/>
      <c r="AXK348" s="50"/>
      <c r="AXL348" s="50"/>
      <c r="AXM348" s="50"/>
      <c r="AXN348" s="50"/>
      <c r="AXO348" s="50"/>
      <c r="AXP348" s="50"/>
      <c r="AXQ348" s="50"/>
      <c r="AXR348" s="50"/>
      <c r="AXS348" s="50"/>
      <c r="AXT348" s="50"/>
      <c r="AXU348" s="50"/>
      <c r="AXV348" s="50"/>
      <c r="AXW348" s="50"/>
      <c r="AXX348" s="50"/>
      <c r="AXY348" s="50"/>
      <c r="AXZ348" s="50"/>
      <c r="AYA348" s="50"/>
      <c r="AYB348" s="50"/>
      <c r="AYC348" s="50"/>
      <c r="AYD348" s="50"/>
      <c r="AYE348" s="50"/>
      <c r="AYF348" s="50"/>
      <c r="AYG348" s="50"/>
      <c r="AYH348" s="50"/>
      <c r="AYI348" s="50"/>
      <c r="AYJ348" s="50"/>
      <c r="AYK348" s="50"/>
      <c r="AYL348" s="50"/>
      <c r="AYM348" s="50"/>
      <c r="AYN348" s="50"/>
      <c r="AYO348" s="50"/>
      <c r="AYP348" s="50"/>
      <c r="AYQ348" s="50"/>
      <c r="AYR348" s="50"/>
      <c r="AYS348" s="50"/>
      <c r="AYT348" s="50"/>
      <c r="AYU348" s="50"/>
      <c r="AYV348" s="50"/>
      <c r="AYW348" s="50"/>
      <c r="AYX348" s="50"/>
      <c r="AYY348" s="50"/>
      <c r="AYZ348" s="50"/>
      <c r="AZA348" s="50"/>
      <c r="AZB348" s="50"/>
      <c r="AZC348" s="50"/>
      <c r="AZD348" s="50"/>
      <c r="AZE348" s="50"/>
      <c r="AZF348" s="50"/>
      <c r="AZG348" s="50"/>
      <c r="AZH348" s="50"/>
      <c r="AZI348" s="50"/>
      <c r="AZJ348" s="50"/>
      <c r="AZK348" s="50"/>
      <c r="AZL348" s="50"/>
      <c r="AZM348" s="50"/>
      <c r="AZN348" s="50"/>
      <c r="AZO348" s="50"/>
      <c r="AZP348" s="50"/>
      <c r="AZQ348" s="50"/>
      <c r="AZR348" s="50"/>
      <c r="AZS348" s="50"/>
      <c r="AZT348" s="50"/>
      <c r="AZU348" s="50"/>
      <c r="AZV348" s="50"/>
      <c r="AZW348" s="50"/>
      <c r="AZX348" s="50"/>
      <c r="AZY348" s="50"/>
      <c r="AZZ348" s="50"/>
      <c r="BAA348" s="50"/>
      <c r="BAB348" s="50"/>
      <c r="BAC348" s="50"/>
      <c r="BAD348" s="50"/>
      <c r="BAE348" s="50"/>
      <c r="BAF348" s="50"/>
      <c r="BAG348" s="50"/>
      <c r="BAH348" s="50"/>
      <c r="BAI348" s="50"/>
      <c r="BAJ348" s="50"/>
      <c r="BAK348" s="50"/>
      <c r="BAL348" s="50"/>
      <c r="BAM348" s="50"/>
      <c r="BAN348" s="50"/>
      <c r="BAO348" s="50"/>
      <c r="BAP348" s="50"/>
      <c r="BAQ348" s="50"/>
      <c r="BAR348" s="50"/>
      <c r="BAS348" s="50"/>
      <c r="BAT348" s="50"/>
      <c r="BAU348" s="50"/>
      <c r="BAV348" s="50"/>
      <c r="BAW348" s="50"/>
      <c r="BAX348" s="50"/>
      <c r="BAY348" s="50"/>
      <c r="BAZ348" s="50"/>
      <c r="BBA348" s="50"/>
      <c r="BBB348" s="50"/>
      <c r="BBC348" s="50"/>
      <c r="BBD348" s="50"/>
      <c r="BBE348" s="50"/>
      <c r="BBF348" s="50"/>
      <c r="BBG348" s="50"/>
      <c r="BBH348" s="50"/>
      <c r="BBI348" s="50"/>
      <c r="BBJ348" s="50"/>
      <c r="BBK348" s="50"/>
      <c r="BBL348" s="50"/>
      <c r="BBM348" s="50"/>
      <c r="BBN348" s="50"/>
      <c r="BBO348" s="50"/>
      <c r="BBP348" s="50"/>
      <c r="BBQ348" s="50"/>
      <c r="BBR348" s="50"/>
      <c r="BBS348" s="50"/>
      <c r="BBT348" s="50"/>
      <c r="BBU348" s="50"/>
      <c r="BBV348" s="50"/>
      <c r="BBW348" s="50"/>
      <c r="BBX348" s="50"/>
      <c r="BBY348" s="50"/>
      <c r="BBZ348" s="50"/>
      <c r="BCA348" s="50"/>
      <c r="BCB348" s="50"/>
      <c r="BCC348" s="50"/>
      <c r="BCD348" s="50"/>
      <c r="BCE348" s="50"/>
      <c r="BCF348" s="50"/>
      <c r="BCG348" s="50"/>
      <c r="BCH348" s="50"/>
      <c r="BCI348" s="50"/>
      <c r="BCJ348" s="50"/>
      <c r="BCK348" s="50"/>
      <c r="BCL348" s="50"/>
      <c r="BCM348" s="50"/>
      <c r="BCN348" s="50"/>
      <c r="BCO348" s="50"/>
      <c r="BCP348" s="50"/>
      <c r="BCQ348" s="50"/>
      <c r="BCR348" s="50"/>
      <c r="BCS348" s="50"/>
      <c r="BCT348" s="50"/>
      <c r="BCU348" s="50"/>
      <c r="BCV348" s="50"/>
      <c r="BCW348" s="50"/>
      <c r="BCX348" s="50"/>
      <c r="BCY348" s="50"/>
      <c r="BCZ348" s="50"/>
      <c r="BDA348" s="50"/>
      <c r="BDB348" s="50"/>
      <c r="BDC348" s="50"/>
      <c r="BDD348" s="50"/>
      <c r="BDE348" s="50"/>
      <c r="BDF348" s="50"/>
      <c r="BDG348" s="50"/>
      <c r="BDH348" s="50"/>
      <c r="BDI348" s="50"/>
      <c r="BDJ348" s="50"/>
      <c r="BDK348" s="50"/>
      <c r="BDL348" s="50"/>
      <c r="BDM348" s="50"/>
      <c r="BDN348" s="50"/>
      <c r="BDO348" s="50"/>
      <c r="BDP348" s="50"/>
      <c r="BDQ348" s="50"/>
      <c r="BDR348" s="50"/>
      <c r="BDS348" s="50"/>
      <c r="BDT348" s="50"/>
      <c r="BDU348" s="50"/>
      <c r="BDV348" s="50"/>
      <c r="BDW348" s="50"/>
      <c r="BDX348" s="50"/>
      <c r="BDY348" s="50"/>
      <c r="BDZ348" s="50"/>
      <c r="BEA348" s="50"/>
      <c r="BEB348" s="50"/>
      <c r="BEC348" s="50"/>
      <c r="BED348" s="50"/>
      <c r="BEE348" s="50"/>
      <c r="BEF348" s="50"/>
      <c r="BEG348" s="50"/>
      <c r="BEH348" s="50"/>
      <c r="BEI348" s="50"/>
      <c r="BEJ348" s="50"/>
      <c r="BEK348" s="50"/>
      <c r="BEL348" s="50"/>
      <c r="BEM348" s="50"/>
      <c r="BEN348" s="50"/>
      <c r="BEO348" s="50"/>
      <c r="BEP348" s="50"/>
      <c r="BEQ348" s="50"/>
      <c r="BER348" s="50"/>
      <c r="BES348" s="50"/>
      <c r="BET348" s="50"/>
      <c r="BEU348" s="50"/>
      <c r="BEV348" s="50"/>
      <c r="BEW348" s="50"/>
      <c r="BEX348" s="50"/>
      <c r="BEY348" s="50"/>
      <c r="BEZ348" s="50"/>
      <c r="BFA348" s="50"/>
      <c r="BFB348" s="50"/>
      <c r="BFC348" s="50"/>
      <c r="BFD348" s="50"/>
      <c r="BFE348" s="50"/>
      <c r="BFF348" s="50"/>
      <c r="BFG348" s="50"/>
      <c r="BFH348" s="50"/>
      <c r="BFI348" s="50"/>
      <c r="BFJ348" s="50"/>
      <c r="BFK348" s="50"/>
      <c r="BFL348" s="50"/>
      <c r="BFM348" s="50"/>
      <c r="BFN348" s="50"/>
      <c r="BFO348" s="50"/>
      <c r="BFP348" s="50"/>
      <c r="BFQ348" s="50"/>
      <c r="BFR348" s="50"/>
      <c r="BFS348" s="50"/>
      <c r="BFT348" s="50"/>
      <c r="BFU348" s="50"/>
      <c r="BFV348" s="50"/>
      <c r="BFW348" s="50"/>
      <c r="BFX348" s="50"/>
      <c r="BFY348" s="50"/>
      <c r="BFZ348" s="50"/>
      <c r="BGA348" s="50"/>
      <c r="BGB348" s="50"/>
      <c r="BGC348" s="50"/>
      <c r="BGD348" s="50"/>
      <c r="BGE348" s="50"/>
      <c r="BGF348" s="50"/>
      <c r="BGG348" s="50"/>
      <c r="BGH348" s="50"/>
      <c r="BGI348" s="50"/>
      <c r="BGJ348" s="50"/>
      <c r="BGK348" s="50"/>
      <c r="BGL348" s="50"/>
      <c r="BGM348" s="50"/>
      <c r="BGN348" s="50"/>
      <c r="BGO348" s="50"/>
      <c r="BGP348" s="50"/>
      <c r="BGQ348" s="50"/>
      <c r="BGR348" s="50"/>
      <c r="BGS348" s="50"/>
      <c r="BGT348" s="50"/>
      <c r="BGU348" s="50"/>
      <c r="BGV348" s="50"/>
      <c r="BGW348" s="50"/>
      <c r="BGX348" s="50"/>
      <c r="BGY348" s="50"/>
      <c r="BGZ348" s="50"/>
      <c r="BHA348" s="50"/>
      <c r="BHB348" s="50"/>
      <c r="BHC348" s="50"/>
      <c r="BHD348" s="50"/>
      <c r="BHE348" s="50"/>
      <c r="BHF348" s="50"/>
      <c r="BHG348" s="50"/>
      <c r="BHH348" s="50"/>
      <c r="BHI348" s="50"/>
      <c r="BHJ348" s="50"/>
      <c r="BHK348" s="50"/>
      <c r="BHL348" s="50"/>
      <c r="BHM348" s="50"/>
      <c r="BHN348" s="50"/>
      <c r="BHO348" s="50"/>
      <c r="BHP348" s="50"/>
      <c r="BHQ348" s="50"/>
      <c r="BHR348" s="50"/>
      <c r="BHS348" s="50"/>
      <c r="BHT348" s="50"/>
      <c r="BHU348" s="50"/>
      <c r="BHV348" s="50"/>
      <c r="BHW348" s="50"/>
      <c r="BHX348" s="50"/>
      <c r="BHY348" s="50"/>
      <c r="BHZ348" s="50"/>
      <c r="BIA348" s="50"/>
      <c r="BIB348" s="50"/>
      <c r="BIC348" s="50"/>
      <c r="BID348" s="50"/>
      <c r="BIE348" s="50"/>
      <c r="BIF348" s="50"/>
      <c r="BIG348" s="50"/>
      <c r="BIH348" s="50"/>
      <c r="BII348" s="50"/>
      <c r="BIJ348" s="50"/>
      <c r="BIK348" s="50"/>
      <c r="BIL348" s="50"/>
      <c r="BIM348" s="50"/>
      <c r="BIN348" s="50"/>
      <c r="BIO348" s="50"/>
      <c r="BIP348" s="50"/>
      <c r="BIQ348" s="50"/>
      <c r="BIR348" s="50"/>
      <c r="BIS348" s="50"/>
      <c r="BIT348" s="50"/>
      <c r="BIU348" s="50"/>
      <c r="BIV348" s="50"/>
      <c r="BIW348" s="50"/>
      <c r="BIX348" s="50"/>
      <c r="BIY348" s="50"/>
      <c r="BIZ348" s="50"/>
      <c r="BJA348" s="50"/>
      <c r="BJB348" s="50"/>
      <c r="BJC348" s="50"/>
      <c r="BJD348" s="50"/>
      <c r="BJE348" s="50"/>
      <c r="BJF348" s="50"/>
      <c r="BJG348" s="50"/>
      <c r="BJH348" s="50"/>
      <c r="BJI348" s="50"/>
      <c r="BJJ348" s="50"/>
      <c r="BJK348" s="50"/>
      <c r="BJL348" s="50"/>
      <c r="BJM348" s="50"/>
      <c r="BJN348" s="50"/>
      <c r="BJO348" s="50"/>
      <c r="BJP348" s="50"/>
      <c r="BJQ348" s="50"/>
      <c r="BJR348" s="50"/>
      <c r="BJS348" s="50"/>
      <c r="BJT348" s="50"/>
      <c r="BJU348" s="50"/>
      <c r="BJV348" s="50"/>
      <c r="BJW348" s="50"/>
      <c r="BJX348" s="50"/>
      <c r="BJY348" s="50"/>
      <c r="BJZ348" s="50"/>
      <c r="BKA348" s="50"/>
      <c r="BKB348" s="50"/>
      <c r="BKC348" s="50"/>
      <c r="BKD348" s="50"/>
      <c r="BKE348" s="50"/>
      <c r="BKF348" s="50"/>
      <c r="BKG348" s="50"/>
      <c r="BKH348" s="50"/>
      <c r="BKI348" s="50"/>
      <c r="BKJ348" s="50"/>
      <c r="BKK348" s="50"/>
      <c r="BKL348" s="50"/>
      <c r="BKM348" s="50"/>
      <c r="BKN348" s="50"/>
      <c r="BKO348" s="50"/>
      <c r="BKP348" s="50"/>
      <c r="BKQ348" s="50"/>
      <c r="BKR348" s="50"/>
      <c r="BKS348" s="50"/>
      <c r="BKT348" s="50"/>
      <c r="BKU348" s="50"/>
      <c r="BKV348" s="50"/>
      <c r="BKW348" s="50"/>
      <c r="BKX348" s="50"/>
      <c r="BKY348" s="50"/>
      <c r="BKZ348" s="50"/>
      <c r="BLA348" s="50"/>
      <c r="BLB348" s="50"/>
      <c r="BLC348" s="50"/>
      <c r="BLD348" s="50"/>
      <c r="BLE348" s="50"/>
      <c r="BLF348" s="50"/>
      <c r="BLG348" s="50"/>
      <c r="BLH348" s="50"/>
      <c r="BLI348" s="50"/>
      <c r="BLJ348" s="50"/>
      <c r="BLK348" s="50"/>
      <c r="BLL348" s="50"/>
      <c r="BLM348" s="50"/>
      <c r="BLN348" s="50"/>
      <c r="BLO348" s="50"/>
      <c r="BLP348" s="50"/>
      <c r="BLQ348" s="50"/>
      <c r="BLR348" s="50"/>
      <c r="BLS348" s="50"/>
      <c r="BLT348" s="50"/>
      <c r="BLU348" s="50"/>
      <c r="BLV348" s="50"/>
      <c r="BLW348" s="50"/>
      <c r="BLX348" s="50"/>
      <c r="BLY348" s="50"/>
      <c r="BLZ348" s="50"/>
      <c r="BMA348" s="50"/>
      <c r="BMB348" s="50"/>
      <c r="BMC348" s="50"/>
      <c r="BMD348" s="50"/>
      <c r="BME348" s="50"/>
      <c r="BMF348" s="50"/>
      <c r="BMG348" s="50"/>
      <c r="BMH348" s="50"/>
      <c r="BMI348" s="50"/>
      <c r="BMJ348" s="50"/>
      <c r="BMK348" s="50"/>
      <c r="BML348" s="50"/>
      <c r="BMM348" s="50"/>
      <c r="BMN348" s="50"/>
      <c r="BMO348" s="50"/>
      <c r="BMP348" s="50"/>
      <c r="BMQ348" s="50"/>
      <c r="BMR348" s="50"/>
      <c r="BMS348" s="50"/>
      <c r="BMT348" s="50"/>
      <c r="BMU348" s="50"/>
      <c r="BMV348" s="50"/>
      <c r="BMW348" s="50"/>
      <c r="BMX348" s="50"/>
      <c r="BMY348" s="50"/>
      <c r="BMZ348" s="50"/>
      <c r="BNA348" s="50"/>
      <c r="BNB348" s="50"/>
      <c r="BNC348" s="50"/>
      <c r="BND348" s="50"/>
      <c r="BNE348" s="50"/>
      <c r="BNF348" s="50"/>
      <c r="BNG348" s="50"/>
      <c r="BNH348" s="50"/>
      <c r="BNI348" s="50"/>
      <c r="BNJ348" s="50"/>
      <c r="BNK348" s="50"/>
      <c r="BNL348" s="50"/>
      <c r="BNM348" s="50"/>
      <c r="BNN348" s="50"/>
      <c r="BNO348" s="50"/>
      <c r="BNP348" s="50"/>
      <c r="BNQ348" s="50"/>
      <c r="BNR348" s="50"/>
      <c r="BNS348" s="50"/>
      <c r="BNT348" s="50"/>
      <c r="BNU348" s="50"/>
      <c r="BNV348" s="50"/>
      <c r="BNW348" s="50"/>
      <c r="BNX348" s="50"/>
      <c r="BNY348" s="50"/>
      <c r="BNZ348" s="50"/>
      <c r="BOA348" s="50"/>
      <c r="BOB348" s="50"/>
      <c r="BOC348" s="50"/>
      <c r="BOD348" s="50"/>
      <c r="BOE348" s="50"/>
      <c r="BOF348" s="50"/>
      <c r="BOG348" s="50"/>
      <c r="BOH348" s="50"/>
      <c r="BOI348" s="50"/>
      <c r="BOJ348" s="50"/>
      <c r="BOK348" s="50"/>
      <c r="BOL348" s="50"/>
      <c r="BOM348" s="50"/>
      <c r="BON348" s="50"/>
      <c r="BOO348" s="50"/>
      <c r="BOP348" s="50"/>
      <c r="BOQ348" s="50"/>
      <c r="BOR348" s="50"/>
      <c r="BOS348" s="50"/>
      <c r="BOT348" s="50"/>
      <c r="BOU348" s="50"/>
      <c r="BOV348" s="50"/>
      <c r="BOW348" s="50"/>
      <c r="BOX348" s="50"/>
      <c r="BOY348" s="50"/>
      <c r="BOZ348" s="50"/>
      <c r="BPA348" s="50"/>
      <c r="BPB348" s="50"/>
      <c r="BPC348" s="50"/>
      <c r="BPD348" s="50"/>
      <c r="BPE348" s="50"/>
      <c r="BPF348" s="50"/>
      <c r="BPG348" s="50"/>
      <c r="BPH348" s="50"/>
      <c r="BPI348" s="50"/>
      <c r="BPJ348" s="50"/>
      <c r="BPK348" s="50"/>
      <c r="BPL348" s="50"/>
      <c r="BPM348" s="50"/>
      <c r="BPN348" s="50"/>
      <c r="BPO348" s="50"/>
      <c r="BPP348" s="50"/>
      <c r="BPQ348" s="50"/>
      <c r="BPR348" s="50"/>
      <c r="BPS348" s="50"/>
      <c r="BPT348" s="50"/>
      <c r="BPU348" s="50"/>
      <c r="BPV348" s="50"/>
      <c r="BPW348" s="50"/>
      <c r="BPX348" s="50"/>
      <c r="BPY348" s="50"/>
      <c r="BPZ348" s="50"/>
      <c r="BQA348" s="50"/>
      <c r="BQB348" s="50"/>
      <c r="BQC348" s="50"/>
      <c r="BQD348" s="50"/>
      <c r="BQE348" s="50"/>
      <c r="BQF348" s="50"/>
      <c r="BQG348" s="50"/>
      <c r="BQH348" s="50"/>
      <c r="BQI348" s="50"/>
      <c r="BQJ348" s="50"/>
      <c r="BQK348" s="50"/>
      <c r="BQL348" s="50"/>
      <c r="BQM348" s="50"/>
      <c r="BQN348" s="50"/>
      <c r="BQO348" s="50"/>
      <c r="BQP348" s="50"/>
      <c r="BQQ348" s="50"/>
      <c r="BQR348" s="50"/>
      <c r="BQS348" s="50"/>
      <c r="BQT348" s="50"/>
      <c r="BQU348" s="50"/>
      <c r="BQV348" s="50"/>
      <c r="BQW348" s="50"/>
      <c r="BQX348" s="50"/>
      <c r="BQY348" s="50"/>
      <c r="BQZ348" s="50"/>
      <c r="BRA348" s="50"/>
      <c r="BRB348" s="50"/>
      <c r="BRC348" s="50"/>
      <c r="BRD348" s="50"/>
      <c r="BRE348" s="50"/>
      <c r="BRF348" s="50"/>
      <c r="BRG348" s="50"/>
      <c r="BRH348" s="50"/>
      <c r="BRI348" s="50"/>
      <c r="BRJ348" s="50"/>
      <c r="BRK348" s="50"/>
      <c r="BRL348" s="50"/>
      <c r="BRM348" s="50"/>
      <c r="BRN348" s="50"/>
      <c r="BRO348" s="50"/>
      <c r="BRP348" s="50"/>
      <c r="BRQ348" s="50"/>
      <c r="BRR348" s="50"/>
      <c r="BRS348" s="50"/>
      <c r="BRT348" s="50"/>
      <c r="BRU348" s="50"/>
      <c r="BRV348" s="50"/>
      <c r="BRW348" s="50"/>
      <c r="BRX348" s="50"/>
      <c r="BRY348" s="50"/>
      <c r="BRZ348" s="50"/>
      <c r="BSA348" s="50"/>
      <c r="BSB348" s="50"/>
      <c r="BSC348" s="50"/>
      <c r="BSD348" s="50"/>
      <c r="BSE348" s="50"/>
      <c r="BSF348" s="50"/>
      <c r="BSG348" s="50"/>
      <c r="BSH348" s="50"/>
      <c r="BSI348" s="50"/>
      <c r="BSJ348" s="50"/>
      <c r="BSK348" s="50"/>
      <c r="BSL348" s="50"/>
      <c r="BSM348" s="50"/>
      <c r="BSN348" s="50"/>
      <c r="BSO348" s="50"/>
      <c r="BSP348" s="50"/>
      <c r="BSQ348" s="50"/>
      <c r="BSR348" s="50"/>
      <c r="BSS348" s="50"/>
      <c r="BST348" s="50"/>
      <c r="BSU348" s="50"/>
      <c r="BSV348" s="50"/>
      <c r="BSW348" s="50"/>
      <c r="BSX348" s="50"/>
      <c r="BSY348" s="50"/>
      <c r="BSZ348" s="50"/>
      <c r="BTA348" s="50"/>
      <c r="BTB348" s="50"/>
      <c r="BTC348" s="50"/>
      <c r="BTD348" s="50"/>
      <c r="BTE348" s="50"/>
      <c r="BTF348" s="50"/>
      <c r="BTG348" s="50"/>
      <c r="BTH348" s="50"/>
      <c r="BTI348" s="50"/>
      <c r="BTJ348" s="50"/>
      <c r="BTK348" s="50"/>
      <c r="BTL348" s="50"/>
      <c r="BTM348" s="50"/>
      <c r="BTN348" s="50"/>
      <c r="BTO348" s="50"/>
      <c r="BTP348" s="50"/>
      <c r="BTQ348" s="50"/>
      <c r="BTR348" s="50"/>
      <c r="BTS348" s="50"/>
      <c r="BTT348" s="50"/>
      <c r="BTU348" s="50"/>
      <c r="BTV348" s="50"/>
      <c r="BTW348" s="50"/>
      <c r="BTX348" s="50"/>
      <c r="BTY348" s="50"/>
      <c r="BTZ348" s="50"/>
      <c r="BUA348" s="50"/>
      <c r="BUB348" s="50"/>
      <c r="BUC348" s="50"/>
      <c r="BUD348" s="50"/>
      <c r="BUE348" s="50"/>
      <c r="BUF348" s="50"/>
      <c r="BUG348" s="50"/>
      <c r="BUH348" s="50"/>
      <c r="BUI348" s="50"/>
      <c r="BUJ348" s="50"/>
      <c r="BUK348" s="50"/>
      <c r="BUL348" s="50"/>
      <c r="BUM348" s="50"/>
      <c r="BUN348" s="50"/>
      <c r="BUO348" s="50"/>
      <c r="BUP348" s="50"/>
      <c r="BUQ348" s="50"/>
      <c r="BUR348" s="50"/>
      <c r="BUS348" s="50"/>
      <c r="BUT348" s="50"/>
      <c r="BUU348" s="50"/>
      <c r="BUV348" s="50"/>
      <c r="BUW348" s="50"/>
      <c r="BUX348" s="50"/>
      <c r="BUY348" s="50"/>
      <c r="BUZ348" s="50"/>
      <c r="BVA348" s="50"/>
      <c r="BVB348" s="50"/>
      <c r="BVC348" s="50"/>
      <c r="BVD348" s="50"/>
      <c r="BVE348" s="50"/>
      <c r="BVF348" s="50"/>
      <c r="BVG348" s="50"/>
      <c r="BVH348" s="50"/>
      <c r="BVI348" s="50"/>
      <c r="BVJ348" s="50"/>
      <c r="BVK348" s="50"/>
      <c r="BVL348" s="50"/>
      <c r="BVM348" s="50"/>
      <c r="BVN348" s="50"/>
      <c r="BVO348" s="50"/>
      <c r="BVP348" s="50"/>
      <c r="BVQ348" s="50"/>
      <c r="BVR348" s="50"/>
      <c r="BVS348" s="50"/>
      <c r="BVT348" s="50"/>
      <c r="BVU348" s="50"/>
      <c r="BVV348" s="50"/>
      <c r="BVW348" s="50"/>
      <c r="BVX348" s="50"/>
      <c r="BVY348" s="50"/>
      <c r="BVZ348" s="50"/>
      <c r="BWA348" s="50"/>
      <c r="BWB348" s="50"/>
      <c r="BWC348" s="50"/>
      <c r="BWD348" s="50"/>
      <c r="BWE348" s="50"/>
      <c r="BWF348" s="50"/>
      <c r="BWG348" s="50"/>
      <c r="BWH348" s="50"/>
      <c r="BWI348" s="50"/>
      <c r="BWJ348" s="50"/>
      <c r="BWK348" s="50"/>
      <c r="BWL348" s="50"/>
      <c r="BWM348" s="50"/>
      <c r="BWN348" s="50"/>
      <c r="BWO348" s="50"/>
      <c r="BWP348" s="50"/>
      <c r="BWQ348" s="50"/>
      <c r="BWR348" s="50"/>
      <c r="BWS348" s="50"/>
      <c r="BWT348" s="50"/>
      <c r="BWU348" s="50"/>
      <c r="BWV348" s="50"/>
      <c r="BWW348" s="50"/>
      <c r="BWX348" s="50"/>
      <c r="BWY348" s="50"/>
      <c r="BWZ348" s="50"/>
      <c r="BXA348" s="50"/>
      <c r="BXB348" s="50"/>
      <c r="BXC348" s="50"/>
      <c r="BXD348" s="50"/>
      <c r="BXE348" s="50"/>
      <c r="BXF348" s="50"/>
      <c r="BXG348" s="50"/>
      <c r="BXH348" s="50"/>
      <c r="BXI348" s="50"/>
      <c r="BXJ348" s="50"/>
      <c r="BXK348" s="50"/>
      <c r="BXL348" s="50"/>
      <c r="BXM348" s="50"/>
      <c r="BXN348" s="50"/>
      <c r="BXO348" s="50"/>
      <c r="BXP348" s="50"/>
      <c r="BXQ348" s="50"/>
      <c r="BXR348" s="50"/>
      <c r="BXS348" s="50"/>
      <c r="BXT348" s="50"/>
      <c r="BXU348" s="50"/>
      <c r="BXV348" s="50"/>
      <c r="BXW348" s="50"/>
      <c r="BXX348" s="50"/>
      <c r="BXY348" s="50"/>
      <c r="BXZ348" s="50"/>
      <c r="BYA348" s="50"/>
      <c r="BYB348" s="50"/>
      <c r="BYC348" s="50"/>
      <c r="BYD348" s="50"/>
      <c r="BYE348" s="50"/>
      <c r="BYF348" s="50"/>
      <c r="BYG348" s="50"/>
      <c r="BYH348" s="50"/>
      <c r="BYI348" s="50"/>
      <c r="BYJ348" s="50"/>
      <c r="BYK348" s="50"/>
      <c r="BYL348" s="50"/>
      <c r="BYM348" s="50"/>
      <c r="BYN348" s="50"/>
      <c r="BYO348" s="50"/>
      <c r="BYP348" s="50"/>
      <c r="BYQ348" s="50"/>
      <c r="BYR348" s="50"/>
      <c r="BYS348" s="50"/>
      <c r="BYT348" s="50"/>
      <c r="BYU348" s="50"/>
      <c r="BYV348" s="50"/>
      <c r="BYW348" s="50"/>
      <c r="BYX348" s="50"/>
      <c r="BYY348" s="50"/>
      <c r="BYZ348" s="50"/>
      <c r="BZA348" s="50"/>
      <c r="BZB348" s="50"/>
      <c r="BZC348" s="50"/>
      <c r="BZD348" s="50"/>
      <c r="BZE348" s="50"/>
      <c r="BZF348" s="50"/>
      <c r="BZG348" s="50"/>
      <c r="BZH348" s="50"/>
      <c r="BZI348" s="50"/>
      <c r="BZJ348" s="50"/>
      <c r="BZK348" s="50"/>
      <c r="BZL348" s="50"/>
      <c r="BZM348" s="50"/>
      <c r="BZN348" s="50"/>
      <c r="BZO348" s="50"/>
      <c r="BZP348" s="50"/>
      <c r="BZQ348" s="50"/>
      <c r="BZR348" s="50"/>
      <c r="BZS348" s="50"/>
      <c r="BZT348" s="50"/>
      <c r="BZU348" s="50"/>
      <c r="BZV348" s="50"/>
      <c r="BZW348" s="50"/>
      <c r="BZX348" s="50"/>
      <c r="BZY348" s="50"/>
      <c r="BZZ348" s="50"/>
      <c r="CAA348" s="50"/>
      <c r="CAB348" s="50"/>
      <c r="CAC348" s="50"/>
      <c r="CAD348" s="50"/>
      <c r="CAE348" s="50"/>
      <c r="CAF348" s="50"/>
      <c r="CAG348" s="50"/>
      <c r="CAH348" s="50"/>
      <c r="CAI348" s="50"/>
      <c r="CAJ348" s="50"/>
      <c r="CAK348" s="50"/>
      <c r="CAL348" s="50"/>
      <c r="CAM348" s="50"/>
      <c r="CAN348" s="50"/>
      <c r="CAO348" s="50"/>
      <c r="CAP348" s="50"/>
      <c r="CAQ348" s="50"/>
      <c r="CAR348" s="50"/>
      <c r="CAS348" s="50"/>
      <c r="CAT348" s="50"/>
      <c r="CAU348" s="50"/>
      <c r="CAV348" s="50"/>
      <c r="CAW348" s="50"/>
      <c r="CAX348" s="50"/>
      <c r="CAY348" s="50"/>
      <c r="CAZ348" s="50"/>
      <c r="CBA348" s="50"/>
      <c r="CBB348" s="50"/>
      <c r="CBC348" s="50"/>
      <c r="CBD348" s="50"/>
      <c r="CBE348" s="50"/>
      <c r="CBF348" s="50"/>
      <c r="CBG348" s="50"/>
      <c r="CBH348" s="50"/>
      <c r="CBI348" s="50"/>
      <c r="CBJ348" s="50"/>
      <c r="CBK348" s="50"/>
      <c r="CBL348" s="50"/>
      <c r="CBM348" s="50"/>
      <c r="CBN348" s="50"/>
      <c r="CBO348" s="50"/>
      <c r="CBP348" s="50"/>
      <c r="CBQ348" s="50"/>
      <c r="CBR348" s="50"/>
      <c r="CBS348" s="50"/>
      <c r="CBT348" s="50"/>
      <c r="CBU348" s="50"/>
      <c r="CBV348" s="50"/>
      <c r="CBW348" s="50"/>
      <c r="CBX348" s="50"/>
      <c r="CBY348" s="50"/>
      <c r="CBZ348" s="50"/>
      <c r="CCA348" s="50"/>
      <c r="CCB348" s="50"/>
      <c r="CCC348" s="50"/>
      <c r="CCD348" s="50"/>
      <c r="CCE348" s="50"/>
      <c r="CCF348" s="50"/>
      <c r="CCG348" s="50"/>
      <c r="CCH348" s="50"/>
      <c r="CCI348" s="50"/>
      <c r="CCJ348" s="50"/>
      <c r="CCK348" s="50"/>
      <c r="CCL348" s="50"/>
      <c r="CCM348" s="50"/>
      <c r="CCN348" s="50"/>
      <c r="CCO348" s="50"/>
      <c r="CCP348" s="50"/>
      <c r="CCQ348" s="50"/>
      <c r="CCR348" s="50"/>
      <c r="CCS348" s="50"/>
      <c r="CCT348" s="50"/>
      <c r="CCU348" s="50"/>
      <c r="CCV348" s="50"/>
      <c r="CCW348" s="50"/>
      <c r="CCX348" s="50"/>
      <c r="CCY348" s="50"/>
      <c r="CCZ348" s="50"/>
      <c r="CDA348" s="50"/>
      <c r="CDB348" s="50"/>
      <c r="CDC348" s="50"/>
      <c r="CDD348" s="50"/>
      <c r="CDE348" s="50"/>
      <c r="CDF348" s="50"/>
      <c r="CDG348" s="50"/>
      <c r="CDH348" s="50"/>
      <c r="CDI348" s="50"/>
      <c r="CDJ348" s="50"/>
      <c r="CDK348" s="50"/>
      <c r="CDL348" s="50"/>
      <c r="CDM348" s="50"/>
      <c r="CDN348" s="50"/>
      <c r="CDO348" s="50"/>
      <c r="CDP348" s="50"/>
      <c r="CDQ348" s="50"/>
      <c r="CDR348" s="50"/>
      <c r="CDS348" s="50"/>
      <c r="CDT348" s="50"/>
      <c r="CDU348" s="50"/>
      <c r="CDV348" s="50"/>
      <c r="CDW348" s="50"/>
      <c r="CDX348" s="50"/>
      <c r="CDY348" s="50"/>
      <c r="CDZ348" s="50"/>
      <c r="CEA348" s="50"/>
      <c r="CEB348" s="50"/>
      <c r="CEC348" s="50"/>
      <c r="CED348" s="50"/>
      <c r="CEE348" s="50"/>
      <c r="CEF348" s="50"/>
      <c r="CEG348" s="50"/>
      <c r="CEH348" s="50"/>
      <c r="CEI348" s="50"/>
      <c r="CEJ348" s="50"/>
      <c r="CEK348" s="50"/>
      <c r="CEL348" s="50"/>
      <c r="CEM348" s="50"/>
      <c r="CEN348" s="50"/>
      <c r="CEO348" s="50"/>
      <c r="CEP348" s="50"/>
      <c r="CEQ348" s="50"/>
      <c r="CER348" s="50"/>
      <c r="CES348" s="50"/>
      <c r="CET348" s="50"/>
      <c r="CEU348" s="50"/>
      <c r="CEV348" s="50"/>
      <c r="CEW348" s="50"/>
      <c r="CEX348" s="50"/>
      <c r="CEY348" s="50"/>
      <c r="CEZ348" s="50"/>
      <c r="CFA348" s="50"/>
      <c r="CFB348" s="50"/>
      <c r="CFC348" s="50"/>
      <c r="CFD348" s="50"/>
      <c r="CFE348" s="50"/>
      <c r="CFF348" s="50"/>
      <c r="CFG348" s="50"/>
      <c r="CFH348" s="50"/>
      <c r="CFI348" s="50"/>
      <c r="CFJ348" s="50"/>
      <c r="CFK348" s="50"/>
      <c r="CFL348" s="50"/>
      <c r="CFM348" s="50"/>
      <c r="CFN348" s="50"/>
      <c r="CFO348" s="50"/>
      <c r="CFP348" s="50"/>
      <c r="CFQ348" s="50"/>
      <c r="CFR348" s="50"/>
      <c r="CFS348" s="50"/>
      <c r="CFT348" s="50"/>
      <c r="CFU348" s="50"/>
      <c r="CFV348" s="50"/>
      <c r="CFW348" s="50"/>
      <c r="CFX348" s="50"/>
      <c r="CFY348" s="50"/>
      <c r="CFZ348" s="50"/>
      <c r="CGA348" s="50"/>
      <c r="CGB348" s="50"/>
      <c r="CGC348" s="50"/>
      <c r="CGD348" s="50"/>
      <c r="CGE348" s="50"/>
      <c r="CGF348" s="50"/>
      <c r="CGG348" s="50"/>
      <c r="CGH348" s="50"/>
      <c r="CGI348" s="50"/>
      <c r="CGJ348" s="50"/>
      <c r="CGK348" s="50"/>
      <c r="CGL348" s="50"/>
      <c r="CGM348" s="50"/>
      <c r="CGN348" s="50"/>
      <c r="CGO348" s="50"/>
      <c r="CGP348" s="50"/>
      <c r="CGQ348" s="50"/>
      <c r="CGR348" s="50"/>
      <c r="CGS348" s="50"/>
      <c r="CGT348" s="50"/>
      <c r="CGU348" s="50"/>
      <c r="CGV348" s="50"/>
      <c r="CGW348" s="50"/>
      <c r="CGX348" s="50"/>
      <c r="CGY348" s="50"/>
      <c r="CGZ348" s="50"/>
      <c r="CHA348" s="50"/>
      <c r="CHB348" s="50"/>
      <c r="CHC348" s="50"/>
      <c r="CHD348" s="50"/>
      <c r="CHE348" s="50"/>
      <c r="CHF348" s="50"/>
      <c r="CHG348" s="50"/>
      <c r="CHH348" s="50"/>
      <c r="CHI348" s="50"/>
      <c r="CHJ348" s="50"/>
      <c r="CHK348" s="50"/>
      <c r="CHL348" s="50"/>
      <c r="CHM348" s="50"/>
      <c r="CHN348" s="50"/>
      <c r="CHO348" s="50"/>
      <c r="CHP348" s="50"/>
      <c r="CHQ348" s="50"/>
      <c r="CHR348" s="50"/>
      <c r="CHS348" s="50"/>
      <c r="CHT348" s="50"/>
      <c r="CHU348" s="50"/>
      <c r="CHV348" s="50"/>
      <c r="CHW348" s="50"/>
      <c r="CHX348" s="50"/>
      <c r="CHY348" s="50"/>
      <c r="CHZ348" s="50"/>
      <c r="CIA348" s="50"/>
      <c r="CIB348" s="50"/>
      <c r="CIC348" s="50"/>
      <c r="CID348" s="50"/>
      <c r="CIE348" s="50"/>
      <c r="CIF348" s="50"/>
      <c r="CIG348" s="50"/>
      <c r="CIH348" s="50"/>
      <c r="CII348" s="50"/>
      <c r="CIJ348" s="50"/>
      <c r="CIK348" s="50"/>
      <c r="CIL348" s="50"/>
      <c r="CIM348" s="50"/>
      <c r="CIN348" s="50"/>
      <c r="CIO348" s="50"/>
      <c r="CIP348" s="50"/>
      <c r="CIQ348" s="50"/>
      <c r="CIR348" s="50"/>
      <c r="CIS348" s="50"/>
      <c r="CIT348" s="50"/>
      <c r="CIU348" s="50"/>
      <c r="CIV348" s="50"/>
      <c r="CIW348" s="50"/>
      <c r="CIX348" s="50"/>
      <c r="CIY348" s="50"/>
      <c r="CIZ348" s="50"/>
      <c r="CJA348" s="50"/>
      <c r="CJB348" s="50"/>
      <c r="CJC348" s="50"/>
      <c r="CJD348" s="50"/>
      <c r="CJE348" s="50"/>
      <c r="CJF348" s="50"/>
      <c r="CJG348" s="50"/>
      <c r="CJH348" s="50"/>
      <c r="CJI348" s="50"/>
      <c r="CJJ348" s="50"/>
      <c r="CJK348" s="50"/>
      <c r="CJL348" s="50"/>
      <c r="CJM348" s="50"/>
      <c r="CJN348" s="50"/>
      <c r="CJO348" s="50"/>
      <c r="CJP348" s="50"/>
      <c r="CJQ348" s="50"/>
      <c r="CJR348" s="50"/>
      <c r="CJS348" s="50"/>
      <c r="CJT348" s="50"/>
      <c r="CJU348" s="50"/>
      <c r="CJV348" s="50"/>
      <c r="CJW348" s="50"/>
      <c r="CJX348" s="50"/>
      <c r="CJY348" s="50"/>
      <c r="CJZ348" s="50"/>
      <c r="CKA348" s="50"/>
      <c r="CKB348" s="50"/>
      <c r="CKC348" s="50"/>
      <c r="CKD348" s="50"/>
      <c r="CKE348" s="50"/>
      <c r="CKF348" s="50"/>
      <c r="CKG348" s="50"/>
      <c r="CKH348" s="50"/>
      <c r="CKI348" s="50"/>
      <c r="CKJ348" s="50"/>
      <c r="CKK348" s="50"/>
      <c r="CKL348" s="50"/>
      <c r="CKM348" s="50"/>
      <c r="CKN348" s="50"/>
      <c r="CKO348" s="50"/>
      <c r="CKP348" s="50"/>
      <c r="CKQ348" s="50"/>
      <c r="CKR348" s="50"/>
      <c r="CKS348" s="50"/>
      <c r="CKT348" s="50"/>
      <c r="CKU348" s="50"/>
      <c r="CKV348" s="50"/>
      <c r="CKW348" s="50"/>
      <c r="CKX348" s="50"/>
      <c r="CKY348" s="50"/>
      <c r="CKZ348" s="50"/>
      <c r="CLA348" s="50"/>
      <c r="CLB348" s="50"/>
      <c r="CLC348" s="50"/>
      <c r="CLD348" s="50"/>
      <c r="CLE348" s="50"/>
      <c r="CLF348" s="50"/>
      <c r="CLG348" s="50"/>
      <c r="CLH348" s="50"/>
      <c r="CLI348" s="50"/>
      <c r="CLJ348" s="50"/>
      <c r="CLK348" s="50"/>
      <c r="CLL348" s="50"/>
      <c r="CLM348" s="50"/>
      <c r="CLN348" s="50"/>
      <c r="CLO348" s="50"/>
      <c r="CLP348" s="50"/>
      <c r="CLQ348" s="50"/>
      <c r="CLR348" s="50"/>
      <c r="CLS348" s="50"/>
      <c r="CLT348" s="50"/>
      <c r="CLU348" s="50"/>
      <c r="CLV348" s="50"/>
      <c r="CLW348" s="50"/>
      <c r="CLX348" s="50"/>
      <c r="CLY348" s="50"/>
      <c r="CLZ348" s="50"/>
      <c r="CMA348" s="50"/>
      <c r="CMB348" s="50"/>
      <c r="CMC348" s="50"/>
      <c r="CMD348" s="50"/>
      <c r="CME348" s="50"/>
      <c r="CMF348" s="50"/>
      <c r="CMG348" s="50"/>
      <c r="CMH348" s="50"/>
      <c r="CMI348" s="50"/>
      <c r="CMJ348" s="50"/>
      <c r="CMK348" s="50"/>
      <c r="CML348" s="50"/>
      <c r="CMM348" s="50"/>
      <c r="CMN348" s="50"/>
      <c r="CMO348" s="50"/>
      <c r="CMP348" s="50"/>
      <c r="CMQ348" s="50"/>
      <c r="CMR348" s="50"/>
      <c r="CMS348" s="50"/>
      <c r="CMT348" s="50"/>
      <c r="CMU348" s="50"/>
      <c r="CMV348" s="50"/>
      <c r="CMW348" s="50"/>
      <c r="CMX348" s="50"/>
      <c r="CMY348" s="50"/>
      <c r="CMZ348" s="50"/>
      <c r="CNA348" s="50"/>
      <c r="CNB348" s="50"/>
      <c r="CNC348" s="50"/>
      <c r="CND348" s="50"/>
      <c r="CNE348" s="50"/>
      <c r="CNF348" s="50"/>
      <c r="CNG348" s="50"/>
      <c r="CNH348" s="50"/>
      <c r="CNI348" s="50"/>
      <c r="CNJ348" s="50"/>
      <c r="CNK348" s="50"/>
      <c r="CNL348" s="50"/>
      <c r="CNM348" s="50"/>
      <c r="CNN348" s="50"/>
      <c r="CNO348" s="50"/>
      <c r="CNP348" s="50"/>
      <c r="CNQ348" s="50"/>
      <c r="CNR348" s="50"/>
      <c r="CNS348" s="50"/>
      <c r="CNT348" s="50"/>
      <c r="CNU348" s="50"/>
      <c r="CNV348" s="50"/>
      <c r="CNW348" s="50"/>
      <c r="CNX348" s="50"/>
      <c r="CNY348" s="50"/>
      <c r="CNZ348" s="50"/>
      <c r="COA348" s="50"/>
      <c r="COB348" s="50"/>
      <c r="COC348" s="50"/>
      <c r="COD348" s="50"/>
      <c r="COE348" s="50"/>
      <c r="COF348" s="50"/>
      <c r="COG348" s="50"/>
      <c r="COH348" s="50"/>
      <c r="COI348" s="50"/>
      <c r="COJ348" s="50"/>
      <c r="COK348" s="50"/>
      <c r="COL348" s="50"/>
      <c r="COM348" s="50"/>
      <c r="CON348" s="50"/>
      <c r="COO348" s="50"/>
      <c r="COP348" s="50"/>
      <c r="COQ348" s="50"/>
      <c r="COR348" s="50"/>
      <c r="COS348" s="50"/>
      <c r="COT348" s="50"/>
      <c r="COU348" s="50"/>
      <c r="COV348" s="50"/>
      <c r="COW348" s="50"/>
      <c r="COX348" s="50"/>
      <c r="COY348" s="50"/>
      <c r="COZ348" s="50"/>
      <c r="CPA348" s="50"/>
      <c r="CPB348" s="50"/>
      <c r="CPC348" s="50"/>
      <c r="CPD348" s="50"/>
      <c r="CPE348" s="50"/>
      <c r="CPF348" s="50"/>
      <c r="CPG348" s="50"/>
      <c r="CPH348" s="50"/>
      <c r="CPI348" s="50"/>
      <c r="CPJ348" s="50"/>
      <c r="CPK348" s="50"/>
      <c r="CPL348" s="50"/>
      <c r="CPM348" s="50"/>
      <c r="CPN348" s="50"/>
      <c r="CPO348" s="50"/>
      <c r="CPP348" s="50"/>
      <c r="CPQ348" s="50"/>
      <c r="CPR348" s="50"/>
      <c r="CPS348" s="50"/>
      <c r="CPT348" s="50"/>
      <c r="CPU348" s="50"/>
      <c r="CPV348" s="50"/>
      <c r="CPW348" s="50"/>
      <c r="CPX348" s="50"/>
      <c r="CPY348" s="50"/>
      <c r="CPZ348" s="50"/>
      <c r="CQA348" s="50"/>
      <c r="CQB348" s="50"/>
      <c r="CQC348" s="50"/>
      <c r="CQD348" s="50"/>
      <c r="CQE348" s="50"/>
      <c r="CQF348" s="50"/>
      <c r="CQG348" s="50"/>
      <c r="CQH348" s="50"/>
      <c r="CQI348" s="50"/>
      <c r="CQJ348" s="50"/>
      <c r="CQK348" s="50"/>
      <c r="CQL348" s="50"/>
      <c r="CQM348" s="50"/>
      <c r="CQN348" s="50"/>
      <c r="CQO348" s="50"/>
      <c r="CQP348" s="50"/>
      <c r="CQQ348" s="50"/>
      <c r="CQR348" s="50"/>
      <c r="CQS348" s="50"/>
      <c r="CQT348" s="50"/>
      <c r="CQU348" s="50"/>
      <c r="CQV348" s="50"/>
      <c r="CQW348" s="50"/>
      <c r="CQX348" s="50"/>
      <c r="CQY348" s="50"/>
      <c r="CQZ348" s="50"/>
      <c r="CRA348" s="50"/>
      <c r="CRB348" s="50"/>
      <c r="CRC348" s="50"/>
      <c r="CRD348" s="50"/>
      <c r="CRE348" s="50"/>
      <c r="CRF348" s="50"/>
      <c r="CRG348" s="50"/>
      <c r="CRH348" s="50"/>
      <c r="CRI348" s="50"/>
      <c r="CRJ348" s="50"/>
      <c r="CRK348" s="50"/>
      <c r="CRL348" s="50"/>
      <c r="CRM348" s="50"/>
      <c r="CRN348" s="50"/>
      <c r="CRO348" s="50"/>
      <c r="CRP348" s="50"/>
      <c r="CRQ348" s="50"/>
      <c r="CRR348" s="50"/>
      <c r="CRS348" s="50"/>
      <c r="CRT348" s="50"/>
      <c r="CRU348" s="50"/>
      <c r="CRV348" s="50"/>
      <c r="CRW348" s="50"/>
      <c r="CRX348" s="50"/>
      <c r="CRY348" s="50"/>
      <c r="CRZ348" s="50"/>
      <c r="CSA348" s="50"/>
      <c r="CSB348" s="50"/>
      <c r="CSC348" s="50"/>
      <c r="CSD348" s="50"/>
      <c r="CSE348" s="50"/>
      <c r="CSF348" s="50"/>
      <c r="CSG348" s="50"/>
      <c r="CSH348" s="50"/>
      <c r="CSI348" s="50"/>
      <c r="CSJ348" s="50"/>
      <c r="CSK348" s="50"/>
      <c r="CSL348" s="50"/>
      <c r="CSM348" s="50"/>
      <c r="CSN348" s="50"/>
      <c r="CSO348" s="50"/>
      <c r="CSP348" s="50"/>
      <c r="CSQ348" s="50"/>
      <c r="CSR348" s="50"/>
      <c r="CSS348" s="50"/>
      <c r="CST348" s="50"/>
      <c r="CSU348" s="50"/>
      <c r="CSV348" s="50"/>
      <c r="CSW348" s="50"/>
      <c r="CSX348" s="50"/>
      <c r="CSY348" s="50"/>
      <c r="CSZ348" s="50"/>
      <c r="CTA348" s="50"/>
      <c r="CTB348" s="50"/>
      <c r="CTC348" s="50"/>
      <c r="CTD348" s="50"/>
      <c r="CTE348" s="50"/>
      <c r="CTF348" s="50"/>
      <c r="CTG348" s="50"/>
      <c r="CTH348" s="50"/>
      <c r="CTI348" s="50"/>
      <c r="CTJ348" s="50"/>
      <c r="CTK348" s="50"/>
      <c r="CTL348" s="50"/>
      <c r="CTM348" s="50"/>
      <c r="CTN348" s="50"/>
      <c r="CTO348" s="50"/>
      <c r="CTP348" s="50"/>
      <c r="CTQ348" s="50"/>
      <c r="CTR348" s="50"/>
      <c r="CTS348" s="50"/>
      <c r="CTT348" s="50"/>
      <c r="CTU348" s="50"/>
      <c r="CTV348" s="50"/>
      <c r="CTW348" s="50"/>
      <c r="CTX348" s="50"/>
      <c r="CTY348" s="50"/>
      <c r="CTZ348" s="50"/>
      <c r="CUA348" s="50"/>
      <c r="CUB348" s="50"/>
      <c r="CUC348" s="50"/>
      <c r="CUD348" s="50"/>
      <c r="CUE348" s="50"/>
      <c r="CUF348" s="50"/>
      <c r="CUG348" s="50"/>
      <c r="CUH348" s="50"/>
      <c r="CUI348" s="50"/>
      <c r="CUJ348" s="50"/>
      <c r="CUK348" s="50"/>
      <c r="CUL348" s="50"/>
      <c r="CUM348" s="50"/>
      <c r="CUN348" s="50"/>
      <c r="CUO348" s="50"/>
      <c r="CUP348" s="50"/>
      <c r="CUQ348" s="50"/>
      <c r="CUR348" s="50"/>
      <c r="CUS348" s="50"/>
      <c r="CUT348" s="50"/>
      <c r="CUU348" s="50"/>
      <c r="CUV348" s="50"/>
      <c r="CUW348" s="50"/>
      <c r="CUX348" s="50"/>
      <c r="CUY348" s="50"/>
      <c r="CUZ348" s="50"/>
      <c r="CVA348" s="50"/>
      <c r="CVB348" s="50"/>
      <c r="CVC348" s="50"/>
      <c r="CVD348" s="50"/>
      <c r="CVE348" s="50"/>
      <c r="CVF348" s="50"/>
      <c r="CVG348" s="50"/>
      <c r="CVH348" s="50"/>
      <c r="CVI348" s="50"/>
      <c r="CVJ348" s="50"/>
      <c r="CVK348" s="50"/>
      <c r="CVL348" s="50"/>
      <c r="CVM348" s="50"/>
      <c r="CVN348" s="50"/>
      <c r="CVO348" s="50"/>
      <c r="CVP348" s="50"/>
      <c r="CVQ348" s="50"/>
      <c r="CVR348" s="50"/>
      <c r="CVS348" s="50"/>
      <c r="CVT348" s="50"/>
      <c r="CVU348" s="50"/>
      <c r="CVV348" s="50"/>
      <c r="CVW348" s="50"/>
      <c r="CVX348" s="50"/>
      <c r="CVY348" s="50"/>
      <c r="CVZ348" s="50"/>
      <c r="CWA348" s="50"/>
      <c r="CWB348" s="50"/>
      <c r="CWC348" s="50"/>
      <c r="CWD348" s="50"/>
      <c r="CWE348" s="50"/>
      <c r="CWF348" s="50"/>
      <c r="CWG348" s="50"/>
      <c r="CWH348" s="50"/>
      <c r="CWI348" s="50"/>
      <c r="CWJ348" s="50"/>
      <c r="CWK348" s="50"/>
      <c r="CWL348" s="50"/>
      <c r="CWM348" s="50"/>
      <c r="CWN348" s="50"/>
      <c r="CWO348" s="50"/>
      <c r="CWP348" s="50"/>
      <c r="CWQ348" s="50"/>
      <c r="CWR348" s="50"/>
      <c r="CWS348" s="50"/>
      <c r="CWT348" s="50"/>
      <c r="CWU348" s="50"/>
      <c r="CWV348" s="50"/>
      <c r="CWW348" s="50"/>
      <c r="CWX348" s="50"/>
      <c r="CWY348" s="50"/>
      <c r="CWZ348" s="50"/>
      <c r="CXA348" s="50"/>
      <c r="CXB348" s="50"/>
      <c r="CXC348" s="50"/>
      <c r="CXD348" s="50"/>
      <c r="CXE348" s="50"/>
      <c r="CXF348" s="50"/>
      <c r="CXG348" s="50"/>
      <c r="CXH348" s="50"/>
      <c r="CXI348" s="50"/>
      <c r="CXJ348" s="50"/>
      <c r="CXK348" s="50"/>
      <c r="CXL348" s="50"/>
      <c r="CXM348" s="50"/>
      <c r="CXN348" s="50"/>
      <c r="CXO348" s="50"/>
      <c r="CXP348" s="50"/>
      <c r="CXQ348" s="50"/>
      <c r="CXR348" s="50"/>
      <c r="CXS348" s="50"/>
      <c r="CXT348" s="50"/>
      <c r="CXU348" s="50"/>
      <c r="CXV348" s="50"/>
      <c r="CXW348" s="50"/>
      <c r="CXX348" s="50"/>
      <c r="CXY348" s="50"/>
      <c r="CXZ348" s="50"/>
      <c r="CYA348" s="50"/>
      <c r="CYB348" s="50"/>
      <c r="CYC348" s="50"/>
      <c r="CYD348" s="50"/>
      <c r="CYE348" s="50"/>
      <c r="CYF348" s="50"/>
      <c r="CYG348" s="50"/>
      <c r="CYH348" s="50"/>
      <c r="CYI348" s="50"/>
      <c r="CYJ348" s="50"/>
      <c r="CYK348" s="50"/>
      <c r="CYL348" s="50"/>
      <c r="CYM348" s="50"/>
      <c r="CYN348" s="50"/>
      <c r="CYO348" s="50"/>
      <c r="CYP348" s="50"/>
      <c r="CYQ348" s="50"/>
      <c r="CYR348" s="50"/>
      <c r="CYS348" s="50"/>
      <c r="CYT348" s="50"/>
      <c r="CYU348" s="50"/>
      <c r="CYV348" s="50"/>
      <c r="CYW348" s="50"/>
      <c r="CYX348" s="50"/>
      <c r="CYY348" s="50"/>
      <c r="CYZ348" s="50"/>
      <c r="CZA348" s="50"/>
      <c r="CZB348" s="50"/>
      <c r="CZC348" s="50"/>
      <c r="CZD348" s="50"/>
      <c r="CZE348" s="50"/>
      <c r="CZF348" s="50"/>
      <c r="CZG348" s="50"/>
      <c r="CZH348" s="50"/>
      <c r="CZI348" s="50"/>
      <c r="CZJ348" s="50"/>
      <c r="CZK348" s="50"/>
      <c r="CZL348" s="50"/>
      <c r="CZM348" s="50"/>
      <c r="CZN348" s="50"/>
      <c r="CZO348" s="50"/>
      <c r="CZP348" s="50"/>
      <c r="CZQ348" s="50"/>
      <c r="CZR348" s="50"/>
      <c r="CZS348" s="50"/>
      <c r="CZT348" s="50"/>
      <c r="CZU348" s="50"/>
      <c r="CZV348" s="50"/>
      <c r="CZW348" s="50"/>
      <c r="CZX348" s="50"/>
      <c r="CZY348" s="50"/>
      <c r="CZZ348" s="50"/>
      <c r="DAA348" s="50"/>
      <c r="DAB348" s="50"/>
      <c r="DAC348" s="50"/>
      <c r="DAD348" s="50"/>
      <c r="DAE348" s="50"/>
      <c r="DAF348" s="50"/>
      <c r="DAG348" s="50"/>
      <c r="DAH348" s="50"/>
      <c r="DAI348" s="50"/>
      <c r="DAJ348" s="50"/>
      <c r="DAK348" s="50"/>
      <c r="DAL348" s="50"/>
      <c r="DAM348" s="50"/>
      <c r="DAN348" s="50"/>
      <c r="DAO348" s="50"/>
      <c r="DAP348" s="50"/>
      <c r="DAQ348" s="50"/>
      <c r="DAR348" s="50"/>
      <c r="DAS348" s="50"/>
      <c r="DAT348" s="50"/>
      <c r="DAU348" s="50"/>
      <c r="DAV348" s="50"/>
      <c r="DAW348" s="50"/>
      <c r="DAX348" s="50"/>
      <c r="DAY348" s="50"/>
      <c r="DAZ348" s="50"/>
      <c r="DBA348" s="50"/>
      <c r="DBB348" s="50"/>
      <c r="DBC348" s="50"/>
      <c r="DBD348" s="50"/>
      <c r="DBE348" s="50"/>
      <c r="DBF348" s="50"/>
      <c r="DBG348" s="50"/>
      <c r="DBH348" s="50"/>
      <c r="DBI348" s="50"/>
      <c r="DBJ348" s="50"/>
      <c r="DBK348" s="50"/>
      <c r="DBL348" s="50"/>
      <c r="DBM348" s="50"/>
      <c r="DBN348" s="50"/>
      <c r="DBO348" s="50"/>
      <c r="DBP348" s="50"/>
      <c r="DBQ348" s="50"/>
      <c r="DBR348" s="50"/>
      <c r="DBS348" s="50"/>
      <c r="DBT348" s="50"/>
      <c r="DBU348" s="50"/>
      <c r="DBV348" s="50"/>
      <c r="DBW348" s="50"/>
      <c r="DBX348" s="50"/>
      <c r="DBY348" s="50"/>
      <c r="DBZ348" s="50"/>
      <c r="DCA348" s="50"/>
      <c r="DCB348" s="50"/>
      <c r="DCC348" s="50"/>
      <c r="DCD348" s="50"/>
      <c r="DCE348" s="50"/>
      <c r="DCF348" s="50"/>
      <c r="DCG348" s="50"/>
      <c r="DCH348" s="50"/>
      <c r="DCI348" s="50"/>
      <c r="DCJ348" s="50"/>
      <c r="DCK348" s="50"/>
      <c r="DCL348" s="50"/>
      <c r="DCM348" s="50"/>
      <c r="DCN348" s="50"/>
      <c r="DCO348" s="50"/>
      <c r="DCP348" s="50"/>
      <c r="DCQ348" s="50"/>
      <c r="DCR348" s="50"/>
      <c r="DCS348" s="50"/>
      <c r="DCT348" s="50"/>
      <c r="DCU348" s="50"/>
      <c r="DCV348" s="50"/>
      <c r="DCW348" s="50"/>
      <c r="DCX348" s="50"/>
      <c r="DCY348" s="50"/>
      <c r="DCZ348" s="50"/>
      <c r="DDA348" s="50"/>
      <c r="DDB348" s="50"/>
      <c r="DDC348" s="50"/>
      <c r="DDD348" s="50"/>
      <c r="DDE348" s="50"/>
      <c r="DDF348" s="50"/>
      <c r="DDG348" s="50"/>
      <c r="DDH348" s="50"/>
      <c r="DDI348" s="50"/>
      <c r="DDJ348" s="50"/>
      <c r="DDK348" s="50"/>
      <c r="DDL348" s="50"/>
      <c r="DDM348" s="50"/>
      <c r="DDN348" s="50"/>
      <c r="DDO348" s="50"/>
      <c r="DDP348" s="50"/>
      <c r="DDQ348" s="50"/>
      <c r="DDR348" s="50"/>
      <c r="DDS348" s="50"/>
      <c r="DDT348" s="50"/>
      <c r="DDU348" s="50"/>
      <c r="DDV348" s="50"/>
      <c r="DDW348" s="50"/>
      <c r="DDX348" s="50"/>
      <c r="DDY348" s="50"/>
      <c r="DDZ348" s="50"/>
      <c r="DEA348" s="50"/>
      <c r="DEB348" s="50"/>
      <c r="DEC348" s="50"/>
      <c r="DED348" s="50"/>
      <c r="DEE348" s="50"/>
      <c r="DEF348" s="50"/>
      <c r="DEG348" s="50"/>
      <c r="DEH348" s="50"/>
      <c r="DEI348" s="50"/>
      <c r="DEJ348" s="50"/>
      <c r="DEK348" s="50"/>
      <c r="DEL348" s="50"/>
      <c r="DEM348" s="50"/>
      <c r="DEN348" s="50"/>
      <c r="DEO348" s="50"/>
      <c r="DEP348" s="50"/>
      <c r="DEQ348" s="50"/>
      <c r="DER348" s="50"/>
      <c r="DES348" s="50"/>
      <c r="DET348" s="50"/>
      <c r="DEU348" s="50"/>
      <c r="DEV348" s="50"/>
      <c r="DEW348" s="50"/>
      <c r="DEX348" s="50"/>
      <c r="DEY348" s="50"/>
      <c r="DEZ348" s="50"/>
      <c r="DFA348" s="50"/>
      <c r="DFB348" s="50"/>
      <c r="DFC348" s="50"/>
      <c r="DFD348" s="50"/>
      <c r="DFE348" s="50"/>
      <c r="DFF348" s="50"/>
      <c r="DFG348" s="50"/>
      <c r="DFH348" s="50"/>
      <c r="DFI348" s="50"/>
      <c r="DFJ348" s="50"/>
      <c r="DFK348" s="50"/>
      <c r="DFL348" s="50"/>
      <c r="DFM348" s="50"/>
      <c r="DFN348" s="50"/>
      <c r="DFO348" s="50"/>
      <c r="DFP348" s="50"/>
      <c r="DFQ348" s="50"/>
      <c r="DFR348" s="50"/>
      <c r="DFS348" s="50"/>
      <c r="DFT348" s="50"/>
      <c r="DFU348" s="50"/>
      <c r="DFV348" s="50"/>
      <c r="DFW348" s="50"/>
      <c r="DFX348" s="50"/>
      <c r="DFY348" s="50"/>
      <c r="DFZ348" s="50"/>
      <c r="DGA348" s="50"/>
      <c r="DGB348" s="50"/>
      <c r="DGC348" s="50"/>
      <c r="DGD348" s="50"/>
      <c r="DGE348" s="50"/>
      <c r="DGF348" s="50"/>
      <c r="DGG348" s="50"/>
      <c r="DGH348" s="50"/>
      <c r="DGI348" s="50"/>
      <c r="DGJ348" s="50"/>
      <c r="DGK348" s="50"/>
      <c r="DGL348" s="50"/>
      <c r="DGM348" s="50"/>
      <c r="DGN348" s="50"/>
      <c r="DGO348" s="50"/>
      <c r="DGP348" s="50"/>
      <c r="DGQ348" s="50"/>
      <c r="DGR348" s="50"/>
      <c r="DGS348" s="50"/>
      <c r="DGT348" s="50"/>
      <c r="DGU348" s="50"/>
      <c r="DGV348" s="50"/>
      <c r="DGW348" s="50"/>
      <c r="DGX348" s="50"/>
      <c r="DGY348" s="50"/>
      <c r="DGZ348" s="50"/>
      <c r="DHA348" s="50"/>
      <c r="DHB348" s="50"/>
      <c r="DHC348" s="50"/>
      <c r="DHD348" s="50"/>
      <c r="DHE348" s="50"/>
      <c r="DHF348" s="50"/>
      <c r="DHG348" s="50"/>
      <c r="DHH348" s="50"/>
      <c r="DHI348" s="50"/>
      <c r="DHJ348" s="50"/>
      <c r="DHK348" s="50"/>
      <c r="DHL348" s="50"/>
      <c r="DHM348" s="50"/>
      <c r="DHN348" s="50"/>
      <c r="DHO348" s="50"/>
      <c r="DHP348" s="50"/>
      <c r="DHQ348" s="50"/>
      <c r="DHR348" s="50"/>
      <c r="DHS348" s="50"/>
      <c r="DHT348" s="50"/>
      <c r="DHU348" s="50"/>
      <c r="DHV348" s="50"/>
      <c r="DHW348" s="50"/>
      <c r="DHX348" s="50"/>
      <c r="DHY348" s="50"/>
      <c r="DHZ348" s="50"/>
      <c r="DIA348" s="50"/>
      <c r="DIB348" s="50"/>
      <c r="DIC348" s="50"/>
      <c r="DID348" s="50"/>
      <c r="DIE348" s="50"/>
      <c r="DIF348" s="50"/>
      <c r="DIG348" s="50"/>
      <c r="DIH348" s="50"/>
      <c r="DII348" s="50"/>
      <c r="DIJ348" s="50"/>
      <c r="DIK348" s="50"/>
      <c r="DIL348" s="50"/>
      <c r="DIM348" s="50"/>
      <c r="DIN348" s="50"/>
      <c r="DIO348" s="50"/>
      <c r="DIP348" s="50"/>
      <c r="DIQ348" s="50"/>
      <c r="DIR348" s="50"/>
      <c r="DIS348" s="50"/>
      <c r="DIT348" s="50"/>
      <c r="DIU348" s="50"/>
      <c r="DIV348" s="50"/>
      <c r="DIW348" s="50"/>
      <c r="DIX348" s="50"/>
      <c r="DIY348" s="50"/>
      <c r="DIZ348" s="50"/>
      <c r="DJA348" s="50"/>
      <c r="DJB348" s="50"/>
      <c r="DJC348" s="50"/>
      <c r="DJD348" s="50"/>
      <c r="DJE348" s="50"/>
      <c r="DJF348" s="50"/>
      <c r="DJG348" s="50"/>
      <c r="DJH348" s="50"/>
      <c r="DJI348" s="50"/>
      <c r="DJJ348" s="50"/>
      <c r="DJK348" s="50"/>
      <c r="DJL348" s="50"/>
      <c r="DJM348" s="50"/>
      <c r="DJN348" s="50"/>
      <c r="DJO348" s="50"/>
      <c r="DJP348" s="50"/>
      <c r="DJQ348" s="50"/>
      <c r="DJR348" s="50"/>
      <c r="DJS348" s="50"/>
      <c r="DJT348" s="50"/>
      <c r="DJU348" s="50"/>
      <c r="DJV348" s="50"/>
      <c r="DJW348" s="50"/>
      <c r="DJX348" s="50"/>
      <c r="DJY348" s="50"/>
      <c r="DJZ348" s="50"/>
      <c r="DKA348" s="50"/>
      <c r="DKB348" s="50"/>
      <c r="DKC348" s="50"/>
      <c r="DKD348" s="50"/>
      <c r="DKE348" s="50"/>
      <c r="DKF348" s="50"/>
      <c r="DKG348" s="50"/>
      <c r="DKH348" s="50"/>
      <c r="DKI348" s="50"/>
      <c r="DKJ348" s="50"/>
      <c r="DKK348" s="50"/>
      <c r="DKL348" s="50"/>
      <c r="DKM348" s="50"/>
      <c r="DKN348" s="50"/>
      <c r="DKO348" s="50"/>
      <c r="DKP348" s="50"/>
      <c r="DKQ348" s="50"/>
      <c r="DKR348" s="50"/>
      <c r="DKS348" s="50"/>
      <c r="DKT348" s="50"/>
      <c r="DKU348" s="50"/>
      <c r="DKV348" s="50"/>
      <c r="DKW348" s="50"/>
      <c r="DKX348" s="50"/>
      <c r="DKY348" s="50"/>
      <c r="DKZ348" s="50"/>
      <c r="DLA348" s="50"/>
      <c r="DLB348" s="50"/>
      <c r="DLC348" s="50"/>
      <c r="DLD348" s="50"/>
      <c r="DLE348" s="50"/>
      <c r="DLF348" s="50"/>
      <c r="DLG348" s="50"/>
      <c r="DLH348" s="50"/>
      <c r="DLI348" s="50"/>
      <c r="DLJ348" s="50"/>
      <c r="DLK348" s="50"/>
      <c r="DLL348" s="50"/>
      <c r="DLM348" s="50"/>
      <c r="DLN348" s="50"/>
      <c r="DLO348" s="50"/>
      <c r="DLP348" s="50"/>
      <c r="DLQ348" s="50"/>
      <c r="DLR348" s="50"/>
      <c r="DLS348" s="50"/>
      <c r="DLT348" s="50"/>
      <c r="DLU348" s="50"/>
      <c r="DLV348" s="50"/>
      <c r="DLW348" s="50"/>
      <c r="DLX348" s="50"/>
      <c r="DLY348" s="50"/>
      <c r="DLZ348" s="50"/>
      <c r="DMA348" s="50"/>
      <c r="DMB348" s="50"/>
      <c r="DMC348" s="50"/>
      <c r="DMD348" s="50"/>
      <c r="DME348" s="50"/>
      <c r="DMF348" s="50"/>
      <c r="DMG348" s="50"/>
      <c r="DMH348" s="50"/>
      <c r="DMI348" s="50"/>
      <c r="DMJ348" s="50"/>
      <c r="DMK348" s="50"/>
      <c r="DML348" s="50"/>
      <c r="DMM348" s="50"/>
      <c r="DMN348" s="50"/>
      <c r="DMO348" s="50"/>
      <c r="DMP348" s="50"/>
      <c r="DMQ348" s="50"/>
      <c r="DMR348" s="50"/>
      <c r="DMS348" s="50"/>
      <c r="DMT348" s="50"/>
      <c r="DMU348" s="50"/>
      <c r="DMV348" s="50"/>
      <c r="DMW348" s="50"/>
      <c r="DMX348" s="50"/>
      <c r="DMY348" s="50"/>
      <c r="DMZ348" s="50"/>
      <c r="DNA348" s="50"/>
      <c r="DNB348" s="50"/>
      <c r="DNC348" s="50"/>
      <c r="DND348" s="50"/>
      <c r="DNE348" s="50"/>
      <c r="DNF348" s="50"/>
      <c r="DNG348" s="50"/>
      <c r="DNH348" s="50"/>
      <c r="DNI348" s="50"/>
      <c r="DNJ348" s="50"/>
      <c r="DNK348" s="50"/>
      <c r="DNL348" s="50"/>
      <c r="DNM348" s="50"/>
      <c r="DNN348" s="50"/>
      <c r="DNO348" s="50"/>
      <c r="DNP348" s="50"/>
      <c r="DNQ348" s="50"/>
      <c r="DNR348" s="50"/>
      <c r="DNS348" s="50"/>
      <c r="DNT348" s="50"/>
      <c r="DNU348" s="50"/>
      <c r="DNV348" s="50"/>
      <c r="DNW348" s="50"/>
      <c r="DNX348" s="50"/>
      <c r="DNY348" s="50"/>
      <c r="DNZ348" s="50"/>
      <c r="DOA348" s="50"/>
      <c r="DOB348" s="50"/>
      <c r="DOC348" s="50"/>
      <c r="DOD348" s="50"/>
      <c r="DOE348" s="50"/>
      <c r="DOF348" s="50"/>
      <c r="DOG348" s="50"/>
      <c r="DOH348" s="50"/>
      <c r="DOI348" s="50"/>
      <c r="DOJ348" s="50"/>
      <c r="DOK348" s="50"/>
      <c r="DOL348" s="50"/>
      <c r="DOM348" s="50"/>
      <c r="DON348" s="50"/>
      <c r="DOO348" s="50"/>
      <c r="DOP348" s="50"/>
      <c r="DOQ348" s="50"/>
      <c r="DOR348" s="50"/>
      <c r="DOS348" s="50"/>
      <c r="DOT348" s="50"/>
      <c r="DOU348" s="50"/>
      <c r="DOV348" s="50"/>
      <c r="DOW348" s="50"/>
      <c r="DOX348" s="50"/>
      <c r="DOY348" s="50"/>
      <c r="DOZ348" s="50"/>
      <c r="DPA348" s="50"/>
      <c r="DPB348" s="50"/>
      <c r="DPC348" s="50"/>
      <c r="DPD348" s="50"/>
      <c r="DPE348" s="50"/>
      <c r="DPF348" s="50"/>
      <c r="DPG348" s="50"/>
      <c r="DPH348" s="50"/>
      <c r="DPI348" s="50"/>
      <c r="DPJ348" s="50"/>
      <c r="DPK348" s="50"/>
      <c r="DPL348" s="50"/>
      <c r="DPM348" s="50"/>
      <c r="DPN348" s="50"/>
      <c r="DPO348" s="50"/>
      <c r="DPP348" s="50"/>
      <c r="DPQ348" s="50"/>
      <c r="DPR348" s="50"/>
      <c r="DPS348" s="50"/>
      <c r="DPT348" s="50"/>
      <c r="DPU348" s="50"/>
      <c r="DPV348" s="50"/>
      <c r="DPW348" s="50"/>
      <c r="DPX348" s="50"/>
      <c r="DPY348" s="50"/>
      <c r="DPZ348" s="50"/>
      <c r="DQA348" s="50"/>
      <c r="DQB348" s="50"/>
      <c r="DQC348" s="50"/>
      <c r="DQD348" s="50"/>
      <c r="DQE348" s="50"/>
      <c r="DQF348" s="50"/>
      <c r="DQG348" s="50"/>
      <c r="DQH348" s="50"/>
      <c r="DQI348" s="50"/>
      <c r="DQJ348" s="50"/>
      <c r="DQK348" s="50"/>
      <c r="DQL348" s="50"/>
      <c r="DQM348" s="50"/>
      <c r="DQN348" s="50"/>
      <c r="DQO348" s="50"/>
      <c r="DQP348" s="50"/>
      <c r="DQQ348" s="50"/>
      <c r="DQR348" s="50"/>
      <c r="DQS348" s="50"/>
      <c r="DQT348" s="50"/>
      <c r="DQU348" s="50"/>
      <c r="DQV348" s="50"/>
      <c r="DQW348" s="50"/>
      <c r="DQX348" s="50"/>
      <c r="DQY348" s="50"/>
      <c r="DQZ348" s="50"/>
      <c r="DRA348" s="50"/>
      <c r="DRB348" s="50"/>
      <c r="DRC348" s="50"/>
      <c r="DRD348" s="50"/>
      <c r="DRE348" s="50"/>
      <c r="DRF348" s="50"/>
      <c r="DRG348" s="50"/>
      <c r="DRH348" s="50"/>
      <c r="DRI348" s="50"/>
      <c r="DRJ348" s="50"/>
      <c r="DRK348" s="50"/>
      <c r="DRL348" s="50"/>
      <c r="DRM348" s="50"/>
      <c r="DRN348" s="50"/>
      <c r="DRO348" s="50"/>
      <c r="DRP348" s="50"/>
      <c r="DRQ348" s="50"/>
      <c r="DRR348" s="50"/>
      <c r="DRS348" s="50"/>
      <c r="DRT348" s="50"/>
      <c r="DRU348" s="50"/>
      <c r="DRV348" s="50"/>
      <c r="DRW348" s="50"/>
      <c r="DRX348" s="50"/>
      <c r="DRY348" s="50"/>
      <c r="DRZ348" s="50"/>
      <c r="DSA348" s="50"/>
      <c r="DSB348" s="50"/>
      <c r="DSC348" s="50"/>
      <c r="DSD348" s="50"/>
      <c r="DSE348" s="50"/>
      <c r="DSF348" s="50"/>
      <c r="DSG348" s="50"/>
      <c r="DSH348" s="50"/>
      <c r="DSI348" s="50"/>
      <c r="DSJ348" s="50"/>
      <c r="DSK348" s="50"/>
      <c r="DSL348" s="50"/>
      <c r="DSM348" s="50"/>
      <c r="DSN348" s="50"/>
      <c r="DSO348" s="50"/>
      <c r="DSP348" s="50"/>
      <c r="DSQ348" s="50"/>
      <c r="DSR348" s="50"/>
      <c r="DSS348" s="50"/>
      <c r="DST348" s="50"/>
      <c r="DSU348" s="50"/>
      <c r="DSV348" s="50"/>
      <c r="DSW348" s="50"/>
      <c r="DSX348" s="50"/>
      <c r="DSY348" s="50"/>
      <c r="DSZ348" s="50"/>
      <c r="DTA348" s="50"/>
      <c r="DTB348" s="50"/>
      <c r="DTC348" s="50"/>
      <c r="DTD348" s="50"/>
      <c r="DTE348" s="50"/>
      <c r="DTF348" s="50"/>
      <c r="DTG348" s="50"/>
      <c r="DTH348" s="50"/>
      <c r="DTI348" s="50"/>
      <c r="DTJ348" s="50"/>
      <c r="DTK348" s="50"/>
      <c r="DTL348" s="50"/>
      <c r="DTM348" s="50"/>
      <c r="DTN348" s="50"/>
      <c r="DTO348" s="50"/>
      <c r="DTP348" s="50"/>
      <c r="DTQ348" s="50"/>
      <c r="DTR348" s="50"/>
      <c r="DTS348" s="50"/>
      <c r="DTT348" s="50"/>
      <c r="DTU348" s="50"/>
      <c r="DTV348" s="50"/>
      <c r="DTW348" s="50"/>
      <c r="DTX348" s="50"/>
      <c r="DTY348" s="50"/>
      <c r="DTZ348" s="50"/>
      <c r="DUA348" s="50"/>
      <c r="DUB348" s="50"/>
      <c r="DUC348" s="50"/>
      <c r="DUD348" s="50"/>
      <c r="DUE348" s="50"/>
      <c r="DUF348" s="50"/>
      <c r="DUG348" s="50"/>
      <c r="DUH348" s="50"/>
      <c r="DUI348" s="50"/>
      <c r="DUJ348" s="50"/>
      <c r="DUK348" s="50"/>
      <c r="DUL348" s="50"/>
      <c r="DUM348" s="50"/>
      <c r="DUN348" s="50"/>
      <c r="DUO348" s="50"/>
      <c r="DUP348" s="50"/>
      <c r="DUQ348" s="50"/>
      <c r="DUR348" s="50"/>
      <c r="DUS348" s="50"/>
      <c r="DUT348" s="50"/>
      <c r="DUU348" s="50"/>
      <c r="DUV348" s="50"/>
      <c r="DUW348" s="50"/>
      <c r="DUX348" s="50"/>
      <c r="DUY348" s="50"/>
      <c r="DUZ348" s="50"/>
      <c r="DVA348" s="50"/>
      <c r="DVB348" s="50"/>
      <c r="DVC348" s="50"/>
      <c r="DVD348" s="50"/>
      <c r="DVE348" s="50"/>
      <c r="DVF348" s="50"/>
      <c r="DVG348" s="50"/>
      <c r="DVH348" s="50"/>
      <c r="DVI348" s="50"/>
      <c r="DVJ348" s="50"/>
      <c r="DVK348" s="50"/>
      <c r="DVL348" s="50"/>
      <c r="DVM348" s="50"/>
      <c r="DVN348" s="50"/>
      <c r="DVO348" s="50"/>
      <c r="DVP348" s="50"/>
      <c r="DVQ348" s="50"/>
      <c r="DVR348" s="50"/>
      <c r="DVS348" s="50"/>
      <c r="DVT348" s="50"/>
      <c r="DVU348" s="50"/>
      <c r="DVV348" s="50"/>
      <c r="DVW348" s="50"/>
      <c r="DVX348" s="50"/>
      <c r="DVY348" s="50"/>
      <c r="DVZ348" s="50"/>
      <c r="DWA348" s="50"/>
      <c r="DWB348" s="50"/>
      <c r="DWC348" s="50"/>
      <c r="DWD348" s="50"/>
      <c r="DWE348" s="50"/>
      <c r="DWF348" s="50"/>
      <c r="DWG348" s="50"/>
      <c r="DWH348" s="50"/>
      <c r="DWI348" s="50"/>
      <c r="DWJ348" s="50"/>
      <c r="DWK348" s="50"/>
      <c r="DWL348" s="50"/>
      <c r="DWM348" s="50"/>
      <c r="DWN348" s="50"/>
      <c r="DWO348" s="50"/>
      <c r="DWP348" s="50"/>
      <c r="DWQ348" s="50"/>
      <c r="DWR348" s="50"/>
      <c r="DWS348" s="50"/>
      <c r="DWT348" s="50"/>
      <c r="DWU348" s="50"/>
      <c r="DWV348" s="50"/>
      <c r="DWW348" s="50"/>
      <c r="DWX348" s="50"/>
      <c r="DWY348" s="50"/>
      <c r="DWZ348" s="50"/>
      <c r="DXA348" s="50"/>
      <c r="DXB348" s="50"/>
      <c r="DXC348" s="50"/>
      <c r="DXD348" s="50"/>
      <c r="DXE348" s="50"/>
      <c r="DXF348" s="50"/>
      <c r="DXG348" s="50"/>
      <c r="DXH348" s="50"/>
      <c r="DXI348" s="50"/>
      <c r="DXJ348" s="50"/>
      <c r="DXK348" s="50"/>
      <c r="DXL348" s="50"/>
      <c r="DXM348" s="50"/>
      <c r="DXN348" s="50"/>
      <c r="DXO348" s="50"/>
      <c r="DXP348" s="50"/>
      <c r="DXQ348" s="50"/>
      <c r="DXR348" s="50"/>
      <c r="DXS348" s="50"/>
      <c r="DXT348" s="50"/>
      <c r="DXU348" s="50"/>
      <c r="DXV348" s="50"/>
      <c r="DXW348" s="50"/>
      <c r="DXX348" s="50"/>
      <c r="DXY348" s="50"/>
      <c r="DXZ348" s="50"/>
      <c r="DYA348" s="50"/>
      <c r="DYB348" s="50"/>
      <c r="DYC348" s="50"/>
      <c r="DYD348" s="50"/>
      <c r="DYE348" s="50"/>
      <c r="DYF348" s="50"/>
      <c r="DYG348" s="50"/>
      <c r="DYH348" s="50"/>
      <c r="DYI348" s="50"/>
      <c r="DYJ348" s="50"/>
      <c r="DYK348" s="50"/>
      <c r="DYL348" s="50"/>
      <c r="DYM348" s="50"/>
      <c r="DYN348" s="50"/>
      <c r="DYO348" s="50"/>
      <c r="DYP348" s="50"/>
      <c r="DYQ348" s="50"/>
      <c r="DYR348" s="50"/>
      <c r="DYS348" s="50"/>
      <c r="DYT348" s="50"/>
      <c r="DYU348" s="50"/>
      <c r="DYV348" s="50"/>
      <c r="DYW348" s="50"/>
      <c r="DYX348" s="50"/>
      <c r="DYY348" s="50"/>
      <c r="DYZ348" s="50"/>
      <c r="DZA348" s="50"/>
      <c r="DZB348" s="50"/>
      <c r="DZC348" s="50"/>
      <c r="DZD348" s="50"/>
      <c r="DZE348" s="50"/>
      <c r="DZF348" s="50"/>
      <c r="DZG348" s="50"/>
      <c r="DZH348" s="50"/>
      <c r="DZI348" s="50"/>
      <c r="DZJ348" s="50"/>
      <c r="DZK348" s="50"/>
      <c r="DZL348" s="50"/>
      <c r="DZM348" s="50"/>
      <c r="DZN348" s="50"/>
      <c r="DZO348" s="50"/>
      <c r="DZP348" s="50"/>
      <c r="DZQ348" s="50"/>
      <c r="DZR348" s="50"/>
      <c r="DZS348" s="50"/>
      <c r="DZT348" s="50"/>
      <c r="DZU348" s="50"/>
      <c r="DZV348" s="50"/>
      <c r="DZW348" s="50"/>
      <c r="DZX348" s="50"/>
      <c r="DZY348" s="50"/>
      <c r="DZZ348" s="50"/>
      <c r="EAA348" s="50"/>
      <c r="EAB348" s="50"/>
      <c r="EAC348" s="50"/>
      <c r="EAD348" s="50"/>
      <c r="EAE348" s="50"/>
      <c r="EAF348" s="50"/>
      <c r="EAG348" s="50"/>
      <c r="EAH348" s="50"/>
      <c r="EAI348" s="50"/>
      <c r="EAJ348" s="50"/>
      <c r="EAK348" s="50"/>
      <c r="EAL348" s="50"/>
      <c r="EAM348" s="50"/>
      <c r="EAN348" s="50"/>
      <c r="EAO348" s="50"/>
      <c r="EAP348" s="50"/>
      <c r="EAQ348" s="50"/>
      <c r="EAR348" s="50"/>
      <c r="EAS348" s="50"/>
      <c r="EAT348" s="50"/>
      <c r="EAU348" s="50"/>
      <c r="EAV348" s="50"/>
      <c r="EAW348" s="50"/>
      <c r="EAX348" s="50"/>
      <c r="EAY348" s="50"/>
      <c r="EAZ348" s="50"/>
      <c r="EBA348" s="50"/>
      <c r="EBB348" s="50"/>
      <c r="EBC348" s="50"/>
      <c r="EBD348" s="50"/>
      <c r="EBE348" s="50"/>
      <c r="EBF348" s="50"/>
      <c r="EBG348" s="50"/>
      <c r="EBH348" s="50"/>
      <c r="EBI348" s="50"/>
      <c r="EBJ348" s="50"/>
      <c r="EBK348" s="50"/>
      <c r="EBL348" s="50"/>
      <c r="EBM348" s="50"/>
      <c r="EBN348" s="50"/>
      <c r="EBO348" s="50"/>
      <c r="EBP348" s="50"/>
      <c r="EBQ348" s="50"/>
      <c r="EBR348" s="50"/>
      <c r="EBS348" s="50"/>
      <c r="EBT348" s="50"/>
      <c r="EBU348" s="50"/>
      <c r="EBV348" s="50"/>
      <c r="EBW348" s="50"/>
      <c r="EBX348" s="50"/>
      <c r="EBY348" s="50"/>
      <c r="EBZ348" s="50"/>
      <c r="ECA348" s="50"/>
      <c r="ECB348" s="50"/>
      <c r="ECC348" s="50"/>
      <c r="ECD348" s="50"/>
      <c r="ECE348" s="50"/>
      <c r="ECF348" s="50"/>
      <c r="ECG348" s="50"/>
      <c r="ECH348" s="50"/>
      <c r="ECI348" s="50"/>
      <c r="ECJ348" s="50"/>
      <c r="ECK348" s="50"/>
      <c r="ECL348" s="50"/>
      <c r="ECM348" s="50"/>
      <c r="ECN348" s="50"/>
      <c r="ECO348" s="50"/>
      <c r="ECP348" s="50"/>
      <c r="ECQ348" s="50"/>
      <c r="ECR348" s="50"/>
      <c r="ECS348" s="50"/>
      <c r="ECT348" s="50"/>
      <c r="ECU348" s="50"/>
      <c r="ECV348" s="50"/>
      <c r="ECW348" s="50"/>
      <c r="ECX348" s="50"/>
      <c r="ECY348" s="50"/>
      <c r="ECZ348" s="50"/>
      <c r="EDA348" s="50"/>
      <c r="EDB348" s="50"/>
      <c r="EDC348" s="50"/>
      <c r="EDD348" s="50"/>
      <c r="EDE348" s="50"/>
      <c r="EDF348" s="50"/>
      <c r="EDG348" s="50"/>
      <c r="EDH348" s="50"/>
      <c r="EDI348" s="50"/>
      <c r="EDJ348" s="50"/>
      <c r="EDK348" s="50"/>
      <c r="EDL348" s="50"/>
      <c r="EDM348" s="50"/>
      <c r="EDN348" s="50"/>
      <c r="EDO348" s="50"/>
      <c r="EDP348" s="50"/>
      <c r="EDQ348" s="50"/>
      <c r="EDR348" s="50"/>
      <c r="EDS348" s="50"/>
      <c r="EDT348" s="50"/>
      <c r="EDU348" s="50"/>
      <c r="EDV348" s="50"/>
      <c r="EDW348" s="50"/>
      <c r="EDX348" s="50"/>
      <c r="EDY348" s="50"/>
      <c r="EDZ348" s="50"/>
      <c r="EEA348" s="50"/>
      <c r="EEB348" s="50"/>
      <c r="EEC348" s="50"/>
      <c r="EED348" s="50"/>
      <c r="EEE348" s="50"/>
      <c r="EEF348" s="50"/>
      <c r="EEG348" s="50"/>
      <c r="EEH348" s="50"/>
      <c r="EEI348" s="50"/>
      <c r="EEJ348" s="50"/>
      <c r="EEK348" s="50"/>
      <c r="EEL348" s="50"/>
      <c r="EEM348" s="50"/>
      <c r="EEN348" s="50"/>
      <c r="EEO348" s="50"/>
      <c r="EEP348" s="50"/>
      <c r="EEQ348" s="50"/>
      <c r="EER348" s="50"/>
      <c r="EES348" s="50"/>
      <c r="EET348" s="50"/>
      <c r="EEU348" s="50"/>
      <c r="EEV348" s="50"/>
      <c r="EEW348" s="50"/>
      <c r="EEX348" s="50"/>
      <c r="EEY348" s="50"/>
      <c r="EEZ348" s="50"/>
      <c r="EFA348" s="50"/>
      <c r="EFB348" s="50"/>
      <c r="EFC348" s="50"/>
      <c r="EFD348" s="50"/>
      <c r="EFE348" s="50"/>
      <c r="EFF348" s="50"/>
      <c r="EFG348" s="50"/>
      <c r="EFH348" s="50"/>
      <c r="EFI348" s="50"/>
      <c r="EFJ348" s="50"/>
      <c r="EFK348" s="50"/>
      <c r="EFL348" s="50"/>
      <c r="EFM348" s="50"/>
      <c r="EFN348" s="50"/>
      <c r="EFO348" s="50"/>
      <c r="EFP348" s="50"/>
      <c r="EFQ348" s="50"/>
      <c r="EFR348" s="50"/>
      <c r="EFS348" s="50"/>
      <c r="EFT348" s="50"/>
      <c r="EFU348" s="50"/>
      <c r="EFV348" s="50"/>
      <c r="EFW348" s="50"/>
      <c r="EFX348" s="50"/>
      <c r="EFY348" s="50"/>
      <c r="EFZ348" s="50"/>
      <c r="EGA348" s="50"/>
      <c r="EGB348" s="50"/>
      <c r="EGC348" s="50"/>
      <c r="EGD348" s="50"/>
      <c r="EGE348" s="50"/>
      <c r="EGF348" s="50"/>
      <c r="EGG348" s="50"/>
      <c r="EGH348" s="50"/>
      <c r="EGI348" s="50"/>
      <c r="EGJ348" s="50"/>
      <c r="EGK348" s="50"/>
      <c r="EGL348" s="50"/>
      <c r="EGM348" s="50"/>
      <c r="EGN348" s="50"/>
      <c r="EGO348" s="50"/>
      <c r="EGP348" s="50"/>
      <c r="EGQ348" s="50"/>
      <c r="EGR348" s="50"/>
      <c r="EGS348" s="50"/>
      <c r="EGT348" s="50"/>
      <c r="EGU348" s="50"/>
      <c r="EGV348" s="50"/>
      <c r="EGW348" s="50"/>
      <c r="EGX348" s="50"/>
      <c r="EGY348" s="50"/>
      <c r="EGZ348" s="50"/>
      <c r="EHA348" s="50"/>
      <c r="EHB348" s="50"/>
      <c r="EHC348" s="50"/>
      <c r="EHD348" s="50"/>
      <c r="EHE348" s="50"/>
      <c r="EHF348" s="50"/>
      <c r="EHG348" s="50"/>
      <c r="EHH348" s="50"/>
      <c r="EHI348" s="50"/>
      <c r="EHJ348" s="50"/>
      <c r="EHK348" s="50"/>
      <c r="EHL348" s="50"/>
      <c r="EHM348" s="50"/>
      <c r="EHN348" s="50"/>
      <c r="EHO348" s="50"/>
      <c r="EHP348" s="50"/>
      <c r="EHQ348" s="50"/>
      <c r="EHR348" s="50"/>
      <c r="EHS348" s="50"/>
      <c r="EHT348" s="50"/>
      <c r="EHU348" s="50"/>
      <c r="EHV348" s="50"/>
      <c r="EHW348" s="50"/>
      <c r="EHX348" s="50"/>
      <c r="EHY348" s="50"/>
      <c r="EHZ348" s="50"/>
      <c r="EIA348" s="50"/>
      <c r="EIB348" s="50"/>
      <c r="EIC348" s="50"/>
      <c r="EID348" s="50"/>
      <c r="EIE348" s="50"/>
      <c r="EIF348" s="50"/>
      <c r="EIG348" s="50"/>
      <c r="EIH348" s="50"/>
      <c r="EII348" s="50"/>
      <c r="EIJ348" s="50"/>
      <c r="EIK348" s="50"/>
      <c r="EIL348" s="50"/>
      <c r="EIM348" s="50"/>
      <c r="EIN348" s="50"/>
      <c r="EIO348" s="50"/>
      <c r="EIP348" s="50"/>
      <c r="EIQ348" s="50"/>
      <c r="EIR348" s="50"/>
      <c r="EIS348" s="50"/>
      <c r="EIT348" s="50"/>
      <c r="EIU348" s="50"/>
      <c r="EIV348" s="50"/>
      <c r="EIW348" s="50"/>
      <c r="EIX348" s="50"/>
      <c r="EIY348" s="50"/>
      <c r="EIZ348" s="50"/>
      <c r="EJA348" s="50"/>
      <c r="EJB348" s="50"/>
      <c r="EJC348" s="50"/>
      <c r="EJD348" s="50"/>
      <c r="EJE348" s="50"/>
      <c r="EJF348" s="50"/>
      <c r="EJG348" s="50"/>
      <c r="EJH348" s="50"/>
      <c r="EJI348" s="50"/>
      <c r="EJJ348" s="50"/>
      <c r="EJK348" s="50"/>
      <c r="EJL348" s="50"/>
      <c r="EJM348" s="50"/>
      <c r="EJN348" s="50"/>
      <c r="EJO348" s="50"/>
      <c r="EJP348" s="50"/>
      <c r="EJQ348" s="50"/>
      <c r="EJR348" s="50"/>
      <c r="EJS348" s="50"/>
      <c r="EJT348" s="50"/>
      <c r="EJU348" s="50"/>
      <c r="EJV348" s="50"/>
      <c r="EJW348" s="50"/>
      <c r="EJX348" s="50"/>
      <c r="EJY348" s="50"/>
      <c r="EJZ348" s="50"/>
      <c r="EKA348" s="50"/>
      <c r="EKB348" s="50"/>
      <c r="EKC348" s="50"/>
      <c r="EKD348" s="50"/>
      <c r="EKE348" s="50"/>
      <c r="EKF348" s="50"/>
      <c r="EKG348" s="50"/>
      <c r="EKH348" s="50"/>
      <c r="EKI348" s="50"/>
      <c r="EKJ348" s="50"/>
      <c r="EKK348" s="50"/>
      <c r="EKL348" s="50"/>
      <c r="EKM348" s="50"/>
      <c r="EKN348" s="50"/>
      <c r="EKO348" s="50"/>
      <c r="EKP348" s="50"/>
      <c r="EKQ348" s="50"/>
      <c r="EKR348" s="50"/>
      <c r="EKS348" s="50"/>
      <c r="EKT348" s="50"/>
      <c r="EKU348" s="50"/>
      <c r="EKV348" s="50"/>
      <c r="EKW348" s="50"/>
      <c r="EKX348" s="50"/>
      <c r="EKY348" s="50"/>
      <c r="EKZ348" s="50"/>
      <c r="ELA348" s="50"/>
      <c r="ELB348" s="50"/>
      <c r="ELC348" s="50"/>
      <c r="ELD348" s="50"/>
      <c r="ELE348" s="50"/>
      <c r="ELF348" s="50"/>
      <c r="ELG348" s="50"/>
      <c r="ELH348" s="50"/>
      <c r="ELI348" s="50"/>
      <c r="ELJ348" s="50"/>
      <c r="ELK348" s="50"/>
      <c r="ELL348" s="50"/>
      <c r="ELM348" s="50"/>
      <c r="ELN348" s="50"/>
      <c r="ELO348" s="50"/>
      <c r="ELP348" s="50"/>
      <c r="ELQ348" s="50"/>
      <c r="ELR348" s="50"/>
      <c r="ELS348" s="50"/>
      <c r="ELT348" s="50"/>
      <c r="ELU348" s="50"/>
      <c r="ELV348" s="50"/>
      <c r="ELW348" s="50"/>
      <c r="ELX348" s="50"/>
      <c r="ELY348" s="50"/>
      <c r="ELZ348" s="50"/>
      <c r="EMA348" s="50"/>
      <c r="EMB348" s="50"/>
      <c r="EMC348" s="50"/>
      <c r="EMD348" s="50"/>
      <c r="EME348" s="50"/>
      <c r="EMF348" s="50"/>
      <c r="EMG348" s="50"/>
      <c r="EMH348" s="50"/>
      <c r="EMI348" s="50"/>
      <c r="EMJ348" s="50"/>
      <c r="EMK348" s="50"/>
      <c r="EML348" s="50"/>
      <c r="EMM348" s="50"/>
      <c r="EMN348" s="50"/>
      <c r="EMO348" s="50"/>
      <c r="EMP348" s="50"/>
      <c r="EMQ348" s="50"/>
      <c r="EMR348" s="50"/>
      <c r="EMS348" s="50"/>
      <c r="EMT348" s="50"/>
      <c r="EMU348" s="50"/>
      <c r="EMV348" s="50"/>
      <c r="EMW348" s="50"/>
      <c r="EMX348" s="50"/>
      <c r="EMY348" s="50"/>
      <c r="EMZ348" s="50"/>
      <c r="ENA348" s="50"/>
      <c r="ENB348" s="50"/>
      <c r="ENC348" s="50"/>
      <c r="END348" s="50"/>
      <c r="ENE348" s="50"/>
      <c r="ENF348" s="50"/>
      <c r="ENG348" s="50"/>
      <c r="ENH348" s="50"/>
      <c r="ENI348" s="50"/>
      <c r="ENJ348" s="50"/>
      <c r="ENK348" s="50"/>
      <c r="ENL348" s="50"/>
      <c r="ENM348" s="50"/>
      <c r="ENN348" s="50"/>
      <c r="ENO348" s="50"/>
      <c r="ENP348" s="50"/>
      <c r="ENQ348" s="50"/>
      <c r="ENR348" s="50"/>
      <c r="ENS348" s="50"/>
      <c r="ENT348" s="50"/>
      <c r="ENU348" s="50"/>
      <c r="ENV348" s="50"/>
      <c r="ENW348" s="50"/>
      <c r="ENX348" s="50"/>
      <c r="ENY348" s="50"/>
      <c r="ENZ348" s="50"/>
      <c r="EOA348" s="50"/>
      <c r="EOB348" s="50"/>
      <c r="EOC348" s="50"/>
      <c r="EOD348" s="50"/>
      <c r="EOE348" s="50"/>
      <c r="EOF348" s="50"/>
      <c r="EOG348" s="50"/>
      <c r="EOH348" s="50"/>
      <c r="EOI348" s="50"/>
      <c r="EOJ348" s="50"/>
      <c r="EOK348" s="50"/>
      <c r="EOL348" s="50"/>
      <c r="EOM348" s="50"/>
      <c r="EON348" s="50"/>
      <c r="EOO348" s="50"/>
      <c r="EOP348" s="50"/>
      <c r="EOQ348" s="50"/>
      <c r="EOR348" s="50"/>
      <c r="EOS348" s="50"/>
      <c r="EOT348" s="50"/>
      <c r="EOU348" s="50"/>
      <c r="EOV348" s="50"/>
      <c r="EOW348" s="50"/>
      <c r="EOX348" s="50"/>
      <c r="EOY348" s="50"/>
      <c r="EOZ348" s="50"/>
      <c r="EPA348" s="50"/>
      <c r="EPB348" s="50"/>
      <c r="EPC348" s="50"/>
      <c r="EPD348" s="50"/>
      <c r="EPE348" s="50"/>
      <c r="EPF348" s="50"/>
      <c r="EPG348" s="50"/>
      <c r="EPH348" s="50"/>
      <c r="EPI348" s="50"/>
      <c r="EPJ348" s="50"/>
      <c r="EPK348" s="50"/>
      <c r="EPL348" s="50"/>
      <c r="EPM348" s="50"/>
      <c r="EPN348" s="50"/>
      <c r="EPO348" s="50"/>
      <c r="EPP348" s="50"/>
      <c r="EPQ348" s="50"/>
      <c r="EPR348" s="50"/>
      <c r="EPS348" s="50"/>
      <c r="EPT348" s="50"/>
      <c r="EPU348" s="50"/>
      <c r="EPV348" s="50"/>
      <c r="EPW348" s="50"/>
      <c r="EPX348" s="50"/>
      <c r="EPY348" s="50"/>
      <c r="EPZ348" s="50"/>
      <c r="EQA348" s="50"/>
      <c r="EQB348" s="50"/>
      <c r="EQC348" s="50"/>
      <c r="EQD348" s="50"/>
      <c r="EQE348" s="50"/>
      <c r="EQF348" s="50"/>
      <c r="EQG348" s="50"/>
      <c r="EQH348" s="50"/>
      <c r="EQI348" s="50"/>
      <c r="EQJ348" s="50"/>
      <c r="EQK348" s="50"/>
      <c r="EQL348" s="50"/>
      <c r="EQM348" s="50"/>
      <c r="EQN348" s="50"/>
      <c r="EQO348" s="50"/>
      <c r="EQP348" s="50"/>
      <c r="EQQ348" s="50"/>
      <c r="EQR348" s="50"/>
      <c r="EQS348" s="50"/>
      <c r="EQT348" s="50"/>
      <c r="EQU348" s="50"/>
      <c r="EQV348" s="50"/>
      <c r="EQW348" s="50"/>
      <c r="EQX348" s="50"/>
      <c r="EQY348" s="50"/>
      <c r="EQZ348" s="50"/>
      <c r="ERA348" s="50"/>
      <c r="ERB348" s="50"/>
      <c r="ERC348" s="50"/>
      <c r="ERD348" s="50"/>
      <c r="ERE348" s="50"/>
      <c r="ERF348" s="50"/>
      <c r="ERG348" s="50"/>
      <c r="ERH348" s="50"/>
      <c r="ERI348" s="50"/>
      <c r="ERJ348" s="50"/>
      <c r="ERK348" s="50"/>
      <c r="ERL348" s="50"/>
      <c r="ERM348" s="50"/>
      <c r="ERN348" s="50"/>
      <c r="ERO348" s="50"/>
      <c r="ERP348" s="50"/>
      <c r="ERQ348" s="50"/>
      <c r="ERR348" s="50"/>
      <c r="ERS348" s="50"/>
      <c r="ERT348" s="50"/>
      <c r="ERU348" s="50"/>
      <c r="ERV348" s="50"/>
      <c r="ERW348" s="50"/>
      <c r="ERX348" s="50"/>
      <c r="ERY348" s="50"/>
      <c r="ERZ348" s="50"/>
      <c r="ESA348" s="50"/>
      <c r="ESB348" s="50"/>
      <c r="ESC348" s="50"/>
      <c r="ESD348" s="50"/>
      <c r="ESE348" s="50"/>
      <c r="ESF348" s="50"/>
      <c r="ESG348" s="50"/>
      <c r="ESH348" s="50"/>
      <c r="ESI348" s="50"/>
      <c r="ESJ348" s="50"/>
      <c r="ESK348" s="50"/>
      <c r="ESL348" s="50"/>
      <c r="ESM348" s="50"/>
      <c r="ESN348" s="50"/>
      <c r="ESO348" s="50"/>
      <c r="ESP348" s="50"/>
      <c r="ESQ348" s="50"/>
      <c r="ESR348" s="50"/>
      <c r="ESS348" s="50"/>
      <c r="EST348" s="50"/>
      <c r="ESU348" s="50"/>
      <c r="ESV348" s="50"/>
      <c r="ESW348" s="50"/>
      <c r="ESX348" s="50"/>
      <c r="ESY348" s="50"/>
      <c r="ESZ348" s="50"/>
      <c r="ETA348" s="50"/>
      <c r="ETB348" s="50"/>
      <c r="ETC348" s="50"/>
      <c r="ETD348" s="50"/>
      <c r="ETE348" s="50"/>
      <c r="ETF348" s="50"/>
      <c r="ETG348" s="50"/>
      <c r="ETH348" s="50"/>
      <c r="ETI348" s="50"/>
      <c r="ETJ348" s="50"/>
      <c r="ETK348" s="50"/>
      <c r="ETL348" s="50"/>
      <c r="ETM348" s="50"/>
      <c r="ETN348" s="50"/>
      <c r="ETO348" s="50"/>
      <c r="ETP348" s="50"/>
      <c r="ETQ348" s="50"/>
      <c r="ETR348" s="50"/>
      <c r="ETS348" s="50"/>
      <c r="ETT348" s="50"/>
      <c r="ETU348" s="50"/>
      <c r="ETV348" s="50"/>
      <c r="ETW348" s="50"/>
      <c r="ETX348" s="50"/>
      <c r="ETY348" s="50"/>
      <c r="ETZ348" s="50"/>
      <c r="EUA348" s="50"/>
      <c r="EUB348" s="50"/>
      <c r="EUC348" s="50"/>
      <c r="EUD348" s="50"/>
      <c r="EUE348" s="50"/>
      <c r="EUF348" s="50"/>
      <c r="EUG348" s="50"/>
      <c r="EUH348" s="50"/>
      <c r="EUI348" s="50"/>
      <c r="EUJ348" s="50"/>
      <c r="EUK348" s="50"/>
      <c r="EUL348" s="50"/>
      <c r="EUM348" s="50"/>
      <c r="EUN348" s="50"/>
      <c r="EUO348" s="50"/>
      <c r="EUP348" s="50"/>
      <c r="EUQ348" s="50"/>
      <c r="EUR348" s="50"/>
      <c r="EUS348" s="50"/>
      <c r="EUT348" s="50"/>
      <c r="EUU348" s="50"/>
      <c r="EUV348" s="50"/>
      <c r="EUW348" s="50"/>
      <c r="EUX348" s="50"/>
      <c r="EUY348" s="50"/>
      <c r="EUZ348" s="50"/>
      <c r="EVA348" s="50"/>
      <c r="EVB348" s="50"/>
      <c r="EVC348" s="50"/>
      <c r="EVD348" s="50"/>
      <c r="EVE348" s="50"/>
      <c r="EVF348" s="50"/>
      <c r="EVG348" s="50"/>
      <c r="EVH348" s="50"/>
      <c r="EVI348" s="50"/>
      <c r="EVJ348" s="50"/>
      <c r="EVK348" s="50"/>
      <c r="EVL348" s="50"/>
      <c r="EVM348" s="50"/>
      <c r="EVN348" s="50"/>
      <c r="EVO348" s="50"/>
      <c r="EVP348" s="50"/>
      <c r="EVQ348" s="50"/>
      <c r="EVR348" s="50"/>
      <c r="EVS348" s="50"/>
      <c r="EVT348" s="50"/>
      <c r="EVU348" s="50"/>
      <c r="EVV348" s="50"/>
      <c r="EVW348" s="50"/>
      <c r="EVX348" s="50"/>
      <c r="EVY348" s="50"/>
      <c r="EVZ348" s="50"/>
      <c r="EWA348" s="50"/>
      <c r="EWB348" s="50"/>
      <c r="EWC348" s="50"/>
      <c r="EWD348" s="50"/>
      <c r="EWE348" s="50"/>
      <c r="EWF348" s="50"/>
      <c r="EWG348" s="50"/>
      <c r="EWH348" s="50"/>
      <c r="EWI348" s="50"/>
      <c r="EWJ348" s="50"/>
      <c r="EWK348" s="50"/>
      <c r="EWL348" s="50"/>
      <c r="EWM348" s="50"/>
      <c r="EWN348" s="50"/>
      <c r="EWO348" s="50"/>
      <c r="EWP348" s="50"/>
      <c r="EWQ348" s="50"/>
      <c r="EWR348" s="50"/>
      <c r="EWS348" s="50"/>
      <c r="EWT348" s="50"/>
      <c r="EWU348" s="50"/>
      <c r="EWV348" s="50"/>
      <c r="EWW348" s="50"/>
      <c r="EWX348" s="50"/>
      <c r="EWY348" s="50"/>
      <c r="EWZ348" s="50"/>
      <c r="EXA348" s="50"/>
      <c r="EXB348" s="50"/>
      <c r="EXC348" s="50"/>
      <c r="EXD348" s="50"/>
      <c r="EXE348" s="50"/>
      <c r="EXF348" s="50"/>
      <c r="EXG348" s="50"/>
      <c r="EXH348" s="50"/>
      <c r="EXI348" s="50"/>
      <c r="EXJ348" s="50"/>
      <c r="EXK348" s="50"/>
      <c r="EXL348" s="50"/>
      <c r="EXM348" s="50"/>
      <c r="EXN348" s="50"/>
      <c r="EXO348" s="50"/>
      <c r="EXP348" s="50"/>
      <c r="EXQ348" s="50"/>
      <c r="EXR348" s="50"/>
      <c r="EXS348" s="50"/>
      <c r="EXT348" s="50"/>
      <c r="EXU348" s="50"/>
      <c r="EXV348" s="50"/>
      <c r="EXW348" s="50"/>
      <c r="EXX348" s="50"/>
      <c r="EXY348" s="50"/>
      <c r="EXZ348" s="50"/>
      <c r="EYA348" s="50"/>
      <c r="EYB348" s="50"/>
      <c r="EYC348" s="50"/>
      <c r="EYD348" s="50"/>
      <c r="EYE348" s="50"/>
      <c r="EYF348" s="50"/>
      <c r="EYG348" s="50"/>
      <c r="EYH348" s="50"/>
      <c r="EYI348" s="50"/>
      <c r="EYJ348" s="50"/>
      <c r="EYK348" s="50"/>
      <c r="EYL348" s="50"/>
      <c r="EYM348" s="50"/>
      <c r="EYN348" s="50"/>
      <c r="EYO348" s="50"/>
      <c r="EYP348" s="50"/>
      <c r="EYQ348" s="50"/>
      <c r="EYR348" s="50"/>
      <c r="EYS348" s="50"/>
      <c r="EYT348" s="50"/>
      <c r="EYU348" s="50"/>
      <c r="EYV348" s="50"/>
      <c r="EYW348" s="50"/>
      <c r="EYX348" s="50"/>
      <c r="EYY348" s="50"/>
      <c r="EYZ348" s="50"/>
      <c r="EZA348" s="50"/>
      <c r="EZB348" s="50"/>
      <c r="EZC348" s="50"/>
      <c r="EZD348" s="50"/>
      <c r="EZE348" s="50"/>
      <c r="EZF348" s="50"/>
      <c r="EZG348" s="50"/>
      <c r="EZH348" s="50"/>
      <c r="EZI348" s="50"/>
      <c r="EZJ348" s="50"/>
      <c r="EZK348" s="50"/>
      <c r="EZL348" s="50"/>
      <c r="EZM348" s="50"/>
      <c r="EZN348" s="50"/>
      <c r="EZO348" s="50"/>
      <c r="EZP348" s="50"/>
      <c r="EZQ348" s="50"/>
      <c r="EZR348" s="50"/>
      <c r="EZS348" s="50"/>
      <c r="EZT348" s="50"/>
      <c r="EZU348" s="50"/>
      <c r="EZV348" s="50"/>
      <c r="EZW348" s="50"/>
      <c r="EZX348" s="50"/>
      <c r="EZY348" s="50"/>
      <c r="EZZ348" s="50"/>
      <c r="FAA348" s="50"/>
      <c r="FAB348" s="50"/>
      <c r="FAC348" s="50"/>
      <c r="FAD348" s="50"/>
      <c r="FAE348" s="50"/>
      <c r="FAF348" s="50"/>
      <c r="FAG348" s="50"/>
      <c r="FAH348" s="50"/>
      <c r="FAI348" s="50"/>
      <c r="FAJ348" s="50"/>
      <c r="FAK348" s="50"/>
      <c r="FAL348" s="50"/>
      <c r="FAM348" s="50"/>
      <c r="FAN348" s="50"/>
      <c r="FAO348" s="50"/>
      <c r="FAP348" s="50"/>
      <c r="FAQ348" s="50"/>
      <c r="FAR348" s="50"/>
      <c r="FAS348" s="50"/>
      <c r="FAT348" s="50"/>
      <c r="FAU348" s="50"/>
      <c r="FAV348" s="50"/>
      <c r="FAW348" s="50"/>
      <c r="FAX348" s="50"/>
      <c r="FAY348" s="50"/>
      <c r="FAZ348" s="50"/>
      <c r="FBA348" s="50"/>
      <c r="FBB348" s="50"/>
      <c r="FBC348" s="50"/>
      <c r="FBD348" s="50"/>
      <c r="FBE348" s="50"/>
      <c r="FBF348" s="50"/>
      <c r="FBG348" s="50"/>
      <c r="FBH348" s="50"/>
      <c r="FBI348" s="50"/>
      <c r="FBJ348" s="50"/>
      <c r="FBK348" s="50"/>
      <c r="FBL348" s="50"/>
      <c r="FBM348" s="50"/>
      <c r="FBN348" s="50"/>
      <c r="FBO348" s="50"/>
      <c r="FBP348" s="50"/>
      <c r="FBQ348" s="50"/>
      <c r="FBR348" s="50"/>
      <c r="FBS348" s="50"/>
      <c r="FBT348" s="50"/>
      <c r="FBU348" s="50"/>
      <c r="FBV348" s="50"/>
      <c r="FBW348" s="50"/>
      <c r="FBX348" s="50"/>
      <c r="FBY348" s="50"/>
      <c r="FBZ348" s="50"/>
      <c r="FCA348" s="50"/>
      <c r="FCB348" s="50"/>
      <c r="FCC348" s="50"/>
      <c r="FCD348" s="50"/>
      <c r="FCE348" s="50"/>
      <c r="FCF348" s="50"/>
      <c r="FCG348" s="50"/>
      <c r="FCH348" s="50"/>
      <c r="FCI348" s="50"/>
      <c r="FCJ348" s="50"/>
      <c r="FCK348" s="50"/>
      <c r="FCL348" s="50"/>
      <c r="FCM348" s="50"/>
      <c r="FCN348" s="50"/>
      <c r="FCO348" s="50"/>
      <c r="FCP348" s="50"/>
      <c r="FCQ348" s="50"/>
      <c r="FCR348" s="50"/>
      <c r="FCS348" s="50"/>
      <c r="FCT348" s="50"/>
      <c r="FCU348" s="50"/>
      <c r="FCV348" s="50"/>
      <c r="FCW348" s="50"/>
      <c r="FCX348" s="50"/>
      <c r="FCY348" s="50"/>
      <c r="FCZ348" s="50"/>
      <c r="FDA348" s="50"/>
      <c r="FDB348" s="50"/>
      <c r="FDC348" s="50"/>
      <c r="FDD348" s="50"/>
      <c r="FDE348" s="50"/>
      <c r="FDF348" s="50"/>
      <c r="FDG348" s="50"/>
      <c r="FDH348" s="50"/>
      <c r="FDI348" s="50"/>
      <c r="FDJ348" s="50"/>
      <c r="FDK348" s="50"/>
      <c r="FDL348" s="50"/>
      <c r="FDM348" s="50"/>
      <c r="FDN348" s="50"/>
      <c r="FDO348" s="50"/>
      <c r="FDP348" s="50"/>
      <c r="FDQ348" s="50"/>
      <c r="FDR348" s="50"/>
      <c r="FDS348" s="50"/>
      <c r="FDT348" s="50"/>
      <c r="FDU348" s="50"/>
      <c r="FDV348" s="50"/>
      <c r="FDW348" s="50"/>
      <c r="FDX348" s="50"/>
      <c r="FDY348" s="50"/>
      <c r="FDZ348" s="50"/>
      <c r="FEA348" s="50"/>
      <c r="FEB348" s="50"/>
      <c r="FEC348" s="50"/>
      <c r="FED348" s="50"/>
      <c r="FEE348" s="50"/>
      <c r="FEF348" s="50"/>
      <c r="FEG348" s="50"/>
      <c r="FEH348" s="50"/>
      <c r="FEI348" s="50"/>
      <c r="FEJ348" s="50"/>
      <c r="FEK348" s="50"/>
      <c r="FEL348" s="50"/>
      <c r="FEM348" s="50"/>
      <c r="FEN348" s="50"/>
      <c r="FEO348" s="50"/>
      <c r="FEP348" s="50"/>
      <c r="FEQ348" s="50"/>
      <c r="FER348" s="50"/>
      <c r="FES348" s="50"/>
      <c r="FET348" s="50"/>
      <c r="FEU348" s="50"/>
      <c r="FEV348" s="50"/>
      <c r="FEW348" s="50"/>
      <c r="FEX348" s="50"/>
      <c r="FEY348" s="50"/>
      <c r="FEZ348" s="50"/>
      <c r="FFA348" s="50"/>
      <c r="FFB348" s="50"/>
      <c r="FFC348" s="50"/>
      <c r="FFD348" s="50"/>
      <c r="FFE348" s="50"/>
      <c r="FFF348" s="50"/>
      <c r="FFG348" s="50"/>
      <c r="FFH348" s="50"/>
      <c r="FFI348" s="50"/>
      <c r="FFJ348" s="50"/>
      <c r="FFK348" s="50"/>
      <c r="FFL348" s="50"/>
      <c r="FFM348" s="50"/>
      <c r="FFN348" s="50"/>
      <c r="FFO348" s="50"/>
      <c r="FFP348" s="50"/>
      <c r="FFQ348" s="50"/>
      <c r="FFR348" s="50"/>
      <c r="FFS348" s="50"/>
      <c r="FFT348" s="50"/>
      <c r="FFU348" s="50"/>
      <c r="FFV348" s="50"/>
      <c r="FFW348" s="50"/>
      <c r="FFX348" s="50"/>
      <c r="FFY348" s="50"/>
      <c r="FFZ348" s="50"/>
      <c r="FGA348" s="50"/>
      <c r="FGB348" s="50"/>
      <c r="FGC348" s="50"/>
      <c r="FGD348" s="50"/>
      <c r="FGE348" s="50"/>
      <c r="FGF348" s="50"/>
      <c r="FGG348" s="50"/>
      <c r="FGH348" s="50"/>
      <c r="FGI348" s="50"/>
      <c r="FGJ348" s="50"/>
      <c r="FGK348" s="50"/>
      <c r="FGL348" s="50"/>
      <c r="FGM348" s="50"/>
      <c r="FGN348" s="50"/>
      <c r="FGO348" s="50"/>
      <c r="FGP348" s="50"/>
      <c r="FGQ348" s="50"/>
      <c r="FGR348" s="50"/>
      <c r="FGS348" s="50"/>
      <c r="FGT348" s="50"/>
      <c r="FGU348" s="50"/>
      <c r="FGV348" s="50"/>
      <c r="FGW348" s="50"/>
      <c r="FGX348" s="50"/>
      <c r="FGY348" s="50"/>
      <c r="FGZ348" s="50"/>
      <c r="FHA348" s="50"/>
      <c r="FHB348" s="50"/>
      <c r="FHC348" s="50"/>
      <c r="FHD348" s="50"/>
      <c r="FHE348" s="50"/>
      <c r="FHF348" s="50"/>
      <c r="FHG348" s="50"/>
      <c r="FHH348" s="50"/>
      <c r="FHI348" s="50"/>
      <c r="FHJ348" s="50"/>
      <c r="FHK348" s="50"/>
      <c r="FHL348" s="50"/>
      <c r="FHM348" s="50"/>
      <c r="FHN348" s="50"/>
      <c r="FHO348" s="50"/>
      <c r="FHP348" s="50"/>
      <c r="FHQ348" s="50"/>
      <c r="FHR348" s="50"/>
      <c r="FHS348" s="50"/>
      <c r="FHT348" s="50"/>
      <c r="FHU348" s="50"/>
      <c r="FHV348" s="50"/>
      <c r="FHW348" s="50"/>
      <c r="FHX348" s="50"/>
      <c r="FHY348" s="50"/>
      <c r="FHZ348" s="50"/>
      <c r="FIA348" s="50"/>
      <c r="FIB348" s="50"/>
      <c r="FIC348" s="50"/>
      <c r="FID348" s="50"/>
      <c r="FIE348" s="50"/>
      <c r="FIF348" s="50"/>
      <c r="FIG348" s="50"/>
      <c r="FIH348" s="50"/>
      <c r="FII348" s="50"/>
      <c r="FIJ348" s="50"/>
      <c r="FIK348" s="50"/>
      <c r="FIL348" s="50"/>
      <c r="FIM348" s="50"/>
      <c r="FIN348" s="50"/>
      <c r="FIO348" s="50"/>
      <c r="FIP348" s="50"/>
      <c r="FIQ348" s="50"/>
      <c r="FIR348" s="50"/>
      <c r="FIS348" s="50"/>
      <c r="FIT348" s="50"/>
      <c r="FIU348" s="50"/>
      <c r="FIV348" s="50"/>
      <c r="FIW348" s="50"/>
      <c r="FIX348" s="50"/>
      <c r="FIY348" s="50"/>
      <c r="FIZ348" s="50"/>
      <c r="FJA348" s="50"/>
      <c r="FJB348" s="50"/>
      <c r="FJC348" s="50"/>
      <c r="FJD348" s="50"/>
      <c r="FJE348" s="50"/>
      <c r="FJF348" s="50"/>
      <c r="FJG348" s="50"/>
      <c r="FJH348" s="50"/>
      <c r="FJI348" s="50"/>
      <c r="FJJ348" s="50"/>
      <c r="FJK348" s="50"/>
      <c r="FJL348" s="50"/>
      <c r="FJM348" s="50"/>
      <c r="FJN348" s="50"/>
      <c r="FJO348" s="50"/>
      <c r="FJP348" s="50"/>
      <c r="FJQ348" s="50"/>
      <c r="FJR348" s="50"/>
      <c r="FJS348" s="50"/>
      <c r="FJT348" s="50"/>
      <c r="FJU348" s="50"/>
      <c r="FJV348" s="50"/>
      <c r="FJW348" s="50"/>
      <c r="FJX348" s="50"/>
      <c r="FJY348" s="50"/>
      <c r="FJZ348" s="50"/>
      <c r="FKA348" s="50"/>
      <c r="FKB348" s="50"/>
      <c r="FKC348" s="50"/>
      <c r="FKD348" s="50"/>
      <c r="FKE348" s="50"/>
      <c r="FKF348" s="50"/>
      <c r="FKG348" s="50"/>
      <c r="FKH348" s="50"/>
      <c r="FKI348" s="50"/>
      <c r="FKJ348" s="50"/>
      <c r="FKK348" s="50"/>
      <c r="FKL348" s="50"/>
      <c r="FKM348" s="50"/>
      <c r="FKN348" s="50"/>
      <c r="FKO348" s="50"/>
      <c r="FKP348" s="50"/>
      <c r="FKQ348" s="50"/>
      <c r="FKR348" s="50"/>
      <c r="FKS348" s="50"/>
      <c r="FKT348" s="50"/>
      <c r="FKU348" s="50"/>
      <c r="FKV348" s="50"/>
      <c r="FKW348" s="50"/>
      <c r="FKX348" s="50"/>
      <c r="FKY348" s="50"/>
      <c r="FKZ348" s="50"/>
      <c r="FLA348" s="50"/>
      <c r="FLB348" s="50"/>
      <c r="FLC348" s="50"/>
      <c r="FLD348" s="50"/>
      <c r="FLE348" s="50"/>
      <c r="FLF348" s="50"/>
      <c r="FLG348" s="50"/>
      <c r="FLH348" s="50"/>
      <c r="FLI348" s="50"/>
      <c r="FLJ348" s="50"/>
      <c r="FLK348" s="50"/>
      <c r="FLL348" s="50"/>
      <c r="FLM348" s="50"/>
      <c r="FLN348" s="50"/>
      <c r="FLO348" s="50"/>
      <c r="FLP348" s="50"/>
      <c r="FLQ348" s="50"/>
      <c r="FLR348" s="50"/>
      <c r="FLS348" s="50"/>
      <c r="FLT348" s="50"/>
      <c r="FLU348" s="50"/>
      <c r="FLV348" s="50"/>
      <c r="FLW348" s="50"/>
      <c r="FLX348" s="50"/>
      <c r="FLY348" s="50"/>
      <c r="FLZ348" s="50"/>
      <c r="FMA348" s="50"/>
      <c r="FMB348" s="50"/>
      <c r="FMC348" s="50"/>
      <c r="FMD348" s="50"/>
      <c r="FME348" s="50"/>
      <c r="FMF348" s="50"/>
      <c r="FMG348" s="50"/>
      <c r="FMH348" s="50"/>
      <c r="FMI348" s="50"/>
      <c r="FMJ348" s="50"/>
      <c r="FMK348" s="50"/>
      <c r="FML348" s="50"/>
      <c r="FMM348" s="50"/>
      <c r="FMN348" s="50"/>
      <c r="FMO348" s="50"/>
      <c r="FMP348" s="50"/>
      <c r="FMQ348" s="50"/>
      <c r="FMR348" s="50"/>
      <c r="FMS348" s="50"/>
      <c r="FMT348" s="50"/>
      <c r="FMU348" s="50"/>
      <c r="FMV348" s="50"/>
      <c r="FMW348" s="50"/>
      <c r="FMX348" s="50"/>
      <c r="FMY348" s="50"/>
      <c r="FMZ348" s="50"/>
      <c r="FNA348" s="50"/>
      <c r="FNB348" s="50"/>
      <c r="FNC348" s="50"/>
      <c r="FND348" s="50"/>
      <c r="FNE348" s="50"/>
      <c r="FNF348" s="50"/>
      <c r="FNG348" s="50"/>
      <c r="FNH348" s="50"/>
      <c r="FNI348" s="50"/>
      <c r="FNJ348" s="50"/>
      <c r="FNK348" s="50"/>
      <c r="FNL348" s="50"/>
      <c r="FNM348" s="50"/>
      <c r="FNN348" s="50"/>
      <c r="FNO348" s="50"/>
      <c r="FNP348" s="50"/>
      <c r="FNQ348" s="50"/>
      <c r="FNR348" s="50"/>
      <c r="FNS348" s="50"/>
      <c r="FNT348" s="50"/>
      <c r="FNU348" s="50"/>
      <c r="FNV348" s="50"/>
      <c r="FNW348" s="50"/>
      <c r="FNX348" s="50"/>
      <c r="FNY348" s="50"/>
      <c r="FNZ348" s="50"/>
      <c r="FOA348" s="50"/>
      <c r="FOB348" s="50"/>
      <c r="FOC348" s="50"/>
      <c r="FOD348" s="50"/>
      <c r="FOE348" s="50"/>
      <c r="FOF348" s="50"/>
      <c r="FOG348" s="50"/>
      <c r="FOH348" s="50"/>
      <c r="FOI348" s="50"/>
      <c r="FOJ348" s="50"/>
      <c r="FOK348" s="50"/>
      <c r="FOL348" s="50"/>
      <c r="FOM348" s="50"/>
      <c r="FON348" s="50"/>
      <c r="FOO348" s="50"/>
      <c r="FOP348" s="50"/>
      <c r="FOQ348" s="50"/>
      <c r="FOR348" s="50"/>
      <c r="FOS348" s="50"/>
      <c r="FOT348" s="50"/>
      <c r="FOU348" s="50"/>
      <c r="FOV348" s="50"/>
      <c r="FOW348" s="50"/>
      <c r="FOX348" s="50"/>
      <c r="FOY348" s="50"/>
      <c r="FOZ348" s="50"/>
      <c r="FPA348" s="50"/>
      <c r="FPB348" s="50"/>
      <c r="FPC348" s="50"/>
      <c r="FPD348" s="50"/>
      <c r="FPE348" s="50"/>
      <c r="FPF348" s="50"/>
      <c r="FPG348" s="50"/>
      <c r="FPH348" s="50"/>
      <c r="FPI348" s="50"/>
      <c r="FPJ348" s="50"/>
      <c r="FPK348" s="50"/>
      <c r="FPL348" s="50"/>
      <c r="FPM348" s="50"/>
      <c r="FPN348" s="50"/>
      <c r="FPO348" s="50"/>
      <c r="FPP348" s="50"/>
      <c r="FPQ348" s="50"/>
      <c r="FPR348" s="50"/>
      <c r="FPS348" s="50"/>
      <c r="FPT348" s="50"/>
      <c r="FPU348" s="50"/>
      <c r="FPV348" s="50"/>
      <c r="FPW348" s="50"/>
      <c r="FPX348" s="50"/>
      <c r="FPY348" s="50"/>
      <c r="FPZ348" s="50"/>
      <c r="FQA348" s="50"/>
      <c r="FQB348" s="50"/>
      <c r="FQC348" s="50"/>
      <c r="FQD348" s="50"/>
      <c r="FQE348" s="50"/>
      <c r="FQF348" s="50"/>
      <c r="FQG348" s="50"/>
      <c r="FQH348" s="50"/>
      <c r="FQI348" s="50"/>
      <c r="FQJ348" s="50"/>
      <c r="FQK348" s="50"/>
      <c r="FQL348" s="50"/>
      <c r="FQM348" s="50"/>
      <c r="FQN348" s="50"/>
      <c r="FQO348" s="50"/>
      <c r="FQP348" s="50"/>
      <c r="FQQ348" s="50"/>
      <c r="FQR348" s="50"/>
      <c r="FQS348" s="50"/>
      <c r="FQT348" s="50"/>
      <c r="FQU348" s="50"/>
      <c r="FQV348" s="50"/>
      <c r="FQW348" s="50"/>
      <c r="FQX348" s="50"/>
      <c r="FQY348" s="50"/>
      <c r="FQZ348" s="50"/>
      <c r="FRA348" s="50"/>
      <c r="FRB348" s="50"/>
      <c r="FRC348" s="50"/>
      <c r="FRD348" s="50"/>
      <c r="FRE348" s="50"/>
      <c r="FRF348" s="50"/>
      <c r="FRG348" s="50"/>
      <c r="FRH348" s="50"/>
      <c r="FRI348" s="50"/>
      <c r="FRJ348" s="50"/>
      <c r="FRK348" s="50"/>
      <c r="FRL348" s="50"/>
      <c r="FRM348" s="50"/>
      <c r="FRN348" s="50"/>
      <c r="FRO348" s="50"/>
      <c r="FRP348" s="50"/>
      <c r="FRQ348" s="50"/>
      <c r="FRR348" s="50"/>
      <c r="FRS348" s="50"/>
      <c r="FRT348" s="50"/>
      <c r="FRU348" s="50"/>
      <c r="FRV348" s="50"/>
      <c r="FRW348" s="50"/>
      <c r="FRX348" s="50"/>
      <c r="FRY348" s="50"/>
      <c r="FRZ348" s="50"/>
      <c r="FSA348" s="50"/>
      <c r="FSB348" s="50"/>
      <c r="FSC348" s="50"/>
      <c r="FSD348" s="50"/>
      <c r="FSE348" s="50"/>
      <c r="FSF348" s="50"/>
      <c r="FSG348" s="50"/>
      <c r="FSH348" s="50"/>
      <c r="FSI348" s="50"/>
      <c r="FSJ348" s="50"/>
      <c r="FSK348" s="50"/>
      <c r="FSL348" s="50"/>
      <c r="FSM348" s="50"/>
      <c r="FSN348" s="50"/>
      <c r="FSO348" s="50"/>
      <c r="FSP348" s="50"/>
      <c r="FSQ348" s="50"/>
      <c r="FSR348" s="50"/>
      <c r="FSS348" s="50"/>
      <c r="FST348" s="50"/>
      <c r="FSU348" s="50"/>
      <c r="FSV348" s="50"/>
      <c r="FSW348" s="50"/>
      <c r="FSX348" s="50"/>
      <c r="FSY348" s="50"/>
      <c r="FSZ348" s="50"/>
      <c r="FTA348" s="50"/>
      <c r="FTB348" s="50"/>
      <c r="FTC348" s="50"/>
      <c r="FTD348" s="50"/>
      <c r="FTE348" s="50"/>
      <c r="FTF348" s="50"/>
      <c r="FTG348" s="50"/>
      <c r="FTH348" s="50"/>
      <c r="FTI348" s="50"/>
      <c r="FTJ348" s="50"/>
      <c r="FTK348" s="50"/>
      <c r="FTL348" s="50"/>
      <c r="FTM348" s="50"/>
      <c r="FTN348" s="50"/>
      <c r="FTO348" s="50"/>
      <c r="FTP348" s="50"/>
      <c r="FTQ348" s="50"/>
      <c r="FTR348" s="50"/>
      <c r="FTS348" s="50"/>
      <c r="FTT348" s="50"/>
      <c r="FTU348" s="50"/>
      <c r="FTV348" s="50"/>
      <c r="FTW348" s="50"/>
      <c r="FTX348" s="50"/>
      <c r="FTY348" s="50"/>
      <c r="FTZ348" s="50"/>
      <c r="FUA348" s="50"/>
      <c r="FUB348" s="50"/>
      <c r="FUC348" s="50"/>
      <c r="FUD348" s="50"/>
      <c r="FUE348" s="50"/>
      <c r="FUF348" s="50"/>
      <c r="FUG348" s="50"/>
      <c r="FUH348" s="50"/>
      <c r="FUI348" s="50"/>
      <c r="FUJ348" s="50"/>
      <c r="FUK348" s="50"/>
      <c r="FUL348" s="50"/>
      <c r="FUM348" s="50"/>
      <c r="FUN348" s="50"/>
      <c r="FUO348" s="50"/>
      <c r="FUP348" s="50"/>
      <c r="FUQ348" s="50"/>
      <c r="FUR348" s="50"/>
      <c r="FUS348" s="50"/>
      <c r="FUT348" s="50"/>
      <c r="FUU348" s="50"/>
      <c r="FUV348" s="50"/>
      <c r="FUW348" s="50"/>
      <c r="FUX348" s="50"/>
      <c r="FUY348" s="50"/>
      <c r="FUZ348" s="50"/>
      <c r="FVA348" s="50"/>
      <c r="FVB348" s="50"/>
      <c r="FVC348" s="50"/>
      <c r="FVD348" s="50"/>
      <c r="FVE348" s="50"/>
      <c r="FVF348" s="50"/>
      <c r="FVG348" s="50"/>
      <c r="FVH348" s="50"/>
      <c r="FVI348" s="50"/>
      <c r="FVJ348" s="50"/>
      <c r="FVK348" s="50"/>
      <c r="FVL348" s="50"/>
      <c r="FVM348" s="50"/>
      <c r="FVN348" s="50"/>
      <c r="FVO348" s="50"/>
      <c r="FVP348" s="50"/>
      <c r="FVQ348" s="50"/>
      <c r="FVR348" s="50"/>
      <c r="FVS348" s="50"/>
      <c r="FVT348" s="50"/>
      <c r="FVU348" s="50"/>
      <c r="FVV348" s="50"/>
      <c r="FVW348" s="50"/>
      <c r="FVX348" s="50"/>
      <c r="FVY348" s="50"/>
      <c r="FVZ348" s="50"/>
      <c r="FWA348" s="50"/>
      <c r="FWB348" s="50"/>
      <c r="FWC348" s="50"/>
      <c r="FWD348" s="50"/>
      <c r="FWE348" s="50"/>
      <c r="FWF348" s="50"/>
      <c r="FWG348" s="50"/>
      <c r="FWH348" s="50"/>
      <c r="FWI348" s="50"/>
      <c r="FWJ348" s="50"/>
      <c r="FWK348" s="50"/>
      <c r="FWL348" s="50"/>
      <c r="FWM348" s="50"/>
      <c r="FWN348" s="50"/>
      <c r="FWO348" s="50"/>
      <c r="FWP348" s="50"/>
      <c r="FWQ348" s="50"/>
      <c r="FWR348" s="50"/>
      <c r="FWS348" s="50"/>
      <c r="FWT348" s="50"/>
      <c r="FWU348" s="50"/>
      <c r="FWV348" s="50"/>
      <c r="FWW348" s="50"/>
      <c r="FWX348" s="50"/>
      <c r="FWY348" s="50"/>
      <c r="FWZ348" s="50"/>
      <c r="FXA348" s="50"/>
      <c r="FXB348" s="50"/>
      <c r="FXC348" s="50"/>
      <c r="FXD348" s="50"/>
      <c r="FXE348" s="50"/>
      <c r="FXF348" s="50"/>
      <c r="FXG348" s="50"/>
      <c r="FXH348" s="50"/>
      <c r="FXI348" s="50"/>
      <c r="FXJ348" s="50"/>
      <c r="FXK348" s="50"/>
      <c r="FXL348" s="50"/>
      <c r="FXM348" s="50"/>
      <c r="FXN348" s="50"/>
      <c r="FXO348" s="50"/>
      <c r="FXP348" s="50"/>
      <c r="FXQ348" s="50"/>
      <c r="FXR348" s="50"/>
      <c r="FXS348" s="50"/>
      <c r="FXT348" s="50"/>
      <c r="FXU348" s="50"/>
      <c r="FXV348" s="50"/>
      <c r="FXW348" s="50"/>
      <c r="FXX348" s="50"/>
      <c r="FXY348" s="50"/>
      <c r="FXZ348" s="50"/>
      <c r="FYA348" s="50"/>
      <c r="FYB348" s="50"/>
      <c r="FYC348" s="50"/>
      <c r="FYD348" s="50"/>
      <c r="FYE348" s="50"/>
      <c r="FYF348" s="50"/>
      <c r="FYG348" s="50"/>
      <c r="FYH348" s="50"/>
      <c r="FYI348" s="50"/>
      <c r="FYJ348" s="50"/>
      <c r="FYK348" s="50"/>
      <c r="FYL348" s="50"/>
      <c r="FYM348" s="50"/>
      <c r="FYN348" s="50"/>
      <c r="FYO348" s="50"/>
      <c r="FYP348" s="50"/>
      <c r="FYQ348" s="50"/>
      <c r="FYR348" s="50"/>
      <c r="FYS348" s="50"/>
      <c r="FYT348" s="50"/>
      <c r="FYU348" s="50"/>
      <c r="FYV348" s="50"/>
      <c r="FYW348" s="50"/>
      <c r="FYX348" s="50"/>
      <c r="FYY348" s="50"/>
      <c r="FYZ348" s="50"/>
      <c r="FZA348" s="50"/>
      <c r="FZB348" s="50"/>
      <c r="FZC348" s="50"/>
      <c r="FZD348" s="50"/>
      <c r="FZE348" s="50"/>
      <c r="FZF348" s="50"/>
      <c r="FZG348" s="50"/>
      <c r="FZH348" s="50"/>
      <c r="FZI348" s="50"/>
      <c r="FZJ348" s="50"/>
      <c r="FZK348" s="50"/>
      <c r="FZL348" s="50"/>
      <c r="FZM348" s="50"/>
      <c r="FZN348" s="50"/>
      <c r="FZO348" s="50"/>
      <c r="FZP348" s="50"/>
      <c r="FZQ348" s="50"/>
      <c r="FZR348" s="50"/>
      <c r="FZS348" s="50"/>
      <c r="FZT348" s="50"/>
      <c r="FZU348" s="50"/>
      <c r="FZV348" s="50"/>
      <c r="FZW348" s="50"/>
      <c r="FZX348" s="50"/>
      <c r="FZY348" s="50"/>
      <c r="FZZ348" s="50"/>
      <c r="GAA348" s="50"/>
      <c r="GAB348" s="50"/>
      <c r="GAC348" s="50"/>
      <c r="GAD348" s="50"/>
      <c r="GAE348" s="50"/>
      <c r="GAF348" s="50"/>
      <c r="GAG348" s="50"/>
      <c r="GAH348" s="50"/>
      <c r="GAI348" s="50"/>
      <c r="GAJ348" s="50"/>
      <c r="GAK348" s="50"/>
      <c r="GAL348" s="50"/>
      <c r="GAM348" s="50"/>
      <c r="GAN348" s="50"/>
      <c r="GAO348" s="50"/>
      <c r="GAP348" s="50"/>
      <c r="GAQ348" s="50"/>
      <c r="GAR348" s="50"/>
      <c r="GAS348" s="50"/>
      <c r="GAT348" s="50"/>
      <c r="GAU348" s="50"/>
      <c r="GAV348" s="50"/>
      <c r="GAW348" s="50"/>
      <c r="GAX348" s="50"/>
      <c r="GAY348" s="50"/>
      <c r="GAZ348" s="50"/>
      <c r="GBA348" s="50"/>
      <c r="GBB348" s="50"/>
      <c r="GBC348" s="50"/>
      <c r="GBD348" s="50"/>
      <c r="GBE348" s="50"/>
      <c r="GBF348" s="50"/>
      <c r="GBG348" s="50"/>
      <c r="GBH348" s="50"/>
      <c r="GBI348" s="50"/>
      <c r="GBJ348" s="50"/>
      <c r="GBK348" s="50"/>
      <c r="GBL348" s="50"/>
      <c r="GBM348" s="50"/>
      <c r="GBN348" s="50"/>
      <c r="GBO348" s="50"/>
      <c r="GBP348" s="50"/>
      <c r="GBQ348" s="50"/>
      <c r="GBR348" s="50"/>
      <c r="GBS348" s="50"/>
      <c r="GBT348" s="50"/>
      <c r="GBU348" s="50"/>
      <c r="GBV348" s="50"/>
      <c r="GBW348" s="50"/>
      <c r="GBX348" s="50"/>
      <c r="GBY348" s="50"/>
      <c r="GBZ348" s="50"/>
      <c r="GCA348" s="50"/>
      <c r="GCB348" s="50"/>
      <c r="GCC348" s="50"/>
      <c r="GCD348" s="50"/>
      <c r="GCE348" s="50"/>
      <c r="GCF348" s="50"/>
      <c r="GCG348" s="50"/>
      <c r="GCH348" s="50"/>
      <c r="GCI348" s="50"/>
      <c r="GCJ348" s="50"/>
      <c r="GCK348" s="50"/>
      <c r="GCL348" s="50"/>
      <c r="GCM348" s="50"/>
      <c r="GCN348" s="50"/>
      <c r="GCO348" s="50"/>
      <c r="GCP348" s="50"/>
      <c r="GCQ348" s="50"/>
      <c r="GCR348" s="50"/>
      <c r="GCS348" s="50"/>
      <c r="GCT348" s="50"/>
      <c r="GCU348" s="50"/>
      <c r="GCV348" s="50"/>
      <c r="GCW348" s="50"/>
      <c r="GCX348" s="50"/>
      <c r="GCY348" s="50"/>
      <c r="GCZ348" s="50"/>
      <c r="GDA348" s="50"/>
      <c r="GDB348" s="50"/>
      <c r="GDC348" s="50"/>
      <c r="GDD348" s="50"/>
      <c r="GDE348" s="50"/>
      <c r="GDF348" s="50"/>
      <c r="GDG348" s="50"/>
      <c r="GDH348" s="50"/>
      <c r="GDI348" s="50"/>
      <c r="GDJ348" s="50"/>
      <c r="GDK348" s="50"/>
      <c r="GDL348" s="50"/>
      <c r="GDM348" s="50"/>
      <c r="GDN348" s="50"/>
      <c r="GDO348" s="50"/>
      <c r="GDP348" s="50"/>
      <c r="GDQ348" s="50"/>
      <c r="GDR348" s="50"/>
      <c r="GDS348" s="50"/>
      <c r="GDT348" s="50"/>
      <c r="GDU348" s="50"/>
      <c r="GDV348" s="50"/>
      <c r="GDW348" s="50"/>
      <c r="GDX348" s="50"/>
      <c r="GDY348" s="50"/>
      <c r="GDZ348" s="50"/>
      <c r="GEA348" s="50"/>
      <c r="GEB348" s="50"/>
      <c r="GEC348" s="50"/>
      <c r="GED348" s="50"/>
      <c r="GEE348" s="50"/>
      <c r="GEF348" s="50"/>
      <c r="GEG348" s="50"/>
      <c r="GEH348" s="50"/>
      <c r="GEI348" s="50"/>
      <c r="GEJ348" s="50"/>
      <c r="GEK348" s="50"/>
      <c r="GEL348" s="50"/>
      <c r="GEM348" s="50"/>
      <c r="GEN348" s="50"/>
      <c r="GEO348" s="50"/>
      <c r="GEP348" s="50"/>
      <c r="GEQ348" s="50"/>
      <c r="GER348" s="50"/>
      <c r="GES348" s="50"/>
      <c r="GET348" s="50"/>
      <c r="GEU348" s="50"/>
      <c r="GEV348" s="50"/>
      <c r="GEW348" s="50"/>
      <c r="GEX348" s="50"/>
      <c r="GEY348" s="50"/>
      <c r="GEZ348" s="50"/>
      <c r="GFA348" s="50"/>
      <c r="GFB348" s="50"/>
      <c r="GFC348" s="50"/>
      <c r="GFD348" s="50"/>
      <c r="GFE348" s="50"/>
      <c r="GFF348" s="50"/>
      <c r="GFG348" s="50"/>
      <c r="GFH348" s="50"/>
      <c r="GFI348" s="50"/>
      <c r="GFJ348" s="50"/>
      <c r="GFK348" s="50"/>
      <c r="GFL348" s="50"/>
      <c r="GFM348" s="50"/>
      <c r="GFN348" s="50"/>
      <c r="GFO348" s="50"/>
      <c r="GFP348" s="50"/>
      <c r="GFQ348" s="50"/>
      <c r="GFR348" s="50"/>
      <c r="GFS348" s="50"/>
      <c r="GFT348" s="50"/>
      <c r="GFU348" s="50"/>
      <c r="GFV348" s="50"/>
      <c r="GFW348" s="50"/>
      <c r="GFX348" s="50"/>
      <c r="GFY348" s="50"/>
      <c r="GFZ348" s="50"/>
      <c r="GGA348" s="50"/>
      <c r="GGB348" s="50"/>
      <c r="GGC348" s="50"/>
      <c r="GGD348" s="50"/>
      <c r="GGE348" s="50"/>
      <c r="GGF348" s="50"/>
      <c r="GGG348" s="50"/>
      <c r="GGH348" s="50"/>
      <c r="GGI348" s="50"/>
      <c r="GGJ348" s="50"/>
      <c r="GGK348" s="50"/>
      <c r="GGL348" s="50"/>
      <c r="GGM348" s="50"/>
      <c r="GGN348" s="50"/>
      <c r="GGO348" s="50"/>
      <c r="GGP348" s="50"/>
      <c r="GGQ348" s="50"/>
      <c r="GGR348" s="50"/>
      <c r="GGS348" s="50"/>
      <c r="GGT348" s="50"/>
      <c r="GGU348" s="50"/>
      <c r="GGV348" s="50"/>
      <c r="GGW348" s="50"/>
      <c r="GGX348" s="50"/>
      <c r="GGY348" s="50"/>
      <c r="GGZ348" s="50"/>
      <c r="GHA348" s="50"/>
      <c r="GHB348" s="50"/>
      <c r="GHC348" s="50"/>
      <c r="GHD348" s="50"/>
      <c r="GHE348" s="50"/>
      <c r="GHF348" s="50"/>
      <c r="GHG348" s="50"/>
      <c r="GHH348" s="50"/>
      <c r="GHI348" s="50"/>
      <c r="GHJ348" s="50"/>
      <c r="GHK348" s="50"/>
      <c r="GHL348" s="50"/>
      <c r="GHM348" s="50"/>
      <c r="GHN348" s="50"/>
      <c r="GHO348" s="50"/>
      <c r="GHP348" s="50"/>
      <c r="GHQ348" s="50"/>
      <c r="GHR348" s="50"/>
      <c r="GHS348" s="50"/>
      <c r="GHT348" s="50"/>
      <c r="GHU348" s="50"/>
      <c r="GHV348" s="50"/>
      <c r="GHW348" s="50"/>
      <c r="GHX348" s="50"/>
      <c r="GHY348" s="50"/>
      <c r="GHZ348" s="50"/>
      <c r="GIA348" s="50"/>
      <c r="GIB348" s="50"/>
      <c r="GIC348" s="50"/>
      <c r="GID348" s="50"/>
      <c r="GIE348" s="50"/>
      <c r="GIF348" s="50"/>
      <c r="GIG348" s="50"/>
      <c r="GIH348" s="50"/>
      <c r="GII348" s="50"/>
      <c r="GIJ348" s="50"/>
      <c r="GIK348" s="50"/>
      <c r="GIL348" s="50"/>
      <c r="GIM348" s="50"/>
      <c r="GIN348" s="50"/>
      <c r="GIO348" s="50"/>
      <c r="GIP348" s="50"/>
      <c r="GIQ348" s="50"/>
      <c r="GIR348" s="50"/>
      <c r="GIS348" s="50"/>
      <c r="GIT348" s="50"/>
      <c r="GIU348" s="50"/>
      <c r="GIV348" s="50"/>
      <c r="GIW348" s="50"/>
      <c r="GIX348" s="50"/>
      <c r="GIY348" s="50"/>
      <c r="GIZ348" s="50"/>
      <c r="GJA348" s="50"/>
      <c r="GJB348" s="50"/>
      <c r="GJC348" s="50"/>
      <c r="GJD348" s="50"/>
      <c r="GJE348" s="50"/>
      <c r="GJF348" s="50"/>
      <c r="GJG348" s="50"/>
      <c r="GJH348" s="50"/>
      <c r="GJI348" s="50"/>
      <c r="GJJ348" s="50"/>
      <c r="GJK348" s="50"/>
      <c r="GJL348" s="50"/>
      <c r="GJM348" s="50"/>
      <c r="GJN348" s="50"/>
      <c r="GJO348" s="50"/>
      <c r="GJP348" s="50"/>
      <c r="GJQ348" s="50"/>
      <c r="GJR348" s="50"/>
      <c r="GJS348" s="50"/>
      <c r="GJT348" s="50"/>
      <c r="GJU348" s="50"/>
      <c r="GJV348" s="50"/>
      <c r="GJW348" s="50"/>
      <c r="GJX348" s="50"/>
      <c r="GJY348" s="50"/>
      <c r="GJZ348" s="50"/>
      <c r="GKA348" s="50"/>
      <c r="GKB348" s="50"/>
      <c r="GKC348" s="50"/>
      <c r="GKD348" s="50"/>
      <c r="GKE348" s="50"/>
      <c r="GKF348" s="50"/>
      <c r="GKG348" s="50"/>
      <c r="GKH348" s="50"/>
      <c r="GKI348" s="50"/>
      <c r="GKJ348" s="50"/>
      <c r="GKK348" s="50"/>
      <c r="GKL348" s="50"/>
      <c r="GKM348" s="50"/>
      <c r="GKN348" s="50"/>
      <c r="GKO348" s="50"/>
      <c r="GKP348" s="50"/>
      <c r="GKQ348" s="50"/>
      <c r="GKR348" s="50"/>
      <c r="GKS348" s="50"/>
      <c r="GKT348" s="50"/>
      <c r="GKU348" s="50"/>
      <c r="GKV348" s="50"/>
      <c r="GKW348" s="50"/>
      <c r="GKX348" s="50"/>
      <c r="GKY348" s="50"/>
      <c r="GKZ348" s="50"/>
      <c r="GLA348" s="50"/>
      <c r="GLB348" s="50"/>
      <c r="GLC348" s="50"/>
      <c r="GLD348" s="50"/>
      <c r="GLE348" s="50"/>
      <c r="GLF348" s="50"/>
      <c r="GLG348" s="50"/>
      <c r="GLH348" s="50"/>
      <c r="GLI348" s="50"/>
      <c r="GLJ348" s="50"/>
      <c r="GLK348" s="50"/>
      <c r="GLL348" s="50"/>
      <c r="GLM348" s="50"/>
      <c r="GLN348" s="50"/>
      <c r="GLO348" s="50"/>
      <c r="GLP348" s="50"/>
      <c r="GLQ348" s="50"/>
      <c r="GLR348" s="50"/>
      <c r="GLS348" s="50"/>
      <c r="GLT348" s="50"/>
      <c r="GLU348" s="50"/>
      <c r="GLV348" s="50"/>
      <c r="GLW348" s="50"/>
      <c r="GLX348" s="50"/>
      <c r="GLY348" s="50"/>
      <c r="GLZ348" s="50"/>
      <c r="GMA348" s="50"/>
      <c r="GMB348" s="50"/>
      <c r="GMC348" s="50"/>
      <c r="GMD348" s="50"/>
      <c r="GME348" s="50"/>
      <c r="GMF348" s="50"/>
      <c r="GMG348" s="50"/>
      <c r="GMH348" s="50"/>
      <c r="GMI348" s="50"/>
      <c r="GMJ348" s="50"/>
      <c r="GMK348" s="50"/>
      <c r="GML348" s="50"/>
      <c r="GMM348" s="50"/>
      <c r="GMN348" s="50"/>
      <c r="GMO348" s="50"/>
      <c r="GMP348" s="50"/>
      <c r="GMQ348" s="50"/>
      <c r="GMR348" s="50"/>
      <c r="GMS348" s="50"/>
      <c r="GMT348" s="50"/>
      <c r="GMU348" s="50"/>
      <c r="GMV348" s="50"/>
      <c r="GMW348" s="50"/>
      <c r="GMX348" s="50"/>
      <c r="GMY348" s="50"/>
      <c r="GMZ348" s="50"/>
      <c r="GNA348" s="50"/>
      <c r="GNB348" s="50"/>
      <c r="GNC348" s="50"/>
      <c r="GND348" s="50"/>
      <c r="GNE348" s="50"/>
      <c r="GNF348" s="50"/>
      <c r="GNG348" s="50"/>
      <c r="GNH348" s="50"/>
      <c r="GNI348" s="50"/>
      <c r="GNJ348" s="50"/>
      <c r="GNK348" s="50"/>
      <c r="GNL348" s="50"/>
      <c r="GNM348" s="50"/>
      <c r="GNN348" s="50"/>
      <c r="GNO348" s="50"/>
      <c r="GNP348" s="50"/>
      <c r="GNQ348" s="50"/>
      <c r="GNR348" s="50"/>
      <c r="GNS348" s="50"/>
      <c r="GNT348" s="50"/>
      <c r="GNU348" s="50"/>
      <c r="GNV348" s="50"/>
      <c r="GNW348" s="50"/>
      <c r="GNX348" s="50"/>
      <c r="GNY348" s="50"/>
      <c r="GNZ348" s="50"/>
      <c r="GOA348" s="50"/>
      <c r="GOB348" s="50"/>
      <c r="GOC348" s="50"/>
      <c r="GOD348" s="50"/>
      <c r="GOE348" s="50"/>
      <c r="GOF348" s="50"/>
      <c r="GOG348" s="50"/>
      <c r="GOH348" s="50"/>
      <c r="GOI348" s="50"/>
      <c r="GOJ348" s="50"/>
      <c r="GOK348" s="50"/>
      <c r="GOL348" s="50"/>
      <c r="GOM348" s="50"/>
      <c r="GON348" s="50"/>
      <c r="GOO348" s="50"/>
      <c r="GOP348" s="50"/>
      <c r="GOQ348" s="50"/>
      <c r="GOR348" s="50"/>
      <c r="GOS348" s="50"/>
      <c r="GOT348" s="50"/>
      <c r="GOU348" s="50"/>
      <c r="GOV348" s="50"/>
      <c r="GOW348" s="50"/>
      <c r="GOX348" s="50"/>
      <c r="GOY348" s="50"/>
      <c r="GOZ348" s="50"/>
      <c r="GPA348" s="50"/>
      <c r="GPB348" s="50"/>
      <c r="GPC348" s="50"/>
      <c r="GPD348" s="50"/>
      <c r="GPE348" s="50"/>
      <c r="GPF348" s="50"/>
      <c r="GPG348" s="50"/>
      <c r="GPH348" s="50"/>
      <c r="GPI348" s="50"/>
      <c r="GPJ348" s="50"/>
      <c r="GPK348" s="50"/>
      <c r="GPL348" s="50"/>
      <c r="GPM348" s="50"/>
      <c r="GPN348" s="50"/>
      <c r="GPO348" s="50"/>
      <c r="GPP348" s="50"/>
      <c r="GPQ348" s="50"/>
      <c r="GPR348" s="50"/>
      <c r="GPS348" s="50"/>
      <c r="GPT348" s="50"/>
      <c r="GPU348" s="50"/>
      <c r="GPV348" s="50"/>
      <c r="GPW348" s="50"/>
      <c r="GPX348" s="50"/>
      <c r="GPY348" s="50"/>
      <c r="GPZ348" s="50"/>
      <c r="GQA348" s="50"/>
      <c r="GQB348" s="50"/>
      <c r="GQC348" s="50"/>
      <c r="GQD348" s="50"/>
      <c r="GQE348" s="50"/>
      <c r="GQF348" s="50"/>
      <c r="GQG348" s="50"/>
      <c r="GQH348" s="50"/>
      <c r="GQI348" s="50"/>
      <c r="GQJ348" s="50"/>
      <c r="GQK348" s="50"/>
      <c r="GQL348" s="50"/>
      <c r="GQM348" s="50"/>
      <c r="GQN348" s="50"/>
      <c r="GQO348" s="50"/>
      <c r="GQP348" s="50"/>
      <c r="GQQ348" s="50"/>
      <c r="GQR348" s="50"/>
      <c r="GQS348" s="50"/>
      <c r="GQT348" s="50"/>
      <c r="GQU348" s="50"/>
      <c r="GQV348" s="50"/>
      <c r="GQW348" s="50"/>
      <c r="GQX348" s="50"/>
      <c r="GQY348" s="50"/>
      <c r="GQZ348" s="50"/>
      <c r="GRA348" s="50"/>
      <c r="GRB348" s="50"/>
      <c r="GRC348" s="50"/>
      <c r="GRD348" s="50"/>
      <c r="GRE348" s="50"/>
      <c r="GRF348" s="50"/>
      <c r="GRG348" s="50"/>
      <c r="GRH348" s="50"/>
      <c r="GRI348" s="50"/>
      <c r="GRJ348" s="50"/>
      <c r="GRK348" s="50"/>
      <c r="GRL348" s="50"/>
      <c r="GRM348" s="50"/>
      <c r="GRN348" s="50"/>
      <c r="GRO348" s="50"/>
      <c r="GRP348" s="50"/>
      <c r="GRQ348" s="50"/>
      <c r="GRR348" s="50"/>
      <c r="GRS348" s="50"/>
      <c r="GRT348" s="50"/>
      <c r="GRU348" s="50"/>
      <c r="GRV348" s="50"/>
      <c r="GRW348" s="50"/>
      <c r="GRX348" s="50"/>
      <c r="GRY348" s="50"/>
      <c r="GRZ348" s="50"/>
      <c r="GSA348" s="50"/>
      <c r="GSB348" s="50"/>
      <c r="GSC348" s="50"/>
      <c r="GSD348" s="50"/>
      <c r="GSE348" s="50"/>
      <c r="GSF348" s="50"/>
      <c r="GSG348" s="50"/>
      <c r="GSH348" s="50"/>
      <c r="GSI348" s="50"/>
      <c r="GSJ348" s="50"/>
      <c r="GSK348" s="50"/>
      <c r="GSL348" s="50"/>
      <c r="GSM348" s="50"/>
      <c r="GSN348" s="50"/>
      <c r="GSO348" s="50"/>
      <c r="GSP348" s="50"/>
      <c r="GSQ348" s="50"/>
      <c r="GSR348" s="50"/>
      <c r="GSS348" s="50"/>
      <c r="GST348" s="50"/>
      <c r="GSU348" s="50"/>
      <c r="GSV348" s="50"/>
      <c r="GSW348" s="50"/>
      <c r="GSX348" s="50"/>
      <c r="GSY348" s="50"/>
      <c r="GSZ348" s="50"/>
      <c r="GTA348" s="50"/>
      <c r="GTB348" s="50"/>
      <c r="GTC348" s="50"/>
      <c r="GTD348" s="50"/>
      <c r="GTE348" s="50"/>
      <c r="GTF348" s="50"/>
      <c r="GTG348" s="50"/>
      <c r="GTH348" s="50"/>
      <c r="GTI348" s="50"/>
      <c r="GTJ348" s="50"/>
      <c r="GTK348" s="50"/>
      <c r="GTL348" s="50"/>
      <c r="GTM348" s="50"/>
      <c r="GTN348" s="50"/>
      <c r="GTO348" s="50"/>
      <c r="GTP348" s="50"/>
      <c r="GTQ348" s="50"/>
      <c r="GTR348" s="50"/>
      <c r="GTS348" s="50"/>
      <c r="GTT348" s="50"/>
      <c r="GTU348" s="50"/>
      <c r="GTV348" s="50"/>
      <c r="GTW348" s="50"/>
      <c r="GTX348" s="50"/>
      <c r="GTY348" s="50"/>
      <c r="GTZ348" s="50"/>
      <c r="GUA348" s="50"/>
      <c r="GUB348" s="50"/>
      <c r="GUC348" s="50"/>
      <c r="GUD348" s="50"/>
      <c r="GUE348" s="50"/>
      <c r="GUF348" s="50"/>
      <c r="GUG348" s="50"/>
      <c r="GUH348" s="50"/>
      <c r="GUI348" s="50"/>
      <c r="GUJ348" s="50"/>
      <c r="GUK348" s="50"/>
      <c r="GUL348" s="50"/>
      <c r="GUM348" s="50"/>
      <c r="GUN348" s="50"/>
      <c r="GUO348" s="50"/>
      <c r="GUP348" s="50"/>
      <c r="GUQ348" s="50"/>
      <c r="GUR348" s="50"/>
      <c r="GUS348" s="50"/>
      <c r="GUT348" s="50"/>
      <c r="GUU348" s="50"/>
      <c r="GUV348" s="50"/>
      <c r="GUW348" s="50"/>
      <c r="GUX348" s="50"/>
      <c r="GUY348" s="50"/>
      <c r="GUZ348" s="50"/>
      <c r="GVA348" s="50"/>
      <c r="GVB348" s="50"/>
      <c r="GVC348" s="50"/>
      <c r="GVD348" s="50"/>
      <c r="GVE348" s="50"/>
      <c r="GVF348" s="50"/>
      <c r="GVG348" s="50"/>
      <c r="GVH348" s="50"/>
      <c r="GVI348" s="50"/>
      <c r="GVJ348" s="50"/>
      <c r="GVK348" s="50"/>
      <c r="GVL348" s="50"/>
      <c r="GVM348" s="50"/>
      <c r="GVN348" s="50"/>
      <c r="GVO348" s="50"/>
      <c r="GVP348" s="50"/>
      <c r="GVQ348" s="50"/>
      <c r="GVR348" s="50"/>
      <c r="GVS348" s="50"/>
      <c r="GVT348" s="50"/>
      <c r="GVU348" s="50"/>
      <c r="GVV348" s="50"/>
      <c r="GVW348" s="50"/>
      <c r="GVX348" s="50"/>
      <c r="GVY348" s="50"/>
      <c r="GVZ348" s="50"/>
      <c r="GWA348" s="50"/>
      <c r="GWB348" s="50"/>
      <c r="GWC348" s="50"/>
      <c r="GWD348" s="50"/>
      <c r="GWE348" s="50"/>
      <c r="GWF348" s="50"/>
      <c r="GWG348" s="50"/>
      <c r="GWH348" s="50"/>
      <c r="GWI348" s="50"/>
      <c r="GWJ348" s="50"/>
      <c r="GWK348" s="50"/>
      <c r="GWL348" s="50"/>
      <c r="GWM348" s="50"/>
      <c r="GWN348" s="50"/>
      <c r="GWO348" s="50"/>
      <c r="GWP348" s="50"/>
      <c r="GWQ348" s="50"/>
      <c r="GWR348" s="50"/>
      <c r="GWS348" s="50"/>
      <c r="GWT348" s="50"/>
      <c r="GWU348" s="50"/>
      <c r="GWV348" s="50"/>
      <c r="GWW348" s="50"/>
      <c r="GWX348" s="50"/>
      <c r="GWY348" s="50"/>
      <c r="GWZ348" s="50"/>
      <c r="GXA348" s="50"/>
      <c r="GXB348" s="50"/>
      <c r="GXC348" s="50"/>
      <c r="GXD348" s="50"/>
      <c r="GXE348" s="50"/>
      <c r="GXF348" s="50"/>
      <c r="GXG348" s="50"/>
      <c r="GXH348" s="50"/>
      <c r="GXI348" s="50"/>
      <c r="GXJ348" s="50"/>
      <c r="GXK348" s="50"/>
      <c r="GXL348" s="50"/>
      <c r="GXM348" s="50"/>
      <c r="GXN348" s="50"/>
      <c r="GXO348" s="50"/>
      <c r="GXP348" s="50"/>
      <c r="GXQ348" s="50"/>
      <c r="GXR348" s="50"/>
      <c r="GXS348" s="50"/>
      <c r="GXT348" s="50"/>
      <c r="GXU348" s="50"/>
      <c r="GXV348" s="50"/>
      <c r="GXW348" s="50"/>
      <c r="GXX348" s="50"/>
      <c r="GXY348" s="50"/>
      <c r="GXZ348" s="50"/>
      <c r="GYA348" s="50"/>
      <c r="GYB348" s="50"/>
      <c r="GYC348" s="50"/>
      <c r="GYD348" s="50"/>
      <c r="GYE348" s="50"/>
      <c r="GYF348" s="50"/>
      <c r="GYG348" s="50"/>
      <c r="GYH348" s="50"/>
      <c r="GYI348" s="50"/>
      <c r="GYJ348" s="50"/>
      <c r="GYK348" s="50"/>
      <c r="GYL348" s="50"/>
      <c r="GYM348" s="50"/>
      <c r="GYN348" s="50"/>
      <c r="GYO348" s="50"/>
      <c r="GYP348" s="50"/>
      <c r="GYQ348" s="50"/>
      <c r="GYR348" s="50"/>
      <c r="GYS348" s="50"/>
      <c r="GYT348" s="50"/>
      <c r="GYU348" s="50"/>
      <c r="GYV348" s="50"/>
      <c r="GYW348" s="50"/>
      <c r="GYX348" s="50"/>
      <c r="GYY348" s="50"/>
      <c r="GYZ348" s="50"/>
      <c r="GZA348" s="50"/>
      <c r="GZB348" s="50"/>
      <c r="GZC348" s="50"/>
      <c r="GZD348" s="50"/>
      <c r="GZE348" s="50"/>
      <c r="GZF348" s="50"/>
      <c r="GZG348" s="50"/>
      <c r="GZH348" s="50"/>
      <c r="GZI348" s="50"/>
      <c r="GZJ348" s="50"/>
      <c r="GZK348" s="50"/>
      <c r="GZL348" s="50"/>
      <c r="GZM348" s="50"/>
      <c r="GZN348" s="50"/>
      <c r="GZO348" s="50"/>
      <c r="GZP348" s="50"/>
      <c r="GZQ348" s="50"/>
      <c r="GZR348" s="50"/>
      <c r="GZS348" s="50"/>
      <c r="GZT348" s="50"/>
      <c r="GZU348" s="50"/>
      <c r="GZV348" s="50"/>
      <c r="GZW348" s="50"/>
      <c r="GZX348" s="50"/>
      <c r="GZY348" s="50"/>
      <c r="GZZ348" s="50"/>
      <c r="HAA348" s="50"/>
      <c r="HAB348" s="50"/>
      <c r="HAC348" s="50"/>
      <c r="HAD348" s="50"/>
      <c r="HAE348" s="50"/>
      <c r="HAF348" s="50"/>
      <c r="HAG348" s="50"/>
      <c r="HAH348" s="50"/>
      <c r="HAI348" s="50"/>
      <c r="HAJ348" s="50"/>
      <c r="HAK348" s="50"/>
      <c r="HAL348" s="50"/>
      <c r="HAM348" s="50"/>
      <c r="HAN348" s="50"/>
      <c r="HAO348" s="50"/>
      <c r="HAP348" s="50"/>
      <c r="HAQ348" s="50"/>
      <c r="HAR348" s="50"/>
      <c r="HAS348" s="50"/>
      <c r="HAT348" s="50"/>
      <c r="HAU348" s="50"/>
      <c r="HAV348" s="50"/>
      <c r="HAW348" s="50"/>
      <c r="HAX348" s="50"/>
      <c r="HAY348" s="50"/>
      <c r="HAZ348" s="50"/>
      <c r="HBA348" s="50"/>
      <c r="HBB348" s="50"/>
      <c r="HBC348" s="50"/>
      <c r="HBD348" s="50"/>
      <c r="HBE348" s="50"/>
      <c r="HBF348" s="50"/>
      <c r="HBG348" s="50"/>
      <c r="HBH348" s="50"/>
      <c r="HBI348" s="50"/>
      <c r="HBJ348" s="50"/>
      <c r="HBK348" s="50"/>
      <c r="HBL348" s="50"/>
      <c r="HBM348" s="50"/>
      <c r="HBN348" s="50"/>
      <c r="HBO348" s="50"/>
      <c r="HBP348" s="50"/>
      <c r="HBQ348" s="50"/>
      <c r="HBR348" s="50"/>
      <c r="HBS348" s="50"/>
      <c r="HBT348" s="50"/>
      <c r="HBU348" s="50"/>
      <c r="HBV348" s="50"/>
      <c r="HBW348" s="50"/>
      <c r="HBX348" s="50"/>
      <c r="HBY348" s="50"/>
      <c r="HBZ348" s="50"/>
      <c r="HCA348" s="50"/>
      <c r="HCB348" s="50"/>
      <c r="HCC348" s="50"/>
      <c r="HCD348" s="50"/>
      <c r="HCE348" s="50"/>
      <c r="HCF348" s="50"/>
      <c r="HCG348" s="50"/>
      <c r="HCH348" s="50"/>
      <c r="HCI348" s="50"/>
      <c r="HCJ348" s="50"/>
      <c r="HCK348" s="50"/>
      <c r="HCL348" s="50"/>
      <c r="HCM348" s="50"/>
      <c r="HCN348" s="50"/>
      <c r="HCO348" s="50"/>
      <c r="HCP348" s="50"/>
      <c r="HCQ348" s="50"/>
      <c r="HCR348" s="50"/>
      <c r="HCS348" s="50"/>
      <c r="HCT348" s="50"/>
      <c r="HCU348" s="50"/>
      <c r="HCV348" s="50"/>
      <c r="HCW348" s="50"/>
      <c r="HCX348" s="50"/>
      <c r="HCY348" s="50"/>
      <c r="HCZ348" s="50"/>
      <c r="HDA348" s="50"/>
      <c r="HDB348" s="50"/>
      <c r="HDC348" s="50"/>
      <c r="HDD348" s="50"/>
      <c r="HDE348" s="50"/>
      <c r="HDF348" s="50"/>
      <c r="HDG348" s="50"/>
      <c r="HDH348" s="50"/>
      <c r="HDI348" s="50"/>
      <c r="HDJ348" s="50"/>
      <c r="HDK348" s="50"/>
      <c r="HDL348" s="50"/>
      <c r="HDM348" s="50"/>
      <c r="HDN348" s="50"/>
      <c r="HDO348" s="50"/>
      <c r="HDP348" s="50"/>
      <c r="HDQ348" s="50"/>
      <c r="HDR348" s="50"/>
      <c r="HDS348" s="50"/>
      <c r="HDT348" s="50"/>
      <c r="HDU348" s="50"/>
      <c r="HDV348" s="50"/>
      <c r="HDW348" s="50"/>
      <c r="HDX348" s="50"/>
      <c r="HDY348" s="50"/>
      <c r="HDZ348" s="50"/>
      <c r="HEA348" s="50"/>
      <c r="HEB348" s="50"/>
      <c r="HEC348" s="50"/>
      <c r="HED348" s="50"/>
      <c r="HEE348" s="50"/>
      <c r="HEF348" s="50"/>
      <c r="HEG348" s="50"/>
      <c r="HEH348" s="50"/>
      <c r="HEI348" s="50"/>
      <c r="HEJ348" s="50"/>
      <c r="HEK348" s="50"/>
      <c r="HEL348" s="50"/>
      <c r="HEM348" s="50"/>
      <c r="HEN348" s="50"/>
      <c r="HEO348" s="50"/>
      <c r="HEP348" s="50"/>
      <c r="HEQ348" s="50"/>
      <c r="HER348" s="50"/>
      <c r="HES348" s="50"/>
      <c r="HET348" s="50"/>
      <c r="HEU348" s="50"/>
      <c r="HEV348" s="50"/>
      <c r="HEW348" s="50"/>
      <c r="HEX348" s="50"/>
      <c r="HEY348" s="50"/>
      <c r="HEZ348" s="50"/>
      <c r="HFA348" s="50"/>
      <c r="HFB348" s="50"/>
      <c r="HFC348" s="50"/>
      <c r="HFD348" s="50"/>
      <c r="HFE348" s="50"/>
      <c r="HFF348" s="50"/>
      <c r="HFG348" s="50"/>
      <c r="HFH348" s="50"/>
      <c r="HFI348" s="50"/>
      <c r="HFJ348" s="50"/>
      <c r="HFK348" s="50"/>
      <c r="HFL348" s="50"/>
      <c r="HFM348" s="50"/>
      <c r="HFN348" s="50"/>
      <c r="HFO348" s="50"/>
      <c r="HFP348" s="50"/>
      <c r="HFQ348" s="50"/>
      <c r="HFR348" s="50"/>
      <c r="HFS348" s="50"/>
      <c r="HFT348" s="50"/>
      <c r="HFU348" s="50"/>
      <c r="HFV348" s="50"/>
      <c r="HFW348" s="50"/>
      <c r="HFX348" s="50"/>
      <c r="HFY348" s="50"/>
      <c r="HFZ348" s="50"/>
      <c r="HGA348" s="50"/>
      <c r="HGB348" s="50"/>
      <c r="HGC348" s="50"/>
      <c r="HGD348" s="50"/>
      <c r="HGE348" s="50"/>
      <c r="HGF348" s="50"/>
      <c r="HGG348" s="50"/>
      <c r="HGH348" s="50"/>
      <c r="HGI348" s="50"/>
      <c r="HGJ348" s="50"/>
      <c r="HGK348" s="50"/>
      <c r="HGL348" s="50"/>
      <c r="HGM348" s="50"/>
      <c r="HGN348" s="50"/>
      <c r="HGO348" s="50"/>
      <c r="HGP348" s="50"/>
      <c r="HGQ348" s="50"/>
      <c r="HGR348" s="50"/>
      <c r="HGS348" s="50"/>
      <c r="HGT348" s="50"/>
      <c r="HGU348" s="50"/>
      <c r="HGV348" s="50"/>
      <c r="HGW348" s="50"/>
      <c r="HGX348" s="50"/>
      <c r="HGY348" s="50"/>
      <c r="HGZ348" s="50"/>
      <c r="HHA348" s="50"/>
      <c r="HHB348" s="50"/>
      <c r="HHC348" s="50"/>
      <c r="HHD348" s="50"/>
      <c r="HHE348" s="50"/>
      <c r="HHF348" s="50"/>
      <c r="HHG348" s="50"/>
      <c r="HHH348" s="50"/>
      <c r="HHI348" s="50"/>
      <c r="HHJ348" s="50"/>
      <c r="HHK348" s="50"/>
      <c r="HHL348" s="50"/>
      <c r="HHM348" s="50"/>
      <c r="HHN348" s="50"/>
      <c r="HHO348" s="50"/>
      <c r="HHP348" s="50"/>
      <c r="HHQ348" s="50"/>
      <c r="HHR348" s="50"/>
      <c r="HHS348" s="50"/>
      <c r="HHT348" s="50"/>
      <c r="HHU348" s="50"/>
      <c r="HHV348" s="50"/>
      <c r="HHW348" s="50"/>
      <c r="HHX348" s="50"/>
      <c r="HHY348" s="50"/>
      <c r="HHZ348" s="50"/>
      <c r="HIA348" s="50"/>
      <c r="HIB348" s="50"/>
      <c r="HIC348" s="50"/>
      <c r="HID348" s="50"/>
      <c r="HIE348" s="50"/>
      <c r="HIF348" s="50"/>
      <c r="HIG348" s="50"/>
      <c r="HIH348" s="50"/>
      <c r="HII348" s="50"/>
      <c r="HIJ348" s="50"/>
      <c r="HIK348" s="50"/>
      <c r="HIL348" s="50"/>
      <c r="HIM348" s="50"/>
      <c r="HIN348" s="50"/>
      <c r="HIO348" s="50"/>
      <c r="HIP348" s="50"/>
      <c r="HIQ348" s="50"/>
      <c r="HIR348" s="50"/>
      <c r="HIS348" s="50"/>
      <c r="HIT348" s="50"/>
      <c r="HIU348" s="50"/>
      <c r="HIV348" s="50"/>
      <c r="HIW348" s="50"/>
      <c r="HIX348" s="50"/>
      <c r="HIY348" s="50"/>
      <c r="HIZ348" s="50"/>
      <c r="HJA348" s="50"/>
      <c r="HJB348" s="50"/>
      <c r="HJC348" s="50"/>
      <c r="HJD348" s="50"/>
      <c r="HJE348" s="50"/>
      <c r="HJF348" s="50"/>
      <c r="HJG348" s="50"/>
      <c r="HJH348" s="50"/>
      <c r="HJI348" s="50"/>
      <c r="HJJ348" s="50"/>
      <c r="HJK348" s="50"/>
      <c r="HJL348" s="50"/>
      <c r="HJM348" s="50"/>
      <c r="HJN348" s="50"/>
      <c r="HJO348" s="50"/>
      <c r="HJP348" s="50"/>
      <c r="HJQ348" s="50"/>
      <c r="HJR348" s="50"/>
      <c r="HJS348" s="50"/>
      <c r="HJT348" s="50"/>
      <c r="HJU348" s="50"/>
      <c r="HJV348" s="50"/>
      <c r="HJW348" s="50"/>
      <c r="HJX348" s="50"/>
      <c r="HJY348" s="50"/>
      <c r="HJZ348" s="50"/>
      <c r="HKA348" s="50"/>
      <c r="HKB348" s="50"/>
      <c r="HKC348" s="50"/>
      <c r="HKD348" s="50"/>
      <c r="HKE348" s="50"/>
      <c r="HKF348" s="50"/>
      <c r="HKG348" s="50"/>
      <c r="HKH348" s="50"/>
      <c r="HKI348" s="50"/>
      <c r="HKJ348" s="50"/>
      <c r="HKK348" s="50"/>
      <c r="HKL348" s="50"/>
      <c r="HKM348" s="50"/>
      <c r="HKN348" s="50"/>
      <c r="HKO348" s="50"/>
      <c r="HKP348" s="50"/>
      <c r="HKQ348" s="50"/>
      <c r="HKR348" s="50"/>
      <c r="HKS348" s="50"/>
      <c r="HKT348" s="50"/>
      <c r="HKU348" s="50"/>
      <c r="HKV348" s="50"/>
      <c r="HKW348" s="50"/>
      <c r="HKX348" s="50"/>
      <c r="HKY348" s="50"/>
      <c r="HKZ348" s="50"/>
      <c r="HLA348" s="50"/>
      <c r="HLB348" s="50"/>
      <c r="HLC348" s="50"/>
      <c r="HLD348" s="50"/>
      <c r="HLE348" s="50"/>
      <c r="HLF348" s="50"/>
      <c r="HLG348" s="50"/>
      <c r="HLH348" s="50"/>
      <c r="HLI348" s="50"/>
      <c r="HLJ348" s="50"/>
      <c r="HLK348" s="50"/>
      <c r="HLL348" s="50"/>
      <c r="HLM348" s="50"/>
      <c r="HLN348" s="50"/>
      <c r="HLO348" s="50"/>
      <c r="HLP348" s="50"/>
      <c r="HLQ348" s="50"/>
      <c r="HLR348" s="50"/>
      <c r="HLS348" s="50"/>
      <c r="HLT348" s="50"/>
      <c r="HLU348" s="50"/>
      <c r="HLV348" s="50"/>
      <c r="HLW348" s="50"/>
      <c r="HLX348" s="50"/>
      <c r="HLY348" s="50"/>
      <c r="HLZ348" s="50"/>
      <c r="HMA348" s="50"/>
      <c r="HMB348" s="50"/>
      <c r="HMC348" s="50"/>
      <c r="HMD348" s="50"/>
      <c r="HME348" s="50"/>
      <c r="HMF348" s="50"/>
      <c r="HMG348" s="50"/>
      <c r="HMH348" s="50"/>
      <c r="HMI348" s="50"/>
      <c r="HMJ348" s="50"/>
      <c r="HMK348" s="50"/>
      <c r="HML348" s="50"/>
      <c r="HMM348" s="50"/>
      <c r="HMN348" s="50"/>
      <c r="HMO348" s="50"/>
      <c r="HMP348" s="50"/>
      <c r="HMQ348" s="50"/>
      <c r="HMR348" s="50"/>
      <c r="HMS348" s="50"/>
      <c r="HMT348" s="50"/>
      <c r="HMU348" s="50"/>
      <c r="HMV348" s="50"/>
      <c r="HMW348" s="50"/>
      <c r="HMX348" s="50"/>
      <c r="HMY348" s="50"/>
      <c r="HMZ348" s="50"/>
      <c r="HNA348" s="50"/>
      <c r="HNB348" s="50"/>
      <c r="HNC348" s="50"/>
      <c r="HND348" s="50"/>
      <c r="HNE348" s="50"/>
      <c r="HNF348" s="50"/>
      <c r="HNG348" s="50"/>
      <c r="HNH348" s="50"/>
      <c r="HNI348" s="50"/>
      <c r="HNJ348" s="50"/>
      <c r="HNK348" s="50"/>
      <c r="HNL348" s="50"/>
      <c r="HNM348" s="50"/>
      <c r="HNN348" s="50"/>
      <c r="HNO348" s="50"/>
      <c r="HNP348" s="50"/>
      <c r="HNQ348" s="50"/>
      <c r="HNR348" s="50"/>
      <c r="HNS348" s="50"/>
      <c r="HNT348" s="50"/>
      <c r="HNU348" s="50"/>
      <c r="HNV348" s="50"/>
      <c r="HNW348" s="50"/>
      <c r="HNX348" s="50"/>
      <c r="HNY348" s="50"/>
      <c r="HNZ348" s="50"/>
      <c r="HOA348" s="50"/>
      <c r="HOB348" s="50"/>
      <c r="HOC348" s="50"/>
      <c r="HOD348" s="50"/>
      <c r="HOE348" s="50"/>
      <c r="HOF348" s="50"/>
      <c r="HOG348" s="50"/>
      <c r="HOH348" s="50"/>
      <c r="HOI348" s="50"/>
      <c r="HOJ348" s="50"/>
      <c r="HOK348" s="50"/>
      <c r="HOL348" s="50"/>
      <c r="HOM348" s="50"/>
      <c r="HON348" s="50"/>
      <c r="HOO348" s="50"/>
      <c r="HOP348" s="50"/>
      <c r="HOQ348" s="50"/>
      <c r="HOR348" s="50"/>
      <c r="HOS348" s="50"/>
      <c r="HOT348" s="50"/>
      <c r="HOU348" s="50"/>
      <c r="HOV348" s="50"/>
      <c r="HOW348" s="50"/>
      <c r="HOX348" s="50"/>
      <c r="HOY348" s="50"/>
      <c r="HOZ348" s="50"/>
      <c r="HPA348" s="50"/>
      <c r="HPB348" s="50"/>
      <c r="HPC348" s="50"/>
      <c r="HPD348" s="50"/>
      <c r="HPE348" s="50"/>
      <c r="HPF348" s="50"/>
      <c r="HPG348" s="50"/>
      <c r="HPH348" s="50"/>
      <c r="HPI348" s="50"/>
      <c r="HPJ348" s="50"/>
      <c r="HPK348" s="50"/>
      <c r="HPL348" s="50"/>
      <c r="HPM348" s="50"/>
      <c r="HPN348" s="50"/>
      <c r="HPO348" s="50"/>
      <c r="HPP348" s="50"/>
      <c r="HPQ348" s="50"/>
      <c r="HPR348" s="50"/>
      <c r="HPS348" s="50"/>
      <c r="HPT348" s="50"/>
      <c r="HPU348" s="50"/>
      <c r="HPV348" s="50"/>
      <c r="HPW348" s="50"/>
      <c r="HPX348" s="50"/>
      <c r="HPY348" s="50"/>
      <c r="HPZ348" s="50"/>
      <c r="HQA348" s="50"/>
      <c r="HQB348" s="50"/>
      <c r="HQC348" s="50"/>
      <c r="HQD348" s="50"/>
      <c r="HQE348" s="50"/>
      <c r="HQF348" s="50"/>
      <c r="HQG348" s="50"/>
      <c r="HQH348" s="50"/>
      <c r="HQI348" s="50"/>
      <c r="HQJ348" s="50"/>
      <c r="HQK348" s="50"/>
      <c r="HQL348" s="50"/>
      <c r="HQM348" s="50"/>
      <c r="HQN348" s="50"/>
      <c r="HQO348" s="50"/>
      <c r="HQP348" s="50"/>
      <c r="HQQ348" s="50"/>
      <c r="HQR348" s="50"/>
      <c r="HQS348" s="50"/>
      <c r="HQT348" s="50"/>
      <c r="HQU348" s="50"/>
      <c r="HQV348" s="50"/>
      <c r="HQW348" s="50"/>
      <c r="HQX348" s="50"/>
      <c r="HQY348" s="50"/>
      <c r="HQZ348" s="50"/>
      <c r="HRA348" s="50"/>
      <c r="HRB348" s="50"/>
      <c r="HRC348" s="50"/>
      <c r="HRD348" s="50"/>
      <c r="HRE348" s="50"/>
      <c r="HRF348" s="50"/>
      <c r="HRG348" s="50"/>
      <c r="HRH348" s="50"/>
      <c r="HRI348" s="50"/>
      <c r="HRJ348" s="50"/>
      <c r="HRK348" s="50"/>
      <c r="HRL348" s="50"/>
      <c r="HRM348" s="50"/>
      <c r="HRN348" s="50"/>
      <c r="HRO348" s="50"/>
      <c r="HRP348" s="50"/>
      <c r="HRQ348" s="50"/>
      <c r="HRR348" s="50"/>
      <c r="HRS348" s="50"/>
      <c r="HRT348" s="50"/>
      <c r="HRU348" s="50"/>
      <c r="HRV348" s="50"/>
      <c r="HRW348" s="50"/>
      <c r="HRX348" s="50"/>
      <c r="HRY348" s="50"/>
      <c r="HRZ348" s="50"/>
      <c r="HSA348" s="50"/>
      <c r="HSB348" s="50"/>
      <c r="HSC348" s="50"/>
      <c r="HSD348" s="50"/>
      <c r="HSE348" s="50"/>
      <c r="HSF348" s="50"/>
      <c r="HSG348" s="50"/>
      <c r="HSH348" s="50"/>
      <c r="HSI348" s="50"/>
      <c r="HSJ348" s="50"/>
      <c r="HSK348" s="50"/>
      <c r="HSL348" s="50"/>
      <c r="HSM348" s="50"/>
      <c r="HSN348" s="50"/>
      <c r="HSO348" s="50"/>
      <c r="HSP348" s="50"/>
      <c r="HSQ348" s="50"/>
      <c r="HSR348" s="50"/>
      <c r="HSS348" s="50"/>
      <c r="HST348" s="50"/>
      <c r="HSU348" s="50"/>
      <c r="HSV348" s="50"/>
      <c r="HSW348" s="50"/>
      <c r="HSX348" s="50"/>
      <c r="HSY348" s="50"/>
      <c r="HSZ348" s="50"/>
      <c r="HTA348" s="50"/>
      <c r="HTB348" s="50"/>
      <c r="HTC348" s="50"/>
      <c r="HTD348" s="50"/>
      <c r="HTE348" s="50"/>
      <c r="HTF348" s="50"/>
      <c r="HTG348" s="50"/>
      <c r="HTH348" s="50"/>
      <c r="HTI348" s="50"/>
      <c r="HTJ348" s="50"/>
      <c r="HTK348" s="50"/>
      <c r="HTL348" s="50"/>
      <c r="HTM348" s="50"/>
      <c r="HTN348" s="50"/>
      <c r="HTO348" s="50"/>
      <c r="HTP348" s="50"/>
      <c r="HTQ348" s="50"/>
      <c r="HTR348" s="50"/>
      <c r="HTS348" s="50"/>
      <c r="HTT348" s="50"/>
      <c r="HTU348" s="50"/>
      <c r="HTV348" s="50"/>
      <c r="HTW348" s="50"/>
      <c r="HTX348" s="50"/>
      <c r="HTY348" s="50"/>
      <c r="HTZ348" s="50"/>
      <c r="HUA348" s="50"/>
      <c r="HUB348" s="50"/>
      <c r="HUC348" s="50"/>
      <c r="HUD348" s="50"/>
      <c r="HUE348" s="50"/>
      <c r="HUF348" s="50"/>
      <c r="HUG348" s="50"/>
      <c r="HUH348" s="50"/>
      <c r="HUI348" s="50"/>
      <c r="HUJ348" s="50"/>
      <c r="HUK348" s="50"/>
      <c r="HUL348" s="50"/>
      <c r="HUM348" s="50"/>
      <c r="HUN348" s="50"/>
      <c r="HUO348" s="50"/>
      <c r="HUP348" s="50"/>
      <c r="HUQ348" s="50"/>
      <c r="HUR348" s="50"/>
      <c r="HUS348" s="50"/>
      <c r="HUT348" s="50"/>
      <c r="HUU348" s="50"/>
      <c r="HUV348" s="50"/>
      <c r="HUW348" s="50"/>
      <c r="HUX348" s="50"/>
      <c r="HUY348" s="50"/>
      <c r="HUZ348" s="50"/>
      <c r="HVA348" s="50"/>
      <c r="HVB348" s="50"/>
      <c r="HVC348" s="50"/>
      <c r="HVD348" s="50"/>
      <c r="HVE348" s="50"/>
      <c r="HVF348" s="50"/>
      <c r="HVG348" s="50"/>
      <c r="HVH348" s="50"/>
      <c r="HVI348" s="50"/>
      <c r="HVJ348" s="50"/>
      <c r="HVK348" s="50"/>
      <c r="HVL348" s="50"/>
      <c r="HVM348" s="50"/>
      <c r="HVN348" s="50"/>
      <c r="HVO348" s="50"/>
      <c r="HVP348" s="50"/>
      <c r="HVQ348" s="50"/>
      <c r="HVR348" s="50"/>
      <c r="HVS348" s="50"/>
      <c r="HVT348" s="50"/>
      <c r="HVU348" s="50"/>
      <c r="HVV348" s="50"/>
      <c r="HVW348" s="50"/>
      <c r="HVX348" s="50"/>
      <c r="HVY348" s="50"/>
      <c r="HVZ348" s="50"/>
      <c r="HWA348" s="50"/>
      <c r="HWB348" s="50"/>
      <c r="HWC348" s="50"/>
      <c r="HWD348" s="50"/>
      <c r="HWE348" s="50"/>
      <c r="HWF348" s="50"/>
      <c r="HWG348" s="50"/>
      <c r="HWH348" s="50"/>
      <c r="HWI348" s="50"/>
      <c r="HWJ348" s="50"/>
      <c r="HWK348" s="50"/>
      <c r="HWL348" s="50"/>
      <c r="HWM348" s="50"/>
      <c r="HWN348" s="50"/>
      <c r="HWO348" s="50"/>
      <c r="HWP348" s="50"/>
      <c r="HWQ348" s="50"/>
      <c r="HWR348" s="50"/>
      <c r="HWS348" s="50"/>
      <c r="HWT348" s="50"/>
      <c r="HWU348" s="50"/>
      <c r="HWV348" s="50"/>
      <c r="HWW348" s="50"/>
      <c r="HWX348" s="50"/>
      <c r="HWY348" s="50"/>
      <c r="HWZ348" s="50"/>
      <c r="HXA348" s="50"/>
      <c r="HXB348" s="50"/>
      <c r="HXC348" s="50"/>
      <c r="HXD348" s="50"/>
      <c r="HXE348" s="50"/>
      <c r="HXF348" s="50"/>
      <c r="HXG348" s="50"/>
      <c r="HXH348" s="50"/>
      <c r="HXI348" s="50"/>
      <c r="HXJ348" s="50"/>
      <c r="HXK348" s="50"/>
      <c r="HXL348" s="50"/>
      <c r="HXM348" s="50"/>
      <c r="HXN348" s="50"/>
      <c r="HXO348" s="50"/>
      <c r="HXP348" s="50"/>
      <c r="HXQ348" s="50"/>
      <c r="HXR348" s="50"/>
      <c r="HXS348" s="50"/>
      <c r="HXT348" s="50"/>
      <c r="HXU348" s="50"/>
      <c r="HXV348" s="50"/>
      <c r="HXW348" s="50"/>
      <c r="HXX348" s="50"/>
      <c r="HXY348" s="50"/>
      <c r="HXZ348" s="50"/>
      <c r="HYA348" s="50"/>
      <c r="HYB348" s="50"/>
      <c r="HYC348" s="50"/>
      <c r="HYD348" s="50"/>
      <c r="HYE348" s="50"/>
      <c r="HYF348" s="50"/>
      <c r="HYG348" s="50"/>
      <c r="HYH348" s="50"/>
      <c r="HYI348" s="50"/>
      <c r="HYJ348" s="50"/>
      <c r="HYK348" s="50"/>
      <c r="HYL348" s="50"/>
      <c r="HYM348" s="50"/>
      <c r="HYN348" s="50"/>
      <c r="HYO348" s="50"/>
      <c r="HYP348" s="50"/>
      <c r="HYQ348" s="50"/>
      <c r="HYR348" s="50"/>
      <c r="HYS348" s="50"/>
      <c r="HYT348" s="50"/>
      <c r="HYU348" s="50"/>
      <c r="HYV348" s="50"/>
      <c r="HYW348" s="50"/>
      <c r="HYX348" s="50"/>
      <c r="HYY348" s="50"/>
      <c r="HYZ348" s="50"/>
      <c r="HZA348" s="50"/>
      <c r="HZB348" s="50"/>
      <c r="HZC348" s="50"/>
      <c r="HZD348" s="50"/>
      <c r="HZE348" s="50"/>
      <c r="HZF348" s="50"/>
      <c r="HZG348" s="50"/>
      <c r="HZH348" s="50"/>
      <c r="HZI348" s="50"/>
      <c r="HZJ348" s="50"/>
      <c r="HZK348" s="50"/>
      <c r="HZL348" s="50"/>
      <c r="HZM348" s="50"/>
      <c r="HZN348" s="50"/>
      <c r="HZO348" s="50"/>
      <c r="HZP348" s="50"/>
      <c r="HZQ348" s="50"/>
      <c r="HZR348" s="50"/>
      <c r="HZS348" s="50"/>
      <c r="HZT348" s="50"/>
      <c r="HZU348" s="50"/>
      <c r="HZV348" s="50"/>
      <c r="HZW348" s="50"/>
      <c r="HZX348" s="50"/>
      <c r="HZY348" s="50"/>
      <c r="HZZ348" s="50"/>
      <c r="IAA348" s="50"/>
      <c r="IAB348" s="50"/>
      <c r="IAC348" s="50"/>
      <c r="IAD348" s="50"/>
      <c r="IAE348" s="50"/>
      <c r="IAF348" s="50"/>
      <c r="IAG348" s="50"/>
      <c r="IAH348" s="50"/>
      <c r="IAI348" s="50"/>
      <c r="IAJ348" s="50"/>
      <c r="IAK348" s="50"/>
      <c r="IAL348" s="50"/>
      <c r="IAM348" s="50"/>
      <c r="IAN348" s="50"/>
      <c r="IAO348" s="50"/>
      <c r="IAP348" s="50"/>
      <c r="IAQ348" s="50"/>
      <c r="IAR348" s="50"/>
      <c r="IAS348" s="50"/>
      <c r="IAT348" s="50"/>
      <c r="IAU348" s="50"/>
      <c r="IAV348" s="50"/>
      <c r="IAW348" s="50"/>
      <c r="IAX348" s="50"/>
      <c r="IAY348" s="50"/>
      <c r="IAZ348" s="50"/>
      <c r="IBA348" s="50"/>
      <c r="IBB348" s="50"/>
      <c r="IBC348" s="50"/>
      <c r="IBD348" s="50"/>
      <c r="IBE348" s="50"/>
      <c r="IBF348" s="50"/>
      <c r="IBG348" s="50"/>
      <c r="IBH348" s="50"/>
      <c r="IBI348" s="50"/>
      <c r="IBJ348" s="50"/>
      <c r="IBK348" s="50"/>
      <c r="IBL348" s="50"/>
      <c r="IBM348" s="50"/>
      <c r="IBN348" s="50"/>
      <c r="IBO348" s="50"/>
      <c r="IBP348" s="50"/>
      <c r="IBQ348" s="50"/>
      <c r="IBR348" s="50"/>
      <c r="IBS348" s="50"/>
      <c r="IBT348" s="50"/>
      <c r="IBU348" s="50"/>
      <c r="IBV348" s="50"/>
      <c r="IBW348" s="50"/>
      <c r="IBX348" s="50"/>
      <c r="IBY348" s="50"/>
      <c r="IBZ348" s="50"/>
      <c r="ICA348" s="50"/>
      <c r="ICB348" s="50"/>
      <c r="ICC348" s="50"/>
      <c r="ICD348" s="50"/>
      <c r="ICE348" s="50"/>
      <c r="ICF348" s="50"/>
      <c r="ICG348" s="50"/>
      <c r="ICH348" s="50"/>
      <c r="ICI348" s="50"/>
      <c r="ICJ348" s="50"/>
      <c r="ICK348" s="50"/>
      <c r="ICL348" s="50"/>
      <c r="ICM348" s="50"/>
      <c r="ICN348" s="50"/>
      <c r="ICO348" s="50"/>
      <c r="ICP348" s="50"/>
      <c r="ICQ348" s="50"/>
      <c r="ICR348" s="50"/>
      <c r="ICS348" s="50"/>
      <c r="ICT348" s="50"/>
      <c r="ICU348" s="50"/>
      <c r="ICV348" s="50"/>
      <c r="ICW348" s="50"/>
      <c r="ICX348" s="50"/>
      <c r="ICY348" s="50"/>
      <c r="ICZ348" s="50"/>
      <c r="IDA348" s="50"/>
      <c r="IDB348" s="50"/>
      <c r="IDC348" s="50"/>
      <c r="IDD348" s="50"/>
      <c r="IDE348" s="50"/>
      <c r="IDF348" s="50"/>
      <c r="IDG348" s="50"/>
      <c r="IDH348" s="50"/>
      <c r="IDI348" s="50"/>
      <c r="IDJ348" s="50"/>
      <c r="IDK348" s="50"/>
      <c r="IDL348" s="50"/>
      <c r="IDM348" s="50"/>
      <c r="IDN348" s="50"/>
      <c r="IDO348" s="50"/>
      <c r="IDP348" s="50"/>
      <c r="IDQ348" s="50"/>
      <c r="IDR348" s="50"/>
      <c r="IDS348" s="50"/>
      <c r="IDT348" s="50"/>
      <c r="IDU348" s="50"/>
      <c r="IDV348" s="50"/>
      <c r="IDW348" s="50"/>
      <c r="IDX348" s="50"/>
      <c r="IDY348" s="50"/>
      <c r="IDZ348" s="50"/>
      <c r="IEA348" s="50"/>
      <c r="IEB348" s="50"/>
      <c r="IEC348" s="50"/>
      <c r="IED348" s="50"/>
      <c r="IEE348" s="50"/>
      <c r="IEF348" s="50"/>
      <c r="IEG348" s="50"/>
      <c r="IEH348" s="50"/>
      <c r="IEI348" s="50"/>
      <c r="IEJ348" s="50"/>
      <c r="IEK348" s="50"/>
      <c r="IEL348" s="50"/>
      <c r="IEM348" s="50"/>
      <c r="IEN348" s="50"/>
      <c r="IEO348" s="50"/>
      <c r="IEP348" s="50"/>
      <c r="IEQ348" s="50"/>
      <c r="IER348" s="50"/>
      <c r="IES348" s="50"/>
      <c r="IET348" s="50"/>
      <c r="IEU348" s="50"/>
      <c r="IEV348" s="50"/>
      <c r="IEW348" s="50"/>
      <c r="IEX348" s="50"/>
      <c r="IEY348" s="50"/>
      <c r="IEZ348" s="50"/>
      <c r="IFA348" s="50"/>
      <c r="IFB348" s="50"/>
      <c r="IFC348" s="50"/>
      <c r="IFD348" s="50"/>
      <c r="IFE348" s="50"/>
      <c r="IFF348" s="50"/>
      <c r="IFG348" s="50"/>
      <c r="IFH348" s="50"/>
      <c r="IFI348" s="50"/>
      <c r="IFJ348" s="50"/>
      <c r="IFK348" s="50"/>
      <c r="IFL348" s="50"/>
      <c r="IFM348" s="50"/>
      <c r="IFN348" s="50"/>
      <c r="IFO348" s="50"/>
      <c r="IFP348" s="50"/>
      <c r="IFQ348" s="50"/>
      <c r="IFR348" s="50"/>
      <c r="IFS348" s="50"/>
      <c r="IFT348" s="50"/>
      <c r="IFU348" s="50"/>
      <c r="IFV348" s="50"/>
      <c r="IFW348" s="50"/>
      <c r="IFX348" s="50"/>
      <c r="IFY348" s="50"/>
      <c r="IFZ348" s="50"/>
      <c r="IGA348" s="50"/>
      <c r="IGB348" s="50"/>
      <c r="IGC348" s="50"/>
      <c r="IGD348" s="50"/>
      <c r="IGE348" s="50"/>
      <c r="IGF348" s="50"/>
      <c r="IGG348" s="50"/>
      <c r="IGH348" s="50"/>
      <c r="IGI348" s="50"/>
      <c r="IGJ348" s="50"/>
      <c r="IGK348" s="50"/>
      <c r="IGL348" s="50"/>
      <c r="IGM348" s="50"/>
      <c r="IGN348" s="50"/>
      <c r="IGO348" s="50"/>
      <c r="IGP348" s="50"/>
      <c r="IGQ348" s="50"/>
      <c r="IGR348" s="50"/>
      <c r="IGS348" s="50"/>
      <c r="IGT348" s="50"/>
      <c r="IGU348" s="50"/>
      <c r="IGV348" s="50"/>
      <c r="IGW348" s="50"/>
      <c r="IGX348" s="50"/>
      <c r="IGY348" s="50"/>
      <c r="IGZ348" s="50"/>
      <c r="IHA348" s="50"/>
      <c r="IHB348" s="50"/>
      <c r="IHC348" s="50"/>
      <c r="IHD348" s="50"/>
      <c r="IHE348" s="50"/>
      <c r="IHF348" s="50"/>
      <c r="IHG348" s="50"/>
      <c r="IHH348" s="50"/>
      <c r="IHI348" s="50"/>
      <c r="IHJ348" s="50"/>
      <c r="IHK348" s="50"/>
      <c r="IHL348" s="50"/>
      <c r="IHM348" s="50"/>
      <c r="IHN348" s="50"/>
      <c r="IHO348" s="50"/>
      <c r="IHP348" s="50"/>
      <c r="IHQ348" s="50"/>
      <c r="IHR348" s="50"/>
      <c r="IHS348" s="50"/>
      <c r="IHT348" s="50"/>
      <c r="IHU348" s="50"/>
      <c r="IHV348" s="50"/>
      <c r="IHW348" s="50"/>
      <c r="IHX348" s="50"/>
      <c r="IHY348" s="50"/>
      <c r="IHZ348" s="50"/>
      <c r="IIA348" s="50"/>
      <c r="IIB348" s="50"/>
      <c r="IIC348" s="50"/>
      <c r="IID348" s="50"/>
      <c r="IIE348" s="50"/>
      <c r="IIF348" s="50"/>
      <c r="IIG348" s="50"/>
      <c r="IIH348" s="50"/>
      <c r="III348" s="50"/>
      <c r="IIJ348" s="50"/>
      <c r="IIK348" s="50"/>
      <c r="IIL348" s="50"/>
      <c r="IIM348" s="50"/>
      <c r="IIN348" s="50"/>
      <c r="IIO348" s="50"/>
      <c r="IIP348" s="50"/>
      <c r="IIQ348" s="50"/>
      <c r="IIR348" s="50"/>
      <c r="IIS348" s="50"/>
      <c r="IIT348" s="50"/>
      <c r="IIU348" s="50"/>
      <c r="IIV348" s="50"/>
      <c r="IIW348" s="50"/>
      <c r="IIX348" s="50"/>
      <c r="IIY348" s="50"/>
      <c r="IIZ348" s="50"/>
      <c r="IJA348" s="50"/>
      <c r="IJB348" s="50"/>
      <c r="IJC348" s="50"/>
      <c r="IJD348" s="50"/>
      <c r="IJE348" s="50"/>
      <c r="IJF348" s="50"/>
      <c r="IJG348" s="50"/>
      <c r="IJH348" s="50"/>
      <c r="IJI348" s="50"/>
      <c r="IJJ348" s="50"/>
      <c r="IJK348" s="50"/>
      <c r="IJL348" s="50"/>
      <c r="IJM348" s="50"/>
      <c r="IJN348" s="50"/>
      <c r="IJO348" s="50"/>
      <c r="IJP348" s="50"/>
      <c r="IJQ348" s="50"/>
      <c r="IJR348" s="50"/>
      <c r="IJS348" s="50"/>
      <c r="IJT348" s="50"/>
      <c r="IJU348" s="50"/>
      <c r="IJV348" s="50"/>
      <c r="IJW348" s="50"/>
      <c r="IJX348" s="50"/>
      <c r="IJY348" s="50"/>
      <c r="IJZ348" s="50"/>
      <c r="IKA348" s="50"/>
      <c r="IKB348" s="50"/>
      <c r="IKC348" s="50"/>
      <c r="IKD348" s="50"/>
      <c r="IKE348" s="50"/>
      <c r="IKF348" s="50"/>
      <c r="IKG348" s="50"/>
      <c r="IKH348" s="50"/>
      <c r="IKI348" s="50"/>
      <c r="IKJ348" s="50"/>
      <c r="IKK348" s="50"/>
      <c r="IKL348" s="50"/>
      <c r="IKM348" s="50"/>
      <c r="IKN348" s="50"/>
      <c r="IKO348" s="50"/>
      <c r="IKP348" s="50"/>
      <c r="IKQ348" s="50"/>
      <c r="IKR348" s="50"/>
      <c r="IKS348" s="50"/>
      <c r="IKT348" s="50"/>
      <c r="IKU348" s="50"/>
      <c r="IKV348" s="50"/>
      <c r="IKW348" s="50"/>
      <c r="IKX348" s="50"/>
      <c r="IKY348" s="50"/>
      <c r="IKZ348" s="50"/>
      <c r="ILA348" s="50"/>
      <c r="ILB348" s="50"/>
      <c r="ILC348" s="50"/>
      <c r="ILD348" s="50"/>
      <c r="ILE348" s="50"/>
      <c r="ILF348" s="50"/>
      <c r="ILG348" s="50"/>
      <c r="ILH348" s="50"/>
      <c r="ILI348" s="50"/>
      <c r="ILJ348" s="50"/>
      <c r="ILK348" s="50"/>
      <c r="ILL348" s="50"/>
      <c r="ILM348" s="50"/>
      <c r="ILN348" s="50"/>
      <c r="ILO348" s="50"/>
      <c r="ILP348" s="50"/>
      <c r="ILQ348" s="50"/>
      <c r="ILR348" s="50"/>
      <c r="ILS348" s="50"/>
      <c r="ILT348" s="50"/>
      <c r="ILU348" s="50"/>
      <c r="ILV348" s="50"/>
      <c r="ILW348" s="50"/>
      <c r="ILX348" s="50"/>
      <c r="ILY348" s="50"/>
      <c r="ILZ348" s="50"/>
      <c r="IMA348" s="50"/>
      <c r="IMB348" s="50"/>
      <c r="IMC348" s="50"/>
      <c r="IMD348" s="50"/>
      <c r="IME348" s="50"/>
      <c r="IMF348" s="50"/>
      <c r="IMG348" s="50"/>
      <c r="IMH348" s="50"/>
      <c r="IMI348" s="50"/>
      <c r="IMJ348" s="50"/>
      <c r="IMK348" s="50"/>
      <c r="IML348" s="50"/>
      <c r="IMM348" s="50"/>
      <c r="IMN348" s="50"/>
      <c r="IMO348" s="50"/>
      <c r="IMP348" s="50"/>
      <c r="IMQ348" s="50"/>
      <c r="IMR348" s="50"/>
      <c r="IMS348" s="50"/>
      <c r="IMT348" s="50"/>
      <c r="IMU348" s="50"/>
      <c r="IMV348" s="50"/>
      <c r="IMW348" s="50"/>
      <c r="IMX348" s="50"/>
      <c r="IMY348" s="50"/>
      <c r="IMZ348" s="50"/>
      <c r="INA348" s="50"/>
      <c r="INB348" s="50"/>
      <c r="INC348" s="50"/>
      <c r="IND348" s="50"/>
      <c r="INE348" s="50"/>
      <c r="INF348" s="50"/>
      <c r="ING348" s="50"/>
      <c r="INH348" s="50"/>
      <c r="INI348" s="50"/>
      <c r="INJ348" s="50"/>
      <c r="INK348" s="50"/>
      <c r="INL348" s="50"/>
      <c r="INM348" s="50"/>
      <c r="INN348" s="50"/>
      <c r="INO348" s="50"/>
      <c r="INP348" s="50"/>
      <c r="INQ348" s="50"/>
      <c r="INR348" s="50"/>
      <c r="INS348" s="50"/>
      <c r="INT348" s="50"/>
      <c r="INU348" s="50"/>
      <c r="INV348" s="50"/>
      <c r="INW348" s="50"/>
      <c r="INX348" s="50"/>
      <c r="INY348" s="50"/>
      <c r="INZ348" s="50"/>
      <c r="IOA348" s="50"/>
      <c r="IOB348" s="50"/>
      <c r="IOC348" s="50"/>
      <c r="IOD348" s="50"/>
      <c r="IOE348" s="50"/>
      <c r="IOF348" s="50"/>
      <c r="IOG348" s="50"/>
      <c r="IOH348" s="50"/>
      <c r="IOI348" s="50"/>
      <c r="IOJ348" s="50"/>
      <c r="IOK348" s="50"/>
      <c r="IOL348" s="50"/>
      <c r="IOM348" s="50"/>
      <c r="ION348" s="50"/>
      <c r="IOO348" s="50"/>
      <c r="IOP348" s="50"/>
      <c r="IOQ348" s="50"/>
      <c r="IOR348" s="50"/>
      <c r="IOS348" s="50"/>
      <c r="IOT348" s="50"/>
      <c r="IOU348" s="50"/>
      <c r="IOV348" s="50"/>
      <c r="IOW348" s="50"/>
      <c r="IOX348" s="50"/>
      <c r="IOY348" s="50"/>
      <c r="IOZ348" s="50"/>
      <c r="IPA348" s="50"/>
      <c r="IPB348" s="50"/>
      <c r="IPC348" s="50"/>
      <c r="IPD348" s="50"/>
      <c r="IPE348" s="50"/>
      <c r="IPF348" s="50"/>
      <c r="IPG348" s="50"/>
      <c r="IPH348" s="50"/>
      <c r="IPI348" s="50"/>
      <c r="IPJ348" s="50"/>
      <c r="IPK348" s="50"/>
      <c r="IPL348" s="50"/>
      <c r="IPM348" s="50"/>
      <c r="IPN348" s="50"/>
      <c r="IPO348" s="50"/>
      <c r="IPP348" s="50"/>
      <c r="IPQ348" s="50"/>
      <c r="IPR348" s="50"/>
      <c r="IPS348" s="50"/>
      <c r="IPT348" s="50"/>
      <c r="IPU348" s="50"/>
      <c r="IPV348" s="50"/>
      <c r="IPW348" s="50"/>
      <c r="IPX348" s="50"/>
      <c r="IPY348" s="50"/>
      <c r="IPZ348" s="50"/>
      <c r="IQA348" s="50"/>
      <c r="IQB348" s="50"/>
      <c r="IQC348" s="50"/>
      <c r="IQD348" s="50"/>
      <c r="IQE348" s="50"/>
      <c r="IQF348" s="50"/>
      <c r="IQG348" s="50"/>
      <c r="IQH348" s="50"/>
      <c r="IQI348" s="50"/>
      <c r="IQJ348" s="50"/>
      <c r="IQK348" s="50"/>
      <c r="IQL348" s="50"/>
      <c r="IQM348" s="50"/>
      <c r="IQN348" s="50"/>
      <c r="IQO348" s="50"/>
      <c r="IQP348" s="50"/>
      <c r="IQQ348" s="50"/>
      <c r="IQR348" s="50"/>
      <c r="IQS348" s="50"/>
      <c r="IQT348" s="50"/>
      <c r="IQU348" s="50"/>
      <c r="IQV348" s="50"/>
      <c r="IQW348" s="50"/>
      <c r="IQX348" s="50"/>
      <c r="IQY348" s="50"/>
      <c r="IQZ348" s="50"/>
      <c r="IRA348" s="50"/>
      <c r="IRB348" s="50"/>
      <c r="IRC348" s="50"/>
      <c r="IRD348" s="50"/>
      <c r="IRE348" s="50"/>
      <c r="IRF348" s="50"/>
      <c r="IRG348" s="50"/>
      <c r="IRH348" s="50"/>
      <c r="IRI348" s="50"/>
      <c r="IRJ348" s="50"/>
      <c r="IRK348" s="50"/>
      <c r="IRL348" s="50"/>
      <c r="IRM348" s="50"/>
      <c r="IRN348" s="50"/>
      <c r="IRO348" s="50"/>
      <c r="IRP348" s="50"/>
      <c r="IRQ348" s="50"/>
      <c r="IRR348" s="50"/>
      <c r="IRS348" s="50"/>
      <c r="IRT348" s="50"/>
      <c r="IRU348" s="50"/>
      <c r="IRV348" s="50"/>
      <c r="IRW348" s="50"/>
      <c r="IRX348" s="50"/>
      <c r="IRY348" s="50"/>
      <c r="IRZ348" s="50"/>
      <c r="ISA348" s="50"/>
      <c r="ISB348" s="50"/>
      <c r="ISC348" s="50"/>
      <c r="ISD348" s="50"/>
      <c r="ISE348" s="50"/>
      <c r="ISF348" s="50"/>
      <c r="ISG348" s="50"/>
      <c r="ISH348" s="50"/>
      <c r="ISI348" s="50"/>
      <c r="ISJ348" s="50"/>
      <c r="ISK348" s="50"/>
      <c r="ISL348" s="50"/>
      <c r="ISM348" s="50"/>
      <c r="ISN348" s="50"/>
      <c r="ISO348" s="50"/>
      <c r="ISP348" s="50"/>
      <c r="ISQ348" s="50"/>
      <c r="ISR348" s="50"/>
      <c r="ISS348" s="50"/>
      <c r="IST348" s="50"/>
      <c r="ISU348" s="50"/>
      <c r="ISV348" s="50"/>
      <c r="ISW348" s="50"/>
      <c r="ISX348" s="50"/>
      <c r="ISY348" s="50"/>
      <c r="ISZ348" s="50"/>
      <c r="ITA348" s="50"/>
      <c r="ITB348" s="50"/>
      <c r="ITC348" s="50"/>
      <c r="ITD348" s="50"/>
      <c r="ITE348" s="50"/>
      <c r="ITF348" s="50"/>
      <c r="ITG348" s="50"/>
      <c r="ITH348" s="50"/>
      <c r="ITI348" s="50"/>
      <c r="ITJ348" s="50"/>
      <c r="ITK348" s="50"/>
      <c r="ITL348" s="50"/>
      <c r="ITM348" s="50"/>
      <c r="ITN348" s="50"/>
      <c r="ITO348" s="50"/>
      <c r="ITP348" s="50"/>
      <c r="ITQ348" s="50"/>
      <c r="ITR348" s="50"/>
      <c r="ITS348" s="50"/>
      <c r="ITT348" s="50"/>
      <c r="ITU348" s="50"/>
      <c r="ITV348" s="50"/>
      <c r="ITW348" s="50"/>
      <c r="ITX348" s="50"/>
      <c r="ITY348" s="50"/>
      <c r="ITZ348" s="50"/>
      <c r="IUA348" s="50"/>
      <c r="IUB348" s="50"/>
      <c r="IUC348" s="50"/>
      <c r="IUD348" s="50"/>
      <c r="IUE348" s="50"/>
      <c r="IUF348" s="50"/>
      <c r="IUG348" s="50"/>
      <c r="IUH348" s="50"/>
      <c r="IUI348" s="50"/>
      <c r="IUJ348" s="50"/>
      <c r="IUK348" s="50"/>
      <c r="IUL348" s="50"/>
      <c r="IUM348" s="50"/>
      <c r="IUN348" s="50"/>
      <c r="IUO348" s="50"/>
      <c r="IUP348" s="50"/>
      <c r="IUQ348" s="50"/>
      <c r="IUR348" s="50"/>
      <c r="IUS348" s="50"/>
      <c r="IUT348" s="50"/>
      <c r="IUU348" s="50"/>
      <c r="IUV348" s="50"/>
      <c r="IUW348" s="50"/>
      <c r="IUX348" s="50"/>
      <c r="IUY348" s="50"/>
      <c r="IUZ348" s="50"/>
      <c r="IVA348" s="50"/>
      <c r="IVB348" s="50"/>
      <c r="IVC348" s="50"/>
      <c r="IVD348" s="50"/>
      <c r="IVE348" s="50"/>
      <c r="IVF348" s="50"/>
      <c r="IVG348" s="50"/>
      <c r="IVH348" s="50"/>
      <c r="IVI348" s="50"/>
      <c r="IVJ348" s="50"/>
      <c r="IVK348" s="50"/>
      <c r="IVL348" s="50"/>
      <c r="IVM348" s="50"/>
      <c r="IVN348" s="50"/>
      <c r="IVO348" s="50"/>
      <c r="IVP348" s="50"/>
      <c r="IVQ348" s="50"/>
      <c r="IVR348" s="50"/>
      <c r="IVS348" s="50"/>
      <c r="IVT348" s="50"/>
      <c r="IVU348" s="50"/>
      <c r="IVV348" s="50"/>
      <c r="IVW348" s="50"/>
      <c r="IVX348" s="50"/>
      <c r="IVY348" s="50"/>
      <c r="IVZ348" s="50"/>
      <c r="IWA348" s="50"/>
      <c r="IWB348" s="50"/>
      <c r="IWC348" s="50"/>
      <c r="IWD348" s="50"/>
      <c r="IWE348" s="50"/>
      <c r="IWF348" s="50"/>
      <c r="IWG348" s="50"/>
      <c r="IWH348" s="50"/>
      <c r="IWI348" s="50"/>
      <c r="IWJ348" s="50"/>
      <c r="IWK348" s="50"/>
      <c r="IWL348" s="50"/>
      <c r="IWM348" s="50"/>
      <c r="IWN348" s="50"/>
      <c r="IWO348" s="50"/>
      <c r="IWP348" s="50"/>
      <c r="IWQ348" s="50"/>
      <c r="IWR348" s="50"/>
      <c r="IWS348" s="50"/>
      <c r="IWT348" s="50"/>
      <c r="IWU348" s="50"/>
      <c r="IWV348" s="50"/>
      <c r="IWW348" s="50"/>
      <c r="IWX348" s="50"/>
      <c r="IWY348" s="50"/>
      <c r="IWZ348" s="50"/>
      <c r="IXA348" s="50"/>
      <c r="IXB348" s="50"/>
      <c r="IXC348" s="50"/>
      <c r="IXD348" s="50"/>
      <c r="IXE348" s="50"/>
      <c r="IXF348" s="50"/>
      <c r="IXG348" s="50"/>
      <c r="IXH348" s="50"/>
      <c r="IXI348" s="50"/>
      <c r="IXJ348" s="50"/>
      <c r="IXK348" s="50"/>
      <c r="IXL348" s="50"/>
      <c r="IXM348" s="50"/>
      <c r="IXN348" s="50"/>
      <c r="IXO348" s="50"/>
      <c r="IXP348" s="50"/>
      <c r="IXQ348" s="50"/>
      <c r="IXR348" s="50"/>
      <c r="IXS348" s="50"/>
      <c r="IXT348" s="50"/>
      <c r="IXU348" s="50"/>
      <c r="IXV348" s="50"/>
      <c r="IXW348" s="50"/>
      <c r="IXX348" s="50"/>
      <c r="IXY348" s="50"/>
      <c r="IXZ348" s="50"/>
      <c r="IYA348" s="50"/>
      <c r="IYB348" s="50"/>
      <c r="IYC348" s="50"/>
      <c r="IYD348" s="50"/>
      <c r="IYE348" s="50"/>
      <c r="IYF348" s="50"/>
      <c r="IYG348" s="50"/>
      <c r="IYH348" s="50"/>
      <c r="IYI348" s="50"/>
      <c r="IYJ348" s="50"/>
      <c r="IYK348" s="50"/>
      <c r="IYL348" s="50"/>
      <c r="IYM348" s="50"/>
      <c r="IYN348" s="50"/>
      <c r="IYO348" s="50"/>
      <c r="IYP348" s="50"/>
      <c r="IYQ348" s="50"/>
      <c r="IYR348" s="50"/>
      <c r="IYS348" s="50"/>
      <c r="IYT348" s="50"/>
      <c r="IYU348" s="50"/>
      <c r="IYV348" s="50"/>
      <c r="IYW348" s="50"/>
      <c r="IYX348" s="50"/>
      <c r="IYY348" s="50"/>
      <c r="IYZ348" s="50"/>
      <c r="IZA348" s="50"/>
      <c r="IZB348" s="50"/>
      <c r="IZC348" s="50"/>
      <c r="IZD348" s="50"/>
      <c r="IZE348" s="50"/>
      <c r="IZF348" s="50"/>
      <c r="IZG348" s="50"/>
      <c r="IZH348" s="50"/>
      <c r="IZI348" s="50"/>
      <c r="IZJ348" s="50"/>
      <c r="IZK348" s="50"/>
      <c r="IZL348" s="50"/>
      <c r="IZM348" s="50"/>
      <c r="IZN348" s="50"/>
      <c r="IZO348" s="50"/>
      <c r="IZP348" s="50"/>
      <c r="IZQ348" s="50"/>
      <c r="IZR348" s="50"/>
      <c r="IZS348" s="50"/>
      <c r="IZT348" s="50"/>
      <c r="IZU348" s="50"/>
      <c r="IZV348" s="50"/>
      <c r="IZW348" s="50"/>
      <c r="IZX348" s="50"/>
      <c r="IZY348" s="50"/>
      <c r="IZZ348" s="50"/>
      <c r="JAA348" s="50"/>
      <c r="JAB348" s="50"/>
      <c r="JAC348" s="50"/>
      <c r="JAD348" s="50"/>
      <c r="JAE348" s="50"/>
      <c r="JAF348" s="50"/>
      <c r="JAG348" s="50"/>
      <c r="JAH348" s="50"/>
      <c r="JAI348" s="50"/>
      <c r="JAJ348" s="50"/>
      <c r="JAK348" s="50"/>
      <c r="JAL348" s="50"/>
      <c r="JAM348" s="50"/>
      <c r="JAN348" s="50"/>
      <c r="JAO348" s="50"/>
      <c r="JAP348" s="50"/>
      <c r="JAQ348" s="50"/>
      <c r="JAR348" s="50"/>
      <c r="JAS348" s="50"/>
      <c r="JAT348" s="50"/>
      <c r="JAU348" s="50"/>
      <c r="JAV348" s="50"/>
      <c r="JAW348" s="50"/>
      <c r="JAX348" s="50"/>
      <c r="JAY348" s="50"/>
      <c r="JAZ348" s="50"/>
      <c r="JBA348" s="50"/>
      <c r="JBB348" s="50"/>
      <c r="JBC348" s="50"/>
      <c r="JBD348" s="50"/>
      <c r="JBE348" s="50"/>
      <c r="JBF348" s="50"/>
      <c r="JBG348" s="50"/>
      <c r="JBH348" s="50"/>
      <c r="JBI348" s="50"/>
      <c r="JBJ348" s="50"/>
      <c r="JBK348" s="50"/>
      <c r="JBL348" s="50"/>
      <c r="JBM348" s="50"/>
      <c r="JBN348" s="50"/>
      <c r="JBO348" s="50"/>
      <c r="JBP348" s="50"/>
      <c r="JBQ348" s="50"/>
      <c r="JBR348" s="50"/>
      <c r="JBS348" s="50"/>
      <c r="JBT348" s="50"/>
      <c r="JBU348" s="50"/>
      <c r="JBV348" s="50"/>
      <c r="JBW348" s="50"/>
      <c r="JBX348" s="50"/>
      <c r="JBY348" s="50"/>
      <c r="JBZ348" s="50"/>
      <c r="JCA348" s="50"/>
      <c r="JCB348" s="50"/>
      <c r="JCC348" s="50"/>
      <c r="JCD348" s="50"/>
      <c r="JCE348" s="50"/>
      <c r="JCF348" s="50"/>
      <c r="JCG348" s="50"/>
      <c r="JCH348" s="50"/>
      <c r="JCI348" s="50"/>
      <c r="JCJ348" s="50"/>
      <c r="JCK348" s="50"/>
      <c r="JCL348" s="50"/>
      <c r="JCM348" s="50"/>
      <c r="JCN348" s="50"/>
      <c r="JCO348" s="50"/>
      <c r="JCP348" s="50"/>
      <c r="JCQ348" s="50"/>
      <c r="JCR348" s="50"/>
      <c r="JCS348" s="50"/>
      <c r="JCT348" s="50"/>
      <c r="JCU348" s="50"/>
      <c r="JCV348" s="50"/>
      <c r="JCW348" s="50"/>
      <c r="JCX348" s="50"/>
      <c r="JCY348" s="50"/>
      <c r="JCZ348" s="50"/>
      <c r="JDA348" s="50"/>
      <c r="JDB348" s="50"/>
      <c r="JDC348" s="50"/>
      <c r="JDD348" s="50"/>
      <c r="JDE348" s="50"/>
      <c r="JDF348" s="50"/>
      <c r="JDG348" s="50"/>
      <c r="JDH348" s="50"/>
      <c r="JDI348" s="50"/>
      <c r="JDJ348" s="50"/>
      <c r="JDK348" s="50"/>
      <c r="JDL348" s="50"/>
      <c r="JDM348" s="50"/>
      <c r="JDN348" s="50"/>
      <c r="JDO348" s="50"/>
      <c r="JDP348" s="50"/>
      <c r="JDQ348" s="50"/>
      <c r="JDR348" s="50"/>
      <c r="JDS348" s="50"/>
      <c r="JDT348" s="50"/>
      <c r="JDU348" s="50"/>
      <c r="JDV348" s="50"/>
      <c r="JDW348" s="50"/>
      <c r="JDX348" s="50"/>
      <c r="JDY348" s="50"/>
      <c r="JDZ348" s="50"/>
      <c r="JEA348" s="50"/>
      <c r="JEB348" s="50"/>
      <c r="JEC348" s="50"/>
      <c r="JED348" s="50"/>
      <c r="JEE348" s="50"/>
      <c r="JEF348" s="50"/>
      <c r="JEG348" s="50"/>
      <c r="JEH348" s="50"/>
      <c r="JEI348" s="50"/>
      <c r="JEJ348" s="50"/>
      <c r="JEK348" s="50"/>
      <c r="JEL348" s="50"/>
      <c r="JEM348" s="50"/>
      <c r="JEN348" s="50"/>
      <c r="JEO348" s="50"/>
      <c r="JEP348" s="50"/>
      <c r="JEQ348" s="50"/>
      <c r="JER348" s="50"/>
      <c r="JES348" s="50"/>
      <c r="JET348" s="50"/>
      <c r="JEU348" s="50"/>
      <c r="JEV348" s="50"/>
      <c r="JEW348" s="50"/>
      <c r="JEX348" s="50"/>
      <c r="JEY348" s="50"/>
      <c r="JEZ348" s="50"/>
      <c r="JFA348" s="50"/>
      <c r="JFB348" s="50"/>
      <c r="JFC348" s="50"/>
      <c r="JFD348" s="50"/>
      <c r="JFE348" s="50"/>
      <c r="JFF348" s="50"/>
      <c r="JFG348" s="50"/>
      <c r="JFH348" s="50"/>
      <c r="JFI348" s="50"/>
      <c r="JFJ348" s="50"/>
      <c r="JFK348" s="50"/>
      <c r="JFL348" s="50"/>
      <c r="JFM348" s="50"/>
      <c r="JFN348" s="50"/>
      <c r="JFO348" s="50"/>
      <c r="JFP348" s="50"/>
      <c r="JFQ348" s="50"/>
      <c r="JFR348" s="50"/>
      <c r="JFS348" s="50"/>
      <c r="JFT348" s="50"/>
      <c r="JFU348" s="50"/>
      <c r="JFV348" s="50"/>
      <c r="JFW348" s="50"/>
      <c r="JFX348" s="50"/>
      <c r="JFY348" s="50"/>
      <c r="JFZ348" s="50"/>
      <c r="JGA348" s="50"/>
      <c r="JGB348" s="50"/>
      <c r="JGC348" s="50"/>
      <c r="JGD348" s="50"/>
      <c r="JGE348" s="50"/>
      <c r="JGF348" s="50"/>
      <c r="JGG348" s="50"/>
      <c r="JGH348" s="50"/>
      <c r="JGI348" s="50"/>
      <c r="JGJ348" s="50"/>
      <c r="JGK348" s="50"/>
      <c r="JGL348" s="50"/>
      <c r="JGM348" s="50"/>
      <c r="JGN348" s="50"/>
      <c r="JGO348" s="50"/>
      <c r="JGP348" s="50"/>
      <c r="JGQ348" s="50"/>
      <c r="JGR348" s="50"/>
      <c r="JGS348" s="50"/>
      <c r="JGT348" s="50"/>
      <c r="JGU348" s="50"/>
      <c r="JGV348" s="50"/>
      <c r="JGW348" s="50"/>
      <c r="JGX348" s="50"/>
      <c r="JGY348" s="50"/>
      <c r="JGZ348" s="50"/>
      <c r="JHA348" s="50"/>
      <c r="JHB348" s="50"/>
      <c r="JHC348" s="50"/>
      <c r="JHD348" s="50"/>
      <c r="JHE348" s="50"/>
      <c r="JHF348" s="50"/>
      <c r="JHG348" s="50"/>
      <c r="JHH348" s="50"/>
      <c r="JHI348" s="50"/>
      <c r="JHJ348" s="50"/>
      <c r="JHK348" s="50"/>
      <c r="JHL348" s="50"/>
      <c r="JHM348" s="50"/>
      <c r="JHN348" s="50"/>
      <c r="JHO348" s="50"/>
      <c r="JHP348" s="50"/>
      <c r="JHQ348" s="50"/>
      <c r="JHR348" s="50"/>
      <c r="JHS348" s="50"/>
      <c r="JHT348" s="50"/>
      <c r="JHU348" s="50"/>
      <c r="JHV348" s="50"/>
      <c r="JHW348" s="50"/>
      <c r="JHX348" s="50"/>
      <c r="JHY348" s="50"/>
      <c r="JHZ348" s="50"/>
      <c r="JIA348" s="50"/>
      <c r="JIB348" s="50"/>
      <c r="JIC348" s="50"/>
      <c r="JID348" s="50"/>
      <c r="JIE348" s="50"/>
      <c r="JIF348" s="50"/>
      <c r="JIG348" s="50"/>
      <c r="JIH348" s="50"/>
      <c r="JII348" s="50"/>
      <c r="JIJ348" s="50"/>
      <c r="JIK348" s="50"/>
      <c r="JIL348" s="50"/>
      <c r="JIM348" s="50"/>
      <c r="JIN348" s="50"/>
      <c r="JIO348" s="50"/>
      <c r="JIP348" s="50"/>
      <c r="JIQ348" s="50"/>
      <c r="JIR348" s="50"/>
      <c r="JIS348" s="50"/>
      <c r="JIT348" s="50"/>
      <c r="JIU348" s="50"/>
      <c r="JIV348" s="50"/>
      <c r="JIW348" s="50"/>
      <c r="JIX348" s="50"/>
      <c r="JIY348" s="50"/>
      <c r="JIZ348" s="50"/>
      <c r="JJA348" s="50"/>
      <c r="JJB348" s="50"/>
      <c r="JJC348" s="50"/>
      <c r="JJD348" s="50"/>
      <c r="JJE348" s="50"/>
      <c r="JJF348" s="50"/>
      <c r="JJG348" s="50"/>
      <c r="JJH348" s="50"/>
      <c r="JJI348" s="50"/>
      <c r="JJJ348" s="50"/>
      <c r="JJK348" s="50"/>
      <c r="JJL348" s="50"/>
      <c r="JJM348" s="50"/>
      <c r="JJN348" s="50"/>
      <c r="JJO348" s="50"/>
      <c r="JJP348" s="50"/>
      <c r="JJQ348" s="50"/>
      <c r="JJR348" s="50"/>
      <c r="JJS348" s="50"/>
      <c r="JJT348" s="50"/>
      <c r="JJU348" s="50"/>
      <c r="JJV348" s="50"/>
      <c r="JJW348" s="50"/>
      <c r="JJX348" s="50"/>
      <c r="JJY348" s="50"/>
      <c r="JJZ348" s="50"/>
      <c r="JKA348" s="50"/>
      <c r="JKB348" s="50"/>
      <c r="JKC348" s="50"/>
      <c r="JKD348" s="50"/>
      <c r="JKE348" s="50"/>
      <c r="JKF348" s="50"/>
      <c r="JKG348" s="50"/>
      <c r="JKH348" s="50"/>
      <c r="JKI348" s="50"/>
      <c r="JKJ348" s="50"/>
      <c r="JKK348" s="50"/>
      <c r="JKL348" s="50"/>
      <c r="JKM348" s="50"/>
      <c r="JKN348" s="50"/>
      <c r="JKO348" s="50"/>
      <c r="JKP348" s="50"/>
      <c r="JKQ348" s="50"/>
      <c r="JKR348" s="50"/>
      <c r="JKS348" s="50"/>
      <c r="JKT348" s="50"/>
      <c r="JKU348" s="50"/>
      <c r="JKV348" s="50"/>
      <c r="JKW348" s="50"/>
      <c r="JKX348" s="50"/>
      <c r="JKY348" s="50"/>
      <c r="JKZ348" s="50"/>
      <c r="JLA348" s="50"/>
      <c r="JLB348" s="50"/>
      <c r="JLC348" s="50"/>
      <c r="JLD348" s="50"/>
      <c r="JLE348" s="50"/>
      <c r="JLF348" s="50"/>
      <c r="JLG348" s="50"/>
      <c r="JLH348" s="50"/>
      <c r="JLI348" s="50"/>
      <c r="JLJ348" s="50"/>
      <c r="JLK348" s="50"/>
      <c r="JLL348" s="50"/>
      <c r="JLM348" s="50"/>
      <c r="JLN348" s="50"/>
      <c r="JLO348" s="50"/>
      <c r="JLP348" s="50"/>
      <c r="JLQ348" s="50"/>
      <c r="JLR348" s="50"/>
      <c r="JLS348" s="50"/>
      <c r="JLT348" s="50"/>
      <c r="JLU348" s="50"/>
      <c r="JLV348" s="50"/>
      <c r="JLW348" s="50"/>
      <c r="JLX348" s="50"/>
      <c r="JLY348" s="50"/>
      <c r="JLZ348" s="50"/>
      <c r="JMA348" s="50"/>
      <c r="JMB348" s="50"/>
      <c r="JMC348" s="50"/>
      <c r="JMD348" s="50"/>
      <c r="JME348" s="50"/>
      <c r="JMF348" s="50"/>
      <c r="JMG348" s="50"/>
      <c r="JMH348" s="50"/>
      <c r="JMI348" s="50"/>
      <c r="JMJ348" s="50"/>
      <c r="JMK348" s="50"/>
      <c r="JML348" s="50"/>
      <c r="JMM348" s="50"/>
      <c r="JMN348" s="50"/>
      <c r="JMO348" s="50"/>
      <c r="JMP348" s="50"/>
      <c r="JMQ348" s="50"/>
      <c r="JMR348" s="50"/>
      <c r="JMS348" s="50"/>
      <c r="JMT348" s="50"/>
      <c r="JMU348" s="50"/>
      <c r="JMV348" s="50"/>
      <c r="JMW348" s="50"/>
      <c r="JMX348" s="50"/>
      <c r="JMY348" s="50"/>
      <c r="JMZ348" s="50"/>
      <c r="JNA348" s="50"/>
      <c r="JNB348" s="50"/>
      <c r="JNC348" s="50"/>
      <c r="JND348" s="50"/>
      <c r="JNE348" s="50"/>
      <c r="JNF348" s="50"/>
      <c r="JNG348" s="50"/>
      <c r="JNH348" s="50"/>
      <c r="JNI348" s="50"/>
      <c r="JNJ348" s="50"/>
      <c r="JNK348" s="50"/>
      <c r="JNL348" s="50"/>
      <c r="JNM348" s="50"/>
      <c r="JNN348" s="50"/>
      <c r="JNO348" s="50"/>
      <c r="JNP348" s="50"/>
      <c r="JNQ348" s="50"/>
      <c r="JNR348" s="50"/>
      <c r="JNS348" s="50"/>
      <c r="JNT348" s="50"/>
      <c r="JNU348" s="50"/>
      <c r="JNV348" s="50"/>
      <c r="JNW348" s="50"/>
      <c r="JNX348" s="50"/>
      <c r="JNY348" s="50"/>
      <c r="JNZ348" s="50"/>
      <c r="JOA348" s="50"/>
      <c r="JOB348" s="50"/>
      <c r="JOC348" s="50"/>
      <c r="JOD348" s="50"/>
      <c r="JOE348" s="50"/>
      <c r="JOF348" s="50"/>
      <c r="JOG348" s="50"/>
      <c r="JOH348" s="50"/>
      <c r="JOI348" s="50"/>
      <c r="JOJ348" s="50"/>
      <c r="JOK348" s="50"/>
      <c r="JOL348" s="50"/>
      <c r="JOM348" s="50"/>
      <c r="JON348" s="50"/>
      <c r="JOO348" s="50"/>
      <c r="JOP348" s="50"/>
      <c r="JOQ348" s="50"/>
      <c r="JOR348" s="50"/>
      <c r="JOS348" s="50"/>
      <c r="JOT348" s="50"/>
      <c r="JOU348" s="50"/>
      <c r="JOV348" s="50"/>
      <c r="JOW348" s="50"/>
      <c r="JOX348" s="50"/>
      <c r="JOY348" s="50"/>
      <c r="JOZ348" s="50"/>
      <c r="JPA348" s="50"/>
      <c r="JPB348" s="50"/>
      <c r="JPC348" s="50"/>
      <c r="JPD348" s="50"/>
      <c r="JPE348" s="50"/>
      <c r="JPF348" s="50"/>
      <c r="JPG348" s="50"/>
      <c r="JPH348" s="50"/>
      <c r="JPI348" s="50"/>
      <c r="JPJ348" s="50"/>
      <c r="JPK348" s="50"/>
      <c r="JPL348" s="50"/>
      <c r="JPM348" s="50"/>
      <c r="JPN348" s="50"/>
      <c r="JPO348" s="50"/>
      <c r="JPP348" s="50"/>
      <c r="JPQ348" s="50"/>
      <c r="JPR348" s="50"/>
      <c r="JPS348" s="50"/>
      <c r="JPT348" s="50"/>
      <c r="JPU348" s="50"/>
      <c r="JPV348" s="50"/>
      <c r="JPW348" s="50"/>
      <c r="JPX348" s="50"/>
      <c r="JPY348" s="50"/>
      <c r="JPZ348" s="50"/>
      <c r="JQA348" s="50"/>
      <c r="JQB348" s="50"/>
      <c r="JQC348" s="50"/>
      <c r="JQD348" s="50"/>
      <c r="JQE348" s="50"/>
      <c r="JQF348" s="50"/>
      <c r="JQG348" s="50"/>
      <c r="JQH348" s="50"/>
      <c r="JQI348" s="50"/>
      <c r="JQJ348" s="50"/>
      <c r="JQK348" s="50"/>
      <c r="JQL348" s="50"/>
      <c r="JQM348" s="50"/>
      <c r="JQN348" s="50"/>
      <c r="JQO348" s="50"/>
      <c r="JQP348" s="50"/>
      <c r="JQQ348" s="50"/>
      <c r="JQR348" s="50"/>
      <c r="JQS348" s="50"/>
      <c r="JQT348" s="50"/>
      <c r="JQU348" s="50"/>
      <c r="JQV348" s="50"/>
      <c r="JQW348" s="50"/>
      <c r="JQX348" s="50"/>
      <c r="JQY348" s="50"/>
      <c r="JQZ348" s="50"/>
      <c r="JRA348" s="50"/>
      <c r="JRB348" s="50"/>
      <c r="JRC348" s="50"/>
      <c r="JRD348" s="50"/>
      <c r="JRE348" s="50"/>
      <c r="JRF348" s="50"/>
      <c r="JRG348" s="50"/>
      <c r="JRH348" s="50"/>
      <c r="JRI348" s="50"/>
      <c r="JRJ348" s="50"/>
      <c r="JRK348" s="50"/>
      <c r="JRL348" s="50"/>
      <c r="JRM348" s="50"/>
      <c r="JRN348" s="50"/>
      <c r="JRO348" s="50"/>
      <c r="JRP348" s="50"/>
      <c r="JRQ348" s="50"/>
      <c r="JRR348" s="50"/>
      <c r="JRS348" s="50"/>
      <c r="JRT348" s="50"/>
      <c r="JRU348" s="50"/>
      <c r="JRV348" s="50"/>
      <c r="JRW348" s="50"/>
      <c r="JRX348" s="50"/>
      <c r="JRY348" s="50"/>
      <c r="JRZ348" s="50"/>
      <c r="JSA348" s="50"/>
      <c r="JSB348" s="50"/>
      <c r="JSC348" s="50"/>
      <c r="JSD348" s="50"/>
      <c r="JSE348" s="50"/>
      <c r="JSF348" s="50"/>
      <c r="JSG348" s="50"/>
      <c r="JSH348" s="50"/>
      <c r="JSI348" s="50"/>
      <c r="JSJ348" s="50"/>
      <c r="JSK348" s="50"/>
      <c r="JSL348" s="50"/>
      <c r="JSM348" s="50"/>
      <c r="JSN348" s="50"/>
      <c r="JSO348" s="50"/>
      <c r="JSP348" s="50"/>
      <c r="JSQ348" s="50"/>
      <c r="JSR348" s="50"/>
      <c r="JSS348" s="50"/>
      <c r="JST348" s="50"/>
      <c r="JSU348" s="50"/>
      <c r="JSV348" s="50"/>
      <c r="JSW348" s="50"/>
      <c r="JSX348" s="50"/>
      <c r="JSY348" s="50"/>
      <c r="JSZ348" s="50"/>
      <c r="JTA348" s="50"/>
      <c r="JTB348" s="50"/>
      <c r="JTC348" s="50"/>
      <c r="JTD348" s="50"/>
      <c r="JTE348" s="50"/>
      <c r="JTF348" s="50"/>
      <c r="JTG348" s="50"/>
      <c r="JTH348" s="50"/>
      <c r="JTI348" s="50"/>
      <c r="JTJ348" s="50"/>
      <c r="JTK348" s="50"/>
      <c r="JTL348" s="50"/>
      <c r="JTM348" s="50"/>
      <c r="JTN348" s="50"/>
      <c r="JTO348" s="50"/>
      <c r="JTP348" s="50"/>
      <c r="JTQ348" s="50"/>
      <c r="JTR348" s="50"/>
      <c r="JTS348" s="50"/>
      <c r="JTT348" s="50"/>
      <c r="JTU348" s="50"/>
      <c r="JTV348" s="50"/>
      <c r="JTW348" s="50"/>
      <c r="JTX348" s="50"/>
      <c r="JTY348" s="50"/>
      <c r="JTZ348" s="50"/>
      <c r="JUA348" s="50"/>
      <c r="JUB348" s="50"/>
      <c r="JUC348" s="50"/>
      <c r="JUD348" s="50"/>
      <c r="JUE348" s="50"/>
      <c r="JUF348" s="50"/>
      <c r="JUG348" s="50"/>
      <c r="JUH348" s="50"/>
      <c r="JUI348" s="50"/>
      <c r="JUJ348" s="50"/>
      <c r="JUK348" s="50"/>
      <c r="JUL348" s="50"/>
      <c r="JUM348" s="50"/>
      <c r="JUN348" s="50"/>
      <c r="JUO348" s="50"/>
      <c r="JUP348" s="50"/>
      <c r="JUQ348" s="50"/>
      <c r="JUR348" s="50"/>
      <c r="JUS348" s="50"/>
      <c r="JUT348" s="50"/>
      <c r="JUU348" s="50"/>
      <c r="JUV348" s="50"/>
      <c r="JUW348" s="50"/>
      <c r="JUX348" s="50"/>
      <c r="JUY348" s="50"/>
      <c r="JUZ348" s="50"/>
      <c r="JVA348" s="50"/>
      <c r="JVB348" s="50"/>
      <c r="JVC348" s="50"/>
      <c r="JVD348" s="50"/>
      <c r="JVE348" s="50"/>
      <c r="JVF348" s="50"/>
      <c r="JVG348" s="50"/>
      <c r="JVH348" s="50"/>
      <c r="JVI348" s="50"/>
      <c r="JVJ348" s="50"/>
      <c r="JVK348" s="50"/>
      <c r="JVL348" s="50"/>
      <c r="JVM348" s="50"/>
      <c r="JVN348" s="50"/>
      <c r="JVO348" s="50"/>
      <c r="JVP348" s="50"/>
      <c r="JVQ348" s="50"/>
      <c r="JVR348" s="50"/>
      <c r="JVS348" s="50"/>
      <c r="JVT348" s="50"/>
      <c r="JVU348" s="50"/>
      <c r="JVV348" s="50"/>
      <c r="JVW348" s="50"/>
      <c r="JVX348" s="50"/>
      <c r="JVY348" s="50"/>
      <c r="JVZ348" s="50"/>
      <c r="JWA348" s="50"/>
      <c r="JWB348" s="50"/>
      <c r="JWC348" s="50"/>
      <c r="JWD348" s="50"/>
      <c r="JWE348" s="50"/>
      <c r="JWF348" s="50"/>
      <c r="JWG348" s="50"/>
      <c r="JWH348" s="50"/>
      <c r="JWI348" s="50"/>
      <c r="JWJ348" s="50"/>
      <c r="JWK348" s="50"/>
      <c r="JWL348" s="50"/>
      <c r="JWM348" s="50"/>
      <c r="JWN348" s="50"/>
      <c r="JWO348" s="50"/>
      <c r="JWP348" s="50"/>
      <c r="JWQ348" s="50"/>
      <c r="JWR348" s="50"/>
      <c r="JWS348" s="50"/>
      <c r="JWT348" s="50"/>
      <c r="JWU348" s="50"/>
      <c r="JWV348" s="50"/>
      <c r="JWW348" s="50"/>
      <c r="JWX348" s="50"/>
      <c r="JWY348" s="50"/>
      <c r="JWZ348" s="50"/>
      <c r="JXA348" s="50"/>
      <c r="JXB348" s="50"/>
      <c r="JXC348" s="50"/>
      <c r="JXD348" s="50"/>
      <c r="JXE348" s="50"/>
      <c r="JXF348" s="50"/>
      <c r="JXG348" s="50"/>
      <c r="JXH348" s="50"/>
      <c r="JXI348" s="50"/>
      <c r="JXJ348" s="50"/>
      <c r="JXK348" s="50"/>
      <c r="JXL348" s="50"/>
      <c r="JXM348" s="50"/>
      <c r="JXN348" s="50"/>
      <c r="JXO348" s="50"/>
      <c r="JXP348" s="50"/>
      <c r="JXQ348" s="50"/>
      <c r="JXR348" s="50"/>
      <c r="JXS348" s="50"/>
      <c r="JXT348" s="50"/>
      <c r="JXU348" s="50"/>
      <c r="JXV348" s="50"/>
      <c r="JXW348" s="50"/>
      <c r="JXX348" s="50"/>
      <c r="JXY348" s="50"/>
      <c r="JXZ348" s="50"/>
      <c r="JYA348" s="50"/>
      <c r="JYB348" s="50"/>
      <c r="JYC348" s="50"/>
      <c r="JYD348" s="50"/>
      <c r="JYE348" s="50"/>
      <c r="JYF348" s="50"/>
      <c r="JYG348" s="50"/>
      <c r="JYH348" s="50"/>
      <c r="JYI348" s="50"/>
      <c r="JYJ348" s="50"/>
      <c r="JYK348" s="50"/>
      <c r="JYL348" s="50"/>
      <c r="JYM348" s="50"/>
      <c r="JYN348" s="50"/>
      <c r="JYO348" s="50"/>
      <c r="JYP348" s="50"/>
      <c r="JYQ348" s="50"/>
      <c r="JYR348" s="50"/>
      <c r="JYS348" s="50"/>
      <c r="JYT348" s="50"/>
      <c r="JYU348" s="50"/>
      <c r="JYV348" s="50"/>
      <c r="JYW348" s="50"/>
      <c r="JYX348" s="50"/>
      <c r="JYY348" s="50"/>
      <c r="JYZ348" s="50"/>
      <c r="JZA348" s="50"/>
      <c r="JZB348" s="50"/>
      <c r="JZC348" s="50"/>
      <c r="JZD348" s="50"/>
      <c r="JZE348" s="50"/>
      <c r="JZF348" s="50"/>
      <c r="JZG348" s="50"/>
      <c r="JZH348" s="50"/>
      <c r="JZI348" s="50"/>
      <c r="JZJ348" s="50"/>
      <c r="JZK348" s="50"/>
      <c r="JZL348" s="50"/>
      <c r="JZM348" s="50"/>
      <c r="JZN348" s="50"/>
      <c r="JZO348" s="50"/>
      <c r="JZP348" s="50"/>
      <c r="JZQ348" s="50"/>
      <c r="JZR348" s="50"/>
      <c r="JZS348" s="50"/>
      <c r="JZT348" s="50"/>
      <c r="JZU348" s="50"/>
      <c r="JZV348" s="50"/>
      <c r="JZW348" s="50"/>
      <c r="JZX348" s="50"/>
      <c r="JZY348" s="50"/>
      <c r="JZZ348" s="50"/>
      <c r="KAA348" s="50"/>
      <c r="KAB348" s="50"/>
      <c r="KAC348" s="50"/>
      <c r="KAD348" s="50"/>
      <c r="KAE348" s="50"/>
      <c r="KAF348" s="50"/>
      <c r="KAG348" s="50"/>
      <c r="KAH348" s="50"/>
      <c r="KAI348" s="50"/>
      <c r="KAJ348" s="50"/>
      <c r="KAK348" s="50"/>
      <c r="KAL348" s="50"/>
      <c r="KAM348" s="50"/>
      <c r="KAN348" s="50"/>
      <c r="KAO348" s="50"/>
      <c r="KAP348" s="50"/>
      <c r="KAQ348" s="50"/>
      <c r="KAR348" s="50"/>
      <c r="KAS348" s="50"/>
      <c r="KAT348" s="50"/>
      <c r="KAU348" s="50"/>
      <c r="KAV348" s="50"/>
      <c r="KAW348" s="50"/>
      <c r="KAX348" s="50"/>
      <c r="KAY348" s="50"/>
      <c r="KAZ348" s="50"/>
      <c r="KBA348" s="50"/>
      <c r="KBB348" s="50"/>
      <c r="KBC348" s="50"/>
      <c r="KBD348" s="50"/>
      <c r="KBE348" s="50"/>
      <c r="KBF348" s="50"/>
      <c r="KBG348" s="50"/>
      <c r="KBH348" s="50"/>
      <c r="KBI348" s="50"/>
      <c r="KBJ348" s="50"/>
      <c r="KBK348" s="50"/>
      <c r="KBL348" s="50"/>
      <c r="KBM348" s="50"/>
      <c r="KBN348" s="50"/>
      <c r="KBO348" s="50"/>
      <c r="KBP348" s="50"/>
      <c r="KBQ348" s="50"/>
      <c r="KBR348" s="50"/>
      <c r="KBS348" s="50"/>
      <c r="KBT348" s="50"/>
      <c r="KBU348" s="50"/>
      <c r="KBV348" s="50"/>
      <c r="KBW348" s="50"/>
      <c r="KBX348" s="50"/>
      <c r="KBY348" s="50"/>
      <c r="KBZ348" s="50"/>
      <c r="KCA348" s="50"/>
      <c r="KCB348" s="50"/>
      <c r="KCC348" s="50"/>
      <c r="KCD348" s="50"/>
      <c r="KCE348" s="50"/>
      <c r="KCF348" s="50"/>
      <c r="KCG348" s="50"/>
      <c r="KCH348" s="50"/>
      <c r="KCI348" s="50"/>
      <c r="KCJ348" s="50"/>
      <c r="KCK348" s="50"/>
      <c r="KCL348" s="50"/>
      <c r="KCM348" s="50"/>
      <c r="KCN348" s="50"/>
      <c r="KCO348" s="50"/>
      <c r="KCP348" s="50"/>
      <c r="KCQ348" s="50"/>
      <c r="KCR348" s="50"/>
      <c r="KCS348" s="50"/>
      <c r="KCT348" s="50"/>
      <c r="KCU348" s="50"/>
      <c r="KCV348" s="50"/>
      <c r="KCW348" s="50"/>
      <c r="KCX348" s="50"/>
      <c r="KCY348" s="50"/>
      <c r="KCZ348" s="50"/>
      <c r="KDA348" s="50"/>
      <c r="KDB348" s="50"/>
      <c r="KDC348" s="50"/>
      <c r="KDD348" s="50"/>
      <c r="KDE348" s="50"/>
      <c r="KDF348" s="50"/>
      <c r="KDG348" s="50"/>
      <c r="KDH348" s="50"/>
      <c r="KDI348" s="50"/>
      <c r="KDJ348" s="50"/>
      <c r="KDK348" s="50"/>
      <c r="KDL348" s="50"/>
      <c r="KDM348" s="50"/>
      <c r="KDN348" s="50"/>
      <c r="KDO348" s="50"/>
      <c r="KDP348" s="50"/>
      <c r="KDQ348" s="50"/>
      <c r="KDR348" s="50"/>
      <c r="KDS348" s="50"/>
      <c r="KDT348" s="50"/>
      <c r="KDU348" s="50"/>
      <c r="KDV348" s="50"/>
      <c r="KDW348" s="50"/>
      <c r="KDX348" s="50"/>
      <c r="KDY348" s="50"/>
      <c r="KDZ348" s="50"/>
      <c r="KEA348" s="50"/>
      <c r="KEB348" s="50"/>
      <c r="KEC348" s="50"/>
      <c r="KED348" s="50"/>
      <c r="KEE348" s="50"/>
      <c r="KEF348" s="50"/>
      <c r="KEG348" s="50"/>
      <c r="KEH348" s="50"/>
      <c r="KEI348" s="50"/>
      <c r="KEJ348" s="50"/>
      <c r="KEK348" s="50"/>
      <c r="KEL348" s="50"/>
      <c r="KEM348" s="50"/>
      <c r="KEN348" s="50"/>
      <c r="KEO348" s="50"/>
      <c r="KEP348" s="50"/>
      <c r="KEQ348" s="50"/>
      <c r="KER348" s="50"/>
      <c r="KES348" s="50"/>
      <c r="KET348" s="50"/>
      <c r="KEU348" s="50"/>
      <c r="KEV348" s="50"/>
      <c r="KEW348" s="50"/>
      <c r="KEX348" s="50"/>
      <c r="KEY348" s="50"/>
      <c r="KEZ348" s="50"/>
      <c r="KFA348" s="50"/>
      <c r="KFB348" s="50"/>
      <c r="KFC348" s="50"/>
      <c r="KFD348" s="50"/>
      <c r="KFE348" s="50"/>
      <c r="KFF348" s="50"/>
      <c r="KFG348" s="50"/>
      <c r="KFH348" s="50"/>
      <c r="KFI348" s="50"/>
      <c r="KFJ348" s="50"/>
      <c r="KFK348" s="50"/>
      <c r="KFL348" s="50"/>
      <c r="KFM348" s="50"/>
      <c r="KFN348" s="50"/>
      <c r="KFO348" s="50"/>
      <c r="KFP348" s="50"/>
      <c r="KFQ348" s="50"/>
      <c r="KFR348" s="50"/>
      <c r="KFS348" s="50"/>
      <c r="KFT348" s="50"/>
      <c r="KFU348" s="50"/>
      <c r="KFV348" s="50"/>
      <c r="KFW348" s="50"/>
      <c r="KFX348" s="50"/>
      <c r="KFY348" s="50"/>
      <c r="KFZ348" s="50"/>
      <c r="KGA348" s="50"/>
      <c r="KGB348" s="50"/>
      <c r="KGC348" s="50"/>
      <c r="KGD348" s="50"/>
      <c r="KGE348" s="50"/>
      <c r="KGF348" s="50"/>
      <c r="KGG348" s="50"/>
      <c r="KGH348" s="50"/>
      <c r="KGI348" s="50"/>
      <c r="KGJ348" s="50"/>
      <c r="KGK348" s="50"/>
      <c r="KGL348" s="50"/>
      <c r="KGM348" s="50"/>
      <c r="KGN348" s="50"/>
      <c r="KGO348" s="50"/>
      <c r="KGP348" s="50"/>
      <c r="KGQ348" s="50"/>
      <c r="KGR348" s="50"/>
      <c r="KGS348" s="50"/>
      <c r="KGT348" s="50"/>
      <c r="KGU348" s="50"/>
      <c r="KGV348" s="50"/>
      <c r="KGW348" s="50"/>
      <c r="KGX348" s="50"/>
      <c r="KGY348" s="50"/>
      <c r="KGZ348" s="50"/>
      <c r="KHA348" s="50"/>
      <c r="KHB348" s="50"/>
      <c r="KHC348" s="50"/>
      <c r="KHD348" s="50"/>
      <c r="KHE348" s="50"/>
      <c r="KHF348" s="50"/>
      <c r="KHG348" s="50"/>
      <c r="KHH348" s="50"/>
      <c r="KHI348" s="50"/>
      <c r="KHJ348" s="50"/>
      <c r="KHK348" s="50"/>
      <c r="KHL348" s="50"/>
      <c r="KHM348" s="50"/>
      <c r="KHN348" s="50"/>
      <c r="KHO348" s="50"/>
      <c r="KHP348" s="50"/>
      <c r="KHQ348" s="50"/>
      <c r="KHR348" s="50"/>
      <c r="KHS348" s="50"/>
      <c r="KHT348" s="50"/>
      <c r="KHU348" s="50"/>
      <c r="KHV348" s="50"/>
      <c r="KHW348" s="50"/>
      <c r="KHX348" s="50"/>
      <c r="KHY348" s="50"/>
      <c r="KHZ348" s="50"/>
      <c r="KIA348" s="50"/>
      <c r="KIB348" s="50"/>
      <c r="KIC348" s="50"/>
      <c r="KID348" s="50"/>
      <c r="KIE348" s="50"/>
      <c r="KIF348" s="50"/>
      <c r="KIG348" s="50"/>
      <c r="KIH348" s="50"/>
      <c r="KII348" s="50"/>
      <c r="KIJ348" s="50"/>
      <c r="KIK348" s="50"/>
      <c r="KIL348" s="50"/>
      <c r="KIM348" s="50"/>
      <c r="KIN348" s="50"/>
      <c r="KIO348" s="50"/>
      <c r="KIP348" s="50"/>
      <c r="KIQ348" s="50"/>
      <c r="KIR348" s="50"/>
      <c r="KIS348" s="50"/>
      <c r="KIT348" s="50"/>
      <c r="KIU348" s="50"/>
      <c r="KIV348" s="50"/>
      <c r="KIW348" s="50"/>
      <c r="KIX348" s="50"/>
      <c r="KIY348" s="50"/>
      <c r="KIZ348" s="50"/>
      <c r="KJA348" s="50"/>
      <c r="KJB348" s="50"/>
      <c r="KJC348" s="50"/>
      <c r="KJD348" s="50"/>
      <c r="KJE348" s="50"/>
      <c r="KJF348" s="50"/>
      <c r="KJG348" s="50"/>
      <c r="KJH348" s="50"/>
      <c r="KJI348" s="50"/>
      <c r="KJJ348" s="50"/>
      <c r="KJK348" s="50"/>
      <c r="KJL348" s="50"/>
      <c r="KJM348" s="50"/>
      <c r="KJN348" s="50"/>
      <c r="KJO348" s="50"/>
      <c r="KJP348" s="50"/>
      <c r="KJQ348" s="50"/>
      <c r="KJR348" s="50"/>
      <c r="KJS348" s="50"/>
      <c r="KJT348" s="50"/>
      <c r="KJU348" s="50"/>
      <c r="KJV348" s="50"/>
      <c r="KJW348" s="50"/>
      <c r="KJX348" s="50"/>
      <c r="KJY348" s="50"/>
      <c r="KJZ348" s="50"/>
      <c r="KKA348" s="50"/>
      <c r="KKB348" s="50"/>
      <c r="KKC348" s="50"/>
      <c r="KKD348" s="50"/>
      <c r="KKE348" s="50"/>
      <c r="KKF348" s="50"/>
      <c r="KKG348" s="50"/>
      <c r="KKH348" s="50"/>
      <c r="KKI348" s="50"/>
      <c r="KKJ348" s="50"/>
      <c r="KKK348" s="50"/>
      <c r="KKL348" s="50"/>
      <c r="KKM348" s="50"/>
      <c r="KKN348" s="50"/>
      <c r="KKO348" s="50"/>
      <c r="KKP348" s="50"/>
      <c r="KKQ348" s="50"/>
      <c r="KKR348" s="50"/>
      <c r="KKS348" s="50"/>
      <c r="KKT348" s="50"/>
      <c r="KKU348" s="50"/>
      <c r="KKV348" s="50"/>
      <c r="KKW348" s="50"/>
      <c r="KKX348" s="50"/>
      <c r="KKY348" s="50"/>
      <c r="KKZ348" s="50"/>
      <c r="KLA348" s="50"/>
      <c r="KLB348" s="50"/>
      <c r="KLC348" s="50"/>
      <c r="KLD348" s="50"/>
      <c r="KLE348" s="50"/>
      <c r="KLF348" s="50"/>
      <c r="KLG348" s="50"/>
      <c r="KLH348" s="50"/>
      <c r="KLI348" s="50"/>
      <c r="KLJ348" s="50"/>
      <c r="KLK348" s="50"/>
      <c r="KLL348" s="50"/>
      <c r="KLM348" s="50"/>
      <c r="KLN348" s="50"/>
      <c r="KLO348" s="50"/>
      <c r="KLP348" s="50"/>
      <c r="KLQ348" s="50"/>
      <c r="KLR348" s="50"/>
      <c r="KLS348" s="50"/>
      <c r="KLT348" s="50"/>
      <c r="KLU348" s="50"/>
      <c r="KLV348" s="50"/>
      <c r="KLW348" s="50"/>
      <c r="KLX348" s="50"/>
      <c r="KLY348" s="50"/>
      <c r="KLZ348" s="50"/>
      <c r="KMA348" s="50"/>
      <c r="KMB348" s="50"/>
      <c r="KMC348" s="50"/>
      <c r="KMD348" s="50"/>
      <c r="KME348" s="50"/>
      <c r="KMF348" s="50"/>
      <c r="KMG348" s="50"/>
      <c r="KMH348" s="50"/>
      <c r="KMI348" s="50"/>
      <c r="KMJ348" s="50"/>
      <c r="KMK348" s="50"/>
      <c r="KML348" s="50"/>
      <c r="KMM348" s="50"/>
      <c r="KMN348" s="50"/>
      <c r="KMO348" s="50"/>
      <c r="KMP348" s="50"/>
      <c r="KMQ348" s="50"/>
      <c r="KMR348" s="50"/>
      <c r="KMS348" s="50"/>
      <c r="KMT348" s="50"/>
      <c r="KMU348" s="50"/>
      <c r="KMV348" s="50"/>
      <c r="KMW348" s="50"/>
      <c r="KMX348" s="50"/>
      <c r="KMY348" s="50"/>
      <c r="KMZ348" s="50"/>
      <c r="KNA348" s="50"/>
      <c r="KNB348" s="50"/>
      <c r="KNC348" s="50"/>
      <c r="KND348" s="50"/>
      <c r="KNE348" s="50"/>
      <c r="KNF348" s="50"/>
      <c r="KNG348" s="50"/>
      <c r="KNH348" s="50"/>
      <c r="KNI348" s="50"/>
      <c r="KNJ348" s="50"/>
      <c r="KNK348" s="50"/>
      <c r="KNL348" s="50"/>
      <c r="KNM348" s="50"/>
      <c r="KNN348" s="50"/>
      <c r="KNO348" s="50"/>
      <c r="KNP348" s="50"/>
      <c r="KNQ348" s="50"/>
      <c r="KNR348" s="50"/>
      <c r="KNS348" s="50"/>
      <c r="KNT348" s="50"/>
      <c r="KNU348" s="50"/>
      <c r="KNV348" s="50"/>
      <c r="KNW348" s="50"/>
      <c r="KNX348" s="50"/>
      <c r="KNY348" s="50"/>
      <c r="KNZ348" s="50"/>
      <c r="KOA348" s="50"/>
      <c r="KOB348" s="50"/>
      <c r="KOC348" s="50"/>
      <c r="KOD348" s="50"/>
      <c r="KOE348" s="50"/>
      <c r="KOF348" s="50"/>
      <c r="KOG348" s="50"/>
      <c r="KOH348" s="50"/>
      <c r="KOI348" s="50"/>
      <c r="KOJ348" s="50"/>
      <c r="KOK348" s="50"/>
      <c r="KOL348" s="50"/>
      <c r="KOM348" s="50"/>
      <c r="KON348" s="50"/>
      <c r="KOO348" s="50"/>
      <c r="KOP348" s="50"/>
      <c r="KOQ348" s="50"/>
      <c r="KOR348" s="50"/>
      <c r="KOS348" s="50"/>
      <c r="KOT348" s="50"/>
      <c r="KOU348" s="50"/>
      <c r="KOV348" s="50"/>
      <c r="KOW348" s="50"/>
      <c r="KOX348" s="50"/>
      <c r="KOY348" s="50"/>
      <c r="KOZ348" s="50"/>
      <c r="KPA348" s="50"/>
      <c r="KPB348" s="50"/>
      <c r="KPC348" s="50"/>
      <c r="KPD348" s="50"/>
      <c r="KPE348" s="50"/>
      <c r="KPF348" s="50"/>
      <c r="KPG348" s="50"/>
      <c r="KPH348" s="50"/>
      <c r="KPI348" s="50"/>
      <c r="KPJ348" s="50"/>
      <c r="KPK348" s="50"/>
      <c r="KPL348" s="50"/>
      <c r="KPM348" s="50"/>
      <c r="KPN348" s="50"/>
      <c r="KPO348" s="50"/>
      <c r="KPP348" s="50"/>
      <c r="KPQ348" s="50"/>
      <c r="KPR348" s="50"/>
      <c r="KPS348" s="50"/>
      <c r="KPT348" s="50"/>
      <c r="KPU348" s="50"/>
      <c r="KPV348" s="50"/>
      <c r="KPW348" s="50"/>
      <c r="KPX348" s="50"/>
      <c r="KPY348" s="50"/>
      <c r="KPZ348" s="50"/>
      <c r="KQA348" s="50"/>
      <c r="KQB348" s="50"/>
      <c r="KQC348" s="50"/>
      <c r="KQD348" s="50"/>
      <c r="KQE348" s="50"/>
      <c r="KQF348" s="50"/>
      <c r="KQG348" s="50"/>
      <c r="KQH348" s="50"/>
      <c r="KQI348" s="50"/>
      <c r="KQJ348" s="50"/>
      <c r="KQK348" s="50"/>
      <c r="KQL348" s="50"/>
      <c r="KQM348" s="50"/>
      <c r="KQN348" s="50"/>
      <c r="KQO348" s="50"/>
      <c r="KQP348" s="50"/>
      <c r="KQQ348" s="50"/>
      <c r="KQR348" s="50"/>
      <c r="KQS348" s="50"/>
      <c r="KQT348" s="50"/>
      <c r="KQU348" s="50"/>
      <c r="KQV348" s="50"/>
      <c r="KQW348" s="50"/>
      <c r="KQX348" s="50"/>
      <c r="KQY348" s="50"/>
      <c r="KQZ348" s="50"/>
      <c r="KRA348" s="50"/>
      <c r="KRB348" s="50"/>
      <c r="KRC348" s="50"/>
      <c r="KRD348" s="50"/>
      <c r="KRE348" s="50"/>
      <c r="KRF348" s="50"/>
      <c r="KRG348" s="50"/>
      <c r="KRH348" s="50"/>
      <c r="KRI348" s="50"/>
      <c r="KRJ348" s="50"/>
      <c r="KRK348" s="50"/>
      <c r="KRL348" s="50"/>
      <c r="KRM348" s="50"/>
      <c r="KRN348" s="50"/>
      <c r="KRO348" s="50"/>
      <c r="KRP348" s="50"/>
      <c r="KRQ348" s="50"/>
      <c r="KRR348" s="50"/>
      <c r="KRS348" s="50"/>
      <c r="KRT348" s="50"/>
      <c r="KRU348" s="50"/>
      <c r="KRV348" s="50"/>
      <c r="KRW348" s="50"/>
      <c r="KRX348" s="50"/>
      <c r="KRY348" s="50"/>
      <c r="KRZ348" s="50"/>
      <c r="KSA348" s="50"/>
      <c r="KSB348" s="50"/>
      <c r="KSC348" s="50"/>
      <c r="KSD348" s="50"/>
      <c r="KSE348" s="50"/>
      <c r="KSF348" s="50"/>
      <c r="KSG348" s="50"/>
      <c r="KSH348" s="50"/>
      <c r="KSI348" s="50"/>
      <c r="KSJ348" s="50"/>
      <c r="KSK348" s="50"/>
      <c r="KSL348" s="50"/>
      <c r="KSM348" s="50"/>
      <c r="KSN348" s="50"/>
      <c r="KSO348" s="50"/>
      <c r="KSP348" s="50"/>
      <c r="KSQ348" s="50"/>
      <c r="KSR348" s="50"/>
      <c r="KSS348" s="50"/>
      <c r="KST348" s="50"/>
      <c r="KSU348" s="50"/>
      <c r="KSV348" s="50"/>
      <c r="KSW348" s="50"/>
      <c r="KSX348" s="50"/>
      <c r="KSY348" s="50"/>
      <c r="KSZ348" s="50"/>
      <c r="KTA348" s="50"/>
      <c r="KTB348" s="50"/>
      <c r="KTC348" s="50"/>
      <c r="KTD348" s="50"/>
      <c r="KTE348" s="50"/>
      <c r="KTF348" s="50"/>
      <c r="KTG348" s="50"/>
      <c r="KTH348" s="50"/>
      <c r="KTI348" s="50"/>
      <c r="KTJ348" s="50"/>
      <c r="KTK348" s="50"/>
      <c r="KTL348" s="50"/>
      <c r="KTM348" s="50"/>
      <c r="KTN348" s="50"/>
      <c r="KTO348" s="50"/>
      <c r="KTP348" s="50"/>
      <c r="KTQ348" s="50"/>
      <c r="KTR348" s="50"/>
      <c r="KTS348" s="50"/>
      <c r="KTT348" s="50"/>
      <c r="KTU348" s="50"/>
      <c r="KTV348" s="50"/>
      <c r="KTW348" s="50"/>
      <c r="KTX348" s="50"/>
      <c r="KTY348" s="50"/>
      <c r="KTZ348" s="50"/>
      <c r="KUA348" s="50"/>
      <c r="KUB348" s="50"/>
      <c r="KUC348" s="50"/>
      <c r="KUD348" s="50"/>
      <c r="KUE348" s="50"/>
      <c r="KUF348" s="50"/>
      <c r="KUG348" s="50"/>
      <c r="KUH348" s="50"/>
      <c r="KUI348" s="50"/>
      <c r="KUJ348" s="50"/>
      <c r="KUK348" s="50"/>
      <c r="KUL348" s="50"/>
      <c r="KUM348" s="50"/>
      <c r="KUN348" s="50"/>
      <c r="KUO348" s="50"/>
      <c r="KUP348" s="50"/>
      <c r="KUQ348" s="50"/>
      <c r="KUR348" s="50"/>
      <c r="KUS348" s="50"/>
      <c r="KUT348" s="50"/>
      <c r="KUU348" s="50"/>
      <c r="KUV348" s="50"/>
      <c r="KUW348" s="50"/>
      <c r="KUX348" s="50"/>
      <c r="KUY348" s="50"/>
      <c r="KUZ348" s="50"/>
      <c r="KVA348" s="50"/>
      <c r="KVB348" s="50"/>
      <c r="KVC348" s="50"/>
      <c r="KVD348" s="50"/>
      <c r="KVE348" s="50"/>
      <c r="KVF348" s="50"/>
      <c r="KVG348" s="50"/>
      <c r="KVH348" s="50"/>
      <c r="KVI348" s="50"/>
      <c r="KVJ348" s="50"/>
      <c r="KVK348" s="50"/>
      <c r="KVL348" s="50"/>
      <c r="KVM348" s="50"/>
      <c r="KVN348" s="50"/>
      <c r="KVO348" s="50"/>
      <c r="KVP348" s="50"/>
      <c r="KVQ348" s="50"/>
      <c r="KVR348" s="50"/>
      <c r="KVS348" s="50"/>
      <c r="KVT348" s="50"/>
      <c r="KVU348" s="50"/>
      <c r="KVV348" s="50"/>
      <c r="KVW348" s="50"/>
      <c r="KVX348" s="50"/>
      <c r="KVY348" s="50"/>
      <c r="KVZ348" s="50"/>
      <c r="KWA348" s="50"/>
      <c r="KWB348" s="50"/>
      <c r="KWC348" s="50"/>
      <c r="KWD348" s="50"/>
      <c r="KWE348" s="50"/>
      <c r="KWF348" s="50"/>
      <c r="KWG348" s="50"/>
      <c r="KWH348" s="50"/>
      <c r="KWI348" s="50"/>
      <c r="KWJ348" s="50"/>
      <c r="KWK348" s="50"/>
      <c r="KWL348" s="50"/>
      <c r="KWM348" s="50"/>
      <c r="KWN348" s="50"/>
      <c r="KWO348" s="50"/>
      <c r="KWP348" s="50"/>
      <c r="KWQ348" s="50"/>
      <c r="KWR348" s="50"/>
      <c r="KWS348" s="50"/>
      <c r="KWT348" s="50"/>
      <c r="KWU348" s="50"/>
      <c r="KWV348" s="50"/>
      <c r="KWW348" s="50"/>
      <c r="KWX348" s="50"/>
      <c r="KWY348" s="50"/>
      <c r="KWZ348" s="50"/>
      <c r="KXA348" s="50"/>
      <c r="KXB348" s="50"/>
      <c r="KXC348" s="50"/>
      <c r="KXD348" s="50"/>
      <c r="KXE348" s="50"/>
      <c r="KXF348" s="50"/>
      <c r="KXG348" s="50"/>
      <c r="KXH348" s="50"/>
      <c r="KXI348" s="50"/>
      <c r="KXJ348" s="50"/>
      <c r="KXK348" s="50"/>
      <c r="KXL348" s="50"/>
      <c r="KXM348" s="50"/>
      <c r="KXN348" s="50"/>
      <c r="KXO348" s="50"/>
      <c r="KXP348" s="50"/>
      <c r="KXQ348" s="50"/>
      <c r="KXR348" s="50"/>
      <c r="KXS348" s="50"/>
      <c r="KXT348" s="50"/>
      <c r="KXU348" s="50"/>
      <c r="KXV348" s="50"/>
      <c r="KXW348" s="50"/>
      <c r="KXX348" s="50"/>
      <c r="KXY348" s="50"/>
      <c r="KXZ348" s="50"/>
      <c r="KYA348" s="50"/>
      <c r="KYB348" s="50"/>
      <c r="KYC348" s="50"/>
      <c r="KYD348" s="50"/>
      <c r="KYE348" s="50"/>
      <c r="KYF348" s="50"/>
      <c r="KYG348" s="50"/>
      <c r="KYH348" s="50"/>
      <c r="KYI348" s="50"/>
      <c r="KYJ348" s="50"/>
      <c r="KYK348" s="50"/>
      <c r="KYL348" s="50"/>
      <c r="KYM348" s="50"/>
      <c r="KYN348" s="50"/>
      <c r="KYO348" s="50"/>
      <c r="KYP348" s="50"/>
      <c r="KYQ348" s="50"/>
      <c r="KYR348" s="50"/>
      <c r="KYS348" s="50"/>
      <c r="KYT348" s="50"/>
      <c r="KYU348" s="50"/>
      <c r="KYV348" s="50"/>
      <c r="KYW348" s="50"/>
      <c r="KYX348" s="50"/>
      <c r="KYY348" s="50"/>
      <c r="KYZ348" s="50"/>
      <c r="KZA348" s="50"/>
      <c r="KZB348" s="50"/>
      <c r="KZC348" s="50"/>
      <c r="KZD348" s="50"/>
      <c r="KZE348" s="50"/>
      <c r="KZF348" s="50"/>
      <c r="KZG348" s="50"/>
      <c r="KZH348" s="50"/>
      <c r="KZI348" s="50"/>
      <c r="KZJ348" s="50"/>
      <c r="KZK348" s="50"/>
      <c r="KZL348" s="50"/>
      <c r="KZM348" s="50"/>
      <c r="KZN348" s="50"/>
      <c r="KZO348" s="50"/>
      <c r="KZP348" s="50"/>
      <c r="KZQ348" s="50"/>
      <c r="KZR348" s="50"/>
      <c r="KZS348" s="50"/>
      <c r="KZT348" s="50"/>
      <c r="KZU348" s="50"/>
      <c r="KZV348" s="50"/>
      <c r="KZW348" s="50"/>
      <c r="KZX348" s="50"/>
      <c r="KZY348" s="50"/>
      <c r="KZZ348" s="50"/>
      <c r="LAA348" s="50"/>
      <c r="LAB348" s="50"/>
      <c r="LAC348" s="50"/>
      <c r="LAD348" s="50"/>
      <c r="LAE348" s="50"/>
      <c r="LAF348" s="50"/>
      <c r="LAG348" s="50"/>
      <c r="LAH348" s="50"/>
      <c r="LAI348" s="50"/>
      <c r="LAJ348" s="50"/>
      <c r="LAK348" s="50"/>
      <c r="LAL348" s="50"/>
      <c r="LAM348" s="50"/>
      <c r="LAN348" s="50"/>
      <c r="LAO348" s="50"/>
      <c r="LAP348" s="50"/>
      <c r="LAQ348" s="50"/>
      <c r="LAR348" s="50"/>
      <c r="LAS348" s="50"/>
      <c r="LAT348" s="50"/>
      <c r="LAU348" s="50"/>
      <c r="LAV348" s="50"/>
      <c r="LAW348" s="50"/>
      <c r="LAX348" s="50"/>
      <c r="LAY348" s="50"/>
      <c r="LAZ348" s="50"/>
      <c r="LBA348" s="50"/>
      <c r="LBB348" s="50"/>
      <c r="LBC348" s="50"/>
      <c r="LBD348" s="50"/>
      <c r="LBE348" s="50"/>
      <c r="LBF348" s="50"/>
      <c r="LBG348" s="50"/>
      <c r="LBH348" s="50"/>
      <c r="LBI348" s="50"/>
      <c r="LBJ348" s="50"/>
      <c r="LBK348" s="50"/>
      <c r="LBL348" s="50"/>
      <c r="LBM348" s="50"/>
      <c r="LBN348" s="50"/>
      <c r="LBO348" s="50"/>
      <c r="LBP348" s="50"/>
      <c r="LBQ348" s="50"/>
      <c r="LBR348" s="50"/>
      <c r="LBS348" s="50"/>
      <c r="LBT348" s="50"/>
      <c r="LBU348" s="50"/>
      <c r="LBV348" s="50"/>
      <c r="LBW348" s="50"/>
      <c r="LBX348" s="50"/>
      <c r="LBY348" s="50"/>
      <c r="LBZ348" s="50"/>
      <c r="LCA348" s="50"/>
      <c r="LCB348" s="50"/>
      <c r="LCC348" s="50"/>
      <c r="LCD348" s="50"/>
      <c r="LCE348" s="50"/>
      <c r="LCF348" s="50"/>
      <c r="LCG348" s="50"/>
      <c r="LCH348" s="50"/>
      <c r="LCI348" s="50"/>
      <c r="LCJ348" s="50"/>
      <c r="LCK348" s="50"/>
      <c r="LCL348" s="50"/>
      <c r="LCM348" s="50"/>
      <c r="LCN348" s="50"/>
      <c r="LCO348" s="50"/>
      <c r="LCP348" s="50"/>
      <c r="LCQ348" s="50"/>
      <c r="LCR348" s="50"/>
      <c r="LCS348" s="50"/>
      <c r="LCT348" s="50"/>
      <c r="LCU348" s="50"/>
      <c r="LCV348" s="50"/>
      <c r="LCW348" s="50"/>
      <c r="LCX348" s="50"/>
      <c r="LCY348" s="50"/>
      <c r="LCZ348" s="50"/>
      <c r="LDA348" s="50"/>
      <c r="LDB348" s="50"/>
      <c r="LDC348" s="50"/>
      <c r="LDD348" s="50"/>
      <c r="LDE348" s="50"/>
      <c r="LDF348" s="50"/>
      <c r="LDG348" s="50"/>
      <c r="LDH348" s="50"/>
      <c r="LDI348" s="50"/>
      <c r="LDJ348" s="50"/>
      <c r="LDK348" s="50"/>
      <c r="LDL348" s="50"/>
      <c r="LDM348" s="50"/>
      <c r="LDN348" s="50"/>
      <c r="LDO348" s="50"/>
      <c r="LDP348" s="50"/>
      <c r="LDQ348" s="50"/>
      <c r="LDR348" s="50"/>
      <c r="LDS348" s="50"/>
      <c r="LDT348" s="50"/>
      <c r="LDU348" s="50"/>
      <c r="LDV348" s="50"/>
      <c r="LDW348" s="50"/>
      <c r="LDX348" s="50"/>
      <c r="LDY348" s="50"/>
      <c r="LDZ348" s="50"/>
      <c r="LEA348" s="50"/>
      <c r="LEB348" s="50"/>
      <c r="LEC348" s="50"/>
      <c r="LED348" s="50"/>
      <c r="LEE348" s="50"/>
      <c r="LEF348" s="50"/>
      <c r="LEG348" s="50"/>
      <c r="LEH348" s="50"/>
      <c r="LEI348" s="50"/>
      <c r="LEJ348" s="50"/>
      <c r="LEK348" s="50"/>
      <c r="LEL348" s="50"/>
      <c r="LEM348" s="50"/>
      <c r="LEN348" s="50"/>
      <c r="LEO348" s="50"/>
      <c r="LEP348" s="50"/>
      <c r="LEQ348" s="50"/>
      <c r="LER348" s="50"/>
      <c r="LES348" s="50"/>
      <c r="LET348" s="50"/>
      <c r="LEU348" s="50"/>
      <c r="LEV348" s="50"/>
      <c r="LEW348" s="50"/>
      <c r="LEX348" s="50"/>
      <c r="LEY348" s="50"/>
      <c r="LEZ348" s="50"/>
      <c r="LFA348" s="50"/>
      <c r="LFB348" s="50"/>
      <c r="LFC348" s="50"/>
      <c r="LFD348" s="50"/>
      <c r="LFE348" s="50"/>
      <c r="LFF348" s="50"/>
      <c r="LFG348" s="50"/>
      <c r="LFH348" s="50"/>
      <c r="LFI348" s="50"/>
      <c r="LFJ348" s="50"/>
      <c r="LFK348" s="50"/>
      <c r="LFL348" s="50"/>
      <c r="LFM348" s="50"/>
      <c r="LFN348" s="50"/>
      <c r="LFO348" s="50"/>
      <c r="LFP348" s="50"/>
      <c r="LFQ348" s="50"/>
      <c r="LFR348" s="50"/>
      <c r="LFS348" s="50"/>
      <c r="LFT348" s="50"/>
      <c r="LFU348" s="50"/>
      <c r="LFV348" s="50"/>
      <c r="LFW348" s="50"/>
      <c r="LFX348" s="50"/>
      <c r="LFY348" s="50"/>
      <c r="LFZ348" s="50"/>
      <c r="LGA348" s="50"/>
      <c r="LGB348" s="50"/>
      <c r="LGC348" s="50"/>
      <c r="LGD348" s="50"/>
      <c r="LGE348" s="50"/>
      <c r="LGF348" s="50"/>
      <c r="LGG348" s="50"/>
      <c r="LGH348" s="50"/>
      <c r="LGI348" s="50"/>
      <c r="LGJ348" s="50"/>
      <c r="LGK348" s="50"/>
      <c r="LGL348" s="50"/>
      <c r="LGM348" s="50"/>
      <c r="LGN348" s="50"/>
      <c r="LGO348" s="50"/>
      <c r="LGP348" s="50"/>
      <c r="LGQ348" s="50"/>
      <c r="LGR348" s="50"/>
      <c r="LGS348" s="50"/>
      <c r="LGT348" s="50"/>
      <c r="LGU348" s="50"/>
      <c r="LGV348" s="50"/>
      <c r="LGW348" s="50"/>
      <c r="LGX348" s="50"/>
      <c r="LGY348" s="50"/>
      <c r="LGZ348" s="50"/>
      <c r="LHA348" s="50"/>
      <c r="LHB348" s="50"/>
      <c r="LHC348" s="50"/>
      <c r="LHD348" s="50"/>
      <c r="LHE348" s="50"/>
      <c r="LHF348" s="50"/>
      <c r="LHG348" s="50"/>
      <c r="LHH348" s="50"/>
      <c r="LHI348" s="50"/>
      <c r="LHJ348" s="50"/>
      <c r="LHK348" s="50"/>
      <c r="LHL348" s="50"/>
      <c r="LHM348" s="50"/>
      <c r="LHN348" s="50"/>
      <c r="LHO348" s="50"/>
      <c r="LHP348" s="50"/>
      <c r="LHQ348" s="50"/>
      <c r="LHR348" s="50"/>
      <c r="LHS348" s="50"/>
      <c r="LHT348" s="50"/>
      <c r="LHU348" s="50"/>
      <c r="LHV348" s="50"/>
      <c r="LHW348" s="50"/>
      <c r="LHX348" s="50"/>
      <c r="LHY348" s="50"/>
      <c r="LHZ348" s="50"/>
      <c r="LIA348" s="50"/>
      <c r="LIB348" s="50"/>
      <c r="LIC348" s="50"/>
      <c r="LID348" s="50"/>
      <c r="LIE348" s="50"/>
      <c r="LIF348" s="50"/>
      <c r="LIG348" s="50"/>
      <c r="LIH348" s="50"/>
      <c r="LII348" s="50"/>
      <c r="LIJ348" s="50"/>
      <c r="LIK348" s="50"/>
      <c r="LIL348" s="50"/>
      <c r="LIM348" s="50"/>
      <c r="LIN348" s="50"/>
      <c r="LIO348" s="50"/>
      <c r="LIP348" s="50"/>
      <c r="LIQ348" s="50"/>
      <c r="LIR348" s="50"/>
      <c r="LIS348" s="50"/>
      <c r="LIT348" s="50"/>
      <c r="LIU348" s="50"/>
      <c r="LIV348" s="50"/>
      <c r="LIW348" s="50"/>
      <c r="LIX348" s="50"/>
      <c r="LIY348" s="50"/>
      <c r="LIZ348" s="50"/>
      <c r="LJA348" s="50"/>
      <c r="LJB348" s="50"/>
      <c r="LJC348" s="50"/>
      <c r="LJD348" s="50"/>
      <c r="LJE348" s="50"/>
      <c r="LJF348" s="50"/>
      <c r="LJG348" s="50"/>
      <c r="LJH348" s="50"/>
      <c r="LJI348" s="50"/>
      <c r="LJJ348" s="50"/>
      <c r="LJK348" s="50"/>
      <c r="LJL348" s="50"/>
      <c r="LJM348" s="50"/>
      <c r="LJN348" s="50"/>
      <c r="LJO348" s="50"/>
      <c r="LJP348" s="50"/>
      <c r="LJQ348" s="50"/>
      <c r="LJR348" s="50"/>
      <c r="LJS348" s="50"/>
      <c r="LJT348" s="50"/>
      <c r="LJU348" s="50"/>
      <c r="LJV348" s="50"/>
      <c r="LJW348" s="50"/>
      <c r="LJX348" s="50"/>
      <c r="LJY348" s="50"/>
      <c r="LJZ348" s="50"/>
      <c r="LKA348" s="50"/>
      <c r="LKB348" s="50"/>
      <c r="LKC348" s="50"/>
      <c r="LKD348" s="50"/>
      <c r="LKE348" s="50"/>
      <c r="LKF348" s="50"/>
      <c r="LKG348" s="50"/>
      <c r="LKH348" s="50"/>
      <c r="LKI348" s="50"/>
      <c r="LKJ348" s="50"/>
      <c r="LKK348" s="50"/>
      <c r="LKL348" s="50"/>
      <c r="LKM348" s="50"/>
      <c r="LKN348" s="50"/>
      <c r="LKO348" s="50"/>
      <c r="LKP348" s="50"/>
      <c r="LKQ348" s="50"/>
      <c r="LKR348" s="50"/>
      <c r="LKS348" s="50"/>
      <c r="LKT348" s="50"/>
      <c r="LKU348" s="50"/>
      <c r="LKV348" s="50"/>
      <c r="LKW348" s="50"/>
      <c r="LKX348" s="50"/>
      <c r="LKY348" s="50"/>
      <c r="LKZ348" s="50"/>
      <c r="LLA348" s="50"/>
      <c r="LLB348" s="50"/>
      <c r="LLC348" s="50"/>
      <c r="LLD348" s="50"/>
      <c r="LLE348" s="50"/>
      <c r="LLF348" s="50"/>
      <c r="LLG348" s="50"/>
      <c r="LLH348" s="50"/>
      <c r="LLI348" s="50"/>
      <c r="LLJ348" s="50"/>
      <c r="LLK348" s="50"/>
      <c r="LLL348" s="50"/>
      <c r="LLM348" s="50"/>
      <c r="LLN348" s="50"/>
      <c r="LLO348" s="50"/>
      <c r="LLP348" s="50"/>
      <c r="LLQ348" s="50"/>
      <c r="LLR348" s="50"/>
      <c r="LLS348" s="50"/>
      <c r="LLT348" s="50"/>
      <c r="LLU348" s="50"/>
      <c r="LLV348" s="50"/>
      <c r="LLW348" s="50"/>
      <c r="LLX348" s="50"/>
      <c r="LLY348" s="50"/>
      <c r="LLZ348" s="50"/>
      <c r="LMA348" s="50"/>
      <c r="LMB348" s="50"/>
      <c r="LMC348" s="50"/>
      <c r="LMD348" s="50"/>
      <c r="LME348" s="50"/>
      <c r="LMF348" s="50"/>
      <c r="LMG348" s="50"/>
      <c r="LMH348" s="50"/>
      <c r="LMI348" s="50"/>
      <c r="LMJ348" s="50"/>
      <c r="LMK348" s="50"/>
      <c r="LML348" s="50"/>
      <c r="LMM348" s="50"/>
      <c r="LMN348" s="50"/>
      <c r="LMO348" s="50"/>
      <c r="LMP348" s="50"/>
      <c r="LMQ348" s="50"/>
      <c r="LMR348" s="50"/>
      <c r="LMS348" s="50"/>
      <c r="LMT348" s="50"/>
      <c r="LMU348" s="50"/>
      <c r="LMV348" s="50"/>
      <c r="LMW348" s="50"/>
      <c r="LMX348" s="50"/>
      <c r="LMY348" s="50"/>
      <c r="LMZ348" s="50"/>
      <c r="LNA348" s="50"/>
      <c r="LNB348" s="50"/>
      <c r="LNC348" s="50"/>
      <c r="LND348" s="50"/>
      <c r="LNE348" s="50"/>
      <c r="LNF348" s="50"/>
      <c r="LNG348" s="50"/>
      <c r="LNH348" s="50"/>
      <c r="LNI348" s="50"/>
      <c r="LNJ348" s="50"/>
      <c r="LNK348" s="50"/>
      <c r="LNL348" s="50"/>
      <c r="LNM348" s="50"/>
      <c r="LNN348" s="50"/>
      <c r="LNO348" s="50"/>
      <c r="LNP348" s="50"/>
      <c r="LNQ348" s="50"/>
      <c r="LNR348" s="50"/>
      <c r="LNS348" s="50"/>
      <c r="LNT348" s="50"/>
      <c r="LNU348" s="50"/>
      <c r="LNV348" s="50"/>
      <c r="LNW348" s="50"/>
      <c r="LNX348" s="50"/>
      <c r="LNY348" s="50"/>
      <c r="LNZ348" s="50"/>
      <c r="LOA348" s="50"/>
      <c r="LOB348" s="50"/>
      <c r="LOC348" s="50"/>
      <c r="LOD348" s="50"/>
      <c r="LOE348" s="50"/>
      <c r="LOF348" s="50"/>
      <c r="LOG348" s="50"/>
      <c r="LOH348" s="50"/>
      <c r="LOI348" s="50"/>
      <c r="LOJ348" s="50"/>
      <c r="LOK348" s="50"/>
      <c r="LOL348" s="50"/>
      <c r="LOM348" s="50"/>
      <c r="LON348" s="50"/>
      <c r="LOO348" s="50"/>
      <c r="LOP348" s="50"/>
      <c r="LOQ348" s="50"/>
      <c r="LOR348" s="50"/>
      <c r="LOS348" s="50"/>
      <c r="LOT348" s="50"/>
      <c r="LOU348" s="50"/>
      <c r="LOV348" s="50"/>
      <c r="LOW348" s="50"/>
      <c r="LOX348" s="50"/>
      <c r="LOY348" s="50"/>
      <c r="LOZ348" s="50"/>
      <c r="LPA348" s="50"/>
      <c r="LPB348" s="50"/>
      <c r="LPC348" s="50"/>
      <c r="LPD348" s="50"/>
      <c r="LPE348" s="50"/>
      <c r="LPF348" s="50"/>
      <c r="LPG348" s="50"/>
      <c r="LPH348" s="50"/>
      <c r="LPI348" s="50"/>
      <c r="LPJ348" s="50"/>
      <c r="LPK348" s="50"/>
      <c r="LPL348" s="50"/>
      <c r="LPM348" s="50"/>
      <c r="LPN348" s="50"/>
      <c r="LPO348" s="50"/>
      <c r="LPP348" s="50"/>
      <c r="LPQ348" s="50"/>
      <c r="LPR348" s="50"/>
      <c r="LPS348" s="50"/>
      <c r="LPT348" s="50"/>
      <c r="LPU348" s="50"/>
      <c r="LPV348" s="50"/>
      <c r="LPW348" s="50"/>
      <c r="LPX348" s="50"/>
      <c r="LPY348" s="50"/>
      <c r="LPZ348" s="50"/>
      <c r="LQA348" s="50"/>
      <c r="LQB348" s="50"/>
      <c r="LQC348" s="50"/>
      <c r="LQD348" s="50"/>
      <c r="LQE348" s="50"/>
      <c r="LQF348" s="50"/>
      <c r="LQG348" s="50"/>
      <c r="LQH348" s="50"/>
      <c r="LQI348" s="50"/>
      <c r="LQJ348" s="50"/>
      <c r="LQK348" s="50"/>
      <c r="LQL348" s="50"/>
      <c r="LQM348" s="50"/>
      <c r="LQN348" s="50"/>
      <c r="LQO348" s="50"/>
      <c r="LQP348" s="50"/>
      <c r="LQQ348" s="50"/>
      <c r="LQR348" s="50"/>
      <c r="LQS348" s="50"/>
      <c r="LQT348" s="50"/>
      <c r="LQU348" s="50"/>
      <c r="LQV348" s="50"/>
      <c r="LQW348" s="50"/>
      <c r="LQX348" s="50"/>
      <c r="LQY348" s="50"/>
      <c r="LQZ348" s="50"/>
      <c r="LRA348" s="50"/>
      <c r="LRB348" s="50"/>
      <c r="LRC348" s="50"/>
      <c r="LRD348" s="50"/>
      <c r="LRE348" s="50"/>
      <c r="LRF348" s="50"/>
      <c r="LRG348" s="50"/>
      <c r="LRH348" s="50"/>
      <c r="LRI348" s="50"/>
      <c r="LRJ348" s="50"/>
      <c r="LRK348" s="50"/>
      <c r="LRL348" s="50"/>
      <c r="LRM348" s="50"/>
      <c r="LRN348" s="50"/>
      <c r="LRO348" s="50"/>
      <c r="LRP348" s="50"/>
      <c r="LRQ348" s="50"/>
      <c r="LRR348" s="50"/>
      <c r="LRS348" s="50"/>
      <c r="LRT348" s="50"/>
      <c r="LRU348" s="50"/>
      <c r="LRV348" s="50"/>
      <c r="LRW348" s="50"/>
      <c r="LRX348" s="50"/>
      <c r="LRY348" s="50"/>
      <c r="LRZ348" s="50"/>
      <c r="LSA348" s="50"/>
      <c r="LSB348" s="50"/>
      <c r="LSC348" s="50"/>
      <c r="LSD348" s="50"/>
      <c r="LSE348" s="50"/>
      <c r="LSF348" s="50"/>
      <c r="LSG348" s="50"/>
      <c r="LSH348" s="50"/>
      <c r="LSI348" s="50"/>
      <c r="LSJ348" s="50"/>
      <c r="LSK348" s="50"/>
      <c r="LSL348" s="50"/>
      <c r="LSM348" s="50"/>
      <c r="LSN348" s="50"/>
      <c r="LSO348" s="50"/>
      <c r="LSP348" s="50"/>
      <c r="LSQ348" s="50"/>
      <c r="LSR348" s="50"/>
      <c r="LSS348" s="50"/>
      <c r="LST348" s="50"/>
      <c r="LSU348" s="50"/>
      <c r="LSV348" s="50"/>
      <c r="LSW348" s="50"/>
      <c r="LSX348" s="50"/>
      <c r="LSY348" s="50"/>
      <c r="LSZ348" s="50"/>
      <c r="LTA348" s="50"/>
      <c r="LTB348" s="50"/>
      <c r="LTC348" s="50"/>
      <c r="LTD348" s="50"/>
      <c r="LTE348" s="50"/>
      <c r="LTF348" s="50"/>
      <c r="LTG348" s="50"/>
      <c r="LTH348" s="50"/>
      <c r="LTI348" s="50"/>
      <c r="LTJ348" s="50"/>
      <c r="LTK348" s="50"/>
      <c r="LTL348" s="50"/>
      <c r="LTM348" s="50"/>
      <c r="LTN348" s="50"/>
      <c r="LTO348" s="50"/>
      <c r="LTP348" s="50"/>
      <c r="LTQ348" s="50"/>
      <c r="LTR348" s="50"/>
      <c r="LTS348" s="50"/>
      <c r="LTT348" s="50"/>
      <c r="LTU348" s="50"/>
      <c r="LTV348" s="50"/>
      <c r="LTW348" s="50"/>
      <c r="LTX348" s="50"/>
      <c r="LTY348" s="50"/>
      <c r="LTZ348" s="50"/>
      <c r="LUA348" s="50"/>
      <c r="LUB348" s="50"/>
      <c r="LUC348" s="50"/>
      <c r="LUD348" s="50"/>
      <c r="LUE348" s="50"/>
      <c r="LUF348" s="50"/>
      <c r="LUG348" s="50"/>
      <c r="LUH348" s="50"/>
      <c r="LUI348" s="50"/>
      <c r="LUJ348" s="50"/>
      <c r="LUK348" s="50"/>
      <c r="LUL348" s="50"/>
      <c r="LUM348" s="50"/>
      <c r="LUN348" s="50"/>
      <c r="LUO348" s="50"/>
      <c r="LUP348" s="50"/>
      <c r="LUQ348" s="50"/>
      <c r="LUR348" s="50"/>
      <c r="LUS348" s="50"/>
      <c r="LUT348" s="50"/>
      <c r="LUU348" s="50"/>
      <c r="LUV348" s="50"/>
      <c r="LUW348" s="50"/>
      <c r="LUX348" s="50"/>
      <c r="LUY348" s="50"/>
      <c r="LUZ348" s="50"/>
      <c r="LVA348" s="50"/>
      <c r="LVB348" s="50"/>
      <c r="LVC348" s="50"/>
      <c r="LVD348" s="50"/>
      <c r="LVE348" s="50"/>
      <c r="LVF348" s="50"/>
      <c r="LVG348" s="50"/>
      <c r="LVH348" s="50"/>
      <c r="LVI348" s="50"/>
      <c r="LVJ348" s="50"/>
      <c r="LVK348" s="50"/>
      <c r="LVL348" s="50"/>
      <c r="LVM348" s="50"/>
      <c r="LVN348" s="50"/>
      <c r="LVO348" s="50"/>
      <c r="LVP348" s="50"/>
      <c r="LVQ348" s="50"/>
      <c r="LVR348" s="50"/>
      <c r="LVS348" s="50"/>
      <c r="LVT348" s="50"/>
      <c r="LVU348" s="50"/>
      <c r="LVV348" s="50"/>
      <c r="LVW348" s="50"/>
      <c r="LVX348" s="50"/>
      <c r="LVY348" s="50"/>
      <c r="LVZ348" s="50"/>
      <c r="LWA348" s="50"/>
      <c r="LWB348" s="50"/>
      <c r="LWC348" s="50"/>
      <c r="LWD348" s="50"/>
      <c r="LWE348" s="50"/>
      <c r="LWF348" s="50"/>
      <c r="LWG348" s="50"/>
      <c r="LWH348" s="50"/>
      <c r="LWI348" s="50"/>
      <c r="LWJ348" s="50"/>
      <c r="LWK348" s="50"/>
      <c r="LWL348" s="50"/>
      <c r="LWM348" s="50"/>
      <c r="LWN348" s="50"/>
      <c r="LWO348" s="50"/>
      <c r="LWP348" s="50"/>
      <c r="LWQ348" s="50"/>
      <c r="LWR348" s="50"/>
      <c r="LWS348" s="50"/>
      <c r="LWT348" s="50"/>
      <c r="LWU348" s="50"/>
      <c r="LWV348" s="50"/>
      <c r="LWW348" s="50"/>
      <c r="LWX348" s="50"/>
      <c r="LWY348" s="50"/>
      <c r="LWZ348" s="50"/>
      <c r="LXA348" s="50"/>
      <c r="LXB348" s="50"/>
      <c r="LXC348" s="50"/>
      <c r="LXD348" s="50"/>
      <c r="LXE348" s="50"/>
      <c r="LXF348" s="50"/>
      <c r="LXG348" s="50"/>
      <c r="LXH348" s="50"/>
      <c r="LXI348" s="50"/>
      <c r="LXJ348" s="50"/>
      <c r="LXK348" s="50"/>
      <c r="LXL348" s="50"/>
      <c r="LXM348" s="50"/>
      <c r="LXN348" s="50"/>
      <c r="LXO348" s="50"/>
      <c r="LXP348" s="50"/>
      <c r="LXQ348" s="50"/>
      <c r="LXR348" s="50"/>
      <c r="LXS348" s="50"/>
      <c r="LXT348" s="50"/>
      <c r="LXU348" s="50"/>
      <c r="LXV348" s="50"/>
      <c r="LXW348" s="50"/>
      <c r="LXX348" s="50"/>
      <c r="LXY348" s="50"/>
      <c r="LXZ348" s="50"/>
      <c r="LYA348" s="50"/>
      <c r="LYB348" s="50"/>
      <c r="LYC348" s="50"/>
      <c r="LYD348" s="50"/>
      <c r="LYE348" s="50"/>
      <c r="LYF348" s="50"/>
      <c r="LYG348" s="50"/>
      <c r="LYH348" s="50"/>
      <c r="LYI348" s="50"/>
      <c r="LYJ348" s="50"/>
      <c r="LYK348" s="50"/>
      <c r="LYL348" s="50"/>
      <c r="LYM348" s="50"/>
      <c r="LYN348" s="50"/>
      <c r="LYO348" s="50"/>
      <c r="LYP348" s="50"/>
      <c r="LYQ348" s="50"/>
      <c r="LYR348" s="50"/>
      <c r="LYS348" s="50"/>
      <c r="LYT348" s="50"/>
      <c r="LYU348" s="50"/>
      <c r="LYV348" s="50"/>
      <c r="LYW348" s="50"/>
      <c r="LYX348" s="50"/>
      <c r="LYY348" s="50"/>
      <c r="LYZ348" s="50"/>
      <c r="LZA348" s="50"/>
      <c r="LZB348" s="50"/>
      <c r="LZC348" s="50"/>
      <c r="LZD348" s="50"/>
      <c r="LZE348" s="50"/>
      <c r="LZF348" s="50"/>
      <c r="LZG348" s="50"/>
      <c r="LZH348" s="50"/>
      <c r="LZI348" s="50"/>
      <c r="LZJ348" s="50"/>
      <c r="LZK348" s="50"/>
      <c r="LZL348" s="50"/>
      <c r="LZM348" s="50"/>
      <c r="LZN348" s="50"/>
      <c r="LZO348" s="50"/>
      <c r="LZP348" s="50"/>
      <c r="LZQ348" s="50"/>
      <c r="LZR348" s="50"/>
      <c r="LZS348" s="50"/>
      <c r="LZT348" s="50"/>
      <c r="LZU348" s="50"/>
      <c r="LZV348" s="50"/>
      <c r="LZW348" s="50"/>
      <c r="LZX348" s="50"/>
      <c r="LZY348" s="50"/>
      <c r="LZZ348" s="50"/>
      <c r="MAA348" s="50"/>
      <c r="MAB348" s="50"/>
      <c r="MAC348" s="50"/>
      <c r="MAD348" s="50"/>
      <c r="MAE348" s="50"/>
      <c r="MAF348" s="50"/>
      <c r="MAG348" s="50"/>
      <c r="MAH348" s="50"/>
      <c r="MAI348" s="50"/>
      <c r="MAJ348" s="50"/>
      <c r="MAK348" s="50"/>
      <c r="MAL348" s="50"/>
      <c r="MAM348" s="50"/>
      <c r="MAN348" s="50"/>
      <c r="MAO348" s="50"/>
      <c r="MAP348" s="50"/>
      <c r="MAQ348" s="50"/>
      <c r="MAR348" s="50"/>
      <c r="MAS348" s="50"/>
      <c r="MAT348" s="50"/>
      <c r="MAU348" s="50"/>
      <c r="MAV348" s="50"/>
      <c r="MAW348" s="50"/>
      <c r="MAX348" s="50"/>
      <c r="MAY348" s="50"/>
      <c r="MAZ348" s="50"/>
      <c r="MBA348" s="50"/>
      <c r="MBB348" s="50"/>
      <c r="MBC348" s="50"/>
      <c r="MBD348" s="50"/>
      <c r="MBE348" s="50"/>
      <c r="MBF348" s="50"/>
      <c r="MBG348" s="50"/>
      <c r="MBH348" s="50"/>
      <c r="MBI348" s="50"/>
      <c r="MBJ348" s="50"/>
      <c r="MBK348" s="50"/>
      <c r="MBL348" s="50"/>
      <c r="MBM348" s="50"/>
      <c r="MBN348" s="50"/>
      <c r="MBO348" s="50"/>
      <c r="MBP348" s="50"/>
      <c r="MBQ348" s="50"/>
      <c r="MBR348" s="50"/>
      <c r="MBS348" s="50"/>
      <c r="MBT348" s="50"/>
      <c r="MBU348" s="50"/>
      <c r="MBV348" s="50"/>
      <c r="MBW348" s="50"/>
      <c r="MBX348" s="50"/>
      <c r="MBY348" s="50"/>
      <c r="MBZ348" s="50"/>
      <c r="MCA348" s="50"/>
      <c r="MCB348" s="50"/>
      <c r="MCC348" s="50"/>
      <c r="MCD348" s="50"/>
      <c r="MCE348" s="50"/>
      <c r="MCF348" s="50"/>
      <c r="MCG348" s="50"/>
      <c r="MCH348" s="50"/>
      <c r="MCI348" s="50"/>
      <c r="MCJ348" s="50"/>
      <c r="MCK348" s="50"/>
      <c r="MCL348" s="50"/>
      <c r="MCM348" s="50"/>
      <c r="MCN348" s="50"/>
      <c r="MCO348" s="50"/>
      <c r="MCP348" s="50"/>
      <c r="MCQ348" s="50"/>
      <c r="MCR348" s="50"/>
      <c r="MCS348" s="50"/>
      <c r="MCT348" s="50"/>
      <c r="MCU348" s="50"/>
      <c r="MCV348" s="50"/>
      <c r="MCW348" s="50"/>
      <c r="MCX348" s="50"/>
      <c r="MCY348" s="50"/>
      <c r="MCZ348" s="50"/>
      <c r="MDA348" s="50"/>
      <c r="MDB348" s="50"/>
      <c r="MDC348" s="50"/>
      <c r="MDD348" s="50"/>
      <c r="MDE348" s="50"/>
      <c r="MDF348" s="50"/>
      <c r="MDG348" s="50"/>
      <c r="MDH348" s="50"/>
      <c r="MDI348" s="50"/>
      <c r="MDJ348" s="50"/>
      <c r="MDK348" s="50"/>
      <c r="MDL348" s="50"/>
      <c r="MDM348" s="50"/>
      <c r="MDN348" s="50"/>
      <c r="MDO348" s="50"/>
      <c r="MDP348" s="50"/>
      <c r="MDQ348" s="50"/>
      <c r="MDR348" s="50"/>
      <c r="MDS348" s="50"/>
      <c r="MDT348" s="50"/>
      <c r="MDU348" s="50"/>
      <c r="MDV348" s="50"/>
      <c r="MDW348" s="50"/>
      <c r="MDX348" s="50"/>
      <c r="MDY348" s="50"/>
      <c r="MDZ348" s="50"/>
      <c r="MEA348" s="50"/>
      <c r="MEB348" s="50"/>
      <c r="MEC348" s="50"/>
      <c r="MED348" s="50"/>
      <c r="MEE348" s="50"/>
      <c r="MEF348" s="50"/>
      <c r="MEG348" s="50"/>
      <c r="MEH348" s="50"/>
      <c r="MEI348" s="50"/>
      <c r="MEJ348" s="50"/>
      <c r="MEK348" s="50"/>
      <c r="MEL348" s="50"/>
      <c r="MEM348" s="50"/>
      <c r="MEN348" s="50"/>
      <c r="MEO348" s="50"/>
      <c r="MEP348" s="50"/>
      <c r="MEQ348" s="50"/>
      <c r="MER348" s="50"/>
      <c r="MES348" s="50"/>
      <c r="MET348" s="50"/>
      <c r="MEU348" s="50"/>
      <c r="MEV348" s="50"/>
      <c r="MEW348" s="50"/>
      <c r="MEX348" s="50"/>
      <c r="MEY348" s="50"/>
      <c r="MEZ348" s="50"/>
      <c r="MFA348" s="50"/>
      <c r="MFB348" s="50"/>
      <c r="MFC348" s="50"/>
      <c r="MFD348" s="50"/>
      <c r="MFE348" s="50"/>
      <c r="MFF348" s="50"/>
      <c r="MFG348" s="50"/>
      <c r="MFH348" s="50"/>
      <c r="MFI348" s="50"/>
      <c r="MFJ348" s="50"/>
      <c r="MFK348" s="50"/>
      <c r="MFL348" s="50"/>
      <c r="MFM348" s="50"/>
      <c r="MFN348" s="50"/>
      <c r="MFO348" s="50"/>
      <c r="MFP348" s="50"/>
      <c r="MFQ348" s="50"/>
      <c r="MFR348" s="50"/>
      <c r="MFS348" s="50"/>
      <c r="MFT348" s="50"/>
      <c r="MFU348" s="50"/>
      <c r="MFV348" s="50"/>
      <c r="MFW348" s="50"/>
      <c r="MFX348" s="50"/>
      <c r="MFY348" s="50"/>
      <c r="MFZ348" s="50"/>
      <c r="MGA348" s="50"/>
      <c r="MGB348" s="50"/>
      <c r="MGC348" s="50"/>
      <c r="MGD348" s="50"/>
      <c r="MGE348" s="50"/>
      <c r="MGF348" s="50"/>
      <c r="MGG348" s="50"/>
      <c r="MGH348" s="50"/>
      <c r="MGI348" s="50"/>
      <c r="MGJ348" s="50"/>
      <c r="MGK348" s="50"/>
      <c r="MGL348" s="50"/>
      <c r="MGM348" s="50"/>
      <c r="MGN348" s="50"/>
      <c r="MGO348" s="50"/>
      <c r="MGP348" s="50"/>
      <c r="MGQ348" s="50"/>
      <c r="MGR348" s="50"/>
      <c r="MGS348" s="50"/>
      <c r="MGT348" s="50"/>
      <c r="MGU348" s="50"/>
      <c r="MGV348" s="50"/>
      <c r="MGW348" s="50"/>
      <c r="MGX348" s="50"/>
      <c r="MGY348" s="50"/>
      <c r="MGZ348" s="50"/>
      <c r="MHA348" s="50"/>
      <c r="MHB348" s="50"/>
      <c r="MHC348" s="50"/>
      <c r="MHD348" s="50"/>
      <c r="MHE348" s="50"/>
      <c r="MHF348" s="50"/>
      <c r="MHG348" s="50"/>
      <c r="MHH348" s="50"/>
      <c r="MHI348" s="50"/>
      <c r="MHJ348" s="50"/>
      <c r="MHK348" s="50"/>
      <c r="MHL348" s="50"/>
      <c r="MHM348" s="50"/>
      <c r="MHN348" s="50"/>
      <c r="MHO348" s="50"/>
      <c r="MHP348" s="50"/>
      <c r="MHQ348" s="50"/>
      <c r="MHR348" s="50"/>
      <c r="MHS348" s="50"/>
      <c r="MHT348" s="50"/>
      <c r="MHU348" s="50"/>
      <c r="MHV348" s="50"/>
      <c r="MHW348" s="50"/>
      <c r="MHX348" s="50"/>
      <c r="MHY348" s="50"/>
      <c r="MHZ348" s="50"/>
      <c r="MIA348" s="50"/>
      <c r="MIB348" s="50"/>
      <c r="MIC348" s="50"/>
      <c r="MID348" s="50"/>
      <c r="MIE348" s="50"/>
      <c r="MIF348" s="50"/>
      <c r="MIG348" s="50"/>
      <c r="MIH348" s="50"/>
      <c r="MII348" s="50"/>
      <c r="MIJ348" s="50"/>
      <c r="MIK348" s="50"/>
      <c r="MIL348" s="50"/>
      <c r="MIM348" s="50"/>
      <c r="MIN348" s="50"/>
      <c r="MIO348" s="50"/>
      <c r="MIP348" s="50"/>
      <c r="MIQ348" s="50"/>
      <c r="MIR348" s="50"/>
      <c r="MIS348" s="50"/>
      <c r="MIT348" s="50"/>
      <c r="MIU348" s="50"/>
      <c r="MIV348" s="50"/>
      <c r="MIW348" s="50"/>
      <c r="MIX348" s="50"/>
      <c r="MIY348" s="50"/>
      <c r="MIZ348" s="50"/>
      <c r="MJA348" s="50"/>
      <c r="MJB348" s="50"/>
      <c r="MJC348" s="50"/>
      <c r="MJD348" s="50"/>
      <c r="MJE348" s="50"/>
      <c r="MJF348" s="50"/>
      <c r="MJG348" s="50"/>
      <c r="MJH348" s="50"/>
      <c r="MJI348" s="50"/>
      <c r="MJJ348" s="50"/>
      <c r="MJK348" s="50"/>
      <c r="MJL348" s="50"/>
      <c r="MJM348" s="50"/>
      <c r="MJN348" s="50"/>
      <c r="MJO348" s="50"/>
      <c r="MJP348" s="50"/>
      <c r="MJQ348" s="50"/>
      <c r="MJR348" s="50"/>
      <c r="MJS348" s="50"/>
      <c r="MJT348" s="50"/>
      <c r="MJU348" s="50"/>
      <c r="MJV348" s="50"/>
      <c r="MJW348" s="50"/>
      <c r="MJX348" s="50"/>
      <c r="MJY348" s="50"/>
      <c r="MJZ348" s="50"/>
      <c r="MKA348" s="50"/>
      <c r="MKB348" s="50"/>
      <c r="MKC348" s="50"/>
      <c r="MKD348" s="50"/>
      <c r="MKE348" s="50"/>
      <c r="MKF348" s="50"/>
      <c r="MKG348" s="50"/>
      <c r="MKH348" s="50"/>
      <c r="MKI348" s="50"/>
      <c r="MKJ348" s="50"/>
      <c r="MKK348" s="50"/>
      <c r="MKL348" s="50"/>
      <c r="MKM348" s="50"/>
      <c r="MKN348" s="50"/>
      <c r="MKO348" s="50"/>
      <c r="MKP348" s="50"/>
      <c r="MKQ348" s="50"/>
      <c r="MKR348" s="50"/>
      <c r="MKS348" s="50"/>
      <c r="MKT348" s="50"/>
      <c r="MKU348" s="50"/>
      <c r="MKV348" s="50"/>
      <c r="MKW348" s="50"/>
      <c r="MKX348" s="50"/>
      <c r="MKY348" s="50"/>
      <c r="MKZ348" s="50"/>
      <c r="MLA348" s="50"/>
      <c r="MLB348" s="50"/>
      <c r="MLC348" s="50"/>
      <c r="MLD348" s="50"/>
      <c r="MLE348" s="50"/>
      <c r="MLF348" s="50"/>
      <c r="MLG348" s="50"/>
      <c r="MLH348" s="50"/>
      <c r="MLI348" s="50"/>
      <c r="MLJ348" s="50"/>
      <c r="MLK348" s="50"/>
      <c r="MLL348" s="50"/>
      <c r="MLM348" s="50"/>
      <c r="MLN348" s="50"/>
      <c r="MLO348" s="50"/>
      <c r="MLP348" s="50"/>
      <c r="MLQ348" s="50"/>
      <c r="MLR348" s="50"/>
      <c r="MLS348" s="50"/>
      <c r="MLT348" s="50"/>
      <c r="MLU348" s="50"/>
      <c r="MLV348" s="50"/>
      <c r="MLW348" s="50"/>
      <c r="MLX348" s="50"/>
      <c r="MLY348" s="50"/>
      <c r="MLZ348" s="50"/>
      <c r="MMA348" s="50"/>
      <c r="MMB348" s="50"/>
      <c r="MMC348" s="50"/>
      <c r="MMD348" s="50"/>
      <c r="MME348" s="50"/>
      <c r="MMF348" s="50"/>
      <c r="MMG348" s="50"/>
      <c r="MMH348" s="50"/>
      <c r="MMI348" s="50"/>
      <c r="MMJ348" s="50"/>
      <c r="MMK348" s="50"/>
      <c r="MML348" s="50"/>
      <c r="MMM348" s="50"/>
      <c r="MMN348" s="50"/>
      <c r="MMO348" s="50"/>
      <c r="MMP348" s="50"/>
      <c r="MMQ348" s="50"/>
      <c r="MMR348" s="50"/>
      <c r="MMS348" s="50"/>
      <c r="MMT348" s="50"/>
      <c r="MMU348" s="50"/>
      <c r="MMV348" s="50"/>
      <c r="MMW348" s="50"/>
      <c r="MMX348" s="50"/>
      <c r="MMY348" s="50"/>
      <c r="MMZ348" s="50"/>
      <c r="MNA348" s="50"/>
      <c r="MNB348" s="50"/>
      <c r="MNC348" s="50"/>
      <c r="MND348" s="50"/>
      <c r="MNE348" s="50"/>
      <c r="MNF348" s="50"/>
      <c r="MNG348" s="50"/>
      <c r="MNH348" s="50"/>
      <c r="MNI348" s="50"/>
      <c r="MNJ348" s="50"/>
      <c r="MNK348" s="50"/>
      <c r="MNL348" s="50"/>
      <c r="MNM348" s="50"/>
      <c r="MNN348" s="50"/>
      <c r="MNO348" s="50"/>
      <c r="MNP348" s="50"/>
      <c r="MNQ348" s="50"/>
      <c r="MNR348" s="50"/>
      <c r="MNS348" s="50"/>
      <c r="MNT348" s="50"/>
      <c r="MNU348" s="50"/>
      <c r="MNV348" s="50"/>
      <c r="MNW348" s="50"/>
      <c r="MNX348" s="50"/>
      <c r="MNY348" s="50"/>
      <c r="MNZ348" s="50"/>
      <c r="MOA348" s="50"/>
      <c r="MOB348" s="50"/>
      <c r="MOC348" s="50"/>
      <c r="MOD348" s="50"/>
      <c r="MOE348" s="50"/>
      <c r="MOF348" s="50"/>
      <c r="MOG348" s="50"/>
      <c r="MOH348" s="50"/>
      <c r="MOI348" s="50"/>
      <c r="MOJ348" s="50"/>
      <c r="MOK348" s="50"/>
      <c r="MOL348" s="50"/>
      <c r="MOM348" s="50"/>
      <c r="MON348" s="50"/>
      <c r="MOO348" s="50"/>
      <c r="MOP348" s="50"/>
      <c r="MOQ348" s="50"/>
      <c r="MOR348" s="50"/>
      <c r="MOS348" s="50"/>
      <c r="MOT348" s="50"/>
      <c r="MOU348" s="50"/>
      <c r="MOV348" s="50"/>
      <c r="MOW348" s="50"/>
      <c r="MOX348" s="50"/>
      <c r="MOY348" s="50"/>
      <c r="MOZ348" s="50"/>
      <c r="MPA348" s="50"/>
      <c r="MPB348" s="50"/>
      <c r="MPC348" s="50"/>
      <c r="MPD348" s="50"/>
      <c r="MPE348" s="50"/>
      <c r="MPF348" s="50"/>
      <c r="MPG348" s="50"/>
      <c r="MPH348" s="50"/>
      <c r="MPI348" s="50"/>
      <c r="MPJ348" s="50"/>
      <c r="MPK348" s="50"/>
      <c r="MPL348" s="50"/>
      <c r="MPM348" s="50"/>
      <c r="MPN348" s="50"/>
      <c r="MPO348" s="50"/>
      <c r="MPP348" s="50"/>
      <c r="MPQ348" s="50"/>
      <c r="MPR348" s="50"/>
      <c r="MPS348" s="50"/>
      <c r="MPT348" s="50"/>
      <c r="MPU348" s="50"/>
      <c r="MPV348" s="50"/>
      <c r="MPW348" s="50"/>
      <c r="MPX348" s="50"/>
      <c r="MPY348" s="50"/>
      <c r="MPZ348" s="50"/>
      <c r="MQA348" s="50"/>
      <c r="MQB348" s="50"/>
      <c r="MQC348" s="50"/>
      <c r="MQD348" s="50"/>
      <c r="MQE348" s="50"/>
      <c r="MQF348" s="50"/>
      <c r="MQG348" s="50"/>
      <c r="MQH348" s="50"/>
      <c r="MQI348" s="50"/>
      <c r="MQJ348" s="50"/>
      <c r="MQK348" s="50"/>
      <c r="MQL348" s="50"/>
      <c r="MQM348" s="50"/>
      <c r="MQN348" s="50"/>
      <c r="MQO348" s="50"/>
      <c r="MQP348" s="50"/>
      <c r="MQQ348" s="50"/>
      <c r="MQR348" s="50"/>
      <c r="MQS348" s="50"/>
      <c r="MQT348" s="50"/>
      <c r="MQU348" s="50"/>
      <c r="MQV348" s="50"/>
      <c r="MQW348" s="50"/>
      <c r="MQX348" s="50"/>
      <c r="MQY348" s="50"/>
      <c r="MQZ348" s="50"/>
      <c r="MRA348" s="50"/>
      <c r="MRB348" s="50"/>
      <c r="MRC348" s="50"/>
      <c r="MRD348" s="50"/>
      <c r="MRE348" s="50"/>
      <c r="MRF348" s="50"/>
      <c r="MRG348" s="50"/>
      <c r="MRH348" s="50"/>
      <c r="MRI348" s="50"/>
      <c r="MRJ348" s="50"/>
      <c r="MRK348" s="50"/>
      <c r="MRL348" s="50"/>
      <c r="MRM348" s="50"/>
      <c r="MRN348" s="50"/>
      <c r="MRO348" s="50"/>
      <c r="MRP348" s="50"/>
      <c r="MRQ348" s="50"/>
      <c r="MRR348" s="50"/>
      <c r="MRS348" s="50"/>
      <c r="MRT348" s="50"/>
      <c r="MRU348" s="50"/>
      <c r="MRV348" s="50"/>
      <c r="MRW348" s="50"/>
      <c r="MRX348" s="50"/>
      <c r="MRY348" s="50"/>
      <c r="MRZ348" s="50"/>
      <c r="MSA348" s="50"/>
      <c r="MSB348" s="50"/>
      <c r="MSC348" s="50"/>
      <c r="MSD348" s="50"/>
      <c r="MSE348" s="50"/>
      <c r="MSF348" s="50"/>
      <c r="MSG348" s="50"/>
      <c r="MSH348" s="50"/>
      <c r="MSI348" s="50"/>
      <c r="MSJ348" s="50"/>
      <c r="MSK348" s="50"/>
      <c r="MSL348" s="50"/>
      <c r="MSM348" s="50"/>
      <c r="MSN348" s="50"/>
      <c r="MSO348" s="50"/>
      <c r="MSP348" s="50"/>
      <c r="MSQ348" s="50"/>
      <c r="MSR348" s="50"/>
      <c r="MSS348" s="50"/>
      <c r="MST348" s="50"/>
      <c r="MSU348" s="50"/>
      <c r="MSV348" s="50"/>
      <c r="MSW348" s="50"/>
      <c r="MSX348" s="50"/>
      <c r="MSY348" s="50"/>
      <c r="MSZ348" s="50"/>
      <c r="MTA348" s="50"/>
      <c r="MTB348" s="50"/>
      <c r="MTC348" s="50"/>
      <c r="MTD348" s="50"/>
      <c r="MTE348" s="50"/>
      <c r="MTF348" s="50"/>
      <c r="MTG348" s="50"/>
      <c r="MTH348" s="50"/>
      <c r="MTI348" s="50"/>
      <c r="MTJ348" s="50"/>
      <c r="MTK348" s="50"/>
      <c r="MTL348" s="50"/>
      <c r="MTM348" s="50"/>
      <c r="MTN348" s="50"/>
      <c r="MTO348" s="50"/>
      <c r="MTP348" s="50"/>
      <c r="MTQ348" s="50"/>
      <c r="MTR348" s="50"/>
      <c r="MTS348" s="50"/>
      <c r="MTT348" s="50"/>
      <c r="MTU348" s="50"/>
      <c r="MTV348" s="50"/>
      <c r="MTW348" s="50"/>
      <c r="MTX348" s="50"/>
      <c r="MTY348" s="50"/>
      <c r="MTZ348" s="50"/>
      <c r="MUA348" s="50"/>
      <c r="MUB348" s="50"/>
      <c r="MUC348" s="50"/>
      <c r="MUD348" s="50"/>
      <c r="MUE348" s="50"/>
      <c r="MUF348" s="50"/>
      <c r="MUG348" s="50"/>
      <c r="MUH348" s="50"/>
      <c r="MUI348" s="50"/>
      <c r="MUJ348" s="50"/>
      <c r="MUK348" s="50"/>
      <c r="MUL348" s="50"/>
      <c r="MUM348" s="50"/>
      <c r="MUN348" s="50"/>
      <c r="MUO348" s="50"/>
      <c r="MUP348" s="50"/>
      <c r="MUQ348" s="50"/>
      <c r="MUR348" s="50"/>
      <c r="MUS348" s="50"/>
      <c r="MUT348" s="50"/>
      <c r="MUU348" s="50"/>
      <c r="MUV348" s="50"/>
      <c r="MUW348" s="50"/>
      <c r="MUX348" s="50"/>
      <c r="MUY348" s="50"/>
      <c r="MUZ348" s="50"/>
      <c r="MVA348" s="50"/>
      <c r="MVB348" s="50"/>
      <c r="MVC348" s="50"/>
      <c r="MVD348" s="50"/>
      <c r="MVE348" s="50"/>
      <c r="MVF348" s="50"/>
      <c r="MVG348" s="50"/>
      <c r="MVH348" s="50"/>
      <c r="MVI348" s="50"/>
      <c r="MVJ348" s="50"/>
      <c r="MVK348" s="50"/>
      <c r="MVL348" s="50"/>
      <c r="MVM348" s="50"/>
      <c r="MVN348" s="50"/>
      <c r="MVO348" s="50"/>
      <c r="MVP348" s="50"/>
      <c r="MVQ348" s="50"/>
      <c r="MVR348" s="50"/>
      <c r="MVS348" s="50"/>
      <c r="MVT348" s="50"/>
      <c r="MVU348" s="50"/>
      <c r="MVV348" s="50"/>
      <c r="MVW348" s="50"/>
      <c r="MVX348" s="50"/>
      <c r="MVY348" s="50"/>
      <c r="MVZ348" s="50"/>
      <c r="MWA348" s="50"/>
      <c r="MWB348" s="50"/>
      <c r="MWC348" s="50"/>
      <c r="MWD348" s="50"/>
      <c r="MWE348" s="50"/>
      <c r="MWF348" s="50"/>
      <c r="MWG348" s="50"/>
      <c r="MWH348" s="50"/>
      <c r="MWI348" s="50"/>
      <c r="MWJ348" s="50"/>
      <c r="MWK348" s="50"/>
      <c r="MWL348" s="50"/>
      <c r="MWM348" s="50"/>
      <c r="MWN348" s="50"/>
      <c r="MWO348" s="50"/>
      <c r="MWP348" s="50"/>
      <c r="MWQ348" s="50"/>
      <c r="MWR348" s="50"/>
      <c r="MWS348" s="50"/>
      <c r="MWT348" s="50"/>
      <c r="MWU348" s="50"/>
      <c r="MWV348" s="50"/>
      <c r="MWW348" s="50"/>
      <c r="MWX348" s="50"/>
      <c r="MWY348" s="50"/>
      <c r="MWZ348" s="50"/>
      <c r="MXA348" s="50"/>
      <c r="MXB348" s="50"/>
      <c r="MXC348" s="50"/>
      <c r="MXD348" s="50"/>
      <c r="MXE348" s="50"/>
      <c r="MXF348" s="50"/>
      <c r="MXG348" s="50"/>
      <c r="MXH348" s="50"/>
      <c r="MXI348" s="50"/>
      <c r="MXJ348" s="50"/>
      <c r="MXK348" s="50"/>
      <c r="MXL348" s="50"/>
      <c r="MXM348" s="50"/>
      <c r="MXN348" s="50"/>
      <c r="MXO348" s="50"/>
      <c r="MXP348" s="50"/>
      <c r="MXQ348" s="50"/>
      <c r="MXR348" s="50"/>
      <c r="MXS348" s="50"/>
      <c r="MXT348" s="50"/>
      <c r="MXU348" s="50"/>
      <c r="MXV348" s="50"/>
      <c r="MXW348" s="50"/>
      <c r="MXX348" s="50"/>
      <c r="MXY348" s="50"/>
      <c r="MXZ348" s="50"/>
      <c r="MYA348" s="50"/>
      <c r="MYB348" s="50"/>
      <c r="MYC348" s="50"/>
      <c r="MYD348" s="50"/>
      <c r="MYE348" s="50"/>
      <c r="MYF348" s="50"/>
      <c r="MYG348" s="50"/>
      <c r="MYH348" s="50"/>
      <c r="MYI348" s="50"/>
      <c r="MYJ348" s="50"/>
      <c r="MYK348" s="50"/>
      <c r="MYL348" s="50"/>
      <c r="MYM348" s="50"/>
      <c r="MYN348" s="50"/>
      <c r="MYO348" s="50"/>
      <c r="MYP348" s="50"/>
      <c r="MYQ348" s="50"/>
      <c r="MYR348" s="50"/>
      <c r="MYS348" s="50"/>
      <c r="MYT348" s="50"/>
      <c r="MYU348" s="50"/>
      <c r="MYV348" s="50"/>
      <c r="MYW348" s="50"/>
      <c r="MYX348" s="50"/>
      <c r="MYY348" s="50"/>
      <c r="MYZ348" s="50"/>
      <c r="MZA348" s="50"/>
      <c r="MZB348" s="50"/>
      <c r="MZC348" s="50"/>
      <c r="MZD348" s="50"/>
      <c r="MZE348" s="50"/>
      <c r="MZF348" s="50"/>
      <c r="MZG348" s="50"/>
      <c r="MZH348" s="50"/>
      <c r="MZI348" s="50"/>
      <c r="MZJ348" s="50"/>
      <c r="MZK348" s="50"/>
      <c r="MZL348" s="50"/>
      <c r="MZM348" s="50"/>
      <c r="MZN348" s="50"/>
      <c r="MZO348" s="50"/>
      <c r="MZP348" s="50"/>
      <c r="MZQ348" s="50"/>
      <c r="MZR348" s="50"/>
      <c r="MZS348" s="50"/>
      <c r="MZT348" s="50"/>
      <c r="MZU348" s="50"/>
      <c r="MZV348" s="50"/>
      <c r="MZW348" s="50"/>
      <c r="MZX348" s="50"/>
      <c r="MZY348" s="50"/>
      <c r="MZZ348" s="50"/>
      <c r="NAA348" s="50"/>
      <c r="NAB348" s="50"/>
      <c r="NAC348" s="50"/>
      <c r="NAD348" s="50"/>
      <c r="NAE348" s="50"/>
      <c r="NAF348" s="50"/>
      <c r="NAG348" s="50"/>
      <c r="NAH348" s="50"/>
      <c r="NAI348" s="50"/>
      <c r="NAJ348" s="50"/>
      <c r="NAK348" s="50"/>
      <c r="NAL348" s="50"/>
      <c r="NAM348" s="50"/>
      <c r="NAN348" s="50"/>
      <c r="NAO348" s="50"/>
      <c r="NAP348" s="50"/>
      <c r="NAQ348" s="50"/>
      <c r="NAR348" s="50"/>
      <c r="NAS348" s="50"/>
      <c r="NAT348" s="50"/>
      <c r="NAU348" s="50"/>
      <c r="NAV348" s="50"/>
      <c r="NAW348" s="50"/>
      <c r="NAX348" s="50"/>
      <c r="NAY348" s="50"/>
      <c r="NAZ348" s="50"/>
      <c r="NBA348" s="50"/>
      <c r="NBB348" s="50"/>
      <c r="NBC348" s="50"/>
      <c r="NBD348" s="50"/>
      <c r="NBE348" s="50"/>
      <c r="NBF348" s="50"/>
      <c r="NBG348" s="50"/>
      <c r="NBH348" s="50"/>
      <c r="NBI348" s="50"/>
      <c r="NBJ348" s="50"/>
      <c r="NBK348" s="50"/>
      <c r="NBL348" s="50"/>
      <c r="NBM348" s="50"/>
      <c r="NBN348" s="50"/>
      <c r="NBO348" s="50"/>
      <c r="NBP348" s="50"/>
      <c r="NBQ348" s="50"/>
      <c r="NBR348" s="50"/>
      <c r="NBS348" s="50"/>
      <c r="NBT348" s="50"/>
      <c r="NBU348" s="50"/>
      <c r="NBV348" s="50"/>
      <c r="NBW348" s="50"/>
      <c r="NBX348" s="50"/>
      <c r="NBY348" s="50"/>
      <c r="NBZ348" s="50"/>
      <c r="NCA348" s="50"/>
      <c r="NCB348" s="50"/>
      <c r="NCC348" s="50"/>
      <c r="NCD348" s="50"/>
      <c r="NCE348" s="50"/>
      <c r="NCF348" s="50"/>
      <c r="NCG348" s="50"/>
      <c r="NCH348" s="50"/>
      <c r="NCI348" s="50"/>
      <c r="NCJ348" s="50"/>
      <c r="NCK348" s="50"/>
      <c r="NCL348" s="50"/>
      <c r="NCM348" s="50"/>
      <c r="NCN348" s="50"/>
      <c r="NCO348" s="50"/>
      <c r="NCP348" s="50"/>
      <c r="NCQ348" s="50"/>
      <c r="NCR348" s="50"/>
      <c r="NCS348" s="50"/>
      <c r="NCT348" s="50"/>
      <c r="NCU348" s="50"/>
      <c r="NCV348" s="50"/>
      <c r="NCW348" s="50"/>
      <c r="NCX348" s="50"/>
      <c r="NCY348" s="50"/>
      <c r="NCZ348" s="50"/>
      <c r="NDA348" s="50"/>
      <c r="NDB348" s="50"/>
      <c r="NDC348" s="50"/>
      <c r="NDD348" s="50"/>
      <c r="NDE348" s="50"/>
      <c r="NDF348" s="50"/>
      <c r="NDG348" s="50"/>
      <c r="NDH348" s="50"/>
      <c r="NDI348" s="50"/>
      <c r="NDJ348" s="50"/>
      <c r="NDK348" s="50"/>
      <c r="NDL348" s="50"/>
      <c r="NDM348" s="50"/>
      <c r="NDN348" s="50"/>
      <c r="NDO348" s="50"/>
      <c r="NDP348" s="50"/>
      <c r="NDQ348" s="50"/>
      <c r="NDR348" s="50"/>
      <c r="NDS348" s="50"/>
      <c r="NDT348" s="50"/>
      <c r="NDU348" s="50"/>
      <c r="NDV348" s="50"/>
      <c r="NDW348" s="50"/>
      <c r="NDX348" s="50"/>
      <c r="NDY348" s="50"/>
      <c r="NDZ348" s="50"/>
      <c r="NEA348" s="50"/>
      <c r="NEB348" s="50"/>
      <c r="NEC348" s="50"/>
      <c r="NED348" s="50"/>
      <c r="NEE348" s="50"/>
      <c r="NEF348" s="50"/>
      <c r="NEG348" s="50"/>
      <c r="NEH348" s="50"/>
      <c r="NEI348" s="50"/>
      <c r="NEJ348" s="50"/>
      <c r="NEK348" s="50"/>
      <c r="NEL348" s="50"/>
      <c r="NEM348" s="50"/>
      <c r="NEN348" s="50"/>
      <c r="NEO348" s="50"/>
      <c r="NEP348" s="50"/>
      <c r="NEQ348" s="50"/>
      <c r="NER348" s="50"/>
      <c r="NES348" s="50"/>
      <c r="NET348" s="50"/>
      <c r="NEU348" s="50"/>
      <c r="NEV348" s="50"/>
      <c r="NEW348" s="50"/>
      <c r="NEX348" s="50"/>
      <c r="NEY348" s="50"/>
      <c r="NEZ348" s="50"/>
      <c r="NFA348" s="50"/>
      <c r="NFB348" s="50"/>
      <c r="NFC348" s="50"/>
      <c r="NFD348" s="50"/>
      <c r="NFE348" s="50"/>
      <c r="NFF348" s="50"/>
      <c r="NFG348" s="50"/>
      <c r="NFH348" s="50"/>
      <c r="NFI348" s="50"/>
      <c r="NFJ348" s="50"/>
      <c r="NFK348" s="50"/>
      <c r="NFL348" s="50"/>
      <c r="NFM348" s="50"/>
      <c r="NFN348" s="50"/>
      <c r="NFO348" s="50"/>
      <c r="NFP348" s="50"/>
      <c r="NFQ348" s="50"/>
      <c r="NFR348" s="50"/>
      <c r="NFS348" s="50"/>
      <c r="NFT348" s="50"/>
      <c r="NFU348" s="50"/>
      <c r="NFV348" s="50"/>
      <c r="NFW348" s="50"/>
      <c r="NFX348" s="50"/>
      <c r="NFY348" s="50"/>
      <c r="NFZ348" s="50"/>
      <c r="NGA348" s="50"/>
      <c r="NGB348" s="50"/>
      <c r="NGC348" s="50"/>
      <c r="NGD348" s="50"/>
      <c r="NGE348" s="50"/>
      <c r="NGF348" s="50"/>
      <c r="NGG348" s="50"/>
      <c r="NGH348" s="50"/>
      <c r="NGI348" s="50"/>
      <c r="NGJ348" s="50"/>
      <c r="NGK348" s="50"/>
      <c r="NGL348" s="50"/>
      <c r="NGM348" s="50"/>
      <c r="NGN348" s="50"/>
      <c r="NGO348" s="50"/>
      <c r="NGP348" s="50"/>
      <c r="NGQ348" s="50"/>
      <c r="NGR348" s="50"/>
      <c r="NGS348" s="50"/>
      <c r="NGT348" s="50"/>
      <c r="NGU348" s="50"/>
      <c r="NGV348" s="50"/>
      <c r="NGW348" s="50"/>
      <c r="NGX348" s="50"/>
      <c r="NGY348" s="50"/>
      <c r="NGZ348" s="50"/>
      <c r="NHA348" s="50"/>
      <c r="NHB348" s="50"/>
      <c r="NHC348" s="50"/>
      <c r="NHD348" s="50"/>
      <c r="NHE348" s="50"/>
      <c r="NHF348" s="50"/>
      <c r="NHG348" s="50"/>
      <c r="NHH348" s="50"/>
      <c r="NHI348" s="50"/>
      <c r="NHJ348" s="50"/>
      <c r="NHK348" s="50"/>
      <c r="NHL348" s="50"/>
      <c r="NHM348" s="50"/>
      <c r="NHN348" s="50"/>
      <c r="NHO348" s="50"/>
      <c r="NHP348" s="50"/>
      <c r="NHQ348" s="50"/>
      <c r="NHR348" s="50"/>
      <c r="NHS348" s="50"/>
      <c r="NHT348" s="50"/>
      <c r="NHU348" s="50"/>
      <c r="NHV348" s="50"/>
      <c r="NHW348" s="50"/>
      <c r="NHX348" s="50"/>
      <c r="NHY348" s="50"/>
      <c r="NHZ348" s="50"/>
      <c r="NIA348" s="50"/>
      <c r="NIB348" s="50"/>
      <c r="NIC348" s="50"/>
      <c r="NID348" s="50"/>
      <c r="NIE348" s="50"/>
      <c r="NIF348" s="50"/>
      <c r="NIG348" s="50"/>
      <c r="NIH348" s="50"/>
      <c r="NII348" s="50"/>
      <c r="NIJ348" s="50"/>
      <c r="NIK348" s="50"/>
      <c r="NIL348" s="50"/>
      <c r="NIM348" s="50"/>
      <c r="NIN348" s="50"/>
      <c r="NIO348" s="50"/>
      <c r="NIP348" s="50"/>
      <c r="NIQ348" s="50"/>
      <c r="NIR348" s="50"/>
      <c r="NIS348" s="50"/>
      <c r="NIT348" s="50"/>
      <c r="NIU348" s="50"/>
      <c r="NIV348" s="50"/>
      <c r="NIW348" s="50"/>
      <c r="NIX348" s="50"/>
      <c r="NIY348" s="50"/>
      <c r="NIZ348" s="50"/>
      <c r="NJA348" s="50"/>
      <c r="NJB348" s="50"/>
      <c r="NJC348" s="50"/>
      <c r="NJD348" s="50"/>
      <c r="NJE348" s="50"/>
      <c r="NJF348" s="50"/>
      <c r="NJG348" s="50"/>
      <c r="NJH348" s="50"/>
      <c r="NJI348" s="50"/>
      <c r="NJJ348" s="50"/>
      <c r="NJK348" s="50"/>
      <c r="NJL348" s="50"/>
      <c r="NJM348" s="50"/>
      <c r="NJN348" s="50"/>
      <c r="NJO348" s="50"/>
      <c r="NJP348" s="50"/>
      <c r="NJQ348" s="50"/>
      <c r="NJR348" s="50"/>
      <c r="NJS348" s="50"/>
      <c r="NJT348" s="50"/>
      <c r="NJU348" s="50"/>
      <c r="NJV348" s="50"/>
      <c r="NJW348" s="50"/>
      <c r="NJX348" s="50"/>
      <c r="NJY348" s="50"/>
      <c r="NJZ348" s="50"/>
      <c r="NKA348" s="50"/>
      <c r="NKB348" s="50"/>
      <c r="NKC348" s="50"/>
      <c r="NKD348" s="50"/>
      <c r="NKE348" s="50"/>
      <c r="NKF348" s="50"/>
      <c r="NKG348" s="50"/>
      <c r="NKH348" s="50"/>
      <c r="NKI348" s="50"/>
      <c r="NKJ348" s="50"/>
      <c r="NKK348" s="50"/>
      <c r="NKL348" s="50"/>
      <c r="NKM348" s="50"/>
      <c r="NKN348" s="50"/>
      <c r="NKO348" s="50"/>
      <c r="NKP348" s="50"/>
      <c r="NKQ348" s="50"/>
      <c r="NKR348" s="50"/>
      <c r="NKS348" s="50"/>
      <c r="NKT348" s="50"/>
      <c r="NKU348" s="50"/>
      <c r="NKV348" s="50"/>
      <c r="NKW348" s="50"/>
      <c r="NKX348" s="50"/>
      <c r="NKY348" s="50"/>
      <c r="NKZ348" s="50"/>
      <c r="NLA348" s="50"/>
      <c r="NLB348" s="50"/>
      <c r="NLC348" s="50"/>
      <c r="NLD348" s="50"/>
      <c r="NLE348" s="50"/>
      <c r="NLF348" s="50"/>
      <c r="NLG348" s="50"/>
      <c r="NLH348" s="50"/>
      <c r="NLI348" s="50"/>
      <c r="NLJ348" s="50"/>
      <c r="NLK348" s="50"/>
      <c r="NLL348" s="50"/>
      <c r="NLM348" s="50"/>
      <c r="NLN348" s="50"/>
      <c r="NLO348" s="50"/>
      <c r="NLP348" s="50"/>
      <c r="NLQ348" s="50"/>
      <c r="NLR348" s="50"/>
      <c r="NLS348" s="50"/>
      <c r="NLT348" s="50"/>
      <c r="NLU348" s="50"/>
      <c r="NLV348" s="50"/>
      <c r="NLW348" s="50"/>
      <c r="NLX348" s="50"/>
      <c r="NLY348" s="50"/>
      <c r="NLZ348" s="50"/>
      <c r="NMA348" s="50"/>
      <c r="NMB348" s="50"/>
      <c r="NMC348" s="50"/>
      <c r="NMD348" s="50"/>
      <c r="NME348" s="50"/>
      <c r="NMF348" s="50"/>
      <c r="NMG348" s="50"/>
      <c r="NMH348" s="50"/>
      <c r="NMI348" s="50"/>
      <c r="NMJ348" s="50"/>
      <c r="NMK348" s="50"/>
      <c r="NML348" s="50"/>
      <c r="NMM348" s="50"/>
      <c r="NMN348" s="50"/>
      <c r="NMO348" s="50"/>
      <c r="NMP348" s="50"/>
      <c r="NMQ348" s="50"/>
      <c r="NMR348" s="50"/>
      <c r="NMS348" s="50"/>
      <c r="NMT348" s="50"/>
      <c r="NMU348" s="50"/>
      <c r="NMV348" s="50"/>
      <c r="NMW348" s="50"/>
      <c r="NMX348" s="50"/>
      <c r="NMY348" s="50"/>
      <c r="NMZ348" s="50"/>
      <c r="NNA348" s="50"/>
      <c r="NNB348" s="50"/>
      <c r="NNC348" s="50"/>
      <c r="NND348" s="50"/>
      <c r="NNE348" s="50"/>
      <c r="NNF348" s="50"/>
      <c r="NNG348" s="50"/>
      <c r="NNH348" s="50"/>
      <c r="NNI348" s="50"/>
      <c r="NNJ348" s="50"/>
      <c r="NNK348" s="50"/>
      <c r="NNL348" s="50"/>
      <c r="NNM348" s="50"/>
      <c r="NNN348" s="50"/>
      <c r="NNO348" s="50"/>
      <c r="NNP348" s="50"/>
      <c r="NNQ348" s="50"/>
      <c r="NNR348" s="50"/>
      <c r="NNS348" s="50"/>
      <c r="NNT348" s="50"/>
      <c r="NNU348" s="50"/>
      <c r="NNV348" s="50"/>
      <c r="NNW348" s="50"/>
      <c r="NNX348" s="50"/>
      <c r="NNY348" s="50"/>
      <c r="NNZ348" s="50"/>
      <c r="NOA348" s="50"/>
      <c r="NOB348" s="50"/>
      <c r="NOC348" s="50"/>
      <c r="NOD348" s="50"/>
      <c r="NOE348" s="50"/>
      <c r="NOF348" s="50"/>
      <c r="NOG348" s="50"/>
      <c r="NOH348" s="50"/>
      <c r="NOI348" s="50"/>
      <c r="NOJ348" s="50"/>
      <c r="NOK348" s="50"/>
      <c r="NOL348" s="50"/>
      <c r="NOM348" s="50"/>
      <c r="NON348" s="50"/>
      <c r="NOO348" s="50"/>
      <c r="NOP348" s="50"/>
      <c r="NOQ348" s="50"/>
      <c r="NOR348" s="50"/>
      <c r="NOS348" s="50"/>
      <c r="NOT348" s="50"/>
      <c r="NOU348" s="50"/>
      <c r="NOV348" s="50"/>
      <c r="NOW348" s="50"/>
      <c r="NOX348" s="50"/>
      <c r="NOY348" s="50"/>
      <c r="NOZ348" s="50"/>
      <c r="NPA348" s="50"/>
      <c r="NPB348" s="50"/>
      <c r="NPC348" s="50"/>
      <c r="NPD348" s="50"/>
      <c r="NPE348" s="50"/>
      <c r="NPF348" s="50"/>
      <c r="NPG348" s="50"/>
      <c r="NPH348" s="50"/>
      <c r="NPI348" s="50"/>
      <c r="NPJ348" s="50"/>
      <c r="NPK348" s="50"/>
      <c r="NPL348" s="50"/>
      <c r="NPM348" s="50"/>
      <c r="NPN348" s="50"/>
      <c r="NPO348" s="50"/>
      <c r="NPP348" s="50"/>
      <c r="NPQ348" s="50"/>
      <c r="NPR348" s="50"/>
      <c r="NPS348" s="50"/>
      <c r="NPT348" s="50"/>
      <c r="NPU348" s="50"/>
      <c r="NPV348" s="50"/>
      <c r="NPW348" s="50"/>
      <c r="NPX348" s="50"/>
      <c r="NPY348" s="50"/>
      <c r="NPZ348" s="50"/>
      <c r="NQA348" s="50"/>
      <c r="NQB348" s="50"/>
      <c r="NQC348" s="50"/>
      <c r="NQD348" s="50"/>
      <c r="NQE348" s="50"/>
      <c r="NQF348" s="50"/>
      <c r="NQG348" s="50"/>
      <c r="NQH348" s="50"/>
      <c r="NQI348" s="50"/>
      <c r="NQJ348" s="50"/>
      <c r="NQK348" s="50"/>
      <c r="NQL348" s="50"/>
      <c r="NQM348" s="50"/>
      <c r="NQN348" s="50"/>
      <c r="NQO348" s="50"/>
      <c r="NQP348" s="50"/>
      <c r="NQQ348" s="50"/>
      <c r="NQR348" s="50"/>
      <c r="NQS348" s="50"/>
      <c r="NQT348" s="50"/>
      <c r="NQU348" s="50"/>
      <c r="NQV348" s="50"/>
      <c r="NQW348" s="50"/>
      <c r="NQX348" s="50"/>
      <c r="NQY348" s="50"/>
      <c r="NQZ348" s="50"/>
      <c r="NRA348" s="50"/>
      <c r="NRB348" s="50"/>
      <c r="NRC348" s="50"/>
      <c r="NRD348" s="50"/>
      <c r="NRE348" s="50"/>
      <c r="NRF348" s="50"/>
      <c r="NRG348" s="50"/>
      <c r="NRH348" s="50"/>
      <c r="NRI348" s="50"/>
      <c r="NRJ348" s="50"/>
      <c r="NRK348" s="50"/>
      <c r="NRL348" s="50"/>
      <c r="NRM348" s="50"/>
      <c r="NRN348" s="50"/>
      <c r="NRO348" s="50"/>
      <c r="NRP348" s="50"/>
      <c r="NRQ348" s="50"/>
      <c r="NRR348" s="50"/>
      <c r="NRS348" s="50"/>
      <c r="NRT348" s="50"/>
      <c r="NRU348" s="50"/>
      <c r="NRV348" s="50"/>
      <c r="NRW348" s="50"/>
      <c r="NRX348" s="50"/>
      <c r="NRY348" s="50"/>
      <c r="NRZ348" s="50"/>
      <c r="NSA348" s="50"/>
      <c r="NSB348" s="50"/>
      <c r="NSC348" s="50"/>
      <c r="NSD348" s="50"/>
      <c r="NSE348" s="50"/>
      <c r="NSF348" s="50"/>
      <c r="NSG348" s="50"/>
      <c r="NSH348" s="50"/>
      <c r="NSI348" s="50"/>
      <c r="NSJ348" s="50"/>
      <c r="NSK348" s="50"/>
      <c r="NSL348" s="50"/>
      <c r="NSM348" s="50"/>
      <c r="NSN348" s="50"/>
      <c r="NSO348" s="50"/>
      <c r="NSP348" s="50"/>
      <c r="NSQ348" s="50"/>
      <c r="NSR348" s="50"/>
      <c r="NSS348" s="50"/>
      <c r="NST348" s="50"/>
      <c r="NSU348" s="50"/>
      <c r="NSV348" s="50"/>
      <c r="NSW348" s="50"/>
      <c r="NSX348" s="50"/>
      <c r="NSY348" s="50"/>
      <c r="NSZ348" s="50"/>
      <c r="NTA348" s="50"/>
      <c r="NTB348" s="50"/>
      <c r="NTC348" s="50"/>
      <c r="NTD348" s="50"/>
      <c r="NTE348" s="50"/>
      <c r="NTF348" s="50"/>
      <c r="NTG348" s="50"/>
      <c r="NTH348" s="50"/>
      <c r="NTI348" s="50"/>
      <c r="NTJ348" s="50"/>
      <c r="NTK348" s="50"/>
      <c r="NTL348" s="50"/>
      <c r="NTM348" s="50"/>
      <c r="NTN348" s="50"/>
      <c r="NTO348" s="50"/>
      <c r="NTP348" s="50"/>
      <c r="NTQ348" s="50"/>
      <c r="NTR348" s="50"/>
      <c r="NTS348" s="50"/>
      <c r="NTT348" s="50"/>
      <c r="NTU348" s="50"/>
      <c r="NTV348" s="50"/>
      <c r="NTW348" s="50"/>
      <c r="NTX348" s="50"/>
      <c r="NTY348" s="50"/>
      <c r="NTZ348" s="50"/>
      <c r="NUA348" s="50"/>
      <c r="NUB348" s="50"/>
      <c r="NUC348" s="50"/>
      <c r="NUD348" s="50"/>
      <c r="NUE348" s="50"/>
      <c r="NUF348" s="50"/>
      <c r="NUG348" s="50"/>
      <c r="NUH348" s="50"/>
      <c r="NUI348" s="50"/>
      <c r="NUJ348" s="50"/>
      <c r="NUK348" s="50"/>
      <c r="NUL348" s="50"/>
      <c r="NUM348" s="50"/>
      <c r="NUN348" s="50"/>
      <c r="NUO348" s="50"/>
      <c r="NUP348" s="50"/>
      <c r="NUQ348" s="50"/>
      <c r="NUR348" s="50"/>
      <c r="NUS348" s="50"/>
      <c r="NUT348" s="50"/>
      <c r="NUU348" s="50"/>
      <c r="NUV348" s="50"/>
      <c r="NUW348" s="50"/>
      <c r="NUX348" s="50"/>
      <c r="NUY348" s="50"/>
      <c r="NUZ348" s="50"/>
      <c r="NVA348" s="50"/>
      <c r="NVB348" s="50"/>
      <c r="NVC348" s="50"/>
      <c r="NVD348" s="50"/>
      <c r="NVE348" s="50"/>
      <c r="NVF348" s="50"/>
      <c r="NVG348" s="50"/>
      <c r="NVH348" s="50"/>
      <c r="NVI348" s="50"/>
      <c r="NVJ348" s="50"/>
      <c r="NVK348" s="50"/>
      <c r="NVL348" s="50"/>
      <c r="NVM348" s="50"/>
      <c r="NVN348" s="50"/>
      <c r="NVO348" s="50"/>
      <c r="NVP348" s="50"/>
      <c r="NVQ348" s="50"/>
      <c r="NVR348" s="50"/>
      <c r="NVS348" s="50"/>
      <c r="NVT348" s="50"/>
      <c r="NVU348" s="50"/>
      <c r="NVV348" s="50"/>
      <c r="NVW348" s="50"/>
      <c r="NVX348" s="50"/>
      <c r="NVY348" s="50"/>
      <c r="NVZ348" s="50"/>
      <c r="NWA348" s="50"/>
      <c r="NWB348" s="50"/>
      <c r="NWC348" s="50"/>
      <c r="NWD348" s="50"/>
      <c r="NWE348" s="50"/>
      <c r="NWF348" s="50"/>
      <c r="NWG348" s="50"/>
      <c r="NWH348" s="50"/>
      <c r="NWI348" s="50"/>
      <c r="NWJ348" s="50"/>
      <c r="NWK348" s="50"/>
      <c r="NWL348" s="50"/>
      <c r="NWM348" s="50"/>
      <c r="NWN348" s="50"/>
      <c r="NWO348" s="50"/>
      <c r="NWP348" s="50"/>
      <c r="NWQ348" s="50"/>
      <c r="NWR348" s="50"/>
      <c r="NWS348" s="50"/>
      <c r="NWT348" s="50"/>
      <c r="NWU348" s="50"/>
      <c r="NWV348" s="50"/>
      <c r="NWW348" s="50"/>
      <c r="NWX348" s="50"/>
      <c r="NWY348" s="50"/>
      <c r="NWZ348" s="50"/>
      <c r="NXA348" s="50"/>
      <c r="NXB348" s="50"/>
      <c r="NXC348" s="50"/>
      <c r="NXD348" s="50"/>
      <c r="NXE348" s="50"/>
      <c r="NXF348" s="50"/>
      <c r="NXG348" s="50"/>
      <c r="NXH348" s="50"/>
      <c r="NXI348" s="50"/>
      <c r="NXJ348" s="50"/>
      <c r="NXK348" s="50"/>
      <c r="NXL348" s="50"/>
      <c r="NXM348" s="50"/>
      <c r="NXN348" s="50"/>
      <c r="NXO348" s="50"/>
      <c r="NXP348" s="50"/>
      <c r="NXQ348" s="50"/>
      <c r="NXR348" s="50"/>
      <c r="NXS348" s="50"/>
      <c r="NXT348" s="50"/>
      <c r="NXU348" s="50"/>
      <c r="NXV348" s="50"/>
      <c r="NXW348" s="50"/>
      <c r="NXX348" s="50"/>
      <c r="NXY348" s="50"/>
      <c r="NXZ348" s="50"/>
      <c r="NYA348" s="50"/>
      <c r="NYB348" s="50"/>
      <c r="NYC348" s="50"/>
      <c r="NYD348" s="50"/>
      <c r="NYE348" s="50"/>
      <c r="NYF348" s="50"/>
      <c r="NYG348" s="50"/>
      <c r="NYH348" s="50"/>
      <c r="NYI348" s="50"/>
      <c r="NYJ348" s="50"/>
      <c r="NYK348" s="50"/>
      <c r="NYL348" s="50"/>
      <c r="NYM348" s="50"/>
      <c r="NYN348" s="50"/>
      <c r="NYO348" s="50"/>
      <c r="NYP348" s="50"/>
      <c r="NYQ348" s="50"/>
      <c r="NYR348" s="50"/>
      <c r="NYS348" s="50"/>
      <c r="NYT348" s="50"/>
      <c r="NYU348" s="50"/>
      <c r="NYV348" s="50"/>
      <c r="NYW348" s="50"/>
      <c r="NYX348" s="50"/>
      <c r="NYY348" s="50"/>
      <c r="NYZ348" s="50"/>
      <c r="NZA348" s="50"/>
      <c r="NZB348" s="50"/>
      <c r="NZC348" s="50"/>
      <c r="NZD348" s="50"/>
      <c r="NZE348" s="50"/>
      <c r="NZF348" s="50"/>
      <c r="NZG348" s="50"/>
      <c r="NZH348" s="50"/>
      <c r="NZI348" s="50"/>
      <c r="NZJ348" s="50"/>
      <c r="NZK348" s="50"/>
      <c r="NZL348" s="50"/>
      <c r="NZM348" s="50"/>
      <c r="NZN348" s="50"/>
      <c r="NZO348" s="50"/>
      <c r="NZP348" s="50"/>
      <c r="NZQ348" s="50"/>
      <c r="NZR348" s="50"/>
      <c r="NZS348" s="50"/>
      <c r="NZT348" s="50"/>
      <c r="NZU348" s="50"/>
      <c r="NZV348" s="50"/>
      <c r="NZW348" s="50"/>
      <c r="NZX348" s="50"/>
      <c r="NZY348" s="50"/>
      <c r="NZZ348" s="50"/>
      <c r="OAA348" s="50"/>
      <c r="OAB348" s="50"/>
      <c r="OAC348" s="50"/>
      <c r="OAD348" s="50"/>
      <c r="OAE348" s="50"/>
      <c r="OAF348" s="50"/>
      <c r="OAG348" s="50"/>
      <c r="OAH348" s="50"/>
      <c r="OAI348" s="50"/>
      <c r="OAJ348" s="50"/>
      <c r="OAK348" s="50"/>
      <c r="OAL348" s="50"/>
      <c r="OAM348" s="50"/>
      <c r="OAN348" s="50"/>
      <c r="OAO348" s="50"/>
      <c r="OAP348" s="50"/>
      <c r="OAQ348" s="50"/>
      <c r="OAR348" s="50"/>
      <c r="OAS348" s="50"/>
      <c r="OAT348" s="50"/>
      <c r="OAU348" s="50"/>
      <c r="OAV348" s="50"/>
      <c r="OAW348" s="50"/>
      <c r="OAX348" s="50"/>
      <c r="OAY348" s="50"/>
      <c r="OAZ348" s="50"/>
      <c r="OBA348" s="50"/>
      <c r="OBB348" s="50"/>
      <c r="OBC348" s="50"/>
      <c r="OBD348" s="50"/>
      <c r="OBE348" s="50"/>
      <c r="OBF348" s="50"/>
      <c r="OBG348" s="50"/>
      <c r="OBH348" s="50"/>
      <c r="OBI348" s="50"/>
      <c r="OBJ348" s="50"/>
      <c r="OBK348" s="50"/>
      <c r="OBL348" s="50"/>
      <c r="OBM348" s="50"/>
      <c r="OBN348" s="50"/>
      <c r="OBO348" s="50"/>
      <c r="OBP348" s="50"/>
      <c r="OBQ348" s="50"/>
      <c r="OBR348" s="50"/>
      <c r="OBS348" s="50"/>
      <c r="OBT348" s="50"/>
      <c r="OBU348" s="50"/>
      <c r="OBV348" s="50"/>
      <c r="OBW348" s="50"/>
      <c r="OBX348" s="50"/>
      <c r="OBY348" s="50"/>
      <c r="OBZ348" s="50"/>
      <c r="OCA348" s="50"/>
      <c r="OCB348" s="50"/>
      <c r="OCC348" s="50"/>
      <c r="OCD348" s="50"/>
      <c r="OCE348" s="50"/>
      <c r="OCF348" s="50"/>
      <c r="OCG348" s="50"/>
      <c r="OCH348" s="50"/>
      <c r="OCI348" s="50"/>
      <c r="OCJ348" s="50"/>
      <c r="OCK348" s="50"/>
      <c r="OCL348" s="50"/>
      <c r="OCM348" s="50"/>
      <c r="OCN348" s="50"/>
      <c r="OCO348" s="50"/>
      <c r="OCP348" s="50"/>
      <c r="OCQ348" s="50"/>
      <c r="OCR348" s="50"/>
      <c r="OCS348" s="50"/>
      <c r="OCT348" s="50"/>
      <c r="OCU348" s="50"/>
      <c r="OCV348" s="50"/>
      <c r="OCW348" s="50"/>
      <c r="OCX348" s="50"/>
      <c r="OCY348" s="50"/>
      <c r="OCZ348" s="50"/>
      <c r="ODA348" s="50"/>
      <c r="ODB348" s="50"/>
      <c r="ODC348" s="50"/>
      <c r="ODD348" s="50"/>
      <c r="ODE348" s="50"/>
      <c r="ODF348" s="50"/>
      <c r="ODG348" s="50"/>
      <c r="ODH348" s="50"/>
      <c r="ODI348" s="50"/>
      <c r="ODJ348" s="50"/>
      <c r="ODK348" s="50"/>
      <c r="ODL348" s="50"/>
      <c r="ODM348" s="50"/>
      <c r="ODN348" s="50"/>
      <c r="ODO348" s="50"/>
      <c r="ODP348" s="50"/>
      <c r="ODQ348" s="50"/>
      <c r="ODR348" s="50"/>
      <c r="ODS348" s="50"/>
      <c r="ODT348" s="50"/>
      <c r="ODU348" s="50"/>
      <c r="ODV348" s="50"/>
      <c r="ODW348" s="50"/>
      <c r="ODX348" s="50"/>
      <c r="ODY348" s="50"/>
      <c r="ODZ348" s="50"/>
      <c r="OEA348" s="50"/>
      <c r="OEB348" s="50"/>
      <c r="OEC348" s="50"/>
      <c r="OED348" s="50"/>
      <c r="OEE348" s="50"/>
      <c r="OEF348" s="50"/>
      <c r="OEG348" s="50"/>
      <c r="OEH348" s="50"/>
      <c r="OEI348" s="50"/>
      <c r="OEJ348" s="50"/>
      <c r="OEK348" s="50"/>
      <c r="OEL348" s="50"/>
      <c r="OEM348" s="50"/>
      <c r="OEN348" s="50"/>
      <c r="OEO348" s="50"/>
      <c r="OEP348" s="50"/>
      <c r="OEQ348" s="50"/>
      <c r="OER348" s="50"/>
      <c r="OES348" s="50"/>
      <c r="OET348" s="50"/>
      <c r="OEU348" s="50"/>
      <c r="OEV348" s="50"/>
      <c r="OEW348" s="50"/>
      <c r="OEX348" s="50"/>
      <c r="OEY348" s="50"/>
      <c r="OEZ348" s="50"/>
      <c r="OFA348" s="50"/>
      <c r="OFB348" s="50"/>
      <c r="OFC348" s="50"/>
      <c r="OFD348" s="50"/>
      <c r="OFE348" s="50"/>
      <c r="OFF348" s="50"/>
      <c r="OFG348" s="50"/>
      <c r="OFH348" s="50"/>
      <c r="OFI348" s="50"/>
      <c r="OFJ348" s="50"/>
      <c r="OFK348" s="50"/>
      <c r="OFL348" s="50"/>
      <c r="OFM348" s="50"/>
      <c r="OFN348" s="50"/>
      <c r="OFO348" s="50"/>
      <c r="OFP348" s="50"/>
      <c r="OFQ348" s="50"/>
      <c r="OFR348" s="50"/>
      <c r="OFS348" s="50"/>
      <c r="OFT348" s="50"/>
      <c r="OFU348" s="50"/>
      <c r="OFV348" s="50"/>
      <c r="OFW348" s="50"/>
      <c r="OFX348" s="50"/>
      <c r="OFY348" s="50"/>
      <c r="OFZ348" s="50"/>
      <c r="OGA348" s="50"/>
      <c r="OGB348" s="50"/>
      <c r="OGC348" s="50"/>
      <c r="OGD348" s="50"/>
      <c r="OGE348" s="50"/>
      <c r="OGF348" s="50"/>
      <c r="OGG348" s="50"/>
      <c r="OGH348" s="50"/>
      <c r="OGI348" s="50"/>
      <c r="OGJ348" s="50"/>
      <c r="OGK348" s="50"/>
      <c r="OGL348" s="50"/>
      <c r="OGM348" s="50"/>
      <c r="OGN348" s="50"/>
      <c r="OGO348" s="50"/>
      <c r="OGP348" s="50"/>
      <c r="OGQ348" s="50"/>
      <c r="OGR348" s="50"/>
      <c r="OGS348" s="50"/>
      <c r="OGT348" s="50"/>
      <c r="OGU348" s="50"/>
      <c r="OGV348" s="50"/>
      <c r="OGW348" s="50"/>
      <c r="OGX348" s="50"/>
      <c r="OGY348" s="50"/>
      <c r="OGZ348" s="50"/>
      <c r="OHA348" s="50"/>
      <c r="OHB348" s="50"/>
      <c r="OHC348" s="50"/>
      <c r="OHD348" s="50"/>
      <c r="OHE348" s="50"/>
      <c r="OHF348" s="50"/>
      <c r="OHG348" s="50"/>
      <c r="OHH348" s="50"/>
      <c r="OHI348" s="50"/>
      <c r="OHJ348" s="50"/>
      <c r="OHK348" s="50"/>
      <c r="OHL348" s="50"/>
      <c r="OHM348" s="50"/>
      <c r="OHN348" s="50"/>
      <c r="OHO348" s="50"/>
      <c r="OHP348" s="50"/>
      <c r="OHQ348" s="50"/>
      <c r="OHR348" s="50"/>
      <c r="OHS348" s="50"/>
      <c r="OHT348" s="50"/>
      <c r="OHU348" s="50"/>
      <c r="OHV348" s="50"/>
      <c r="OHW348" s="50"/>
      <c r="OHX348" s="50"/>
      <c r="OHY348" s="50"/>
      <c r="OHZ348" s="50"/>
      <c r="OIA348" s="50"/>
      <c r="OIB348" s="50"/>
      <c r="OIC348" s="50"/>
      <c r="OID348" s="50"/>
      <c r="OIE348" s="50"/>
      <c r="OIF348" s="50"/>
      <c r="OIG348" s="50"/>
      <c r="OIH348" s="50"/>
      <c r="OII348" s="50"/>
      <c r="OIJ348" s="50"/>
      <c r="OIK348" s="50"/>
      <c r="OIL348" s="50"/>
      <c r="OIM348" s="50"/>
      <c r="OIN348" s="50"/>
      <c r="OIO348" s="50"/>
      <c r="OIP348" s="50"/>
      <c r="OIQ348" s="50"/>
      <c r="OIR348" s="50"/>
      <c r="OIS348" s="50"/>
      <c r="OIT348" s="50"/>
      <c r="OIU348" s="50"/>
      <c r="OIV348" s="50"/>
      <c r="OIW348" s="50"/>
      <c r="OIX348" s="50"/>
      <c r="OIY348" s="50"/>
      <c r="OIZ348" s="50"/>
      <c r="OJA348" s="50"/>
      <c r="OJB348" s="50"/>
      <c r="OJC348" s="50"/>
      <c r="OJD348" s="50"/>
      <c r="OJE348" s="50"/>
      <c r="OJF348" s="50"/>
      <c r="OJG348" s="50"/>
      <c r="OJH348" s="50"/>
      <c r="OJI348" s="50"/>
      <c r="OJJ348" s="50"/>
      <c r="OJK348" s="50"/>
      <c r="OJL348" s="50"/>
      <c r="OJM348" s="50"/>
      <c r="OJN348" s="50"/>
      <c r="OJO348" s="50"/>
      <c r="OJP348" s="50"/>
      <c r="OJQ348" s="50"/>
      <c r="OJR348" s="50"/>
      <c r="OJS348" s="50"/>
      <c r="OJT348" s="50"/>
      <c r="OJU348" s="50"/>
      <c r="OJV348" s="50"/>
      <c r="OJW348" s="50"/>
      <c r="OJX348" s="50"/>
      <c r="OJY348" s="50"/>
      <c r="OJZ348" s="50"/>
      <c r="OKA348" s="50"/>
      <c r="OKB348" s="50"/>
      <c r="OKC348" s="50"/>
      <c r="OKD348" s="50"/>
      <c r="OKE348" s="50"/>
      <c r="OKF348" s="50"/>
      <c r="OKG348" s="50"/>
      <c r="OKH348" s="50"/>
      <c r="OKI348" s="50"/>
      <c r="OKJ348" s="50"/>
      <c r="OKK348" s="50"/>
      <c r="OKL348" s="50"/>
      <c r="OKM348" s="50"/>
      <c r="OKN348" s="50"/>
      <c r="OKO348" s="50"/>
      <c r="OKP348" s="50"/>
      <c r="OKQ348" s="50"/>
      <c r="OKR348" s="50"/>
      <c r="OKS348" s="50"/>
      <c r="OKT348" s="50"/>
      <c r="OKU348" s="50"/>
      <c r="OKV348" s="50"/>
      <c r="OKW348" s="50"/>
      <c r="OKX348" s="50"/>
      <c r="OKY348" s="50"/>
      <c r="OKZ348" s="50"/>
      <c r="OLA348" s="50"/>
      <c r="OLB348" s="50"/>
      <c r="OLC348" s="50"/>
      <c r="OLD348" s="50"/>
      <c r="OLE348" s="50"/>
      <c r="OLF348" s="50"/>
      <c r="OLG348" s="50"/>
      <c r="OLH348" s="50"/>
      <c r="OLI348" s="50"/>
      <c r="OLJ348" s="50"/>
      <c r="OLK348" s="50"/>
      <c r="OLL348" s="50"/>
      <c r="OLM348" s="50"/>
      <c r="OLN348" s="50"/>
      <c r="OLO348" s="50"/>
      <c r="OLP348" s="50"/>
      <c r="OLQ348" s="50"/>
      <c r="OLR348" s="50"/>
      <c r="OLS348" s="50"/>
      <c r="OLT348" s="50"/>
      <c r="OLU348" s="50"/>
      <c r="OLV348" s="50"/>
      <c r="OLW348" s="50"/>
      <c r="OLX348" s="50"/>
      <c r="OLY348" s="50"/>
      <c r="OLZ348" s="50"/>
      <c r="OMA348" s="50"/>
      <c r="OMB348" s="50"/>
      <c r="OMC348" s="50"/>
      <c r="OMD348" s="50"/>
      <c r="OME348" s="50"/>
      <c r="OMF348" s="50"/>
      <c r="OMG348" s="50"/>
      <c r="OMH348" s="50"/>
      <c r="OMI348" s="50"/>
      <c r="OMJ348" s="50"/>
      <c r="OMK348" s="50"/>
      <c r="OML348" s="50"/>
      <c r="OMM348" s="50"/>
      <c r="OMN348" s="50"/>
      <c r="OMO348" s="50"/>
      <c r="OMP348" s="50"/>
      <c r="OMQ348" s="50"/>
      <c r="OMR348" s="50"/>
      <c r="OMS348" s="50"/>
      <c r="OMT348" s="50"/>
      <c r="OMU348" s="50"/>
      <c r="OMV348" s="50"/>
      <c r="OMW348" s="50"/>
      <c r="OMX348" s="50"/>
      <c r="OMY348" s="50"/>
      <c r="OMZ348" s="50"/>
      <c r="ONA348" s="50"/>
      <c r="ONB348" s="50"/>
      <c r="ONC348" s="50"/>
      <c r="OND348" s="50"/>
      <c r="ONE348" s="50"/>
      <c r="ONF348" s="50"/>
      <c r="ONG348" s="50"/>
      <c r="ONH348" s="50"/>
      <c r="ONI348" s="50"/>
      <c r="ONJ348" s="50"/>
      <c r="ONK348" s="50"/>
      <c r="ONL348" s="50"/>
      <c r="ONM348" s="50"/>
      <c r="ONN348" s="50"/>
      <c r="ONO348" s="50"/>
      <c r="ONP348" s="50"/>
      <c r="ONQ348" s="50"/>
      <c r="ONR348" s="50"/>
      <c r="ONS348" s="50"/>
      <c r="ONT348" s="50"/>
      <c r="ONU348" s="50"/>
      <c r="ONV348" s="50"/>
      <c r="ONW348" s="50"/>
      <c r="ONX348" s="50"/>
      <c r="ONY348" s="50"/>
      <c r="ONZ348" s="50"/>
      <c r="OOA348" s="50"/>
      <c r="OOB348" s="50"/>
      <c r="OOC348" s="50"/>
      <c r="OOD348" s="50"/>
      <c r="OOE348" s="50"/>
      <c r="OOF348" s="50"/>
      <c r="OOG348" s="50"/>
      <c r="OOH348" s="50"/>
      <c r="OOI348" s="50"/>
      <c r="OOJ348" s="50"/>
      <c r="OOK348" s="50"/>
      <c r="OOL348" s="50"/>
      <c r="OOM348" s="50"/>
      <c r="OON348" s="50"/>
      <c r="OOO348" s="50"/>
      <c r="OOP348" s="50"/>
      <c r="OOQ348" s="50"/>
      <c r="OOR348" s="50"/>
      <c r="OOS348" s="50"/>
      <c r="OOT348" s="50"/>
      <c r="OOU348" s="50"/>
      <c r="OOV348" s="50"/>
      <c r="OOW348" s="50"/>
      <c r="OOX348" s="50"/>
      <c r="OOY348" s="50"/>
      <c r="OOZ348" s="50"/>
      <c r="OPA348" s="50"/>
      <c r="OPB348" s="50"/>
      <c r="OPC348" s="50"/>
      <c r="OPD348" s="50"/>
      <c r="OPE348" s="50"/>
      <c r="OPF348" s="50"/>
      <c r="OPG348" s="50"/>
      <c r="OPH348" s="50"/>
      <c r="OPI348" s="50"/>
      <c r="OPJ348" s="50"/>
      <c r="OPK348" s="50"/>
      <c r="OPL348" s="50"/>
      <c r="OPM348" s="50"/>
      <c r="OPN348" s="50"/>
      <c r="OPO348" s="50"/>
      <c r="OPP348" s="50"/>
      <c r="OPQ348" s="50"/>
      <c r="OPR348" s="50"/>
      <c r="OPS348" s="50"/>
      <c r="OPT348" s="50"/>
      <c r="OPU348" s="50"/>
      <c r="OPV348" s="50"/>
      <c r="OPW348" s="50"/>
      <c r="OPX348" s="50"/>
      <c r="OPY348" s="50"/>
      <c r="OPZ348" s="50"/>
      <c r="OQA348" s="50"/>
      <c r="OQB348" s="50"/>
      <c r="OQC348" s="50"/>
      <c r="OQD348" s="50"/>
      <c r="OQE348" s="50"/>
      <c r="OQF348" s="50"/>
      <c r="OQG348" s="50"/>
      <c r="OQH348" s="50"/>
      <c r="OQI348" s="50"/>
      <c r="OQJ348" s="50"/>
      <c r="OQK348" s="50"/>
      <c r="OQL348" s="50"/>
      <c r="OQM348" s="50"/>
      <c r="OQN348" s="50"/>
      <c r="OQO348" s="50"/>
      <c r="OQP348" s="50"/>
      <c r="OQQ348" s="50"/>
      <c r="OQR348" s="50"/>
      <c r="OQS348" s="50"/>
      <c r="OQT348" s="50"/>
      <c r="OQU348" s="50"/>
      <c r="OQV348" s="50"/>
      <c r="OQW348" s="50"/>
      <c r="OQX348" s="50"/>
      <c r="OQY348" s="50"/>
      <c r="OQZ348" s="50"/>
      <c r="ORA348" s="50"/>
      <c r="ORB348" s="50"/>
      <c r="ORC348" s="50"/>
      <c r="ORD348" s="50"/>
      <c r="ORE348" s="50"/>
      <c r="ORF348" s="50"/>
      <c r="ORG348" s="50"/>
      <c r="ORH348" s="50"/>
      <c r="ORI348" s="50"/>
      <c r="ORJ348" s="50"/>
      <c r="ORK348" s="50"/>
      <c r="ORL348" s="50"/>
      <c r="ORM348" s="50"/>
      <c r="ORN348" s="50"/>
      <c r="ORO348" s="50"/>
      <c r="ORP348" s="50"/>
      <c r="ORQ348" s="50"/>
      <c r="ORR348" s="50"/>
      <c r="ORS348" s="50"/>
      <c r="ORT348" s="50"/>
      <c r="ORU348" s="50"/>
      <c r="ORV348" s="50"/>
      <c r="ORW348" s="50"/>
      <c r="ORX348" s="50"/>
      <c r="ORY348" s="50"/>
      <c r="ORZ348" s="50"/>
      <c r="OSA348" s="50"/>
      <c r="OSB348" s="50"/>
      <c r="OSC348" s="50"/>
      <c r="OSD348" s="50"/>
      <c r="OSE348" s="50"/>
      <c r="OSF348" s="50"/>
      <c r="OSG348" s="50"/>
      <c r="OSH348" s="50"/>
      <c r="OSI348" s="50"/>
      <c r="OSJ348" s="50"/>
      <c r="OSK348" s="50"/>
      <c r="OSL348" s="50"/>
      <c r="OSM348" s="50"/>
      <c r="OSN348" s="50"/>
      <c r="OSO348" s="50"/>
      <c r="OSP348" s="50"/>
      <c r="OSQ348" s="50"/>
      <c r="OSR348" s="50"/>
      <c r="OSS348" s="50"/>
      <c r="OST348" s="50"/>
      <c r="OSU348" s="50"/>
      <c r="OSV348" s="50"/>
      <c r="OSW348" s="50"/>
      <c r="OSX348" s="50"/>
      <c r="OSY348" s="50"/>
      <c r="OSZ348" s="50"/>
      <c r="OTA348" s="50"/>
      <c r="OTB348" s="50"/>
      <c r="OTC348" s="50"/>
      <c r="OTD348" s="50"/>
      <c r="OTE348" s="50"/>
      <c r="OTF348" s="50"/>
      <c r="OTG348" s="50"/>
      <c r="OTH348" s="50"/>
      <c r="OTI348" s="50"/>
      <c r="OTJ348" s="50"/>
      <c r="OTK348" s="50"/>
      <c r="OTL348" s="50"/>
      <c r="OTM348" s="50"/>
      <c r="OTN348" s="50"/>
      <c r="OTO348" s="50"/>
      <c r="OTP348" s="50"/>
      <c r="OTQ348" s="50"/>
      <c r="OTR348" s="50"/>
      <c r="OTS348" s="50"/>
      <c r="OTT348" s="50"/>
      <c r="OTU348" s="50"/>
      <c r="OTV348" s="50"/>
      <c r="OTW348" s="50"/>
      <c r="OTX348" s="50"/>
      <c r="OTY348" s="50"/>
      <c r="OTZ348" s="50"/>
      <c r="OUA348" s="50"/>
      <c r="OUB348" s="50"/>
      <c r="OUC348" s="50"/>
      <c r="OUD348" s="50"/>
      <c r="OUE348" s="50"/>
      <c r="OUF348" s="50"/>
      <c r="OUG348" s="50"/>
      <c r="OUH348" s="50"/>
      <c r="OUI348" s="50"/>
      <c r="OUJ348" s="50"/>
      <c r="OUK348" s="50"/>
      <c r="OUL348" s="50"/>
      <c r="OUM348" s="50"/>
      <c r="OUN348" s="50"/>
      <c r="OUO348" s="50"/>
      <c r="OUP348" s="50"/>
      <c r="OUQ348" s="50"/>
      <c r="OUR348" s="50"/>
      <c r="OUS348" s="50"/>
      <c r="OUT348" s="50"/>
      <c r="OUU348" s="50"/>
      <c r="OUV348" s="50"/>
      <c r="OUW348" s="50"/>
      <c r="OUX348" s="50"/>
      <c r="OUY348" s="50"/>
      <c r="OUZ348" s="50"/>
      <c r="OVA348" s="50"/>
      <c r="OVB348" s="50"/>
      <c r="OVC348" s="50"/>
      <c r="OVD348" s="50"/>
      <c r="OVE348" s="50"/>
      <c r="OVF348" s="50"/>
      <c r="OVG348" s="50"/>
      <c r="OVH348" s="50"/>
      <c r="OVI348" s="50"/>
      <c r="OVJ348" s="50"/>
      <c r="OVK348" s="50"/>
      <c r="OVL348" s="50"/>
      <c r="OVM348" s="50"/>
      <c r="OVN348" s="50"/>
      <c r="OVO348" s="50"/>
      <c r="OVP348" s="50"/>
      <c r="OVQ348" s="50"/>
      <c r="OVR348" s="50"/>
      <c r="OVS348" s="50"/>
      <c r="OVT348" s="50"/>
      <c r="OVU348" s="50"/>
      <c r="OVV348" s="50"/>
      <c r="OVW348" s="50"/>
      <c r="OVX348" s="50"/>
      <c r="OVY348" s="50"/>
      <c r="OVZ348" s="50"/>
      <c r="OWA348" s="50"/>
      <c r="OWB348" s="50"/>
      <c r="OWC348" s="50"/>
      <c r="OWD348" s="50"/>
      <c r="OWE348" s="50"/>
      <c r="OWF348" s="50"/>
      <c r="OWG348" s="50"/>
      <c r="OWH348" s="50"/>
      <c r="OWI348" s="50"/>
      <c r="OWJ348" s="50"/>
      <c r="OWK348" s="50"/>
      <c r="OWL348" s="50"/>
      <c r="OWM348" s="50"/>
      <c r="OWN348" s="50"/>
      <c r="OWO348" s="50"/>
      <c r="OWP348" s="50"/>
      <c r="OWQ348" s="50"/>
      <c r="OWR348" s="50"/>
      <c r="OWS348" s="50"/>
      <c r="OWT348" s="50"/>
      <c r="OWU348" s="50"/>
      <c r="OWV348" s="50"/>
      <c r="OWW348" s="50"/>
      <c r="OWX348" s="50"/>
      <c r="OWY348" s="50"/>
      <c r="OWZ348" s="50"/>
      <c r="OXA348" s="50"/>
      <c r="OXB348" s="50"/>
      <c r="OXC348" s="50"/>
      <c r="OXD348" s="50"/>
      <c r="OXE348" s="50"/>
      <c r="OXF348" s="50"/>
      <c r="OXG348" s="50"/>
      <c r="OXH348" s="50"/>
      <c r="OXI348" s="50"/>
      <c r="OXJ348" s="50"/>
      <c r="OXK348" s="50"/>
      <c r="OXL348" s="50"/>
      <c r="OXM348" s="50"/>
      <c r="OXN348" s="50"/>
      <c r="OXO348" s="50"/>
      <c r="OXP348" s="50"/>
      <c r="OXQ348" s="50"/>
      <c r="OXR348" s="50"/>
      <c r="OXS348" s="50"/>
      <c r="OXT348" s="50"/>
      <c r="OXU348" s="50"/>
      <c r="OXV348" s="50"/>
      <c r="OXW348" s="50"/>
      <c r="OXX348" s="50"/>
      <c r="OXY348" s="50"/>
      <c r="OXZ348" s="50"/>
      <c r="OYA348" s="50"/>
      <c r="OYB348" s="50"/>
      <c r="OYC348" s="50"/>
      <c r="OYD348" s="50"/>
      <c r="OYE348" s="50"/>
      <c r="OYF348" s="50"/>
      <c r="OYG348" s="50"/>
      <c r="OYH348" s="50"/>
      <c r="OYI348" s="50"/>
      <c r="OYJ348" s="50"/>
      <c r="OYK348" s="50"/>
      <c r="OYL348" s="50"/>
      <c r="OYM348" s="50"/>
      <c r="OYN348" s="50"/>
      <c r="OYO348" s="50"/>
      <c r="OYP348" s="50"/>
      <c r="OYQ348" s="50"/>
      <c r="OYR348" s="50"/>
      <c r="OYS348" s="50"/>
      <c r="OYT348" s="50"/>
      <c r="OYU348" s="50"/>
      <c r="OYV348" s="50"/>
      <c r="OYW348" s="50"/>
      <c r="OYX348" s="50"/>
      <c r="OYY348" s="50"/>
      <c r="OYZ348" s="50"/>
      <c r="OZA348" s="50"/>
      <c r="OZB348" s="50"/>
      <c r="OZC348" s="50"/>
      <c r="OZD348" s="50"/>
      <c r="OZE348" s="50"/>
      <c r="OZF348" s="50"/>
      <c r="OZG348" s="50"/>
      <c r="OZH348" s="50"/>
      <c r="OZI348" s="50"/>
      <c r="OZJ348" s="50"/>
      <c r="OZK348" s="50"/>
      <c r="OZL348" s="50"/>
      <c r="OZM348" s="50"/>
      <c r="OZN348" s="50"/>
      <c r="OZO348" s="50"/>
      <c r="OZP348" s="50"/>
      <c r="OZQ348" s="50"/>
      <c r="OZR348" s="50"/>
      <c r="OZS348" s="50"/>
      <c r="OZT348" s="50"/>
      <c r="OZU348" s="50"/>
      <c r="OZV348" s="50"/>
      <c r="OZW348" s="50"/>
      <c r="OZX348" s="50"/>
      <c r="OZY348" s="50"/>
      <c r="OZZ348" s="50"/>
      <c r="PAA348" s="50"/>
      <c r="PAB348" s="50"/>
      <c r="PAC348" s="50"/>
      <c r="PAD348" s="50"/>
      <c r="PAE348" s="50"/>
      <c r="PAF348" s="50"/>
      <c r="PAG348" s="50"/>
      <c r="PAH348" s="50"/>
      <c r="PAI348" s="50"/>
      <c r="PAJ348" s="50"/>
      <c r="PAK348" s="50"/>
      <c r="PAL348" s="50"/>
      <c r="PAM348" s="50"/>
      <c r="PAN348" s="50"/>
      <c r="PAO348" s="50"/>
      <c r="PAP348" s="50"/>
      <c r="PAQ348" s="50"/>
      <c r="PAR348" s="50"/>
      <c r="PAS348" s="50"/>
      <c r="PAT348" s="50"/>
      <c r="PAU348" s="50"/>
      <c r="PAV348" s="50"/>
      <c r="PAW348" s="50"/>
      <c r="PAX348" s="50"/>
      <c r="PAY348" s="50"/>
      <c r="PAZ348" s="50"/>
      <c r="PBA348" s="50"/>
      <c r="PBB348" s="50"/>
      <c r="PBC348" s="50"/>
      <c r="PBD348" s="50"/>
      <c r="PBE348" s="50"/>
      <c r="PBF348" s="50"/>
      <c r="PBG348" s="50"/>
      <c r="PBH348" s="50"/>
      <c r="PBI348" s="50"/>
      <c r="PBJ348" s="50"/>
      <c r="PBK348" s="50"/>
      <c r="PBL348" s="50"/>
      <c r="PBM348" s="50"/>
      <c r="PBN348" s="50"/>
      <c r="PBO348" s="50"/>
      <c r="PBP348" s="50"/>
      <c r="PBQ348" s="50"/>
      <c r="PBR348" s="50"/>
      <c r="PBS348" s="50"/>
      <c r="PBT348" s="50"/>
      <c r="PBU348" s="50"/>
      <c r="PBV348" s="50"/>
      <c r="PBW348" s="50"/>
      <c r="PBX348" s="50"/>
      <c r="PBY348" s="50"/>
      <c r="PBZ348" s="50"/>
      <c r="PCA348" s="50"/>
      <c r="PCB348" s="50"/>
      <c r="PCC348" s="50"/>
      <c r="PCD348" s="50"/>
      <c r="PCE348" s="50"/>
      <c r="PCF348" s="50"/>
      <c r="PCG348" s="50"/>
      <c r="PCH348" s="50"/>
      <c r="PCI348" s="50"/>
      <c r="PCJ348" s="50"/>
      <c r="PCK348" s="50"/>
      <c r="PCL348" s="50"/>
      <c r="PCM348" s="50"/>
      <c r="PCN348" s="50"/>
      <c r="PCO348" s="50"/>
      <c r="PCP348" s="50"/>
      <c r="PCQ348" s="50"/>
      <c r="PCR348" s="50"/>
      <c r="PCS348" s="50"/>
      <c r="PCT348" s="50"/>
      <c r="PCU348" s="50"/>
      <c r="PCV348" s="50"/>
      <c r="PCW348" s="50"/>
      <c r="PCX348" s="50"/>
      <c r="PCY348" s="50"/>
      <c r="PCZ348" s="50"/>
      <c r="PDA348" s="50"/>
      <c r="PDB348" s="50"/>
      <c r="PDC348" s="50"/>
      <c r="PDD348" s="50"/>
      <c r="PDE348" s="50"/>
      <c r="PDF348" s="50"/>
      <c r="PDG348" s="50"/>
      <c r="PDH348" s="50"/>
      <c r="PDI348" s="50"/>
      <c r="PDJ348" s="50"/>
      <c r="PDK348" s="50"/>
      <c r="PDL348" s="50"/>
      <c r="PDM348" s="50"/>
      <c r="PDN348" s="50"/>
      <c r="PDO348" s="50"/>
      <c r="PDP348" s="50"/>
      <c r="PDQ348" s="50"/>
      <c r="PDR348" s="50"/>
      <c r="PDS348" s="50"/>
      <c r="PDT348" s="50"/>
      <c r="PDU348" s="50"/>
      <c r="PDV348" s="50"/>
      <c r="PDW348" s="50"/>
      <c r="PDX348" s="50"/>
      <c r="PDY348" s="50"/>
      <c r="PDZ348" s="50"/>
      <c r="PEA348" s="50"/>
      <c r="PEB348" s="50"/>
      <c r="PEC348" s="50"/>
      <c r="PED348" s="50"/>
      <c r="PEE348" s="50"/>
      <c r="PEF348" s="50"/>
      <c r="PEG348" s="50"/>
      <c r="PEH348" s="50"/>
      <c r="PEI348" s="50"/>
      <c r="PEJ348" s="50"/>
      <c r="PEK348" s="50"/>
      <c r="PEL348" s="50"/>
      <c r="PEM348" s="50"/>
      <c r="PEN348" s="50"/>
      <c r="PEO348" s="50"/>
      <c r="PEP348" s="50"/>
      <c r="PEQ348" s="50"/>
      <c r="PER348" s="50"/>
      <c r="PES348" s="50"/>
      <c r="PET348" s="50"/>
      <c r="PEU348" s="50"/>
      <c r="PEV348" s="50"/>
      <c r="PEW348" s="50"/>
      <c r="PEX348" s="50"/>
      <c r="PEY348" s="50"/>
      <c r="PEZ348" s="50"/>
      <c r="PFA348" s="50"/>
      <c r="PFB348" s="50"/>
      <c r="PFC348" s="50"/>
      <c r="PFD348" s="50"/>
      <c r="PFE348" s="50"/>
      <c r="PFF348" s="50"/>
      <c r="PFG348" s="50"/>
      <c r="PFH348" s="50"/>
      <c r="PFI348" s="50"/>
      <c r="PFJ348" s="50"/>
      <c r="PFK348" s="50"/>
      <c r="PFL348" s="50"/>
      <c r="PFM348" s="50"/>
      <c r="PFN348" s="50"/>
      <c r="PFO348" s="50"/>
      <c r="PFP348" s="50"/>
      <c r="PFQ348" s="50"/>
      <c r="PFR348" s="50"/>
      <c r="PFS348" s="50"/>
      <c r="PFT348" s="50"/>
      <c r="PFU348" s="50"/>
      <c r="PFV348" s="50"/>
      <c r="PFW348" s="50"/>
      <c r="PFX348" s="50"/>
      <c r="PFY348" s="50"/>
      <c r="PFZ348" s="50"/>
      <c r="PGA348" s="50"/>
      <c r="PGB348" s="50"/>
      <c r="PGC348" s="50"/>
      <c r="PGD348" s="50"/>
      <c r="PGE348" s="50"/>
      <c r="PGF348" s="50"/>
      <c r="PGG348" s="50"/>
      <c r="PGH348" s="50"/>
      <c r="PGI348" s="50"/>
      <c r="PGJ348" s="50"/>
      <c r="PGK348" s="50"/>
      <c r="PGL348" s="50"/>
      <c r="PGM348" s="50"/>
      <c r="PGN348" s="50"/>
      <c r="PGO348" s="50"/>
      <c r="PGP348" s="50"/>
      <c r="PGQ348" s="50"/>
      <c r="PGR348" s="50"/>
      <c r="PGS348" s="50"/>
      <c r="PGT348" s="50"/>
      <c r="PGU348" s="50"/>
      <c r="PGV348" s="50"/>
      <c r="PGW348" s="50"/>
      <c r="PGX348" s="50"/>
      <c r="PGY348" s="50"/>
      <c r="PGZ348" s="50"/>
      <c r="PHA348" s="50"/>
      <c r="PHB348" s="50"/>
      <c r="PHC348" s="50"/>
      <c r="PHD348" s="50"/>
      <c r="PHE348" s="50"/>
      <c r="PHF348" s="50"/>
      <c r="PHG348" s="50"/>
      <c r="PHH348" s="50"/>
      <c r="PHI348" s="50"/>
      <c r="PHJ348" s="50"/>
      <c r="PHK348" s="50"/>
      <c r="PHL348" s="50"/>
      <c r="PHM348" s="50"/>
      <c r="PHN348" s="50"/>
      <c r="PHO348" s="50"/>
      <c r="PHP348" s="50"/>
      <c r="PHQ348" s="50"/>
      <c r="PHR348" s="50"/>
      <c r="PHS348" s="50"/>
      <c r="PHT348" s="50"/>
      <c r="PHU348" s="50"/>
      <c r="PHV348" s="50"/>
      <c r="PHW348" s="50"/>
      <c r="PHX348" s="50"/>
      <c r="PHY348" s="50"/>
      <c r="PHZ348" s="50"/>
      <c r="PIA348" s="50"/>
      <c r="PIB348" s="50"/>
      <c r="PIC348" s="50"/>
      <c r="PID348" s="50"/>
      <c r="PIE348" s="50"/>
      <c r="PIF348" s="50"/>
      <c r="PIG348" s="50"/>
      <c r="PIH348" s="50"/>
      <c r="PII348" s="50"/>
      <c r="PIJ348" s="50"/>
      <c r="PIK348" s="50"/>
      <c r="PIL348" s="50"/>
      <c r="PIM348" s="50"/>
      <c r="PIN348" s="50"/>
      <c r="PIO348" s="50"/>
      <c r="PIP348" s="50"/>
      <c r="PIQ348" s="50"/>
      <c r="PIR348" s="50"/>
      <c r="PIS348" s="50"/>
      <c r="PIT348" s="50"/>
      <c r="PIU348" s="50"/>
      <c r="PIV348" s="50"/>
      <c r="PIW348" s="50"/>
      <c r="PIX348" s="50"/>
      <c r="PIY348" s="50"/>
      <c r="PIZ348" s="50"/>
      <c r="PJA348" s="50"/>
      <c r="PJB348" s="50"/>
      <c r="PJC348" s="50"/>
      <c r="PJD348" s="50"/>
      <c r="PJE348" s="50"/>
      <c r="PJF348" s="50"/>
      <c r="PJG348" s="50"/>
      <c r="PJH348" s="50"/>
      <c r="PJI348" s="50"/>
      <c r="PJJ348" s="50"/>
      <c r="PJK348" s="50"/>
      <c r="PJL348" s="50"/>
      <c r="PJM348" s="50"/>
      <c r="PJN348" s="50"/>
      <c r="PJO348" s="50"/>
      <c r="PJP348" s="50"/>
      <c r="PJQ348" s="50"/>
      <c r="PJR348" s="50"/>
      <c r="PJS348" s="50"/>
      <c r="PJT348" s="50"/>
      <c r="PJU348" s="50"/>
      <c r="PJV348" s="50"/>
      <c r="PJW348" s="50"/>
      <c r="PJX348" s="50"/>
      <c r="PJY348" s="50"/>
      <c r="PJZ348" s="50"/>
      <c r="PKA348" s="50"/>
      <c r="PKB348" s="50"/>
      <c r="PKC348" s="50"/>
      <c r="PKD348" s="50"/>
      <c r="PKE348" s="50"/>
      <c r="PKF348" s="50"/>
      <c r="PKG348" s="50"/>
      <c r="PKH348" s="50"/>
      <c r="PKI348" s="50"/>
      <c r="PKJ348" s="50"/>
      <c r="PKK348" s="50"/>
      <c r="PKL348" s="50"/>
      <c r="PKM348" s="50"/>
      <c r="PKN348" s="50"/>
      <c r="PKO348" s="50"/>
      <c r="PKP348" s="50"/>
      <c r="PKQ348" s="50"/>
      <c r="PKR348" s="50"/>
      <c r="PKS348" s="50"/>
      <c r="PKT348" s="50"/>
      <c r="PKU348" s="50"/>
      <c r="PKV348" s="50"/>
      <c r="PKW348" s="50"/>
      <c r="PKX348" s="50"/>
      <c r="PKY348" s="50"/>
      <c r="PKZ348" s="50"/>
      <c r="PLA348" s="50"/>
      <c r="PLB348" s="50"/>
      <c r="PLC348" s="50"/>
      <c r="PLD348" s="50"/>
      <c r="PLE348" s="50"/>
      <c r="PLF348" s="50"/>
      <c r="PLG348" s="50"/>
      <c r="PLH348" s="50"/>
      <c r="PLI348" s="50"/>
      <c r="PLJ348" s="50"/>
      <c r="PLK348" s="50"/>
      <c r="PLL348" s="50"/>
      <c r="PLM348" s="50"/>
      <c r="PLN348" s="50"/>
      <c r="PLO348" s="50"/>
      <c r="PLP348" s="50"/>
      <c r="PLQ348" s="50"/>
      <c r="PLR348" s="50"/>
      <c r="PLS348" s="50"/>
      <c r="PLT348" s="50"/>
      <c r="PLU348" s="50"/>
      <c r="PLV348" s="50"/>
      <c r="PLW348" s="50"/>
      <c r="PLX348" s="50"/>
      <c r="PLY348" s="50"/>
      <c r="PLZ348" s="50"/>
      <c r="PMA348" s="50"/>
      <c r="PMB348" s="50"/>
      <c r="PMC348" s="50"/>
      <c r="PMD348" s="50"/>
      <c r="PME348" s="50"/>
      <c r="PMF348" s="50"/>
      <c r="PMG348" s="50"/>
      <c r="PMH348" s="50"/>
      <c r="PMI348" s="50"/>
      <c r="PMJ348" s="50"/>
      <c r="PMK348" s="50"/>
      <c r="PML348" s="50"/>
      <c r="PMM348" s="50"/>
      <c r="PMN348" s="50"/>
      <c r="PMO348" s="50"/>
      <c r="PMP348" s="50"/>
      <c r="PMQ348" s="50"/>
      <c r="PMR348" s="50"/>
      <c r="PMS348" s="50"/>
      <c r="PMT348" s="50"/>
      <c r="PMU348" s="50"/>
      <c r="PMV348" s="50"/>
      <c r="PMW348" s="50"/>
      <c r="PMX348" s="50"/>
      <c r="PMY348" s="50"/>
      <c r="PMZ348" s="50"/>
      <c r="PNA348" s="50"/>
      <c r="PNB348" s="50"/>
      <c r="PNC348" s="50"/>
      <c r="PND348" s="50"/>
      <c r="PNE348" s="50"/>
      <c r="PNF348" s="50"/>
      <c r="PNG348" s="50"/>
      <c r="PNH348" s="50"/>
      <c r="PNI348" s="50"/>
      <c r="PNJ348" s="50"/>
      <c r="PNK348" s="50"/>
      <c r="PNL348" s="50"/>
      <c r="PNM348" s="50"/>
      <c r="PNN348" s="50"/>
      <c r="PNO348" s="50"/>
      <c r="PNP348" s="50"/>
      <c r="PNQ348" s="50"/>
      <c r="PNR348" s="50"/>
      <c r="PNS348" s="50"/>
      <c r="PNT348" s="50"/>
      <c r="PNU348" s="50"/>
      <c r="PNV348" s="50"/>
      <c r="PNW348" s="50"/>
      <c r="PNX348" s="50"/>
      <c r="PNY348" s="50"/>
      <c r="PNZ348" s="50"/>
      <c r="POA348" s="50"/>
      <c r="POB348" s="50"/>
      <c r="POC348" s="50"/>
      <c r="POD348" s="50"/>
      <c r="POE348" s="50"/>
      <c r="POF348" s="50"/>
      <c r="POG348" s="50"/>
      <c r="POH348" s="50"/>
      <c r="POI348" s="50"/>
      <c r="POJ348" s="50"/>
      <c r="POK348" s="50"/>
      <c r="POL348" s="50"/>
      <c r="POM348" s="50"/>
      <c r="PON348" s="50"/>
      <c r="POO348" s="50"/>
      <c r="POP348" s="50"/>
      <c r="POQ348" s="50"/>
      <c r="POR348" s="50"/>
      <c r="POS348" s="50"/>
      <c r="POT348" s="50"/>
      <c r="POU348" s="50"/>
      <c r="POV348" s="50"/>
      <c r="POW348" s="50"/>
      <c r="POX348" s="50"/>
      <c r="POY348" s="50"/>
      <c r="POZ348" s="50"/>
      <c r="PPA348" s="50"/>
      <c r="PPB348" s="50"/>
      <c r="PPC348" s="50"/>
      <c r="PPD348" s="50"/>
      <c r="PPE348" s="50"/>
      <c r="PPF348" s="50"/>
      <c r="PPG348" s="50"/>
      <c r="PPH348" s="50"/>
      <c r="PPI348" s="50"/>
      <c r="PPJ348" s="50"/>
      <c r="PPK348" s="50"/>
      <c r="PPL348" s="50"/>
      <c r="PPM348" s="50"/>
      <c r="PPN348" s="50"/>
      <c r="PPO348" s="50"/>
      <c r="PPP348" s="50"/>
      <c r="PPQ348" s="50"/>
      <c r="PPR348" s="50"/>
      <c r="PPS348" s="50"/>
      <c r="PPT348" s="50"/>
      <c r="PPU348" s="50"/>
      <c r="PPV348" s="50"/>
      <c r="PPW348" s="50"/>
      <c r="PPX348" s="50"/>
      <c r="PPY348" s="50"/>
      <c r="PPZ348" s="50"/>
      <c r="PQA348" s="50"/>
      <c r="PQB348" s="50"/>
      <c r="PQC348" s="50"/>
      <c r="PQD348" s="50"/>
      <c r="PQE348" s="50"/>
      <c r="PQF348" s="50"/>
      <c r="PQG348" s="50"/>
      <c r="PQH348" s="50"/>
      <c r="PQI348" s="50"/>
      <c r="PQJ348" s="50"/>
      <c r="PQK348" s="50"/>
      <c r="PQL348" s="50"/>
      <c r="PQM348" s="50"/>
      <c r="PQN348" s="50"/>
      <c r="PQO348" s="50"/>
      <c r="PQP348" s="50"/>
      <c r="PQQ348" s="50"/>
      <c r="PQR348" s="50"/>
      <c r="PQS348" s="50"/>
      <c r="PQT348" s="50"/>
      <c r="PQU348" s="50"/>
      <c r="PQV348" s="50"/>
      <c r="PQW348" s="50"/>
      <c r="PQX348" s="50"/>
      <c r="PQY348" s="50"/>
      <c r="PQZ348" s="50"/>
      <c r="PRA348" s="50"/>
      <c r="PRB348" s="50"/>
      <c r="PRC348" s="50"/>
      <c r="PRD348" s="50"/>
      <c r="PRE348" s="50"/>
      <c r="PRF348" s="50"/>
      <c r="PRG348" s="50"/>
      <c r="PRH348" s="50"/>
      <c r="PRI348" s="50"/>
      <c r="PRJ348" s="50"/>
      <c r="PRK348" s="50"/>
      <c r="PRL348" s="50"/>
      <c r="PRM348" s="50"/>
      <c r="PRN348" s="50"/>
      <c r="PRO348" s="50"/>
      <c r="PRP348" s="50"/>
      <c r="PRQ348" s="50"/>
      <c r="PRR348" s="50"/>
      <c r="PRS348" s="50"/>
      <c r="PRT348" s="50"/>
      <c r="PRU348" s="50"/>
      <c r="PRV348" s="50"/>
      <c r="PRW348" s="50"/>
      <c r="PRX348" s="50"/>
      <c r="PRY348" s="50"/>
      <c r="PRZ348" s="50"/>
      <c r="PSA348" s="50"/>
      <c r="PSB348" s="50"/>
      <c r="PSC348" s="50"/>
      <c r="PSD348" s="50"/>
      <c r="PSE348" s="50"/>
      <c r="PSF348" s="50"/>
      <c r="PSG348" s="50"/>
      <c r="PSH348" s="50"/>
      <c r="PSI348" s="50"/>
      <c r="PSJ348" s="50"/>
      <c r="PSK348" s="50"/>
      <c r="PSL348" s="50"/>
      <c r="PSM348" s="50"/>
      <c r="PSN348" s="50"/>
      <c r="PSO348" s="50"/>
      <c r="PSP348" s="50"/>
      <c r="PSQ348" s="50"/>
      <c r="PSR348" s="50"/>
      <c r="PSS348" s="50"/>
      <c r="PST348" s="50"/>
      <c r="PSU348" s="50"/>
      <c r="PSV348" s="50"/>
      <c r="PSW348" s="50"/>
      <c r="PSX348" s="50"/>
      <c r="PSY348" s="50"/>
      <c r="PSZ348" s="50"/>
      <c r="PTA348" s="50"/>
      <c r="PTB348" s="50"/>
      <c r="PTC348" s="50"/>
      <c r="PTD348" s="50"/>
      <c r="PTE348" s="50"/>
      <c r="PTF348" s="50"/>
      <c r="PTG348" s="50"/>
      <c r="PTH348" s="50"/>
      <c r="PTI348" s="50"/>
      <c r="PTJ348" s="50"/>
      <c r="PTK348" s="50"/>
      <c r="PTL348" s="50"/>
      <c r="PTM348" s="50"/>
      <c r="PTN348" s="50"/>
      <c r="PTO348" s="50"/>
      <c r="PTP348" s="50"/>
      <c r="PTQ348" s="50"/>
      <c r="PTR348" s="50"/>
      <c r="PTS348" s="50"/>
      <c r="PTT348" s="50"/>
      <c r="PTU348" s="50"/>
      <c r="PTV348" s="50"/>
      <c r="PTW348" s="50"/>
      <c r="PTX348" s="50"/>
      <c r="PTY348" s="50"/>
      <c r="PTZ348" s="50"/>
      <c r="PUA348" s="50"/>
      <c r="PUB348" s="50"/>
      <c r="PUC348" s="50"/>
      <c r="PUD348" s="50"/>
      <c r="PUE348" s="50"/>
      <c r="PUF348" s="50"/>
      <c r="PUG348" s="50"/>
      <c r="PUH348" s="50"/>
      <c r="PUI348" s="50"/>
      <c r="PUJ348" s="50"/>
      <c r="PUK348" s="50"/>
      <c r="PUL348" s="50"/>
      <c r="PUM348" s="50"/>
      <c r="PUN348" s="50"/>
      <c r="PUO348" s="50"/>
      <c r="PUP348" s="50"/>
      <c r="PUQ348" s="50"/>
      <c r="PUR348" s="50"/>
      <c r="PUS348" s="50"/>
      <c r="PUT348" s="50"/>
      <c r="PUU348" s="50"/>
      <c r="PUV348" s="50"/>
      <c r="PUW348" s="50"/>
      <c r="PUX348" s="50"/>
      <c r="PUY348" s="50"/>
      <c r="PUZ348" s="50"/>
      <c r="PVA348" s="50"/>
      <c r="PVB348" s="50"/>
      <c r="PVC348" s="50"/>
      <c r="PVD348" s="50"/>
      <c r="PVE348" s="50"/>
      <c r="PVF348" s="50"/>
      <c r="PVG348" s="50"/>
      <c r="PVH348" s="50"/>
      <c r="PVI348" s="50"/>
      <c r="PVJ348" s="50"/>
      <c r="PVK348" s="50"/>
      <c r="PVL348" s="50"/>
      <c r="PVM348" s="50"/>
      <c r="PVN348" s="50"/>
      <c r="PVO348" s="50"/>
      <c r="PVP348" s="50"/>
      <c r="PVQ348" s="50"/>
      <c r="PVR348" s="50"/>
      <c r="PVS348" s="50"/>
      <c r="PVT348" s="50"/>
      <c r="PVU348" s="50"/>
      <c r="PVV348" s="50"/>
      <c r="PVW348" s="50"/>
      <c r="PVX348" s="50"/>
      <c r="PVY348" s="50"/>
      <c r="PVZ348" s="50"/>
      <c r="PWA348" s="50"/>
      <c r="PWB348" s="50"/>
      <c r="PWC348" s="50"/>
      <c r="PWD348" s="50"/>
      <c r="PWE348" s="50"/>
      <c r="PWF348" s="50"/>
      <c r="PWG348" s="50"/>
      <c r="PWH348" s="50"/>
      <c r="PWI348" s="50"/>
      <c r="PWJ348" s="50"/>
      <c r="PWK348" s="50"/>
      <c r="PWL348" s="50"/>
      <c r="PWM348" s="50"/>
      <c r="PWN348" s="50"/>
      <c r="PWO348" s="50"/>
      <c r="PWP348" s="50"/>
      <c r="PWQ348" s="50"/>
      <c r="PWR348" s="50"/>
      <c r="PWS348" s="50"/>
      <c r="PWT348" s="50"/>
      <c r="PWU348" s="50"/>
      <c r="PWV348" s="50"/>
      <c r="PWW348" s="50"/>
      <c r="PWX348" s="50"/>
      <c r="PWY348" s="50"/>
      <c r="PWZ348" s="50"/>
      <c r="PXA348" s="50"/>
      <c r="PXB348" s="50"/>
      <c r="PXC348" s="50"/>
      <c r="PXD348" s="50"/>
      <c r="PXE348" s="50"/>
      <c r="PXF348" s="50"/>
      <c r="PXG348" s="50"/>
      <c r="PXH348" s="50"/>
      <c r="PXI348" s="50"/>
      <c r="PXJ348" s="50"/>
      <c r="PXK348" s="50"/>
      <c r="PXL348" s="50"/>
      <c r="PXM348" s="50"/>
      <c r="PXN348" s="50"/>
      <c r="PXO348" s="50"/>
      <c r="PXP348" s="50"/>
      <c r="PXQ348" s="50"/>
      <c r="PXR348" s="50"/>
      <c r="PXS348" s="50"/>
      <c r="PXT348" s="50"/>
      <c r="PXU348" s="50"/>
      <c r="PXV348" s="50"/>
      <c r="PXW348" s="50"/>
      <c r="PXX348" s="50"/>
      <c r="PXY348" s="50"/>
      <c r="PXZ348" s="50"/>
      <c r="PYA348" s="50"/>
      <c r="PYB348" s="50"/>
      <c r="PYC348" s="50"/>
      <c r="PYD348" s="50"/>
      <c r="PYE348" s="50"/>
      <c r="PYF348" s="50"/>
      <c r="PYG348" s="50"/>
      <c r="PYH348" s="50"/>
      <c r="PYI348" s="50"/>
      <c r="PYJ348" s="50"/>
      <c r="PYK348" s="50"/>
      <c r="PYL348" s="50"/>
      <c r="PYM348" s="50"/>
      <c r="PYN348" s="50"/>
      <c r="PYO348" s="50"/>
      <c r="PYP348" s="50"/>
      <c r="PYQ348" s="50"/>
      <c r="PYR348" s="50"/>
      <c r="PYS348" s="50"/>
      <c r="PYT348" s="50"/>
      <c r="PYU348" s="50"/>
      <c r="PYV348" s="50"/>
      <c r="PYW348" s="50"/>
      <c r="PYX348" s="50"/>
      <c r="PYY348" s="50"/>
      <c r="PYZ348" s="50"/>
      <c r="PZA348" s="50"/>
      <c r="PZB348" s="50"/>
      <c r="PZC348" s="50"/>
      <c r="PZD348" s="50"/>
      <c r="PZE348" s="50"/>
      <c r="PZF348" s="50"/>
      <c r="PZG348" s="50"/>
      <c r="PZH348" s="50"/>
      <c r="PZI348" s="50"/>
      <c r="PZJ348" s="50"/>
      <c r="PZK348" s="50"/>
      <c r="PZL348" s="50"/>
      <c r="PZM348" s="50"/>
      <c r="PZN348" s="50"/>
      <c r="PZO348" s="50"/>
      <c r="PZP348" s="50"/>
      <c r="PZQ348" s="50"/>
      <c r="PZR348" s="50"/>
      <c r="PZS348" s="50"/>
      <c r="PZT348" s="50"/>
      <c r="PZU348" s="50"/>
      <c r="PZV348" s="50"/>
      <c r="PZW348" s="50"/>
      <c r="PZX348" s="50"/>
      <c r="PZY348" s="50"/>
      <c r="PZZ348" s="50"/>
      <c r="QAA348" s="50"/>
      <c r="QAB348" s="50"/>
      <c r="QAC348" s="50"/>
      <c r="QAD348" s="50"/>
      <c r="QAE348" s="50"/>
      <c r="QAF348" s="50"/>
      <c r="QAG348" s="50"/>
      <c r="QAH348" s="50"/>
      <c r="QAI348" s="50"/>
      <c r="QAJ348" s="50"/>
      <c r="QAK348" s="50"/>
      <c r="QAL348" s="50"/>
      <c r="QAM348" s="50"/>
      <c r="QAN348" s="50"/>
      <c r="QAO348" s="50"/>
      <c r="QAP348" s="50"/>
      <c r="QAQ348" s="50"/>
      <c r="QAR348" s="50"/>
      <c r="QAS348" s="50"/>
      <c r="QAT348" s="50"/>
      <c r="QAU348" s="50"/>
      <c r="QAV348" s="50"/>
      <c r="QAW348" s="50"/>
      <c r="QAX348" s="50"/>
      <c r="QAY348" s="50"/>
      <c r="QAZ348" s="50"/>
      <c r="QBA348" s="50"/>
      <c r="QBB348" s="50"/>
      <c r="QBC348" s="50"/>
      <c r="QBD348" s="50"/>
      <c r="QBE348" s="50"/>
      <c r="QBF348" s="50"/>
      <c r="QBG348" s="50"/>
      <c r="QBH348" s="50"/>
      <c r="QBI348" s="50"/>
      <c r="QBJ348" s="50"/>
      <c r="QBK348" s="50"/>
      <c r="QBL348" s="50"/>
      <c r="QBM348" s="50"/>
      <c r="QBN348" s="50"/>
      <c r="QBO348" s="50"/>
      <c r="QBP348" s="50"/>
      <c r="QBQ348" s="50"/>
      <c r="QBR348" s="50"/>
      <c r="QBS348" s="50"/>
      <c r="QBT348" s="50"/>
      <c r="QBU348" s="50"/>
      <c r="QBV348" s="50"/>
      <c r="QBW348" s="50"/>
      <c r="QBX348" s="50"/>
      <c r="QBY348" s="50"/>
      <c r="QBZ348" s="50"/>
      <c r="QCA348" s="50"/>
      <c r="QCB348" s="50"/>
      <c r="QCC348" s="50"/>
      <c r="QCD348" s="50"/>
      <c r="QCE348" s="50"/>
      <c r="QCF348" s="50"/>
      <c r="QCG348" s="50"/>
      <c r="QCH348" s="50"/>
      <c r="QCI348" s="50"/>
      <c r="QCJ348" s="50"/>
      <c r="QCK348" s="50"/>
      <c r="QCL348" s="50"/>
      <c r="QCM348" s="50"/>
      <c r="QCN348" s="50"/>
      <c r="QCO348" s="50"/>
      <c r="QCP348" s="50"/>
      <c r="QCQ348" s="50"/>
      <c r="QCR348" s="50"/>
      <c r="QCS348" s="50"/>
      <c r="QCT348" s="50"/>
      <c r="QCU348" s="50"/>
      <c r="QCV348" s="50"/>
      <c r="QCW348" s="50"/>
      <c r="QCX348" s="50"/>
      <c r="QCY348" s="50"/>
      <c r="QCZ348" s="50"/>
      <c r="QDA348" s="50"/>
      <c r="QDB348" s="50"/>
      <c r="QDC348" s="50"/>
      <c r="QDD348" s="50"/>
      <c r="QDE348" s="50"/>
      <c r="QDF348" s="50"/>
      <c r="QDG348" s="50"/>
      <c r="QDH348" s="50"/>
      <c r="QDI348" s="50"/>
      <c r="QDJ348" s="50"/>
      <c r="QDK348" s="50"/>
      <c r="QDL348" s="50"/>
      <c r="QDM348" s="50"/>
      <c r="QDN348" s="50"/>
      <c r="QDO348" s="50"/>
      <c r="QDP348" s="50"/>
      <c r="QDQ348" s="50"/>
      <c r="QDR348" s="50"/>
      <c r="QDS348" s="50"/>
      <c r="QDT348" s="50"/>
      <c r="QDU348" s="50"/>
      <c r="QDV348" s="50"/>
      <c r="QDW348" s="50"/>
      <c r="QDX348" s="50"/>
      <c r="QDY348" s="50"/>
      <c r="QDZ348" s="50"/>
      <c r="QEA348" s="50"/>
      <c r="QEB348" s="50"/>
      <c r="QEC348" s="50"/>
      <c r="QED348" s="50"/>
      <c r="QEE348" s="50"/>
      <c r="QEF348" s="50"/>
      <c r="QEG348" s="50"/>
      <c r="QEH348" s="50"/>
      <c r="QEI348" s="50"/>
      <c r="QEJ348" s="50"/>
      <c r="QEK348" s="50"/>
      <c r="QEL348" s="50"/>
      <c r="QEM348" s="50"/>
      <c r="QEN348" s="50"/>
      <c r="QEO348" s="50"/>
      <c r="QEP348" s="50"/>
      <c r="QEQ348" s="50"/>
      <c r="QER348" s="50"/>
      <c r="QES348" s="50"/>
      <c r="QET348" s="50"/>
      <c r="QEU348" s="50"/>
      <c r="QEV348" s="50"/>
      <c r="QEW348" s="50"/>
      <c r="QEX348" s="50"/>
      <c r="QEY348" s="50"/>
      <c r="QEZ348" s="50"/>
      <c r="QFA348" s="50"/>
      <c r="QFB348" s="50"/>
      <c r="QFC348" s="50"/>
      <c r="QFD348" s="50"/>
      <c r="QFE348" s="50"/>
      <c r="QFF348" s="50"/>
      <c r="QFG348" s="50"/>
      <c r="QFH348" s="50"/>
      <c r="QFI348" s="50"/>
      <c r="QFJ348" s="50"/>
      <c r="QFK348" s="50"/>
      <c r="QFL348" s="50"/>
      <c r="QFM348" s="50"/>
      <c r="QFN348" s="50"/>
      <c r="QFO348" s="50"/>
      <c r="QFP348" s="50"/>
      <c r="QFQ348" s="50"/>
      <c r="QFR348" s="50"/>
      <c r="QFS348" s="50"/>
      <c r="QFT348" s="50"/>
      <c r="QFU348" s="50"/>
      <c r="QFV348" s="50"/>
      <c r="QFW348" s="50"/>
      <c r="QFX348" s="50"/>
      <c r="QFY348" s="50"/>
      <c r="QFZ348" s="50"/>
      <c r="QGA348" s="50"/>
      <c r="QGB348" s="50"/>
      <c r="QGC348" s="50"/>
      <c r="QGD348" s="50"/>
      <c r="QGE348" s="50"/>
      <c r="QGF348" s="50"/>
      <c r="QGG348" s="50"/>
      <c r="QGH348" s="50"/>
      <c r="QGI348" s="50"/>
      <c r="QGJ348" s="50"/>
      <c r="QGK348" s="50"/>
      <c r="QGL348" s="50"/>
      <c r="QGM348" s="50"/>
      <c r="QGN348" s="50"/>
      <c r="QGO348" s="50"/>
      <c r="QGP348" s="50"/>
      <c r="QGQ348" s="50"/>
      <c r="QGR348" s="50"/>
      <c r="QGS348" s="50"/>
      <c r="QGT348" s="50"/>
      <c r="QGU348" s="50"/>
      <c r="QGV348" s="50"/>
      <c r="QGW348" s="50"/>
      <c r="QGX348" s="50"/>
      <c r="QGY348" s="50"/>
      <c r="QGZ348" s="50"/>
      <c r="QHA348" s="50"/>
      <c r="QHB348" s="50"/>
      <c r="QHC348" s="50"/>
      <c r="QHD348" s="50"/>
      <c r="QHE348" s="50"/>
      <c r="QHF348" s="50"/>
      <c r="QHG348" s="50"/>
      <c r="QHH348" s="50"/>
      <c r="QHI348" s="50"/>
      <c r="QHJ348" s="50"/>
      <c r="QHK348" s="50"/>
      <c r="QHL348" s="50"/>
      <c r="QHM348" s="50"/>
      <c r="QHN348" s="50"/>
      <c r="QHO348" s="50"/>
      <c r="QHP348" s="50"/>
      <c r="QHQ348" s="50"/>
      <c r="QHR348" s="50"/>
      <c r="QHS348" s="50"/>
      <c r="QHT348" s="50"/>
      <c r="QHU348" s="50"/>
      <c r="QHV348" s="50"/>
      <c r="QHW348" s="50"/>
      <c r="QHX348" s="50"/>
      <c r="QHY348" s="50"/>
      <c r="QHZ348" s="50"/>
      <c r="QIA348" s="50"/>
      <c r="QIB348" s="50"/>
      <c r="QIC348" s="50"/>
      <c r="QID348" s="50"/>
      <c r="QIE348" s="50"/>
      <c r="QIF348" s="50"/>
      <c r="QIG348" s="50"/>
      <c r="QIH348" s="50"/>
      <c r="QII348" s="50"/>
      <c r="QIJ348" s="50"/>
      <c r="QIK348" s="50"/>
      <c r="QIL348" s="50"/>
      <c r="QIM348" s="50"/>
      <c r="QIN348" s="50"/>
      <c r="QIO348" s="50"/>
      <c r="QIP348" s="50"/>
      <c r="QIQ348" s="50"/>
      <c r="QIR348" s="50"/>
      <c r="QIS348" s="50"/>
      <c r="QIT348" s="50"/>
      <c r="QIU348" s="50"/>
      <c r="QIV348" s="50"/>
      <c r="QIW348" s="50"/>
      <c r="QIX348" s="50"/>
      <c r="QIY348" s="50"/>
      <c r="QIZ348" s="50"/>
      <c r="QJA348" s="50"/>
      <c r="QJB348" s="50"/>
      <c r="QJC348" s="50"/>
      <c r="QJD348" s="50"/>
      <c r="QJE348" s="50"/>
      <c r="QJF348" s="50"/>
      <c r="QJG348" s="50"/>
      <c r="QJH348" s="50"/>
      <c r="QJI348" s="50"/>
      <c r="QJJ348" s="50"/>
      <c r="QJK348" s="50"/>
      <c r="QJL348" s="50"/>
      <c r="QJM348" s="50"/>
      <c r="QJN348" s="50"/>
      <c r="QJO348" s="50"/>
      <c r="QJP348" s="50"/>
      <c r="QJQ348" s="50"/>
      <c r="QJR348" s="50"/>
      <c r="QJS348" s="50"/>
      <c r="QJT348" s="50"/>
      <c r="QJU348" s="50"/>
      <c r="QJV348" s="50"/>
      <c r="QJW348" s="50"/>
      <c r="QJX348" s="50"/>
      <c r="QJY348" s="50"/>
      <c r="QJZ348" s="50"/>
      <c r="QKA348" s="50"/>
      <c r="QKB348" s="50"/>
      <c r="QKC348" s="50"/>
      <c r="QKD348" s="50"/>
      <c r="QKE348" s="50"/>
      <c r="QKF348" s="50"/>
      <c r="QKG348" s="50"/>
      <c r="QKH348" s="50"/>
      <c r="QKI348" s="50"/>
      <c r="QKJ348" s="50"/>
      <c r="QKK348" s="50"/>
      <c r="QKL348" s="50"/>
      <c r="QKM348" s="50"/>
      <c r="QKN348" s="50"/>
      <c r="QKO348" s="50"/>
      <c r="QKP348" s="50"/>
      <c r="QKQ348" s="50"/>
      <c r="QKR348" s="50"/>
      <c r="QKS348" s="50"/>
      <c r="QKT348" s="50"/>
      <c r="QKU348" s="50"/>
      <c r="QKV348" s="50"/>
      <c r="QKW348" s="50"/>
      <c r="QKX348" s="50"/>
      <c r="QKY348" s="50"/>
      <c r="QKZ348" s="50"/>
      <c r="QLA348" s="50"/>
      <c r="QLB348" s="50"/>
      <c r="QLC348" s="50"/>
      <c r="QLD348" s="50"/>
      <c r="QLE348" s="50"/>
      <c r="QLF348" s="50"/>
      <c r="QLG348" s="50"/>
      <c r="QLH348" s="50"/>
      <c r="QLI348" s="50"/>
      <c r="QLJ348" s="50"/>
      <c r="QLK348" s="50"/>
      <c r="QLL348" s="50"/>
      <c r="QLM348" s="50"/>
      <c r="QLN348" s="50"/>
      <c r="QLO348" s="50"/>
      <c r="QLP348" s="50"/>
      <c r="QLQ348" s="50"/>
      <c r="QLR348" s="50"/>
      <c r="QLS348" s="50"/>
      <c r="QLT348" s="50"/>
      <c r="QLU348" s="50"/>
      <c r="QLV348" s="50"/>
      <c r="QLW348" s="50"/>
      <c r="QLX348" s="50"/>
      <c r="QLY348" s="50"/>
      <c r="QLZ348" s="50"/>
      <c r="QMA348" s="50"/>
      <c r="QMB348" s="50"/>
      <c r="QMC348" s="50"/>
      <c r="QMD348" s="50"/>
      <c r="QME348" s="50"/>
      <c r="QMF348" s="50"/>
      <c r="QMG348" s="50"/>
      <c r="QMH348" s="50"/>
      <c r="QMI348" s="50"/>
      <c r="QMJ348" s="50"/>
      <c r="QMK348" s="50"/>
      <c r="QML348" s="50"/>
      <c r="QMM348" s="50"/>
      <c r="QMN348" s="50"/>
      <c r="QMO348" s="50"/>
      <c r="QMP348" s="50"/>
      <c r="QMQ348" s="50"/>
      <c r="QMR348" s="50"/>
      <c r="QMS348" s="50"/>
      <c r="QMT348" s="50"/>
      <c r="QMU348" s="50"/>
      <c r="QMV348" s="50"/>
      <c r="QMW348" s="50"/>
      <c r="QMX348" s="50"/>
      <c r="QMY348" s="50"/>
      <c r="QMZ348" s="50"/>
      <c r="QNA348" s="50"/>
      <c r="QNB348" s="50"/>
      <c r="QNC348" s="50"/>
      <c r="QND348" s="50"/>
      <c r="QNE348" s="50"/>
      <c r="QNF348" s="50"/>
      <c r="QNG348" s="50"/>
      <c r="QNH348" s="50"/>
      <c r="QNI348" s="50"/>
      <c r="QNJ348" s="50"/>
      <c r="QNK348" s="50"/>
      <c r="QNL348" s="50"/>
      <c r="QNM348" s="50"/>
      <c r="QNN348" s="50"/>
      <c r="QNO348" s="50"/>
      <c r="QNP348" s="50"/>
      <c r="QNQ348" s="50"/>
      <c r="QNR348" s="50"/>
      <c r="QNS348" s="50"/>
      <c r="QNT348" s="50"/>
      <c r="QNU348" s="50"/>
      <c r="QNV348" s="50"/>
      <c r="QNW348" s="50"/>
      <c r="QNX348" s="50"/>
      <c r="QNY348" s="50"/>
      <c r="QNZ348" s="50"/>
      <c r="QOA348" s="50"/>
      <c r="QOB348" s="50"/>
      <c r="QOC348" s="50"/>
      <c r="QOD348" s="50"/>
      <c r="QOE348" s="50"/>
      <c r="QOF348" s="50"/>
      <c r="QOG348" s="50"/>
      <c r="QOH348" s="50"/>
      <c r="QOI348" s="50"/>
      <c r="QOJ348" s="50"/>
      <c r="QOK348" s="50"/>
      <c r="QOL348" s="50"/>
      <c r="QOM348" s="50"/>
      <c r="QON348" s="50"/>
      <c r="QOO348" s="50"/>
      <c r="QOP348" s="50"/>
      <c r="QOQ348" s="50"/>
      <c r="QOR348" s="50"/>
      <c r="QOS348" s="50"/>
      <c r="QOT348" s="50"/>
      <c r="QOU348" s="50"/>
      <c r="QOV348" s="50"/>
      <c r="QOW348" s="50"/>
      <c r="QOX348" s="50"/>
      <c r="QOY348" s="50"/>
      <c r="QOZ348" s="50"/>
      <c r="QPA348" s="50"/>
      <c r="QPB348" s="50"/>
      <c r="QPC348" s="50"/>
      <c r="QPD348" s="50"/>
      <c r="QPE348" s="50"/>
      <c r="QPF348" s="50"/>
      <c r="QPG348" s="50"/>
      <c r="QPH348" s="50"/>
      <c r="QPI348" s="50"/>
      <c r="QPJ348" s="50"/>
      <c r="QPK348" s="50"/>
      <c r="QPL348" s="50"/>
      <c r="QPM348" s="50"/>
      <c r="QPN348" s="50"/>
      <c r="QPO348" s="50"/>
      <c r="QPP348" s="50"/>
      <c r="QPQ348" s="50"/>
      <c r="QPR348" s="50"/>
      <c r="QPS348" s="50"/>
      <c r="QPT348" s="50"/>
      <c r="QPU348" s="50"/>
      <c r="QPV348" s="50"/>
      <c r="QPW348" s="50"/>
      <c r="QPX348" s="50"/>
      <c r="QPY348" s="50"/>
      <c r="QPZ348" s="50"/>
      <c r="QQA348" s="50"/>
      <c r="QQB348" s="50"/>
      <c r="QQC348" s="50"/>
      <c r="QQD348" s="50"/>
      <c r="QQE348" s="50"/>
      <c r="QQF348" s="50"/>
      <c r="QQG348" s="50"/>
      <c r="QQH348" s="50"/>
      <c r="QQI348" s="50"/>
      <c r="QQJ348" s="50"/>
      <c r="QQK348" s="50"/>
      <c r="QQL348" s="50"/>
      <c r="QQM348" s="50"/>
      <c r="QQN348" s="50"/>
      <c r="QQO348" s="50"/>
      <c r="QQP348" s="50"/>
      <c r="QQQ348" s="50"/>
      <c r="QQR348" s="50"/>
      <c r="QQS348" s="50"/>
      <c r="QQT348" s="50"/>
      <c r="QQU348" s="50"/>
      <c r="QQV348" s="50"/>
      <c r="QQW348" s="50"/>
      <c r="QQX348" s="50"/>
      <c r="QQY348" s="50"/>
      <c r="QQZ348" s="50"/>
      <c r="QRA348" s="50"/>
      <c r="QRB348" s="50"/>
      <c r="QRC348" s="50"/>
      <c r="QRD348" s="50"/>
      <c r="QRE348" s="50"/>
      <c r="QRF348" s="50"/>
      <c r="QRG348" s="50"/>
      <c r="QRH348" s="50"/>
      <c r="QRI348" s="50"/>
      <c r="QRJ348" s="50"/>
      <c r="QRK348" s="50"/>
      <c r="QRL348" s="50"/>
      <c r="QRM348" s="50"/>
      <c r="QRN348" s="50"/>
      <c r="QRO348" s="50"/>
      <c r="QRP348" s="50"/>
      <c r="QRQ348" s="50"/>
      <c r="QRR348" s="50"/>
      <c r="QRS348" s="50"/>
      <c r="QRT348" s="50"/>
      <c r="QRU348" s="50"/>
      <c r="QRV348" s="50"/>
      <c r="QRW348" s="50"/>
      <c r="QRX348" s="50"/>
      <c r="QRY348" s="50"/>
      <c r="QRZ348" s="50"/>
      <c r="QSA348" s="50"/>
      <c r="QSB348" s="50"/>
      <c r="QSC348" s="50"/>
      <c r="QSD348" s="50"/>
      <c r="QSE348" s="50"/>
      <c r="QSF348" s="50"/>
      <c r="QSG348" s="50"/>
      <c r="QSH348" s="50"/>
      <c r="QSI348" s="50"/>
      <c r="QSJ348" s="50"/>
      <c r="QSK348" s="50"/>
      <c r="QSL348" s="50"/>
      <c r="QSM348" s="50"/>
      <c r="QSN348" s="50"/>
      <c r="QSO348" s="50"/>
      <c r="QSP348" s="50"/>
      <c r="QSQ348" s="50"/>
      <c r="QSR348" s="50"/>
      <c r="QSS348" s="50"/>
      <c r="QST348" s="50"/>
      <c r="QSU348" s="50"/>
      <c r="QSV348" s="50"/>
      <c r="QSW348" s="50"/>
      <c r="QSX348" s="50"/>
      <c r="QSY348" s="50"/>
      <c r="QSZ348" s="50"/>
      <c r="QTA348" s="50"/>
      <c r="QTB348" s="50"/>
      <c r="QTC348" s="50"/>
      <c r="QTD348" s="50"/>
      <c r="QTE348" s="50"/>
      <c r="QTF348" s="50"/>
      <c r="QTG348" s="50"/>
      <c r="QTH348" s="50"/>
      <c r="QTI348" s="50"/>
      <c r="QTJ348" s="50"/>
      <c r="QTK348" s="50"/>
      <c r="QTL348" s="50"/>
      <c r="QTM348" s="50"/>
      <c r="QTN348" s="50"/>
      <c r="QTO348" s="50"/>
      <c r="QTP348" s="50"/>
      <c r="QTQ348" s="50"/>
      <c r="QTR348" s="50"/>
      <c r="QTS348" s="50"/>
      <c r="QTT348" s="50"/>
      <c r="QTU348" s="50"/>
      <c r="QTV348" s="50"/>
      <c r="QTW348" s="50"/>
      <c r="QTX348" s="50"/>
      <c r="QTY348" s="50"/>
      <c r="QTZ348" s="50"/>
      <c r="QUA348" s="50"/>
      <c r="QUB348" s="50"/>
      <c r="QUC348" s="50"/>
      <c r="QUD348" s="50"/>
      <c r="QUE348" s="50"/>
      <c r="QUF348" s="50"/>
      <c r="QUG348" s="50"/>
      <c r="QUH348" s="50"/>
      <c r="QUI348" s="50"/>
      <c r="QUJ348" s="50"/>
      <c r="QUK348" s="50"/>
      <c r="QUL348" s="50"/>
      <c r="QUM348" s="50"/>
      <c r="QUN348" s="50"/>
      <c r="QUO348" s="50"/>
      <c r="QUP348" s="50"/>
      <c r="QUQ348" s="50"/>
      <c r="QUR348" s="50"/>
      <c r="QUS348" s="50"/>
      <c r="QUT348" s="50"/>
      <c r="QUU348" s="50"/>
      <c r="QUV348" s="50"/>
      <c r="QUW348" s="50"/>
      <c r="QUX348" s="50"/>
      <c r="QUY348" s="50"/>
      <c r="QUZ348" s="50"/>
      <c r="QVA348" s="50"/>
      <c r="QVB348" s="50"/>
      <c r="QVC348" s="50"/>
      <c r="QVD348" s="50"/>
      <c r="QVE348" s="50"/>
      <c r="QVF348" s="50"/>
      <c r="QVG348" s="50"/>
      <c r="QVH348" s="50"/>
      <c r="QVI348" s="50"/>
      <c r="QVJ348" s="50"/>
      <c r="QVK348" s="50"/>
      <c r="QVL348" s="50"/>
      <c r="QVM348" s="50"/>
      <c r="QVN348" s="50"/>
      <c r="QVO348" s="50"/>
      <c r="QVP348" s="50"/>
      <c r="QVQ348" s="50"/>
      <c r="QVR348" s="50"/>
      <c r="QVS348" s="50"/>
      <c r="QVT348" s="50"/>
      <c r="QVU348" s="50"/>
      <c r="QVV348" s="50"/>
      <c r="QVW348" s="50"/>
      <c r="QVX348" s="50"/>
      <c r="QVY348" s="50"/>
      <c r="QVZ348" s="50"/>
      <c r="QWA348" s="50"/>
      <c r="QWB348" s="50"/>
      <c r="QWC348" s="50"/>
      <c r="QWD348" s="50"/>
      <c r="QWE348" s="50"/>
      <c r="QWF348" s="50"/>
      <c r="QWG348" s="50"/>
      <c r="QWH348" s="50"/>
      <c r="QWI348" s="50"/>
      <c r="QWJ348" s="50"/>
      <c r="QWK348" s="50"/>
      <c r="QWL348" s="50"/>
      <c r="QWM348" s="50"/>
      <c r="QWN348" s="50"/>
      <c r="QWO348" s="50"/>
      <c r="QWP348" s="50"/>
      <c r="QWQ348" s="50"/>
      <c r="QWR348" s="50"/>
      <c r="QWS348" s="50"/>
      <c r="QWT348" s="50"/>
      <c r="QWU348" s="50"/>
      <c r="QWV348" s="50"/>
      <c r="QWW348" s="50"/>
      <c r="QWX348" s="50"/>
      <c r="QWY348" s="50"/>
      <c r="QWZ348" s="50"/>
      <c r="QXA348" s="50"/>
      <c r="QXB348" s="50"/>
      <c r="QXC348" s="50"/>
      <c r="QXD348" s="50"/>
      <c r="QXE348" s="50"/>
      <c r="QXF348" s="50"/>
      <c r="QXG348" s="50"/>
      <c r="QXH348" s="50"/>
      <c r="QXI348" s="50"/>
      <c r="QXJ348" s="50"/>
      <c r="QXK348" s="50"/>
      <c r="QXL348" s="50"/>
      <c r="QXM348" s="50"/>
      <c r="QXN348" s="50"/>
      <c r="QXO348" s="50"/>
      <c r="QXP348" s="50"/>
      <c r="QXQ348" s="50"/>
      <c r="QXR348" s="50"/>
      <c r="QXS348" s="50"/>
      <c r="QXT348" s="50"/>
      <c r="QXU348" s="50"/>
      <c r="QXV348" s="50"/>
      <c r="QXW348" s="50"/>
      <c r="QXX348" s="50"/>
      <c r="QXY348" s="50"/>
      <c r="QXZ348" s="50"/>
      <c r="QYA348" s="50"/>
      <c r="QYB348" s="50"/>
      <c r="QYC348" s="50"/>
      <c r="QYD348" s="50"/>
      <c r="QYE348" s="50"/>
      <c r="QYF348" s="50"/>
      <c r="QYG348" s="50"/>
      <c r="QYH348" s="50"/>
      <c r="QYI348" s="50"/>
      <c r="QYJ348" s="50"/>
      <c r="QYK348" s="50"/>
      <c r="QYL348" s="50"/>
      <c r="QYM348" s="50"/>
      <c r="QYN348" s="50"/>
      <c r="QYO348" s="50"/>
      <c r="QYP348" s="50"/>
      <c r="QYQ348" s="50"/>
      <c r="QYR348" s="50"/>
      <c r="QYS348" s="50"/>
      <c r="QYT348" s="50"/>
      <c r="QYU348" s="50"/>
      <c r="QYV348" s="50"/>
      <c r="QYW348" s="50"/>
      <c r="QYX348" s="50"/>
      <c r="QYY348" s="50"/>
      <c r="QYZ348" s="50"/>
      <c r="QZA348" s="50"/>
      <c r="QZB348" s="50"/>
      <c r="QZC348" s="50"/>
      <c r="QZD348" s="50"/>
      <c r="QZE348" s="50"/>
      <c r="QZF348" s="50"/>
      <c r="QZG348" s="50"/>
      <c r="QZH348" s="50"/>
      <c r="QZI348" s="50"/>
      <c r="QZJ348" s="50"/>
      <c r="QZK348" s="50"/>
      <c r="QZL348" s="50"/>
      <c r="QZM348" s="50"/>
      <c r="QZN348" s="50"/>
      <c r="QZO348" s="50"/>
      <c r="QZP348" s="50"/>
      <c r="QZQ348" s="50"/>
      <c r="QZR348" s="50"/>
      <c r="QZS348" s="50"/>
      <c r="QZT348" s="50"/>
      <c r="QZU348" s="50"/>
      <c r="QZV348" s="50"/>
      <c r="QZW348" s="50"/>
      <c r="QZX348" s="50"/>
      <c r="QZY348" s="50"/>
      <c r="QZZ348" s="50"/>
      <c r="RAA348" s="50"/>
      <c r="RAB348" s="50"/>
      <c r="RAC348" s="50"/>
      <c r="RAD348" s="50"/>
      <c r="RAE348" s="50"/>
      <c r="RAF348" s="50"/>
      <c r="RAG348" s="50"/>
      <c r="RAH348" s="50"/>
      <c r="RAI348" s="50"/>
      <c r="RAJ348" s="50"/>
      <c r="RAK348" s="50"/>
      <c r="RAL348" s="50"/>
      <c r="RAM348" s="50"/>
      <c r="RAN348" s="50"/>
      <c r="RAO348" s="50"/>
      <c r="RAP348" s="50"/>
      <c r="RAQ348" s="50"/>
      <c r="RAR348" s="50"/>
      <c r="RAS348" s="50"/>
      <c r="RAT348" s="50"/>
      <c r="RAU348" s="50"/>
      <c r="RAV348" s="50"/>
      <c r="RAW348" s="50"/>
      <c r="RAX348" s="50"/>
      <c r="RAY348" s="50"/>
      <c r="RAZ348" s="50"/>
      <c r="RBA348" s="50"/>
      <c r="RBB348" s="50"/>
      <c r="RBC348" s="50"/>
      <c r="RBD348" s="50"/>
      <c r="RBE348" s="50"/>
      <c r="RBF348" s="50"/>
      <c r="RBG348" s="50"/>
      <c r="RBH348" s="50"/>
      <c r="RBI348" s="50"/>
      <c r="RBJ348" s="50"/>
      <c r="RBK348" s="50"/>
      <c r="RBL348" s="50"/>
      <c r="RBM348" s="50"/>
      <c r="RBN348" s="50"/>
      <c r="RBO348" s="50"/>
      <c r="RBP348" s="50"/>
      <c r="RBQ348" s="50"/>
      <c r="RBR348" s="50"/>
      <c r="RBS348" s="50"/>
      <c r="RBT348" s="50"/>
      <c r="RBU348" s="50"/>
      <c r="RBV348" s="50"/>
      <c r="RBW348" s="50"/>
      <c r="RBX348" s="50"/>
      <c r="RBY348" s="50"/>
      <c r="RBZ348" s="50"/>
      <c r="RCA348" s="50"/>
      <c r="RCB348" s="50"/>
      <c r="RCC348" s="50"/>
      <c r="RCD348" s="50"/>
      <c r="RCE348" s="50"/>
      <c r="RCF348" s="50"/>
      <c r="RCG348" s="50"/>
      <c r="RCH348" s="50"/>
      <c r="RCI348" s="50"/>
      <c r="RCJ348" s="50"/>
      <c r="RCK348" s="50"/>
      <c r="RCL348" s="50"/>
      <c r="RCM348" s="50"/>
      <c r="RCN348" s="50"/>
      <c r="RCO348" s="50"/>
      <c r="RCP348" s="50"/>
      <c r="RCQ348" s="50"/>
      <c r="RCR348" s="50"/>
      <c r="RCS348" s="50"/>
      <c r="RCT348" s="50"/>
      <c r="RCU348" s="50"/>
      <c r="RCV348" s="50"/>
      <c r="RCW348" s="50"/>
      <c r="RCX348" s="50"/>
      <c r="RCY348" s="50"/>
      <c r="RCZ348" s="50"/>
      <c r="RDA348" s="50"/>
      <c r="RDB348" s="50"/>
      <c r="RDC348" s="50"/>
      <c r="RDD348" s="50"/>
      <c r="RDE348" s="50"/>
      <c r="RDF348" s="50"/>
      <c r="RDG348" s="50"/>
      <c r="RDH348" s="50"/>
      <c r="RDI348" s="50"/>
      <c r="RDJ348" s="50"/>
      <c r="RDK348" s="50"/>
      <c r="RDL348" s="50"/>
      <c r="RDM348" s="50"/>
      <c r="RDN348" s="50"/>
      <c r="RDO348" s="50"/>
      <c r="RDP348" s="50"/>
      <c r="RDQ348" s="50"/>
      <c r="RDR348" s="50"/>
      <c r="RDS348" s="50"/>
      <c r="RDT348" s="50"/>
      <c r="RDU348" s="50"/>
      <c r="RDV348" s="50"/>
      <c r="RDW348" s="50"/>
      <c r="RDX348" s="50"/>
      <c r="RDY348" s="50"/>
      <c r="RDZ348" s="50"/>
      <c r="REA348" s="50"/>
      <c r="REB348" s="50"/>
      <c r="REC348" s="50"/>
      <c r="RED348" s="50"/>
      <c r="REE348" s="50"/>
      <c r="REF348" s="50"/>
      <c r="REG348" s="50"/>
      <c r="REH348" s="50"/>
      <c r="REI348" s="50"/>
      <c r="REJ348" s="50"/>
      <c r="REK348" s="50"/>
      <c r="REL348" s="50"/>
      <c r="REM348" s="50"/>
      <c r="REN348" s="50"/>
      <c r="REO348" s="50"/>
      <c r="REP348" s="50"/>
      <c r="REQ348" s="50"/>
      <c r="RER348" s="50"/>
      <c r="RES348" s="50"/>
      <c r="RET348" s="50"/>
      <c r="REU348" s="50"/>
      <c r="REV348" s="50"/>
      <c r="REW348" s="50"/>
      <c r="REX348" s="50"/>
      <c r="REY348" s="50"/>
      <c r="REZ348" s="50"/>
      <c r="RFA348" s="50"/>
      <c r="RFB348" s="50"/>
      <c r="RFC348" s="50"/>
      <c r="RFD348" s="50"/>
      <c r="RFE348" s="50"/>
      <c r="RFF348" s="50"/>
      <c r="RFG348" s="50"/>
      <c r="RFH348" s="50"/>
      <c r="RFI348" s="50"/>
      <c r="RFJ348" s="50"/>
      <c r="RFK348" s="50"/>
      <c r="RFL348" s="50"/>
      <c r="RFM348" s="50"/>
      <c r="RFN348" s="50"/>
      <c r="RFO348" s="50"/>
      <c r="RFP348" s="50"/>
      <c r="RFQ348" s="50"/>
      <c r="RFR348" s="50"/>
      <c r="RFS348" s="50"/>
      <c r="RFT348" s="50"/>
      <c r="RFU348" s="50"/>
      <c r="RFV348" s="50"/>
      <c r="RFW348" s="50"/>
      <c r="RFX348" s="50"/>
      <c r="RFY348" s="50"/>
      <c r="RFZ348" s="50"/>
      <c r="RGA348" s="50"/>
      <c r="RGB348" s="50"/>
      <c r="RGC348" s="50"/>
      <c r="RGD348" s="50"/>
      <c r="RGE348" s="50"/>
      <c r="RGF348" s="50"/>
      <c r="RGG348" s="50"/>
      <c r="RGH348" s="50"/>
      <c r="RGI348" s="50"/>
      <c r="RGJ348" s="50"/>
      <c r="RGK348" s="50"/>
      <c r="RGL348" s="50"/>
      <c r="RGM348" s="50"/>
      <c r="RGN348" s="50"/>
      <c r="RGO348" s="50"/>
      <c r="RGP348" s="50"/>
      <c r="RGQ348" s="50"/>
      <c r="RGR348" s="50"/>
      <c r="RGS348" s="50"/>
      <c r="RGT348" s="50"/>
      <c r="RGU348" s="50"/>
      <c r="RGV348" s="50"/>
      <c r="RGW348" s="50"/>
      <c r="RGX348" s="50"/>
      <c r="RGY348" s="50"/>
      <c r="RGZ348" s="50"/>
      <c r="RHA348" s="50"/>
      <c r="RHB348" s="50"/>
      <c r="RHC348" s="50"/>
      <c r="RHD348" s="50"/>
      <c r="RHE348" s="50"/>
      <c r="RHF348" s="50"/>
      <c r="RHG348" s="50"/>
      <c r="RHH348" s="50"/>
      <c r="RHI348" s="50"/>
      <c r="RHJ348" s="50"/>
      <c r="RHK348" s="50"/>
      <c r="RHL348" s="50"/>
      <c r="RHM348" s="50"/>
      <c r="RHN348" s="50"/>
      <c r="RHO348" s="50"/>
      <c r="RHP348" s="50"/>
      <c r="RHQ348" s="50"/>
      <c r="RHR348" s="50"/>
      <c r="RHS348" s="50"/>
      <c r="RHT348" s="50"/>
      <c r="RHU348" s="50"/>
      <c r="RHV348" s="50"/>
      <c r="RHW348" s="50"/>
      <c r="RHX348" s="50"/>
      <c r="RHY348" s="50"/>
      <c r="RHZ348" s="50"/>
      <c r="RIA348" s="50"/>
      <c r="RIB348" s="50"/>
      <c r="RIC348" s="50"/>
      <c r="RID348" s="50"/>
      <c r="RIE348" s="50"/>
      <c r="RIF348" s="50"/>
      <c r="RIG348" s="50"/>
      <c r="RIH348" s="50"/>
      <c r="RII348" s="50"/>
      <c r="RIJ348" s="50"/>
      <c r="RIK348" s="50"/>
      <c r="RIL348" s="50"/>
      <c r="RIM348" s="50"/>
      <c r="RIN348" s="50"/>
      <c r="RIO348" s="50"/>
      <c r="RIP348" s="50"/>
      <c r="RIQ348" s="50"/>
      <c r="RIR348" s="50"/>
      <c r="RIS348" s="50"/>
      <c r="RIT348" s="50"/>
      <c r="RIU348" s="50"/>
      <c r="RIV348" s="50"/>
      <c r="RIW348" s="50"/>
      <c r="RIX348" s="50"/>
      <c r="RIY348" s="50"/>
      <c r="RIZ348" s="50"/>
      <c r="RJA348" s="50"/>
      <c r="RJB348" s="50"/>
      <c r="RJC348" s="50"/>
      <c r="RJD348" s="50"/>
      <c r="RJE348" s="50"/>
      <c r="RJF348" s="50"/>
      <c r="RJG348" s="50"/>
      <c r="RJH348" s="50"/>
      <c r="RJI348" s="50"/>
      <c r="RJJ348" s="50"/>
      <c r="RJK348" s="50"/>
      <c r="RJL348" s="50"/>
      <c r="RJM348" s="50"/>
      <c r="RJN348" s="50"/>
      <c r="RJO348" s="50"/>
      <c r="RJP348" s="50"/>
      <c r="RJQ348" s="50"/>
      <c r="RJR348" s="50"/>
      <c r="RJS348" s="50"/>
      <c r="RJT348" s="50"/>
      <c r="RJU348" s="50"/>
      <c r="RJV348" s="50"/>
      <c r="RJW348" s="50"/>
      <c r="RJX348" s="50"/>
      <c r="RJY348" s="50"/>
      <c r="RJZ348" s="50"/>
      <c r="RKA348" s="50"/>
      <c r="RKB348" s="50"/>
      <c r="RKC348" s="50"/>
      <c r="RKD348" s="50"/>
      <c r="RKE348" s="50"/>
      <c r="RKF348" s="50"/>
      <c r="RKG348" s="50"/>
      <c r="RKH348" s="50"/>
      <c r="RKI348" s="50"/>
      <c r="RKJ348" s="50"/>
      <c r="RKK348" s="50"/>
      <c r="RKL348" s="50"/>
      <c r="RKM348" s="50"/>
      <c r="RKN348" s="50"/>
      <c r="RKO348" s="50"/>
      <c r="RKP348" s="50"/>
      <c r="RKQ348" s="50"/>
      <c r="RKR348" s="50"/>
      <c r="RKS348" s="50"/>
      <c r="RKT348" s="50"/>
      <c r="RKU348" s="50"/>
      <c r="RKV348" s="50"/>
      <c r="RKW348" s="50"/>
      <c r="RKX348" s="50"/>
      <c r="RKY348" s="50"/>
      <c r="RKZ348" s="50"/>
      <c r="RLA348" s="50"/>
      <c r="RLB348" s="50"/>
      <c r="RLC348" s="50"/>
      <c r="RLD348" s="50"/>
      <c r="RLE348" s="50"/>
      <c r="RLF348" s="50"/>
      <c r="RLG348" s="50"/>
      <c r="RLH348" s="50"/>
      <c r="RLI348" s="50"/>
      <c r="RLJ348" s="50"/>
      <c r="RLK348" s="50"/>
      <c r="RLL348" s="50"/>
      <c r="RLM348" s="50"/>
      <c r="RLN348" s="50"/>
      <c r="RLO348" s="50"/>
      <c r="RLP348" s="50"/>
      <c r="RLQ348" s="50"/>
      <c r="RLR348" s="50"/>
      <c r="RLS348" s="50"/>
      <c r="RLT348" s="50"/>
      <c r="RLU348" s="50"/>
      <c r="RLV348" s="50"/>
      <c r="RLW348" s="50"/>
      <c r="RLX348" s="50"/>
      <c r="RLY348" s="50"/>
      <c r="RLZ348" s="50"/>
      <c r="RMA348" s="50"/>
      <c r="RMB348" s="50"/>
      <c r="RMC348" s="50"/>
      <c r="RMD348" s="50"/>
      <c r="RME348" s="50"/>
      <c r="RMF348" s="50"/>
      <c r="RMG348" s="50"/>
      <c r="RMH348" s="50"/>
      <c r="RMI348" s="50"/>
      <c r="RMJ348" s="50"/>
      <c r="RMK348" s="50"/>
      <c r="RML348" s="50"/>
      <c r="RMM348" s="50"/>
      <c r="RMN348" s="50"/>
      <c r="RMO348" s="50"/>
      <c r="RMP348" s="50"/>
      <c r="RMQ348" s="50"/>
      <c r="RMR348" s="50"/>
      <c r="RMS348" s="50"/>
      <c r="RMT348" s="50"/>
      <c r="RMU348" s="50"/>
      <c r="RMV348" s="50"/>
      <c r="RMW348" s="50"/>
      <c r="RMX348" s="50"/>
      <c r="RMY348" s="50"/>
      <c r="RMZ348" s="50"/>
      <c r="RNA348" s="50"/>
      <c r="RNB348" s="50"/>
      <c r="RNC348" s="50"/>
      <c r="RND348" s="50"/>
      <c r="RNE348" s="50"/>
      <c r="RNF348" s="50"/>
      <c r="RNG348" s="50"/>
      <c r="RNH348" s="50"/>
      <c r="RNI348" s="50"/>
      <c r="RNJ348" s="50"/>
      <c r="RNK348" s="50"/>
      <c r="RNL348" s="50"/>
      <c r="RNM348" s="50"/>
      <c r="RNN348" s="50"/>
      <c r="RNO348" s="50"/>
      <c r="RNP348" s="50"/>
      <c r="RNQ348" s="50"/>
      <c r="RNR348" s="50"/>
      <c r="RNS348" s="50"/>
      <c r="RNT348" s="50"/>
      <c r="RNU348" s="50"/>
      <c r="RNV348" s="50"/>
      <c r="RNW348" s="50"/>
      <c r="RNX348" s="50"/>
      <c r="RNY348" s="50"/>
      <c r="RNZ348" s="50"/>
      <c r="ROA348" s="50"/>
      <c r="ROB348" s="50"/>
      <c r="ROC348" s="50"/>
      <c r="ROD348" s="50"/>
      <c r="ROE348" s="50"/>
      <c r="ROF348" s="50"/>
      <c r="ROG348" s="50"/>
      <c r="ROH348" s="50"/>
      <c r="ROI348" s="50"/>
      <c r="ROJ348" s="50"/>
      <c r="ROK348" s="50"/>
      <c r="ROL348" s="50"/>
      <c r="ROM348" s="50"/>
      <c r="RON348" s="50"/>
      <c r="ROO348" s="50"/>
      <c r="ROP348" s="50"/>
      <c r="ROQ348" s="50"/>
      <c r="ROR348" s="50"/>
      <c r="ROS348" s="50"/>
      <c r="ROT348" s="50"/>
      <c r="ROU348" s="50"/>
      <c r="ROV348" s="50"/>
      <c r="ROW348" s="50"/>
      <c r="ROX348" s="50"/>
      <c r="ROY348" s="50"/>
      <c r="ROZ348" s="50"/>
      <c r="RPA348" s="50"/>
      <c r="RPB348" s="50"/>
      <c r="RPC348" s="50"/>
      <c r="RPD348" s="50"/>
      <c r="RPE348" s="50"/>
      <c r="RPF348" s="50"/>
      <c r="RPG348" s="50"/>
      <c r="RPH348" s="50"/>
      <c r="RPI348" s="50"/>
      <c r="RPJ348" s="50"/>
      <c r="RPK348" s="50"/>
      <c r="RPL348" s="50"/>
      <c r="RPM348" s="50"/>
      <c r="RPN348" s="50"/>
      <c r="RPO348" s="50"/>
      <c r="RPP348" s="50"/>
      <c r="RPQ348" s="50"/>
      <c r="RPR348" s="50"/>
      <c r="RPS348" s="50"/>
      <c r="RPT348" s="50"/>
      <c r="RPU348" s="50"/>
      <c r="RPV348" s="50"/>
      <c r="RPW348" s="50"/>
      <c r="RPX348" s="50"/>
      <c r="RPY348" s="50"/>
      <c r="RPZ348" s="50"/>
      <c r="RQA348" s="50"/>
      <c r="RQB348" s="50"/>
      <c r="RQC348" s="50"/>
      <c r="RQD348" s="50"/>
      <c r="RQE348" s="50"/>
      <c r="RQF348" s="50"/>
      <c r="RQG348" s="50"/>
      <c r="RQH348" s="50"/>
      <c r="RQI348" s="50"/>
      <c r="RQJ348" s="50"/>
      <c r="RQK348" s="50"/>
      <c r="RQL348" s="50"/>
      <c r="RQM348" s="50"/>
      <c r="RQN348" s="50"/>
      <c r="RQO348" s="50"/>
      <c r="RQP348" s="50"/>
      <c r="RQQ348" s="50"/>
      <c r="RQR348" s="50"/>
      <c r="RQS348" s="50"/>
      <c r="RQT348" s="50"/>
      <c r="RQU348" s="50"/>
      <c r="RQV348" s="50"/>
      <c r="RQW348" s="50"/>
      <c r="RQX348" s="50"/>
      <c r="RQY348" s="50"/>
      <c r="RQZ348" s="50"/>
      <c r="RRA348" s="50"/>
      <c r="RRB348" s="50"/>
      <c r="RRC348" s="50"/>
      <c r="RRD348" s="50"/>
      <c r="RRE348" s="50"/>
      <c r="RRF348" s="50"/>
      <c r="RRG348" s="50"/>
      <c r="RRH348" s="50"/>
      <c r="RRI348" s="50"/>
      <c r="RRJ348" s="50"/>
      <c r="RRK348" s="50"/>
      <c r="RRL348" s="50"/>
      <c r="RRM348" s="50"/>
      <c r="RRN348" s="50"/>
      <c r="RRO348" s="50"/>
      <c r="RRP348" s="50"/>
      <c r="RRQ348" s="50"/>
      <c r="RRR348" s="50"/>
      <c r="RRS348" s="50"/>
      <c r="RRT348" s="50"/>
      <c r="RRU348" s="50"/>
      <c r="RRV348" s="50"/>
      <c r="RRW348" s="50"/>
      <c r="RRX348" s="50"/>
      <c r="RRY348" s="50"/>
      <c r="RRZ348" s="50"/>
      <c r="RSA348" s="50"/>
      <c r="RSB348" s="50"/>
      <c r="RSC348" s="50"/>
      <c r="RSD348" s="50"/>
      <c r="RSE348" s="50"/>
      <c r="RSF348" s="50"/>
      <c r="RSG348" s="50"/>
      <c r="RSH348" s="50"/>
      <c r="RSI348" s="50"/>
      <c r="RSJ348" s="50"/>
      <c r="RSK348" s="50"/>
      <c r="RSL348" s="50"/>
      <c r="RSM348" s="50"/>
      <c r="RSN348" s="50"/>
      <c r="RSO348" s="50"/>
      <c r="RSP348" s="50"/>
      <c r="RSQ348" s="50"/>
      <c r="RSR348" s="50"/>
      <c r="RSS348" s="50"/>
      <c r="RST348" s="50"/>
      <c r="RSU348" s="50"/>
      <c r="RSV348" s="50"/>
      <c r="RSW348" s="50"/>
      <c r="RSX348" s="50"/>
      <c r="RSY348" s="50"/>
      <c r="RSZ348" s="50"/>
      <c r="RTA348" s="50"/>
      <c r="RTB348" s="50"/>
      <c r="RTC348" s="50"/>
      <c r="RTD348" s="50"/>
      <c r="RTE348" s="50"/>
      <c r="RTF348" s="50"/>
      <c r="RTG348" s="50"/>
      <c r="RTH348" s="50"/>
      <c r="RTI348" s="50"/>
      <c r="RTJ348" s="50"/>
      <c r="RTK348" s="50"/>
      <c r="RTL348" s="50"/>
      <c r="RTM348" s="50"/>
      <c r="RTN348" s="50"/>
      <c r="RTO348" s="50"/>
      <c r="RTP348" s="50"/>
      <c r="RTQ348" s="50"/>
      <c r="RTR348" s="50"/>
      <c r="RTS348" s="50"/>
      <c r="RTT348" s="50"/>
      <c r="RTU348" s="50"/>
      <c r="RTV348" s="50"/>
      <c r="RTW348" s="50"/>
      <c r="RTX348" s="50"/>
      <c r="RTY348" s="50"/>
      <c r="RTZ348" s="50"/>
      <c r="RUA348" s="50"/>
      <c r="RUB348" s="50"/>
      <c r="RUC348" s="50"/>
      <c r="RUD348" s="50"/>
      <c r="RUE348" s="50"/>
      <c r="RUF348" s="50"/>
      <c r="RUG348" s="50"/>
      <c r="RUH348" s="50"/>
      <c r="RUI348" s="50"/>
      <c r="RUJ348" s="50"/>
      <c r="RUK348" s="50"/>
      <c r="RUL348" s="50"/>
      <c r="RUM348" s="50"/>
      <c r="RUN348" s="50"/>
      <c r="RUO348" s="50"/>
      <c r="RUP348" s="50"/>
      <c r="RUQ348" s="50"/>
      <c r="RUR348" s="50"/>
      <c r="RUS348" s="50"/>
      <c r="RUT348" s="50"/>
      <c r="RUU348" s="50"/>
      <c r="RUV348" s="50"/>
      <c r="RUW348" s="50"/>
      <c r="RUX348" s="50"/>
      <c r="RUY348" s="50"/>
      <c r="RUZ348" s="50"/>
      <c r="RVA348" s="50"/>
      <c r="RVB348" s="50"/>
      <c r="RVC348" s="50"/>
      <c r="RVD348" s="50"/>
      <c r="RVE348" s="50"/>
      <c r="RVF348" s="50"/>
      <c r="RVG348" s="50"/>
      <c r="RVH348" s="50"/>
      <c r="RVI348" s="50"/>
      <c r="RVJ348" s="50"/>
      <c r="RVK348" s="50"/>
      <c r="RVL348" s="50"/>
      <c r="RVM348" s="50"/>
      <c r="RVN348" s="50"/>
      <c r="RVO348" s="50"/>
      <c r="RVP348" s="50"/>
      <c r="RVQ348" s="50"/>
      <c r="RVR348" s="50"/>
      <c r="RVS348" s="50"/>
      <c r="RVT348" s="50"/>
      <c r="RVU348" s="50"/>
      <c r="RVV348" s="50"/>
      <c r="RVW348" s="50"/>
      <c r="RVX348" s="50"/>
      <c r="RVY348" s="50"/>
      <c r="RVZ348" s="50"/>
      <c r="RWA348" s="50"/>
      <c r="RWB348" s="50"/>
      <c r="RWC348" s="50"/>
      <c r="RWD348" s="50"/>
      <c r="RWE348" s="50"/>
      <c r="RWF348" s="50"/>
      <c r="RWG348" s="50"/>
      <c r="RWH348" s="50"/>
      <c r="RWI348" s="50"/>
      <c r="RWJ348" s="50"/>
      <c r="RWK348" s="50"/>
      <c r="RWL348" s="50"/>
      <c r="RWM348" s="50"/>
      <c r="RWN348" s="50"/>
      <c r="RWO348" s="50"/>
      <c r="RWP348" s="50"/>
      <c r="RWQ348" s="50"/>
      <c r="RWR348" s="50"/>
      <c r="RWS348" s="50"/>
      <c r="RWT348" s="50"/>
      <c r="RWU348" s="50"/>
      <c r="RWV348" s="50"/>
      <c r="RWW348" s="50"/>
      <c r="RWX348" s="50"/>
      <c r="RWY348" s="50"/>
      <c r="RWZ348" s="50"/>
      <c r="RXA348" s="50"/>
      <c r="RXB348" s="50"/>
      <c r="RXC348" s="50"/>
      <c r="RXD348" s="50"/>
      <c r="RXE348" s="50"/>
      <c r="RXF348" s="50"/>
      <c r="RXG348" s="50"/>
      <c r="RXH348" s="50"/>
      <c r="RXI348" s="50"/>
      <c r="RXJ348" s="50"/>
      <c r="RXK348" s="50"/>
      <c r="RXL348" s="50"/>
      <c r="RXM348" s="50"/>
      <c r="RXN348" s="50"/>
      <c r="RXO348" s="50"/>
      <c r="RXP348" s="50"/>
      <c r="RXQ348" s="50"/>
      <c r="RXR348" s="50"/>
      <c r="RXS348" s="50"/>
      <c r="RXT348" s="50"/>
      <c r="RXU348" s="50"/>
      <c r="RXV348" s="50"/>
      <c r="RXW348" s="50"/>
      <c r="RXX348" s="50"/>
      <c r="RXY348" s="50"/>
      <c r="RXZ348" s="50"/>
      <c r="RYA348" s="50"/>
      <c r="RYB348" s="50"/>
      <c r="RYC348" s="50"/>
      <c r="RYD348" s="50"/>
      <c r="RYE348" s="50"/>
      <c r="RYF348" s="50"/>
      <c r="RYG348" s="50"/>
      <c r="RYH348" s="50"/>
      <c r="RYI348" s="50"/>
      <c r="RYJ348" s="50"/>
      <c r="RYK348" s="50"/>
      <c r="RYL348" s="50"/>
      <c r="RYM348" s="50"/>
      <c r="RYN348" s="50"/>
      <c r="RYO348" s="50"/>
      <c r="RYP348" s="50"/>
      <c r="RYQ348" s="50"/>
      <c r="RYR348" s="50"/>
      <c r="RYS348" s="50"/>
      <c r="RYT348" s="50"/>
      <c r="RYU348" s="50"/>
      <c r="RYV348" s="50"/>
      <c r="RYW348" s="50"/>
      <c r="RYX348" s="50"/>
      <c r="RYY348" s="50"/>
      <c r="RYZ348" s="50"/>
      <c r="RZA348" s="50"/>
      <c r="RZB348" s="50"/>
      <c r="RZC348" s="50"/>
      <c r="RZD348" s="50"/>
      <c r="RZE348" s="50"/>
      <c r="RZF348" s="50"/>
      <c r="RZG348" s="50"/>
      <c r="RZH348" s="50"/>
      <c r="RZI348" s="50"/>
      <c r="RZJ348" s="50"/>
      <c r="RZK348" s="50"/>
      <c r="RZL348" s="50"/>
      <c r="RZM348" s="50"/>
      <c r="RZN348" s="50"/>
      <c r="RZO348" s="50"/>
      <c r="RZP348" s="50"/>
      <c r="RZQ348" s="50"/>
      <c r="RZR348" s="50"/>
      <c r="RZS348" s="50"/>
      <c r="RZT348" s="50"/>
      <c r="RZU348" s="50"/>
      <c r="RZV348" s="50"/>
      <c r="RZW348" s="50"/>
      <c r="RZX348" s="50"/>
      <c r="RZY348" s="50"/>
      <c r="RZZ348" s="50"/>
      <c r="SAA348" s="50"/>
      <c r="SAB348" s="50"/>
      <c r="SAC348" s="50"/>
      <c r="SAD348" s="50"/>
      <c r="SAE348" s="50"/>
      <c r="SAF348" s="50"/>
      <c r="SAG348" s="50"/>
      <c r="SAH348" s="50"/>
      <c r="SAI348" s="50"/>
      <c r="SAJ348" s="50"/>
      <c r="SAK348" s="50"/>
      <c r="SAL348" s="50"/>
      <c r="SAM348" s="50"/>
      <c r="SAN348" s="50"/>
      <c r="SAO348" s="50"/>
      <c r="SAP348" s="50"/>
      <c r="SAQ348" s="50"/>
      <c r="SAR348" s="50"/>
      <c r="SAS348" s="50"/>
      <c r="SAT348" s="50"/>
      <c r="SAU348" s="50"/>
      <c r="SAV348" s="50"/>
      <c r="SAW348" s="50"/>
      <c r="SAX348" s="50"/>
      <c r="SAY348" s="50"/>
      <c r="SAZ348" s="50"/>
      <c r="SBA348" s="50"/>
      <c r="SBB348" s="50"/>
      <c r="SBC348" s="50"/>
      <c r="SBD348" s="50"/>
      <c r="SBE348" s="50"/>
      <c r="SBF348" s="50"/>
      <c r="SBG348" s="50"/>
      <c r="SBH348" s="50"/>
      <c r="SBI348" s="50"/>
      <c r="SBJ348" s="50"/>
      <c r="SBK348" s="50"/>
      <c r="SBL348" s="50"/>
      <c r="SBM348" s="50"/>
      <c r="SBN348" s="50"/>
      <c r="SBO348" s="50"/>
      <c r="SBP348" s="50"/>
      <c r="SBQ348" s="50"/>
      <c r="SBR348" s="50"/>
      <c r="SBS348" s="50"/>
      <c r="SBT348" s="50"/>
      <c r="SBU348" s="50"/>
      <c r="SBV348" s="50"/>
      <c r="SBW348" s="50"/>
      <c r="SBX348" s="50"/>
      <c r="SBY348" s="50"/>
      <c r="SBZ348" s="50"/>
      <c r="SCA348" s="50"/>
      <c r="SCB348" s="50"/>
      <c r="SCC348" s="50"/>
      <c r="SCD348" s="50"/>
      <c r="SCE348" s="50"/>
      <c r="SCF348" s="50"/>
      <c r="SCG348" s="50"/>
      <c r="SCH348" s="50"/>
      <c r="SCI348" s="50"/>
      <c r="SCJ348" s="50"/>
      <c r="SCK348" s="50"/>
      <c r="SCL348" s="50"/>
      <c r="SCM348" s="50"/>
      <c r="SCN348" s="50"/>
      <c r="SCO348" s="50"/>
      <c r="SCP348" s="50"/>
      <c r="SCQ348" s="50"/>
      <c r="SCR348" s="50"/>
      <c r="SCS348" s="50"/>
      <c r="SCT348" s="50"/>
      <c r="SCU348" s="50"/>
      <c r="SCV348" s="50"/>
      <c r="SCW348" s="50"/>
      <c r="SCX348" s="50"/>
      <c r="SCY348" s="50"/>
      <c r="SCZ348" s="50"/>
      <c r="SDA348" s="50"/>
      <c r="SDB348" s="50"/>
      <c r="SDC348" s="50"/>
      <c r="SDD348" s="50"/>
      <c r="SDE348" s="50"/>
      <c r="SDF348" s="50"/>
      <c r="SDG348" s="50"/>
      <c r="SDH348" s="50"/>
      <c r="SDI348" s="50"/>
      <c r="SDJ348" s="50"/>
      <c r="SDK348" s="50"/>
      <c r="SDL348" s="50"/>
      <c r="SDM348" s="50"/>
      <c r="SDN348" s="50"/>
      <c r="SDO348" s="50"/>
      <c r="SDP348" s="50"/>
      <c r="SDQ348" s="50"/>
      <c r="SDR348" s="50"/>
      <c r="SDS348" s="50"/>
      <c r="SDT348" s="50"/>
      <c r="SDU348" s="50"/>
      <c r="SDV348" s="50"/>
      <c r="SDW348" s="50"/>
      <c r="SDX348" s="50"/>
      <c r="SDY348" s="50"/>
      <c r="SDZ348" s="50"/>
      <c r="SEA348" s="50"/>
      <c r="SEB348" s="50"/>
      <c r="SEC348" s="50"/>
      <c r="SED348" s="50"/>
      <c r="SEE348" s="50"/>
      <c r="SEF348" s="50"/>
      <c r="SEG348" s="50"/>
      <c r="SEH348" s="50"/>
      <c r="SEI348" s="50"/>
      <c r="SEJ348" s="50"/>
      <c r="SEK348" s="50"/>
      <c r="SEL348" s="50"/>
      <c r="SEM348" s="50"/>
      <c r="SEN348" s="50"/>
      <c r="SEO348" s="50"/>
      <c r="SEP348" s="50"/>
      <c r="SEQ348" s="50"/>
      <c r="SER348" s="50"/>
      <c r="SES348" s="50"/>
      <c r="SET348" s="50"/>
      <c r="SEU348" s="50"/>
      <c r="SEV348" s="50"/>
      <c r="SEW348" s="50"/>
      <c r="SEX348" s="50"/>
      <c r="SEY348" s="50"/>
      <c r="SEZ348" s="50"/>
      <c r="SFA348" s="50"/>
      <c r="SFB348" s="50"/>
      <c r="SFC348" s="50"/>
      <c r="SFD348" s="50"/>
      <c r="SFE348" s="50"/>
      <c r="SFF348" s="50"/>
      <c r="SFG348" s="50"/>
      <c r="SFH348" s="50"/>
      <c r="SFI348" s="50"/>
      <c r="SFJ348" s="50"/>
      <c r="SFK348" s="50"/>
      <c r="SFL348" s="50"/>
      <c r="SFM348" s="50"/>
      <c r="SFN348" s="50"/>
      <c r="SFO348" s="50"/>
      <c r="SFP348" s="50"/>
      <c r="SFQ348" s="50"/>
      <c r="SFR348" s="50"/>
      <c r="SFS348" s="50"/>
      <c r="SFT348" s="50"/>
      <c r="SFU348" s="50"/>
      <c r="SFV348" s="50"/>
      <c r="SFW348" s="50"/>
      <c r="SFX348" s="50"/>
      <c r="SFY348" s="50"/>
      <c r="SFZ348" s="50"/>
      <c r="SGA348" s="50"/>
      <c r="SGB348" s="50"/>
      <c r="SGC348" s="50"/>
      <c r="SGD348" s="50"/>
      <c r="SGE348" s="50"/>
      <c r="SGF348" s="50"/>
      <c r="SGG348" s="50"/>
      <c r="SGH348" s="50"/>
      <c r="SGI348" s="50"/>
      <c r="SGJ348" s="50"/>
      <c r="SGK348" s="50"/>
      <c r="SGL348" s="50"/>
      <c r="SGM348" s="50"/>
      <c r="SGN348" s="50"/>
      <c r="SGO348" s="50"/>
      <c r="SGP348" s="50"/>
      <c r="SGQ348" s="50"/>
      <c r="SGR348" s="50"/>
      <c r="SGS348" s="50"/>
      <c r="SGT348" s="50"/>
      <c r="SGU348" s="50"/>
      <c r="SGV348" s="50"/>
      <c r="SGW348" s="50"/>
      <c r="SGX348" s="50"/>
      <c r="SGY348" s="50"/>
      <c r="SGZ348" s="50"/>
      <c r="SHA348" s="50"/>
      <c r="SHB348" s="50"/>
      <c r="SHC348" s="50"/>
      <c r="SHD348" s="50"/>
      <c r="SHE348" s="50"/>
      <c r="SHF348" s="50"/>
      <c r="SHG348" s="50"/>
      <c r="SHH348" s="50"/>
      <c r="SHI348" s="50"/>
      <c r="SHJ348" s="50"/>
      <c r="SHK348" s="50"/>
      <c r="SHL348" s="50"/>
      <c r="SHM348" s="50"/>
      <c r="SHN348" s="50"/>
      <c r="SHO348" s="50"/>
      <c r="SHP348" s="50"/>
      <c r="SHQ348" s="50"/>
      <c r="SHR348" s="50"/>
      <c r="SHS348" s="50"/>
      <c r="SHT348" s="50"/>
      <c r="SHU348" s="50"/>
      <c r="SHV348" s="50"/>
      <c r="SHW348" s="50"/>
      <c r="SHX348" s="50"/>
      <c r="SHY348" s="50"/>
      <c r="SHZ348" s="50"/>
      <c r="SIA348" s="50"/>
      <c r="SIB348" s="50"/>
      <c r="SIC348" s="50"/>
      <c r="SID348" s="50"/>
      <c r="SIE348" s="50"/>
      <c r="SIF348" s="50"/>
      <c r="SIG348" s="50"/>
      <c r="SIH348" s="50"/>
      <c r="SII348" s="50"/>
      <c r="SIJ348" s="50"/>
      <c r="SIK348" s="50"/>
      <c r="SIL348" s="50"/>
      <c r="SIM348" s="50"/>
      <c r="SIN348" s="50"/>
      <c r="SIO348" s="50"/>
      <c r="SIP348" s="50"/>
      <c r="SIQ348" s="50"/>
      <c r="SIR348" s="50"/>
      <c r="SIS348" s="50"/>
      <c r="SIT348" s="50"/>
      <c r="SIU348" s="50"/>
      <c r="SIV348" s="50"/>
      <c r="SIW348" s="50"/>
      <c r="SIX348" s="50"/>
      <c r="SIY348" s="50"/>
      <c r="SIZ348" s="50"/>
      <c r="SJA348" s="50"/>
      <c r="SJB348" s="50"/>
      <c r="SJC348" s="50"/>
      <c r="SJD348" s="50"/>
      <c r="SJE348" s="50"/>
      <c r="SJF348" s="50"/>
      <c r="SJG348" s="50"/>
      <c r="SJH348" s="50"/>
      <c r="SJI348" s="50"/>
      <c r="SJJ348" s="50"/>
      <c r="SJK348" s="50"/>
      <c r="SJL348" s="50"/>
      <c r="SJM348" s="50"/>
      <c r="SJN348" s="50"/>
      <c r="SJO348" s="50"/>
      <c r="SJP348" s="50"/>
      <c r="SJQ348" s="50"/>
      <c r="SJR348" s="50"/>
      <c r="SJS348" s="50"/>
      <c r="SJT348" s="50"/>
      <c r="SJU348" s="50"/>
      <c r="SJV348" s="50"/>
      <c r="SJW348" s="50"/>
      <c r="SJX348" s="50"/>
      <c r="SJY348" s="50"/>
      <c r="SJZ348" s="50"/>
      <c r="SKA348" s="50"/>
      <c r="SKB348" s="50"/>
      <c r="SKC348" s="50"/>
      <c r="SKD348" s="50"/>
      <c r="SKE348" s="50"/>
      <c r="SKF348" s="50"/>
      <c r="SKG348" s="50"/>
      <c r="SKH348" s="50"/>
      <c r="SKI348" s="50"/>
      <c r="SKJ348" s="50"/>
      <c r="SKK348" s="50"/>
      <c r="SKL348" s="50"/>
      <c r="SKM348" s="50"/>
      <c r="SKN348" s="50"/>
      <c r="SKO348" s="50"/>
      <c r="SKP348" s="50"/>
      <c r="SKQ348" s="50"/>
      <c r="SKR348" s="50"/>
      <c r="SKS348" s="50"/>
      <c r="SKT348" s="50"/>
      <c r="SKU348" s="50"/>
      <c r="SKV348" s="50"/>
      <c r="SKW348" s="50"/>
      <c r="SKX348" s="50"/>
      <c r="SKY348" s="50"/>
      <c r="SKZ348" s="50"/>
      <c r="SLA348" s="50"/>
      <c r="SLB348" s="50"/>
      <c r="SLC348" s="50"/>
      <c r="SLD348" s="50"/>
      <c r="SLE348" s="50"/>
      <c r="SLF348" s="50"/>
      <c r="SLG348" s="50"/>
      <c r="SLH348" s="50"/>
      <c r="SLI348" s="50"/>
      <c r="SLJ348" s="50"/>
      <c r="SLK348" s="50"/>
      <c r="SLL348" s="50"/>
      <c r="SLM348" s="50"/>
      <c r="SLN348" s="50"/>
      <c r="SLO348" s="50"/>
      <c r="SLP348" s="50"/>
      <c r="SLQ348" s="50"/>
      <c r="SLR348" s="50"/>
      <c r="SLS348" s="50"/>
      <c r="SLT348" s="50"/>
      <c r="SLU348" s="50"/>
      <c r="SLV348" s="50"/>
      <c r="SLW348" s="50"/>
      <c r="SLX348" s="50"/>
      <c r="SLY348" s="50"/>
      <c r="SLZ348" s="50"/>
      <c r="SMA348" s="50"/>
      <c r="SMB348" s="50"/>
      <c r="SMC348" s="50"/>
      <c r="SMD348" s="50"/>
      <c r="SME348" s="50"/>
      <c r="SMF348" s="50"/>
      <c r="SMG348" s="50"/>
      <c r="SMH348" s="50"/>
      <c r="SMI348" s="50"/>
      <c r="SMJ348" s="50"/>
      <c r="SMK348" s="50"/>
      <c r="SML348" s="50"/>
      <c r="SMM348" s="50"/>
      <c r="SMN348" s="50"/>
      <c r="SMO348" s="50"/>
      <c r="SMP348" s="50"/>
      <c r="SMQ348" s="50"/>
      <c r="SMR348" s="50"/>
      <c r="SMS348" s="50"/>
      <c r="SMT348" s="50"/>
      <c r="SMU348" s="50"/>
      <c r="SMV348" s="50"/>
      <c r="SMW348" s="50"/>
      <c r="SMX348" s="50"/>
      <c r="SMY348" s="50"/>
      <c r="SMZ348" s="50"/>
      <c r="SNA348" s="50"/>
      <c r="SNB348" s="50"/>
      <c r="SNC348" s="50"/>
      <c r="SND348" s="50"/>
      <c r="SNE348" s="50"/>
      <c r="SNF348" s="50"/>
      <c r="SNG348" s="50"/>
      <c r="SNH348" s="50"/>
      <c r="SNI348" s="50"/>
      <c r="SNJ348" s="50"/>
      <c r="SNK348" s="50"/>
      <c r="SNL348" s="50"/>
      <c r="SNM348" s="50"/>
      <c r="SNN348" s="50"/>
      <c r="SNO348" s="50"/>
      <c r="SNP348" s="50"/>
      <c r="SNQ348" s="50"/>
      <c r="SNR348" s="50"/>
      <c r="SNS348" s="50"/>
      <c r="SNT348" s="50"/>
      <c r="SNU348" s="50"/>
      <c r="SNV348" s="50"/>
      <c r="SNW348" s="50"/>
      <c r="SNX348" s="50"/>
      <c r="SNY348" s="50"/>
      <c r="SNZ348" s="50"/>
      <c r="SOA348" s="50"/>
      <c r="SOB348" s="50"/>
      <c r="SOC348" s="50"/>
      <c r="SOD348" s="50"/>
      <c r="SOE348" s="50"/>
      <c r="SOF348" s="50"/>
      <c r="SOG348" s="50"/>
      <c r="SOH348" s="50"/>
      <c r="SOI348" s="50"/>
      <c r="SOJ348" s="50"/>
      <c r="SOK348" s="50"/>
      <c r="SOL348" s="50"/>
      <c r="SOM348" s="50"/>
      <c r="SON348" s="50"/>
      <c r="SOO348" s="50"/>
      <c r="SOP348" s="50"/>
      <c r="SOQ348" s="50"/>
      <c r="SOR348" s="50"/>
      <c r="SOS348" s="50"/>
      <c r="SOT348" s="50"/>
      <c r="SOU348" s="50"/>
      <c r="SOV348" s="50"/>
      <c r="SOW348" s="50"/>
      <c r="SOX348" s="50"/>
      <c r="SOY348" s="50"/>
      <c r="SOZ348" s="50"/>
      <c r="SPA348" s="50"/>
      <c r="SPB348" s="50"/>
      <c r="SPC348" s="50"/>
      <c r="SPD348" s="50"/>
      <c r="SPE348" s="50"/>
      <c r="SPF348" s="50"/>
      <c r="SPG348" s="50"/>
      <c r="SPH348" s="50"/>
      <c r="SPI348" s="50"/>
      <c r="SPJ348" s="50"/>
      <c r="SPK348" s="50"/>
      <c r="SPL348" s="50"/>
      <c r="SPM348" s="50"/>
      <c r="SPN348" s="50"/>
      <c r="SPO348" s="50"/>
      <c r="SPP348" s="50"/>
      <c r="SPQ348" s="50"/>
      <c r="SPR348" s="50"/>
      <c r="SPS348" s="50"/>
      <c r="SPT348" s="50"/>
      <c r="SPU348" s="50"/>
      <c r="SPV348" s="50"/>
      <c r="SPW348" s="50"/>
      <c r="SPX348" s="50"/>
      <c r="SPY348" s="50"/>
      <c r="SPZ348" s="50"/>
      <c r="SQA348" s="50"/>
      <c r="SQB348" s="50"/>
      <c r="SQC348" s="50"/>
      <c r="SQD348" s="50"/>
      <c r="SQE348" s="50"/>
      <c r="SQF348" s="50"/>
      <c r="SQG348" s="50"/>
      <c r="SQH348" s="50"/>
      <c r="SQI348" s="50"/>
      <c r="SQJ348" s="50"/>
      <c r="SQK348" s="50"/>
      <c r="SQL348" s="50"/>
      <c r="SQM348" s="50"/>
      <c r="SQN348" s="50"/>
      <c r="SQO348" s="50"/>
      <c r="SQP348" s="50"/>
      <c r="SQQ348" s="50"/>
      <c r="SQR348" s="50"/>
      <c r="SQS348" s="50"/>
      <c r="SQT348" s="50"/>
      <c r="SQU348" s="50"/>
      <c r="SQV348" s="50"/>
      <c r="SQW348" s="50"/>
      <c r="SQX348" s="50"/>
      <c r="SQY348" s="50"/>
      <c r="SQZ348" s="50"/>
      <c r="SRA348" s="50"/>
      <c r="SRB348" s="50"/>
      <c r="SRC348" s="50"/>
      <c r="SRD348" s="50"/>
      <c r="SRE348" s="50"/>
      <c r="SRF348" s="50"/>
      <c r="SRG348" s="50"/>
      <c r="SRH348" s="50"/>
      <c r="SRI348" s="50"/>
      <c r="SRJ348" s="50"/>
      <c r="SRK348" s="50"/>
      <c r="SRL348" s="50"/>
      <c r="SRM348" s="50"/>
      <c r="SRN348" s="50"/>
      <c r="SRO348" s="50"/>
      <c r="SRP348" s="50"/>
      <c r="SRQ348" s="50"/>
      <c r="SRR348" s="50"/>
      <c r="SRS348" s="50"/>
      <c r="SRT348" s="50"/>
      <c r="SRU348" s="50"/>
      <c r="SRV348" s="50"/>
      <c r="SRW348" s="50"/>
      <c r="SRX348" s="50"/>
      <c r="SRY348" s="50"/>
      <c r="SRZ348" s="50"/>
      <c r="SSA348" s="50"/>
      <c r="SSB348" s="50"/>
      <c r="SSC348" s="50"/>
      <c r="SSD348" s="50"/>
      <c r="SSE348" s="50"/>
      <c r="SSF348" s="50"/>
      <c r="SSG348" s="50"/>
      <c r="SSH348" s="50"/>
      <c r="SSI348" s="50"/>
      <c r="SSJ348" s="50"/>
      <c r="SSK348" s="50"/>
      <c r="SSL348" s="50"/>
      <c r="SSM348" s="50"/>
      <c r="SSN348" s="50"/>
      <c r="SSO348" s="50"/>
      <c r="SSP348" s="50"/>
      <c r="SSQ348" s="50"/>
      <c r="SSR348" s="50"/>
      <c r="SSS348" s="50"/>
      <c r="SST348" s="50"/>
      <c r="SSU348" s="50"/>
      <c r="SSV348" s="50"/>
      <c r="SSW348" s="50"/>
      <c r="SSX348" s="50"/>
      <c r="SSY348" s="50"/>
      <c r="SSZ348" s="50"/>
      <c r="STA348" s="50"/>
      <c r="STB348" s="50"/>
      <c r="STC348" s="50"/>
      <c r="STD348" s="50"/>
      <c r="STE348" s="50"/>
      <c r="STF348" s="50"/>
      <c r="STG348" s="50"/>
      <c r="STH348" s="50"/>
      <c r="STI348" s="50"/>
      <c r="STJ348" s="50"/>
      <c r="STK348" s="50"/>
      <c r="STL348" s="50"/>
      <c r="STM348" s="50"/>
      <c r="STN348" s="50"/>
      <c r="STO348" s="50"/>
      <c r="STP348" s="50"/>
      <c r="STQ348" s="50"/>
      <c r="STR348" s="50"/>
      <c r="STS348" s="50"/>
      <c r="STT348" s="50"/>
      <c r="STU348" s="50"/>
      <c r="STV348" s="50"/>
      <c r="STW348" s="50"/>
      <c r="STX348" s="50"/>
      <c r="STY348" s="50"/>
      <c r="STZ348" s="50"/>
      <c r="SUA348" s="50"/>
      <c r="SUB348" s="50"/>
      <c r="SUC348" s="50"/>
      <c r="SUD348" s="50"/>
      <c r="SUE348" s="50"/>
      <c r="SUF348" s="50"/>
      <c r="SUG348" s="50"/>
      <c r="SUH348" s="50"/>
      <c r="SUI348" s="50"/>
      <c r="SUJ348" s="50"/>
      <c r="SUK348" s="50"/>
      <c r="SUL348" s="50"/>
      <c r="SUM348" s="50"/>
      <c r="SUN348" s="50"/>
      <c r="SUO348" s="50"/>
      <c r="SUP348" s="50"/>
      <c r="SUQ348" s="50"/>
      <c r="SUR348" s="50"/>
      <c r="SUS348" s="50"/>
      <c r="SUT348" s="50"/>
      <c r="SUU348" s="50"/>
      <c r="SUV348" s="50"/>
      <c r="SUW348" s="50"/>
      <c r="SUX348" s="50"/>
      <c r="SUY348" s="50"/>
      <c r="SUZ348" s="50"/>
      <c r="SVA348" s="50"/>
      <c r="SVB348" s="50"/>
      <c r="SVC348" s="50"/>
      <c r="SVD348" s="50"/>
      <c r="SVE348" s="50"/>
      <c r="SVF348" s="50"/>
      <c r="SVG348" s="50"/>
      <c r="SVH348" s="50"/>
      <c r="SVI348" s="50"/>
      <c r="SVJ348" s="50"/>
      <c r="SVK348" s="50"/>
      <c r="SVL348" s="50"/>
      <c r="SVM348" s="50"/>
      <c r="SVN348" s="50"/>
      <c r="SVO348" s="50"/>
      <c r="SVP348" s="50"/>
      <c r="SVQ348" s="50"/>
      <c r="SVR348" s="50"/>
      <c r="SVS348" s="50"/>
      <c r="SVT348" s="50"/>
      <c r="SVU348" s="50"/>
      <c r="SVV348" s="50"/>
      <c r="SVW348" s="50"/>
      <c r="SVX348" s="50"/>
      <c r="SVY348" s="50"/>
      <c r="SVZ348" s="50"/>
      <c r="SWA348" s="50"/>
      <c r="SWB348" s="50"/>
      <c r="SWC348" s="50"/>
      <c r="SWD348" s="50"/>
      <c r="SWE348" s="50"/>
      <c r="SWF348" s="50"/>
      <c r="SWG348" s="50"/>
      <c r="SWH348" s="50"/>
      <c r="SWI348" s="50"/>
      <c r="SWJ348" s="50"/>
      <c r="SWK348" s="50"/>
      <c r="SWL348" s="50"/>
      <c r="SWM348" s="50"/>
      <c r="SWN348" s="50"/>
      <c r="SWO348" s="50"/>
      <c r="SWP348" s="50"/>
      <c r="SWQ348" s="50"/>
      <c r="SWR348" s="50"/>
      <c r="SWS348" s="50"/>
      <c r="SWT348" s="50"/>
      <c r="SWU348" s="50"/>
      <c r="SWV348" s="50"/>
      <c r="SWW348" s="50"/>
      <c r="SWX348" s="50"/>
      <c r="SWY348" s="50"/>
      <c r="SWZ348" s="50"/>
      <c r="SXA348" s="50"/>
      <c r="SXB348" s="50"/>
      <c r="SXC348" s="50"/>
      <c r="SXD348" s="50"/>
      <c r="SXE348" s="50"/>
      <c r="SXF348" s="50"/>
      <c r="SXG348" s="50"/>
      <c r="SXH348" s="50"/>
      <c r="SXI348" s="50"/>
      <c r="SXJ348" s="50"/>
      <c r="SXK348" s="50"/>
      <c r="SXL348" s="50"/>
      <c r="SXM348" s="50"/>
      <c r="SXN348" s="50"/>
      <c r="SXO348" s="50"/>
      <c r="SXP348" s="50"/>
      <c r="SXQ348" s="50"/>
      <c r="SXR348" s="50"/>
      <c r="SXS348" s="50"/>
      <c r="SXT348" s="50"/>
      <c r="SXU348" s="50"/>
      <c r="SXV348" s="50"/>
      <c r="SXW348" s="50"/>
      <c r="SXX348" s="50"/>
      <c r="SXY348" s="50"/>
      <c r="SXZ348" s="50"/>
      <c r="SYA348" s="50"/>
      <c r="SYB348" s="50"/>
      <c r="SYC348" s="50"/>
      <c r="SYD348" s="50"/>
      <c r="SYE348" s="50"/>
      <c r="SYF348" s="50"/>
      <c r="SYG348" s="50"/>
      <c r="SYH348" s="50"/>
      <c r="SYI348" s="50"/>
      <c r="SYJ348" s="50"/>
      <c r="SYK348" s="50"/>
      <c r="SYL348" s="50"/>
      <c r="SYM348" s="50"/>
      <c r="SYN348" s="50"/>
      <c r="SYO348" s="50"/>
      <c r="SYP348" s="50"/>
      <c r="SYQ348" s="50"/>
      <c r="SYR348" s="50"/>
      <c r="SYS348" s="50"/>
      <c r="SYT348" s="50"/>
      <c r="SYU348" s="50"/>
      <c r="SYV348" s="50"/>
      <c r="SYW348" s="50"/>
      <c r="SYX348" s="50"/>
      <c r="SYY348" s="50"/>
      <c r="SYZ348" s="50"/>
      <c r="SZA348" s="50"/>
      <c r="SZB348" s="50"/>
      <c r="SZC348" s="50"/>
      <c r="SZD348" s="50"/>
      <c r="SZE348" s="50"/>
      <c r="SZF348" s="50"/>
      <c r="SZG348" s="50"/>
      <c r="SZH348" s="50"/>
      <c r="SZI348" s="50"/>
      <c r="SZJ348" s="50"/>
      <c r="SZK348" s="50"/>
      <c r="SZL348" s="50"/>
      <c r="SZM348" s="50"/>
      <c r="SZN348" s="50"/>
      <c r="SZO348" s="50"/>
      <c r="SZP348" s="50"/>
      <c r="SZQ348" s="50"/>
      <c r="SZR348" s="50"/>
      <c r="SZS348" s="50"/>
      <c r="SZT348" s="50"/>
      <c r="SZU348" s="50"/>
      <c r="SZV348" s="50"/>
      <c r="SZW348" s="50"/>
      <c r="SZX348" s="50"/>
      <c r="SZY348" s="50"/>
      <c r="SZZ348" s="50"/>
      <c r="TAA348" s="50"/>
      <c r="TAB348" s="50"/>
      <c r="TAC348" s="50"/>
      <c r="TAD348" s="50"/>
      <c r="TAE348" s="50"/>
      <c r="TAF348" s="50"/>
      <c r="TAG348" s="50"/>
      <c r="TAH348" s="50"/>
      <c r="TAI348" s="50"/>
      <c r="TAJ348" s="50"/>
      <c r="TAK348" s="50"/>
      <c r="TAL348" s="50"/>
      <c r="TAM348" s="50"/>
      <c r="TAN348" s="50"/>
      <c r="TAO348" s="50"/>
      <c r="TAP348" s="50"/>
      <c r="TAQ348" s="50"/>
      <c r="TAR348" s="50"/>
      <c r="TAS348" s="50"/>
      <c r="TAT348" s="50"/>
      <c r="TAU348" s="50"/>
      <c r="TAV348" s="50"/>
      <c r="TAW348" s="50"/>
      <c r="TAX348" s="50"/>
      <c r="TAY348" s="50"/>
      <c r="TAZ348" s="50"/>
      <c r="TBA348" s="50"/>
      <c r="TBB348" s="50"/>
      <c r="TBC348" s="50"/>
      <c r="TBD348" s="50"/>
      <c r="TBE348" s="50"/>
      <c r="TBF348" s="50"/>
      <c r="TBG348" s="50"/>
      <c r="TBH348" s="50"/>
      <c r="TBI348" s="50"/>
      <c r="TBJ348" s="50"/>
      <c r="TBK348" s="50"/>
      <c r="TBL348" s="50"/>
      <c r="TBM348" s="50"/>
      <c r="TBN348" s="50"/>
      <c r="TBO348" s="50"/>
      <c r="TBP348" s="50"/>
      <c r="TBQ348" s="50"/>
      <c r="TBR348" s="50"/>
      <c r="TBS348" s="50"/>
      <c r="TBT348" s="50"/>
      <c r="TBU348" s="50"/>
      <c r="TBV348" s="50"/>
      <c r="TBW348" s="50"/>
      <c r="TBX348" s="50"/>
      <c r="TBY348" s="50"/>
      <c r="TBZ348" s="50"/>
      <c r="TCA348" s="50"/>
      <c r="TCB348" s="50"/>
      <c r="TCC348" s="50"/>
      <c r="TCD348" s="50"/>
      <c r="TCE348" s="50"/>
      <c r="TCF348" s="50"/>
      <c r="TCG348" s="50"/>
      <c r="TCH348" s="50"/>
      <c r="TCI348" s="50"/>
      <c r="TCJ348" s="50"/>
      <c r="TCK348" s="50"/>
      <c r="TCL348" s="50"/>
      <c r="TCM348" s="50"/>
      <c r="TCN348" s="50"/>
      <c r="TCO348" s="50"/>
      <c r="TCP348" s="50"/>
      <c r="TCQ348" s="50"/>
      <c r="TCR348" s="50"/>
      <c r="TCS348" s="50"/>
      <c r="TCT348" s="50"/>
      <c r="TCU348" s="50"/>
      <c r="TCV348" s="50"/>
      <c r="TCW348" s="50"/>
      <c r="TCX348" s="50"/>
      <c r="TCY348" s="50"/>
      <c r="TCZ348" s="50"/>
      <c r="TDA348" s="50"/>
      <c r="TDB348" s="50"/>
      <c r="TDC348" s="50"/>
      <c r="TDD348" s="50"/>
      <c r="TDE348" s="50"/>
      <c r="TDF348" s="50"/>
      <c r="TDG348" s="50"/>
      <c r="TDH348" s="50"/>
      <c r="TDI348" s="50"/>
      <c r="TDJ348" s="50"/>
      <c r="TDK348" s="50"/>
      <c r="TDL348" s="50"/>
      <c r="TDM348" s="50"/>
      <c r="TDN348" s="50"/>
      <c r="TDO348" s="50"/>
      <c r="TDP348" s="50"/>
      <c r="TDQ348" s="50"/>
      <c r="TDR348" s="50"/>
      <c r="TDS348" s="50"/>
      <c r="TDT348" s="50"/>
      <c r="TDU348" s="50"/>
      <c r="TDV348" s="50"/>
      <c r="TDW348" s="50"/>
      <c r="TDX348" s="50"/>
      <c r="TDY348" s="50"/>
      <c r="TDZ348" s="50"/>
      <c r="TEA348" s="50"/>
      <c r="TEB348" s="50"/>
      <c r="TEC348" s="50"/>
      <c r="TED348" s="50"/>
      <c r="TEE348" s="50"/>
      <c r="TEF348" s="50"/>
      <c r="TEG348" s="50"/>
      <c r="TEH348" s="50"/>
      <c r="TEI348" s="50"/>
      <c r="TEJ348" s="50"/>
      <c r="TEK348" s="50"/>
      <c r="TEL348" s="50"/>
      <c r="TEM348" s="50"/>
      <c r="TEN348" s="50"/>
      <c r="TEO348" s="50"/>
      <c r="TEP348" s="50"/>
      <c r="TEQ348" s="50"/>
      <c r="TER348" s="50"/>
      <c r="TES348" s="50"/>
      <c r="TET348" s="50"/>
      <c r="TEU348" s="50"/>
      <c r="TEV348" s="50"/>
      <c r="TEW348" s="50"/>
      <c r="TEX348" s="50"/>
      <c r="TEY348" s="50"/>
      <c r="TEZ348" s="50"/>
      <c r="TFA348" s="50"/>
      <c r="TFB348" s="50"/>
      <c r="TFC348" s="50"/>
      <c r="TFD348" s="50"/>
      <c r="TFE348" s="50"/>
      <c r="TFF348" s="50"/>
      <c r="TFG348" s="50"/>
      <c r="TFH348" s="50"/>
      <c r="TFI348" s="50"/>
      <c r="TFJ348" s="50"/>
      <c r="TFK348" s="50"/>
      <c r="TFL348" s="50"/>
      <c r="TFM348" s="50"/>
      <c r="TFN348" s="50"/>
      <c r="TFO348" s="50"/>
      <c r="TFP348" s="50"/>
      <c r="TFQ348" s="50"/>
      <c r="TFR348" s="50"/>
      <c r="TFS348" s="50"/>
      <c r="TFT348" s="50"/>
      <c r="TFU348" s="50"/>
      <c r="TFV348" s="50"/>
      <c r="TFW348" s="50"/>
      <c r="TFX348" s="50"/>
      <c r="TFY348" s="50"/>
      <c r="TFZ348" s="50"/>
      <c r="TGA348" s="50"/>
      <c r="TGB348" s="50"/>
      <c r="TGC348" s="50"/>
      <c r="TGD348" s="50"/>
      <c r="TGE348" s="50"/>
      <c r="TGF348" s="50"/>
      <c r="TGG348" s="50"/>
      <c r="TGH348" s="50"/>
      <c r="TGI348" s="50"/>
      <c r="TGJ348" s="50"/>
      <c r="TGK348" s="50"/>
      <c r="TGL348" s="50"/>
      <c r="TGM348" s="50"/>
      <c r="TGN348" s="50"/>
      <c r="TGO348" s="50"/>
      <c r="TGP348" s="50"/>
      <c r="TGQ348" s="50"/>
      <c r="TGR348" s="50"/>
      <c r="TGS348" s="50"/>
      <c r="TGT348" s="50"/>
      <c r="TGU348" s="50"/>
      <c r="TGV348" s="50"/>
      <c r="TGW348" s="50"/>
      <c r="TGX348" s="50"/>
      <c r="TGY348" s="50"/>
      <c r="TGZ348" s="50"/>
      <c r="THA348" s="50"/>
      <c r="THB348" s="50"/>
      <c r="THC348" s="50"/>
      <c r="THD348" s="50"/>
      <c r="THE348" s="50"/>
      <c r="THF348" s="50"/>
      <c r="THG348" s="50"/>
      <c r="THH348" s="50"/>
      <c r="THI348" s="50"/>
      <c r="THJ348" s="50"/>
      <c r="THK348" s="50"/>
      <c r="THL348" s="50"/>
      <c r="THM348" s="50"/>
      <c r="THN348" s="50"/>
      <c r="THO348" s="50"/>
      <c r="THP348" s="50"/>
      <c r="THQ348" s="50"/>
      <c r="THR348" s="50"/>
      <c r="THS348" s="50"/>
      <c r="THT348" s="50"/>
      <c r="THU348" s="50"/>
      <c r="THV348" s="50"/>
      <c r="THW348" s="50"/>
      <c r="THX348" s="50"/>
      <c r="THY348" s="50"/>
      <c r="THZ348" s="50"/>
      <c r="TIA348" s="50"/>
      <c r="TIB348" s="50"/>
      <c r="TIC348" s="50"/>
      <c r="TID348" s="50"/>
      <c r="TIE348" s="50"/>
      <c r="TIF348" s="50"/>
      <c r="TIG348" s="50"/>
      <c r="TIH348" s="50"/>
      <c r="TII348" s="50"/>
      <c r="TIJ348" s="50"/>
      <c r="TIK348" s="50"/>
      <c r="TIL348" s="50"/>
      <c r="TIM348" s="50"/>
      <c r="TIN348" s="50"/>
      <c r="TIO348" s="50"/>
      <c r="TIP348" s="50"/>
      <c r="TIQ348" s="50"/>
      <c r="TIR348" s="50"/>
      <c r="TIS348" s="50"/>
      <c r="TIT348" s="50"/>
      <c r="TIU348" s="50"/>
      <c r="TIV348" s="50"/>
      <c r="TIW348" s="50"/>
      <c r="TIX348" s="50"/>
      <c r="TIY348" s="50"/>
      <c r="TIZ348" s="50"/>
      <c r="TJA348" s="50"/>
      <c r="TJB348" s="50"/>
      <c r="TJC348" s="50"/>
      <c r="TJD348" s="50"/>
      <c r="TJE348" s="50"/>
      <c r="TJF348" s="50"/>
      <c r="TJG348" s="50"/>
      <c r="TJH348" s="50"/>
      <c r="TJI348" s="50"/>
      <c r="TJJ348" s="50"/>
      <c r="TJK348" s="50"/>
      <c r="TJL348" s="50"/>
      <c r="TJM348" s="50"/>
      <c r="TJN348" s="50"/>
      <c r="TJO348" s="50"/>
      <c r="TJP348" s="50"/>
      <c r="TJQ348" s="50"/>
      <c r="TJR348" s="50"/>
      <c r="TJS348" s="50"/>
      <c r="TJT348" s="50"/>
      <c r="TJU348" s="50"/>
      <c r="TJV348" s="50"/>
      <c r="TJW348" s="50"/>
      <c r="TJX348" s="50"/>
      <c r="TJY348" s="50"/>
      <c r="TJZ348" s="50"/>
      <c r="TKA348" s="50"/>
      <c r="TKB348" s="50"/>
      <c r="TKC348" s="50"/>
      <c r="TKD348" s="50"/>
      <c r="TKE348" s="50"/>
      <c r="TKF348" s="50"/>
      <c r="TKG348" s="50"/>
      <c r="TKH348" s="50"/>
      <c r="TKI348" s="50"/>
      <c r="TKJ348" s="50"/>
      <c r="TKK348" s="50"/>
      <c r="TKL348" s="50"/>
      <c r="TKM348" s="50"/>
      <c r="TKN348" s="50"/>
      <c r="TKO348" s="50"/>
      <c r="TKP348" s="50"/>
      <c r="TKQ348" s="50"/>
      <c r="TKR348" s="50"/>
      <c r="TKS348" s="50"/>
      <c r="TKT348" s="50"/>
      <c r="TKU348" s="50"/>
      <c r="TKV348" s="50"/>
      <c r="TKW348" s="50"/>
      <c r="TKX348" s="50"/>
      <c r="TKY348" s="50"/>
      <c r="TKZ348" s="50"/>
      <c r="TLA348" s="50"/>
      <c r="TLB348" s="50"/>
      <c r="TLC348" s="50"/>
      <c r="TLD348" s="50"/>
      <c r="TLE348" s="50"/>
      <c r="TLF348" s="50"/>
      <c r="TLG348" s="50"/>
      <c r="TLH348" s="50"/>
      <c r="TLI348" s="50"/>
      <c r="TLJ348" s="50"/>
      <c r="TLK348" s="50"/>
      <c r="TLL348" s="50"/>
      <c r="TLM348" s="50"/>
      <c r="TLN348" s="50"/>
      <c r="TLO348" s="50"/>
      <c r="TLP348" s="50"/>
      <c r="TLQ348" s="50"/>
      <c r="TLR348" s="50"/>
      <c r="TLS348" s="50"/>
      <c r="TLT348" s="50"/>
      <c r="TLU348" s="50"/>
      <c r="TLV348" s="50"/>
      <c r="TLW348" s="50"/>
      <c r="TLX348" s="50"/>
      <c r="TLY348" s="50"/>
      <c r="TLZ348" s="50"/>
      <c r="TMA348" s="50"/>
      <c r="TMB348" s="50"/>
      <c r="TMC348" s="50"/>
      <c r="TMD348" s="50"/>
      <c r="TME348" s="50"/>
      <c r="TMF348" s="50"/>
      <c r="TMG348" s="50"/>
      <c r="TMH348" s="50"/>
      <c r="TMI348" s="50"/>
      <c r="TMJ348" s="50"/>
      <c r="TMK348" s="50"/>
      <c r="TML348" s="50"/>
      <c r="TMM348" s="50"/>
      <c r="TMN348" s="50"/>
      <c r="TMO348" s="50"/>
      <c r="TMP348" s="50"/>
      <c r="TMQ348" s="50"/>
      <c r="TMR348" s="50"/>
      <c r="TMS348" s="50"/>
      <c r="TMT348" s="50"/>
      <c r="TMU348" s="50"/>
      <c r="TMV348" s="50"/>
      <c r="TMW348" s="50"/>
      <c r="TMX348" s="50"/>
      <c r="TMY348" s="50"/>
      <c r="TMZ348" s="50"/>
      <c r="TNA348" s="50"/>
      <c r="TNB348" s="50"/>
      <c r="TNC348" s="50"/>
      <c r="TND348" s="50"/>
      <c r="TNE348" s="50"/>
      <c r="TNF348" s="50"/>
      <c r="TNG348" s="50"/>
      <c r="TNH348" s="50"/>
      <c r="TNI348" s="50"/>
      <c r="TNJ348" s="50"/>
      <c r="TNK348" s="50"/>
      <c r="TNL348" s="50"/>
      <c r="TNM348" s="50"/>
      <c r="TNN348" s="50"/>
      <c r="TNO348" s="50"/>
      <c r="TNP348" s="50"/>
      <c r="TNQ348" s="50"/>
      <c r="TNR348" s="50"/>
      <c r="TNS348" s="50"/>
      <c r="TNT348" s="50"/>
      <c r="TNU348" s="50"/>
      <c r="TNV348" s="50"/>
      <c r="TNW348" s="50"/>
      <c r="TNX348" s="50"/>
      <c r="TNY348" s="50"/>
      <c r="TNZ348" s="50"/>
      <c r="TOA348" s="50"/>
      <c r="TOB348" s="50"/>
      <c r="TOC348" s="50"/>
      <c r="TOD348" s="50"/>
      <c r="TOE348" s="50"/>
      <c r="TOF348" s="50"/>
      <c r="TOG348" s="50"/>
      <c r="TOH348" s="50"/>
      <c r="TOI348" s="50"/>
      <c r="TOJ348" s="50"/>
      <c r="TOK348" s="50"/>
      <c r="TOL348" s="50"/>
      <c r="TOM348" s="50"/>
      <c r="TON348" s="50"/>
      <c r="TOO348" s="50"/>
      <c r="TOP348" s="50"/>
      <c r="TOQ348" s="50"/>
      <c r="TOR348" s="50"/>
      <c r="TOS348" s="50"/>
      <c r="TOT348" s="50"/>
      <c r="TOU348" s="50"/>
      <c r="TOV348" s="50"/>
      <c r="TOW348" s="50"/>
      <c r="TOX348" s="50"/>
      <c r="TOY348" s="50"/>
      <c r="TOZ348" s="50"/>
      <c r="TPA348" s="50"/>
      <c r="TPB348" s="50"/>
      <c r="TPC348" s="50"/>
      <c r="TPD348" s="50"/>
      <c r="TPE348" s="50"/>
      <c r="TPF348" s="50"/>
      <c r="TPG348" s="50"/>
      <c r="TPH348" s="50"/>
      <c r="TPI348" s="50"/>
      <c r="TPJ348" s="50"/>
      <c r="TPK348" s="50"/>
      <c r="TPL348" s="50"/>
      <c r="TPM348" s="50"/>
      <c r="TPN348" s="50"/>
      <c r="TPO348" s="50"/>
      <c r="TPP348" s="50"/>
      <c r="TPQ348" s="50"/>
      <c r="TPR348" s="50"/>
      <c r="TPS348" s="50"/>
      <c r="TPT348" s="50"/>
      <c r="TPU348" s="50"/>
      <c r="TPV348" s="50"/>
      <c r="TPW348" s="50"/>
      <c r="TPX348" s="50"/>
      <c r="TPY348" s="50"/>
      <c r="TPZ348" s="50"/>
      <c r="TQA348" s="50"/>
      <c r="TQB348" s="50"/>
      <c r="TQC348" s="50"/>
      <c r="TQD348" s="50"/>
      <c r="TQE348" s="50"/>
      <c r="TQF348" s="50"/>
      <c r="TQG348" s="50"/>
      <c r="TQH348" s="50"/>
      <c r="TQI348" s="50"/>
      <c r="TQJ348" s="50"/>
      <c r="TQK348" s="50"/>
      <c r="TQL348" s="50"/>
      <c r="TQM348" s="50"/>
      <c r="TQN348" s="50"/>
      <c r="TQO348" s="50"/>
      <c r="TQP348" s="50"/>
      <c r="TQQ348" s="50"/>
      <c r="TQR348" s="50"/>
      <c r="TQS348" s="50"/>
      <c r="TQT348" s="50"/>
      <c r="TQU348" s="50"/>
      <c r="TQV348" s="50"/>
      <c r="TQW348" s="50"/>
      <c r="TQX348" s="50"/>
      <c r="TQY348" s="50"/>
      <c r="TQZ348" s="50"/>
      <c r="TRA348" s="50"/>
      <c r="TRB348" s="50"/>
      <c r="TRC348" s="50"/>
      <c r="TRD348" s="50"/>
      <c r="TRE348" s="50"/>
      <c r="TRF348" s="50"/>
      <c r="TRG348" s="50"/>
      <c r="TRH348" s="50"/>
      <c r="TRI348" s="50"/>
      <c r="TRJ348" s="50"/>
      <c r="TRK348" s="50"/>
      <c r="TRL348" s="50"/>
      <c r="TRM348" s="50"/>
      <c r="TRN348" s="50"/>
      <c r="TRO348" s="50"/>
      <c r="TRP348" s="50"/>
      <c r="TRQ348" s="50"/>
      <c r="TRR348" s="50"/>
      <c r="TRS348" s="50"/>
      <c r="TRT348" s="50"/>
      <c r="TRU348" s="50"/>
      <c r="TRV348" s="50"/>
      <c r="TRW348" s="50"/>
      <c r="TRX348" s="50"/>
      <c r="TRY348" s="50"/>
      <c r="TRZ348" s="50"/>
      <c r="TSA348" s="50"/>
      <c r="TSB348" s="50"/>
      <c r="TSC348" s="50"/>
      <c r="TSD348" s="50"/>
      <c r="TSE348" s="50"/>
      <c r="TSF348" s="50"/>
      <c r="TSG348" s="50"/>
      <c r="TSH348" s="50"/>
      <c r="TSI348" s="50"/>
      <c r="TSJ348" s="50"/>
      <c r="TSK348" s="50"/>
      <c r="TSL348" s="50"/>
      <c r="TSM348" s="50"/>
      <c r="TSN348" s="50"/>
      <c r="TSO348" s="50"/>
      <c r="TSP348" s="50"/>
      <c r="TSQ348" s="50"/>
      <c r="TSR348" s="50"/>
      <c r="TSS348" s="50"/>
      <c r="TST348" s="50"/>
      <c r="TSU348" s="50"/>
      <c r="TSV348" s="50"/>
      <c r="TSW348" s="50"/>
      <c r="TSX348" s="50"/>
      <c r="TSY348" s="50"/>
      <c r="TSZ348" s="50"/>
      <c r="TTA348" s="50"/>
      <c r="TTB348" s="50"/>
      <c r="TTC348" s="50"/>
      <c r="TTD348" s="50"/>
      <c r="TTE348" s="50"/>
      <c r="TTF348" s="50"/>
      <c r="TTG348" s="50"/>
      <c r="TTH348" s="50"/>
      <c r="TTI348" s="50"/>
      <c r="TTJ348" s="50"/>
      <c r="TTK348" s="50"/>
      <c r="TTL348" s="50"/>
      <c r="TTM348" s="50"/>
      <c r="TTN348" s="50"/>
      <c r="TTO348" s="50"/>
      <c r="TTP348" s="50"/>
      <c r="TTQ348" s="50"/>
      <c r="TTR348" s="50"/>
      <c r="TTS348" s="50"/>
      <c r="TTT348" s="50"/>
      <c r="TTU348" s="50"/>
      <c r="TTV348" s="50"/>
      <c r="TTW348" s="50"/>
      <c r="TTX348" s="50"/>
      <c r="TTY348" s="50"/>
      <c r="TTZ348" s="50"/>
      <c r="TUA348" s="50"/>
      <c r="TUB348" s="50"/>
      <c r="TUC348" s="50"/>
      <c r="TUD348" s="50"/>
      <c r="TUE348" s="50"/>
      <c r="TUF348" s="50"/>
      <c r="TUG348" s="50"/>
      <c r="TUH348" s="50"/>
      <c r="TUI348" s="50"/>
      <c r="TUJ348" s="50"/>
      <c r="TUK348" s="50"/>
      <c r="TUL348" s="50"/>
      <c r="TUM348" s="50"/>
      <c r="TUN348" s="50"/>
      <c r="TUO348" s="50"/>
      <c r="TUP348" s="50"/>
      <c r="TUQ348" s="50"/>
      <c r="TUR348" s="50"/>
      <c r="TUS348" s="50"/>
      <c r="TUT348" s="50"/>
      <c r="TUU348" s="50"/>
      <c r="TUV348" s="50"/>
      <c r="TUW348" s="50"/>
      <c r="TUX348" s="50"/>
      <c r="TUY348" s="50"/>
      <c r="TUZ348" s="50"/>
      <c r="TVA348" s="50"/>
      <c r="TVB348" s="50"/>
      <c r="TVC348" s="50"/>
      <c r="TVD348" s="50"/>
      <c r="TVE348" s="50"/>
      <c r="TVF348" s="50"/>
      <c r="TVG348" s="50"/>
      <c r="TVH348" s="50"/>
      <c r="TVI348" s="50"/>
      <c r="TVJ348" s="50"/>
      <c r="TVK348" s="50"/>
      <c r="TVL348" s="50"/>
      <c r="TVM348" s="50"/>
      <c r="TVN348" s="50"/>
      <c r="TVO348" s="50"/>
      <c r="TVP348" s="50"/>
      <c r="TVQ348" s="50"/>
      <c r="TVR348" s="50"/>
      <c r="TVS348" s="50"/>
      <c r="TVT348" s="50"/>
      <c r="TVU348" s="50"/>
      <c r="TVV348" s="50"/>
      <c r="TVW348" s="50"/>
      <c r="TVX348" s="50"/>
      <c r="TVY348" s="50"/>
      <c r="TVZ348" s="50"/>
      <c r="TWA348" s="50"/>
      <c r="TWB348" s="50"/>
      <c r="TWC348" s="50"/>
      <c r="TWD348" s="50"/>
      <c r="TWE348" s="50"/>
      <c r="TWF348" s="50"/>
      <c r="TWG348" s="50"/>
      <c r="TWH348" s="50"/>
      <c r="TWI348" s="50"/>
      <c r="TWJ348" s="50"/>
      <c r="TWK348" s="50"/>
      <c r="TWL348" s="50"/>
      <c r="TWM348" s="50"/>
      <c r="TWN348" s="50"/>
      <c r="TWO348" s="50"/>
      <c r="TWP348" s="50"/>
      <c r="TWQ348" s="50"/>
      <c r="TWR348" s="50"/>
      <c r="TWS348" s="50"/>
      <c r="TWT348" s="50"/>
      <c r="TWU348" s="50"/>
      <c r="TWV348" s="50"/>
      <c r="TWW348" s="50"/>
      <c r="TWX348" s="50"/>
      <c r="TWY348" s="50"/>
      <c r="TWZ348" s="50"/>
      <c r="TXA348" s="50"/>
      <c r="TXB348" s="50"/>
      <c r="TXC348" s="50"/>
      <c r="TXD348" s="50"/>
      <c r="TXE348" s="50"/>
      <c r="TXF348" s="50"/>
      <c r="TXG348" s="50"/>
      <c r="TXH348" s="50"/>
      <c r="TXI348" s="50"/>
      <c r="TXJ348" s="50"/>
      <c r="TXK348" s="50"/>
      <c r="TXL348" s="50"/>
      <c r="TXM348" s="50"/>
      <c r="TXN348" s="50"/>
      <c r="TXO348" s="50"/>
      <c r="TXP348" s="50"/>
      <c r="TXQ348" s="50"/>
      <c r="TXR348" s="50"/>
      <c r="TXS348" s="50"/>
      <c r="TXT348" s="50"/>
      <c r="TXU348" s="50"/>
      <c r="TXV348" s="50"/>
      <c r="TXW348" s="50"/>
      <c r="TXX348" s="50"/>
      <c r="TXY348" s="50"/>
      <c r="TXZ348" s="50"/>
      <c r="TYA348" s="50"/>
      <c r="TYB348" s="50"/>
      <c r="TYC348" s="50"/>
      <c r="TYD348" s="50"/>
      <c r="TYE348" s="50"/>
      <c r="TYF348" s="50"/>
      <c r="TYG348" s="50"/>
      <c r="TYH348" s="50"/>
      <c r="TYI348" s="50"/>
      <c r="TYJ348" s="50"/>
      <c r="TYK348" s="50"/>
      <c r="TYL348" s="50"/>
      <c r="TYM348" s="50"/>
      <c r="TYN348" s="50"/>
      <c r="TYO348" s="50"/>
      <c r="TYP348" s="50"/>
      <c r="TYQ348" s="50"/>
      <c r="TYR348" s="50"/>
      <c r="TYS348" s="50"/>
      <c r="TYT348" s="50"/>
      <c r="TYU348" s="50"/>
      <c r="TYV348" s="50"/>
      <c r="TYW348" s="50"/>
      <c r="TYX348" s="50"/>
      <c r="TYY348" s="50"/>
      <c r="TYZ348" s="50"/>
      <c r="TZA348" s="50"/>
      <c r="TZB348" s="50"/>
      <c r="TZC348" s="50"/>
      <c r="TZD348" s="50"/>
      <c r="TZE348" s="50"/>
      <c r="TZF348" s="50"/>
      <c r="TZG348" s="50"/>
      <c r="TZH348" s="50"/>
      <c r="TZI348" s="50"/>
      <c r="TZJ348" s="50"/>
      <c r="TZK348" s="50"/>
      <c r="TZL348" s="50"/>
      <c r="TZM348" s="50"/>
      <c r="TZN348" s="50"/>
      <c r="TZO348" s="50"/>
      <c r="TZP348" s="50"/>
      <c r="TZQ348" s="50"/>
      <c r="TZR348" s="50"/>
      <c r="TZS348" s="50"/>
      <c r="TZT348" s="50"/>
      <c r="TZU348" s="50"/>
      <c r="TZV348" s="50"/>
      <c r="TZW348" s="50"/>
      <c r="TZX348" s="50"/>
      <c r="TZY348" s="50"/>
      <c r="TZZ348" s="50"/>
      <c r="UAA348" s="50"/>
      <c r="UAB348" s="50"/>
      <c r="UAC348" s="50"/>
      <c r="UAD348" s="50"/>
      <c r="UAE348" s="50"/>
      <c r="UAF348" s="50"/>
      <c r="UAG348" s="50"/>
      <c r="UAH348" s="50"/>
      <c r="UAI348" s="50"/>
      <c r="UAJ348" s="50"/>
      <c r="UAK348" s="50"/>
      <c r="UAL348" s="50"/>
      <c r="UAM348" s="50"/>
      <c r="UAN348" s="50"/>
      <c r="UAO348" s="50"/>
      <c r="UAP348" s="50"/>
      <c r="UAQ348" s="50"/>
      <c r="UAR348" s="50"/>
      <c r="UAS348" s="50"/>
      <c r="UAT348" s="50"/>
      <c r="UAU348" s="50"/>
      <c r="UAV348" s="50"/>
      <c r="UAW348" s="50"/>
      <c r="UAX348" s="50"/>
      <c r="UAY348" s="50"/>
      <c r="UAZ348" s="50"/>
      <c r="UBA348" s="50"/>
      <c r="UBB348" s="50"/>
      <c r="UBC348" s="50"/>
      <c r="UBD348" s="50"/>
      <c r="UBE348" s="50"/>
      <c r="UBF348" s="50"/>
      <c r="UBG348" s="50"/>
      <c r="UBH348" s="50"/>
      <c r="UBI348" s="50"/>
      <c r="UBJ348" s="50"/>
      <c r="UBK348" s="50"/>
      <c r="UBL348" s="50"/>
      <c r="UBM348" s="50"/>
      <c r="UBN348" s="50"/>
      <c r="UBO348" s="50"/>
      <c r="UBP348" s="50"/>
      <c r="UBQ348" s="50"/>
      <c r="UBR348" s="50"/>
      <c r="UBS348" s="50"/>
      <c r="UBT348" s="50"/>
      <c r="UBU348" s="50"/>
      <c r="UBV348" s="50"/>
      <c r="UBW348" s="50"/>
      <c r="UBX348" s="50"/>
      <c r="UBY348" s="50"/>
      <c r="UBZ348" s="50"/>
      <c r="UCA348" s="50"/>
      <c r="UCB348" s="50"/>
      <c r="UCC348" s="50"/>
      <c r="UCD348" s="50"/>
      <c r="UCE348" s="50"/>
      <c r="UCF348" s="50"/>
      <c r="UCG348" s="50"/>
      <c r="UCH348" s="50"/>
      <c r="UCI348" s="50"/>
      <c r="UCJ348" s="50"/>
      <c r="UCK348" s="50"/>
      <c r="UCL348" s="50"/>
      <c r="UCM348" s="50"/>
      <c r="UCN348" s="50"/>
      <c r="UCO348" s="50"/>
      <c r="UCP348" s="50"/>
      <c r="UCQ348" s="50"/>
      <c r="UCR348" s="50"/>
      <c r="UCS348" s="50"/>
      <c r="UCT348" s="50"/>
      <c r="UCU348" s="50"/>
      <c r="UCV348" s="50"/>
      <c r="UCW348" s="50"/>
      <c r="UCX348" s="50"/>
      <c r="UCY348" s="50"/>
      <c r="UCZ348" s="50"/>
      <c r="UDA348" s="50"/>
      <c r="UDB348" s="50"/>
      <c r="UDC348" s="50"/>
      <c r="UDD348" s="50"/>
      <c r="UDE348" s="50"/>
      <c r="UDF348" s="50"/>
      <c r="UDG348" s="50"/>
      <c r="UDH348" s="50"/>
      <c r="UDI348" s="50"/>
      <c r="UDJ348" s="50"/>
      <c r="UDK348" s="50"/>
      <c r="UDL348" s="50"/>
      <c r="UDM348" s="50"/>
      <c r="UDN348" s="50"/>
      <c r="UDO348" s="50"/>
      <c r="UDP348" s="50"/>
      <c r="UDQ348" s="50"/>
      <c r="UDR348" s="50"/>
      <c r="UDS348" s="50"/>
      <c r="UDT348" s="50"/>
      <c r="UDU348" s="50"/>
      <c r="UDV348" s="50"/>
      <c r="UDW348" s="50"/>
      <c r="UDX348" s="50"/>
      <c r="UDY348" s="50"/>
      <c r="UDZ348" s="50"/>
      <c r="UEA348" s="50"/>
      <c r="UEB348" s="50"/>
      <c r="UEC348" s="50"/>
      <c r="UED348" s="50"/>
      <c r="UEE348" s="50"/>
      <c r="UEF348" s="50"/>
      <c r="UEG348" s="50"/>
      <c r="UEH348" s="50"/>
      <c r="UEI348" s="50"/>
      <c r="UEJ348" s="50"/>
      <c r="UEK348" s="50"/>
      <c r="UEL348" s="50"/>
      <c r="UEM348" s="50"/>
      <c r="UEN348" s="50"/>
      <c r="UEO348" s="50"/>
      <c r="UEP348" s="50"/>
      <c r="UEQ348" s="50"/>
      <c r="UER348" s="50"/>
      <c r="UES348" s="50"/>
      <c r="UET348" s="50"/>
      <c r="UEU348" s="50"/>
      <c r="UEV348" s="50"/>
      <c r="UEW348" s="50"/>
      <c r="UEX348" s="50"/>
      <c r="UEY348" s="50"/>
      <c r="UEZ348" s="50"/>
      <c r="UFA348" s="50"/>
      <c r="UFB348" s="50"/>
      <c r="UFC348" s="50"/>
      <c r="UFD348" s="50"/>
      <c r="UFE348" s="50"/>
      <c r="UFF348" s="50"/>
      <c r="UFG348" s="50"/>
      <c r="UFH348" s="50"/>
      <c r="UFI348" s="50"/>
      <c r="UFJ348" s="50"/>
      <c r="UFK348" s="50"/>
      <c r="UFL348" s="50"/>
      <c r="UFM348" s="50"/>
      <c r="UFN348" s="50"/>
      <c r="UFO348" s="50"/>
      <c r="UFP348" s="50"/>
      <c r="UFQ348" s="50"/>
      <c r="UFR348" s="50"/>
      <c r="UFS348" s="50"/>
      <c r="UFT348" s="50"/>
      <c r="UFU348" s="50"/>
      <c r="UFV348" s="50"/>
      <c r="UFW348" s="50"/>
      <c r="UFX348" s="50"/>
      <c r="UFY348" s="50"/>
      <c r="UFZ348" s="50"/>
      <c r="UGA348" s="50"/>
      <c r="UGB348" s="50"/>
      <c r="UGC348" s="50"/>
      <c r="UGD348" s="50"/>
      <c r="UGE348" s="50"/>
      <c r="UGF348" s="50"/>
      <c r="UGG348" s="50"/>
      <c r="UGH348" s="50"/>
      <c r="UGI348" s="50"/>
      <c r="UGJ348" s="50"/>
      <c r="UGK348" s="50"/>
      <c r="UGL348" s="50"/>
      <c r="UGM348" s="50"/>
      <c r="UGN348" s="50"/>
      <c r="UGO348" s="50"/>
      <c r="UGP348" s="50"/>
      <c r="UGQ348" s="50"/>
      <c r="UGR348" s="50"/>
      <c r="UGS348" s="50"/>
      <c r="UGT348" s="50"/>
      <c r="UGU348" s="50"/>
      <c r="UGV348" s="50"/>
      <c r="UGW348" s="50"/>
      <c r="UGX348" s="50"/>
      <c r="UGY348" s="50"/>
      <c r="UGZ348" s="50"/>
      <c r="UHA348" s="50"/>
      <c r="UHB348" s="50"/>
      <c r="UHC348" s="50"/>
      <c r="UHD348" s="50"/>
      <c r="UHE348" s="50"/>
      <c r="UHF348" s="50"/>
      <c r="UHG348" s="50"/>
      <c r="UHH348" s="50"/>
      <c r="UHI348" s="50"/>
      <c r="UHJ348" s="50"/>
      <c r="UHK348" s="50"/>
      <c r="UHL348" s="50"/>
      <c r="UHM348" s="50"/>
      <c r="UHN348" s="50"/>
      <c r="UHO348" s="50"/>
      <c r="UHP348" s="50"/>
      <c r="UHQ348" s="50"/>
      <c r="UHR348" s="50"/>
      <c r="UHS348" s="50"/>
      <c r="UHT348" s="50"/>
      <c r="UHU348" s="50"/>
      <c r="UHV348" s="50"/>
      <c r="UHW348" s="50"/>
      <c r="UHX348" s="50"/>
      <c r="UHY348" s="50"/>
      <c r="UHZ348" s="50"/>
      <c r="UIA348" s="50"/>
      <c r="UIB348" s="50"/>
      <c r="UIC348" s="50"/>
      <c r="UID348" s="50"/>
      <c r="UIE348" s="50"/>
      <c r="UIF348" s="50"/>
      <c r="UIG348" s="50"/>
      <c r="UIH348" s="50"/>
      <c r="UII348" s="50"/>
      <c r="UIJ348" s="50"/>
      <c r="UIK348" s="50"/>
      <c r="UIL348" s="50"/>
      <c r="UIM348" s="50"/>
      <c r="UIN348" s="50"/>
      <c r="UIO348" s="50"/>
      <c r="UIP348" s="50"/>
      <c r="UIQ348" s="50"/>
      <c r="UIR348" s="50"/>
      <c r="UIS348" s="50"/>
      <c r="UIT348" s="50"/>
      <c r="UIU348" s="50"/>
      <c r="UIV348" s="50"/>
      <c r="UIW348" s="50"/>
      <c r="UIX348" s="50"/>
      <c r="UIY348" s="50"/>
      <c r="UIZ348" s="50"/>
      <c r="UJA348" s="50"/>
      <c r="UJB348" s="50"/>
      <c r="UJC348" s="50"/>
      <c r="UJD348" s="50"/>
      <c r="UJE348" s="50"/>
      <c r="UJF348" s="50"/>
      <c r="UJG348" s="50"/>
      <c r="UJH348" s="50"/>
      <c r="UJI348" s="50"/>
      <c r="UJJ348" s="50"/>
      <c r="UJK348" s="50"/>
      <c r="UJL348" s="50"/>
      <c r="UJM348" s="50"/>
      <c r="UJN348" s="50"/>
      <c r="UJO348" s="50"/>
      <c r="UJP348" s="50"/>
      <c r="UJQ348" s="50"/>
      <c r="UJR348" s="50"/>
      <c r="UJS348" s="50"/>
      <c r="UJT348" s="50"/>
      <c r="UJU348" s="50"/>
      <c r="UJV348" s="50"/>
      <c r="UJW348" s="50"/>
      <c r="UJX348" s="50"/>
      <c r="UJY348" s="50"/>
      <c r="UJZ348" s="50"/>
      <c r="UKA348" s="50"/>
      <c r="UKB348" s="50"/>
      <c r="UKC348" s="50"/>
      <c r="UKD348" s="50"/>
      <c r="UKE348" s="50"/>
      <c r="UKF348" s="50"/>
      <c r="UKG348" s="50"/>
      <c r="UKH348" s="50"/>
      <c r="UKI348" s="50"/>
      <c r="UKJ348" s="50"/>
      <c r="UKK348" s="50"/>
      <c r="UKL348" s="50"/>
      <c r="UKM348" s="50"/>
      <c r="UKN348" s="50"/>
      <c r="UKO348" s="50"/>
      <c r="UKP348" s="50"/>
      <c r="UKQ348" s="50"/>
      <c r="UKR348" s="50"/>
      <c r="UKS348" s="50"/>
      <c r="UKT348" s="50"/>
      <c r="UKU348" s="50"/>
      <c r="UKV348" s="50"/>
      <c r="UKW348" s="50"/>
      <c r="UKX348" s="50"/>
      <c r="UKY348" s="50"/>
      <c r="UKZ348" s="50"/>
      <c r="ULA348" s="50"/>
      <c r="ULB348" s="50"/>
      <c r="ULC348" s="50"/>
      <c r="ULD348" s="50"/>
      <c r="ULE348" s="50"/>
      <c r="ULF348" s="50"/>
      <c r="ULG348" s="50"/>
      <c r="ULH348" s="50"/>
      <c r="ULI348" s="50"/>
      <c r="ULJ348" s="50"/>
      <c r="ULK348" s="50"/>
      <c r="ULL348" s="50"/>
      <c r="ULM348" s="50"/>
      <c r="ULN348" s="50"/>
      <c r="ULO348" s="50"/>
      <c r="ULP348" s="50"/>
      <c r="ULQ348" s="50"/>
      <c r="ULR348" s="50"/>
      <c r="ULS348" s="50"/>
      <c r="ULT348" s="50"/>
      <c r="ULU348" s="50"/>
      <c r="ULV348" s="50"/>
      <c r="ULW348" s="50"/>
      <c r="ULX348" s="50"/>
      <c r="ULY348" s="50"/>
      <c r="ULZ348" s="50"/>
      <c r="UMA348" s="50"/>
      <c r="UMB348" s="50"/>
      <c r="UMC348" s="50"/>
      <c r="UMD348" s="50"/>
      <c r="UME348" s="50"/>
      <c r="UMF348" s="50"/>
      <c r="UMG348" s="50"/>
      <c r="UMH348" s="50"/>
      <c r="UMI348" s="50"/>
      <c r="UMJ348" s="50"/>
      <c r="UMK348" s="50"/>
      <c r="UML348" s="50"/>
      <c r="UMM348" s="50"/>
      <c r="UMN348" s="50"/>
      <c r="UMO348" s="50"/>
      <c r="UMP348" s="50"/>
      <c r="UMQ348" s="50"/>
      <c r="UMR348" s="50"/>
      <c r="UMS348" s="50"/>
      <c r="UMT348" s="50"/>
      <c r="UMU348" s="50"/>
      <c r="UMV348" s="50"/>
      <c r="UMW348" s="50"/>
      <c r="UMX348" s="50"/>
      <c r="UMY348" s="50"/>
      <c r="UMZ348" s="50"/>
      <c r="UNA348" s="50"/>
      <c r="UNB348" s="50"/>
      <c r="UNC348" s="50"/>
      <c r="UND348" s="50"/>
      <c r="UNE348" s="50"/>
      <c r="UNF348" s="50"/>
      <c r="UNG348" s="50"/>
      <c r="UNH348" s="50"/>
      <c r="UNI348" s="50"/>
      <c r="UNJ348" s="50"/>
      <c r="UNK348" s="50"/>
      <c r="UNL348" s="50"/>
      <c r="UNM348" s="50"/>
      <c r="UNN348" s="50"/>
      <c r="UNO348" s="50"/>
      <c r="UNP348" s="50"/>
      <c r="UNQ348" s="50"/>
      <c r="UNR348" s="50"/>
      <c r="UNS348" s="50"/>
      <c r="UNT348" s="50"/>
      <c r="UNU348" s="50"/>
      <c r="UNV348" s="50"/>
      <c r="UNW348" s="50"/>
      <c r="UNX348" s="50"/>
      <c r="UNY348" s="50"/>
      <c r="UNZ348" s="50"/>
      <c r="UOA348" s="50"/>
      <c r="UOB348" s="50"/>
      <c r="UOC348" s="50"/>
      <c r="UOD348" s="50"/>
      <c r="UOE348" s="50"/>
      <c r="UOF348" s="50"/>
      <c r="UOG348" s="50"/>
      <c r="UOH348" s="50"/>
      <c r="UOI348" s="50"/>
      <c r="UOJ348" s="50"/>
      <c r="UOK348" s="50"/>
      <c r="UOL348" s="50"/>
      <c r="UOM348" s="50"/>
      <c r="UON348" s="50"/>
      <c r="UOO348" s="50"/>
      <c r="UOP348" s="50"/>
      <c r="UOQ348" s="50"/>
      <c r="UOR348" s="50"/>
      <c r="UOS348" s="50"/>
      <c r="UOT348" s="50"/>
      <c r="UOU348" s="50"/>
      <c r="UOV348" s="50"/>
      <c r="UOW348" s="50"/>
      <c r="UOX348" s="50"/>
      <c r="UOY348" s="50"/>
      <c r="UOZ348" s="50"/>
      <c r="UPA348" s="50"/>
      <c r="UPB348" s="50"/>
      <c r="UPC348" s="50"/>
      <c r="UPD348" s="50"/>
      <c r="UPE348" s="50"/>
      <c r="UPF348" s="50"/>
      <c r="UPG348" s="50"/>
      <c r="UPH348" s="50"/>
      <c r="UPI348" s="50"/>
      <c r="UPJ348" s="50"/>
      <c r="UPK348" s="50"/>
      <c r="UPL348" s="50"/>
      <c r="UPM348" s="50"/>
      <c r="UPN348" s="50"/>
      <c r="UPO348" s="50"/>
      <c r="UPP348" s="50"/>
      <c r="UPQ348" s="50"/>
      <c r="UPR348" s="50"/>
      <c r="UPS348" s="50"/>
      <c r="UPT348" s="50"/>
      <c r="UPU348" s="50"/>
      <c r="UPV348" s="50"/>
      <c r="UPW348" s="50"/>
      <c r="UPX348" s="50"/>
      <c r="UPY348" s="50"/>
      <c r="UPZ348" s="50"/>
      <c r="UQA348" s="50"/>
      <c r="UQB348" s="50"/>
      <c r="UQC348" s="50"/>
      <c r="UQD348" s="50"/>
      <c r="UQE348" s="50"/>
      <c r="UQF348" s="50"/>
      <c r="UQG348" s="50"/>
      <c r="UQH348" s="50"/>
      <c r="UQI348" s="50"/>
      <c r="UQJ348" s="50"/>
      <c r="UQK348" s="50"/>
      <c r="UQL348" s="50"/>
      <c r="UQM348" s="50"/>
      <c r="UQN348" s="50"/>
      <c r="UQO348" s="50"/>
      <c r="UQP348" s="50"/>
      <c r="UQQ348" s="50"/>
      <c r="UQR348" s="50"/>
      <c r="UQS348" s="50"/>
      <c r="UQT348" s="50"/>
      <c r="UQU348" s="50"/>
      <c r="UQV348" s="50"/>
      <c r="UQW348" s="50"/>
      <c r="UQX348" s="50"/>
      <c r="UQY348" s="50"/>
      <c r="UQZ348" s="50"/>
      <c r="URA348" s="50"/>
      <c r="URB348" s="50"/>
      <c r="URC348" s="50"/>
      <c r="URD348" s="50"/>
      <c r="URE348" s="50"/>
      <c r="URF348" s="50"/>
      <c r="URG348" s="50"/>
      <c r="URH348" s="50"/>
      <c r="URI348" s="50"/>
      <c r="URJ348" s="50"/>
      <c r="URK348" s="50"/>
      <c r="URL348" s="50"/>
      <c r="URM348" s="50"/>
      <c r="URN348" s="50"/>
      <c r="URO348" s="50"/>
      <c r="URP348" s="50"/>
      <c r="URQ348" s="50"/>
      <c r="URR348" s="50"/>
      <c r="URS348" s="50"/>
      <c r="URT348" s="50"/>
      <c r="URU348" s="50"/>
      <c r="URV348" s="50"/>
      <c r="URW348" s="50"/>
      <c r="URX348" s="50"/>
      <c r="URY348" s="50"/>
      <c r="URZ348" s="50"/>
      <c r="USA348" s="50"/>
      <c r="USB348" s="50"/>
      <c r="USC348" s="50"/>
      <c r="USD348" s="50"/>
      <c r="USE348" s="50"/>
      <c r="USF348" s="50"/>
      <c r="USG348" s="50"/>
      <c r="USH348" s="50"/>
      <c r="USI348" s="50"/>
      <c r="USJ348" s="50"/>
      <c r="USK348" s="50"/>
      <c r="USL348" s="50"/>
      <c r="USM348" s="50"/>
      <c r="USN348" s="50"/>
      <c r="USO348" s="50"/>
      <c r="USP348" s="50"/>
      <c r="USQ348" s="50"/>
      <c r="USR348" s="50"/>
      <c r="USS348" s="50"/>
      <c r="UST348" s="50"/>
      <c r="USU348" s="50"/>
      <c r="USV348" s="50"/>
      <c r="USW348" s="50"/>
      <c r="USX348" s="50"/>
      <c r="USY348" s="50"/>
      <c r="USZ348" s="50"/>
      <c r="UTA348" s="50"/>
      <c r="UTB348" s="50"/>
      <c r="UTC348" s="50"/>
      <c r="UTD348" s="50"/>
      <c r="UTE348" s="50"/>
      <c r="UTF348" s="50"/>
      <c r="UTG348" s="50"/>
      <c r="UTH348" s="50"/>
      <c r="UTI348" s="50"/>
      <c r="UTJ348" s="50"/>
      <c r="UTK348" s="50"/>
      <c r="UTL348" s="50"/>
      <c r="UTM348" s="50"/>
      <c r="UTN348" s="50"/>
      <c r="UTO348" s="50"/>
      <c r="UTP348" s="50"/>
      <c r="UTQ348" s="50"/>
      <c r="UTR348" s="50"/>
      <c r="UTS348" s="50"/>
      <c r="UTT348" s="50"/>
      <c r="UTU348" s="50"/>
      <c r="UTV348" s="50"/>
      <c r="UTW348" s="50"/>
      <c r="UTX348" s="50"/>
      <c r="UTY348" s="50"/>
      <c r="UTZ348" s="50"/>
      <c r="UUA348" s="50"/>
      <c r="UUB348" s="50"/>
      <c r="UUC348" s="50"/>
      <c r="UUD348" s="50"/>
      <c r="UUE348" s="50"/>
      <c r="UUF348" s="50"/>
      <c r="UUG348" s="50"/>
      <c r="UUH348" s="50"/>
      <c r="UUI348" s="50"/>
      <c r="UUJ348" s="50"/>
      <c r="UUK348" s="50"/>
      <c r="UUL348" s="50"/>
      <c r="UUM348" s="50"/>
      <c r="UUN348" s="50"/>
      <c r="UUO348" s="50"/>
      <c r="UUP348" s="50"/>
      <c r="UUQ348" s="50"/>
      <c r="UUR348" s="50"/>
      <c r="UUS348" s="50"/>
      <c r="UUT348" s="50"/>
      <c r="UUU348" s="50"/>
      <c r="UUV348" s="50"/>
      <c r="UUW348" s="50"/>
      <c r="UUX348" s="50"/>
      <c r="UUY348" s="50"/>
      <c r="UUZ348" s="50"/>
      <c r="UVA348" s="50"/>
      <c r="UVB348" s="50"/>
      <c r="UVC348" s="50"/>
      <c r="UVD348" s="50"/>
      <c r="UVE348" s="50"/>
      <c r="UVF348" s="50"/>
      <c r="UVG348" s="50"/>
      <c r="UVH348" s="50"/>
      <c r="UVI348" s="50"/>
      <c r="UVJ348" s="50"/>
      <c r="UVK348" s="50"/>
      <c r="UVL348" s="50"/>
      <c r="UVM348" s="50"/>
      <c r="UVN348" s="50"/>
      <c r="UVO348" s="50"/>
      <c r="UVP348" s="50"/>
      <c r="UVQ348" s="50"/>
      <c r="UVR348" s="50"/>
      <c r="UVS348" s="50"/>
      <c r="UVT348" s="50"/>
      <c r="UVU348" s="50"/>
      <c r="UVV348" s="50"/>
      <c r="UVW348" s="50"/>
      <c r="UVX348" s="50"/>
      <c r="UVY348" s="50"/>
      <c r="UVZ348" s="50"/>
      <c r="UWA348" s="50"/>
      <c r="UWB348" s="50"/>
      <c r="UWC348" s="50"/>
      <c r="UWD348" s="50"/>
      <c r="UWE348" s="50"/>
      <c r="UWF348" s="50"/>
      <c r="UWG348" s="50"/>
      <c r="UWH348" s="50"/>
      <c r="UWI348" s="50"/>
      <c r="UWJ348" s="50"/>
      <c r="UWK348" s="50"/>
      <c r="UWL348" s="50"/>
      <c r="UWM348" s="50"/>
      <c r="UWN348" s="50"/>
      <c r="UWO348" s="50"/>
      <c r="UWP348" s="50"/>
      <c r="UWQ348" s="50"/>
      <c r="UWR348" s="50"/>
      <c r="UWS348" s="50"/>
      <c r="UWT348" s="50"/>
      <c r="UWU348" s="50"/>
      <c r="UWV348" s="50"/>
      <c r="UWW348" s="50"/>
      <c r="UWX348" s="50"/>
      <c r="UWY348" s="50"/>
      <c r="UWZ348" s="50"/>
      <c r="UXA348" s="50"/>
      <c r="UXB348" s="50"/>
      <c r="UXC348" s="50"/>
      <c r="UXD348" s="50"/>
      <c r="UXE348" s="50"/>
      <c r="UXF348" s="50"/>
      <c r="UXG348" s="50"/>
      <c r="UXH348" s="50"/>
      <c r="UXI348" s="50"/>
      <c r="UXJ348" s="50"/>
      <c r="UXK348" s="50"/>
      <c r="UXL348" s="50"/>
      <c r="UXM348" s="50"/>
      <c r="UXN348" s="50"/>
      <c r="UXO348" s="50"/>
      <c r="UXP348" s="50"/>
      <c r="UXQ348" s="50"/>
      <c r="UXR348" s="50"/>
      <c r="UXS348" s="50"/>
      <c r="UXT348" s="50"/>
      <c r="UXU348" s="50"/>
      <c r="UXV348" s="50"/>
      <c r="UXW348" s="50"/>
      <c r="UXX348" s="50"/>
      <c r="UXY348" s="50"/>
      <c r="UXZ348" s="50"/>
      <c r="UYA348" s="50"/>
      <c r="UYB348" s="50"/>
      <c r="UYC348" s="50"/>
      <c r="UYD348" s="50"/>
      <c r="UYE348" s="50"/>
      <c r="UYF348" s="50"/>
      <c r="UYG348" s="50"/>
      <c r="UYH348" s="50"/>
      <c r="UYI348" s="50"/>
      <c r="UYJ348" s="50"/>
      <c r="UYK348" s="50"/>
      <c r="UYL348" s="50"/>
      <c r="UYM348" s="50"/>
      <c r="UYN348" s="50"/>
      <c r="UYO348" s="50"/>
      <c r="UYP348" s="50"/>
      <c r="UYQ348" s="50"/>
      <c r="UYR348" s="50"/>
      <c r="UYS348" s="50"/>
      <c r="UYT348" s="50"/>
      <c r="UYU348" s="50"/>
      <c r="UYV348" s="50"/>
      <c r="UYW348" s="50"/>
      <c r="UYX348" s="50"/>
      <c r="UYY348" s="50"/>
      <c r="UYZ348" s="50"/>
      <c r="UZA348" s="50"/>
      <c r="UZB348" s="50"/>
      <c r="UZC348" s="50"/>
      <c r="UZD348" s="50"/>
      <c r="UZE348" s="50"/>
      <c r="UZF348" s="50"/>
      <c r="UZG348" s="50"/>
      <c r="UZH348" s="50"/>
      <c r="UZI348" s="50"/>
      <c r="UZJ348" s="50"/>
      <c r="UZK348" s="50"/>
      <c r="UZL348" s="50"/>
      <c r="UZM348" s="50"/>
      <c r="UZN348" s="50"/>
      <c r="UZO348" s="50"/>
      <c r="UZP348" s="50"/>
      <c r="UZQ348" s="50"/>
      <c r="UZR348" s="50"/>
      <c r="UZS348" s="50"/>
      <c r="UZT348" s="50"/>
      <c r="UZU348" s="50"/>
      <c r="UZV348" s="50"/>
      <c r="UZW348" s="50"/>
      <c r="UZX348" s="50"/>
      <c r="UZY348" s="50"/>
      <c r="UZZ348" s="50"/>
      <c r="VAA348" s="50"/>
      <c r="VAB348" s="50"/>
      <c r="VAC348" s="50"/>
      <c r="VAD348" s="50"/>
      <c r="VAE348" s="50"/>
      <c r="VAF348" s="50"/>
      <c r="VAG348" s="50"/>
      <c r="VAH348" s="50"/>
      <c r="VAI348" s="50"/>
      <c r="VAJ348" s="50"/>
      <c r="VAK348" s="50"/>
      <c r="VAL348" s="50"/>
      <c r="VAM348" s="50"/>
      <c r="VAN348" s="50"/>
      <c r="VAO348" s="50"/>
      <c r="VAP348" s="50"/>
      <c r="VAQ348" s="50"/>
      <c r="VAR348" s="50"/>
      <c r="VAS348" s="50"/>
      <c r="VAT348" s="50"/>
      <c r="VAU348" s="50"/>
      <c r="VAV348" s="50"/>
      <c r="VAW348" s="50"/>
      <c r="VAX348" s="50"/>
      <c r="VAY348" s="50"/>
      <c r="VAZ348" s="50"/>
      <c r="VBA348" s="50"/>
      <c r="VBB348" s="50"/>
      <c r="VBC348" s="50"/>
      <c r="VBD348" s="50"/>
      <c r="VBE348" s="50"/>
      <c r="VBF348" s="50"/>
      <c r="VBG348" s="50"/>
      <c r="VBH348" s="50"/>
      <c r="VBI348" s="50"/>
      <c r="VBJ348" s="50"/>
      <c r="VBK348" s="50"/>
      <c r="VBL348" s="50"/>
      <c r="VBM348" s="50"/>
      <c r="VBN348" s="50"/>
      <c r="VBO348" s="50"/>
      <c r="VBP348" s="50"/>
      <c r="VBQ348" s="50"/>
      <c r="VBR348" s="50"/>
      <c r="VBS348" s="50"/>
      <c r="VBT348" s="50"/>
      <c r="VBU348" s="50"/>
      <c r="VBV348" s="50"/>
      <c r="VBW348" s="50"/>
      <c r="VBX348" s="50"/>
      <c r="VBY348" s="50"/>
      <c r="VBZ348" s="50"/>
      <c r="VCA348" s="50"/>
      <c r="VCB348" s="50"/>
      <c r="VCC348" s="50"/>
      <c r="VCD348" s="50"/>
      <c r="VCE348" s="50"/>
      <c r="VCF348" s="50"/>
      <c r="VCG348" s="50"/>
      <c r="VCH348" s="50"/>
      <c r="VCI348" s="50"/>
      <c r="VCJ348" s="50"/>
      <c r="VCK348" s="50"/>
      <c r="VCL348" s="50"/>
      <c r="VCM348" s="50"/>
      <c r="VCN348" s="50"/>
      <c r="VCO348" s="50"/>
      <c r="VCP348" s="50"/>
      <c r="VCQ348" s="50"/>
      <c r="VCR348" s="50"/>
      <c r="VCS348" s="50"/>
      <c r="VCT348" s="50"/>
      <c r="VCU348" s="50"/>
      <c r="VCV348" s="50"/>
      <c r="VCW348" s="50"/>
      <c r="VCX348" s="50"/>
      <c r="VCY348" s="50"/>
      <c r="VCZ348" s="50"/>
      <c r="VDA348" s="50"/>
      <c r="VDB348" s="50"/>
      <c r="VDC348" s="50"/>
      <c r="VDD348" s="50"/>
      <c r="VDE348" s="50"/>
      <c r="VDF348" s="50"/>
      <c r="VDG348" s="50"/>
      <c r="VDH348" s="50"/>
      <c r="VDI348" s="50"/>
      <c r="VDJ348" s="50"/>
      <c r="VDK348" s="50"/>
      <c r="VDL348" s="50"/>
      <c r="VDM348" s="50"/>
      <c r="VDN348" s="50"/>
      <c r="VDO348" s="50"/>
      <c r="VDP348" s="50"/>
      <c r="VDQ348" s="50"/>
      <c r="VDR348" s="50"/>
      <c r="VDS348" s="50"/>
      <c r="VDT348" s="50"/>
      <c r="VDU348" s="50"/>
      <c r="VDV348" s="50"/>
      <c r="VDW348" s="50"/>
      <c r="VDX348" s="50"/>
      <c r="VDY348" s="50"/>
      <c r="VDZ348" s="50"/>
      <c r="VEA348" s="50"/>
      <c r="VEB348" s="50"/>
      <c r="VEC348" s="50"/>
      <c r="VED348" s="50"/>
      <c r="VEE348" s="50"/>
      <c r="VEF348" s="50"/>
      <c r="VEG348" s="50"/>
      <c r="VEH348" s="50"/>
      <c r="VEI348" s="50"/>
      <c r="VEJ348" s="50"/>
      <c r="VEK348" s="50"/>
      <c r="VEL348" s="50"/>
      <c r="VEM348" s="50"/>
      <c r="VEN348" s="50"/>
      <c r="VEO348" s="50"/>
      <c r="VEP348" s="50"/>
      <c r="VEQ348" s="50"/>
      <c r="VER348" s="50"/>
      <c r="VES348" s="50"/>
      <c r="VET348" s="50"/>
      <c r="VEU348" s="50"/>
      <c r="VEV348" s="50"/>
      <c r="VEW348" s="50"/>
      <c r="VEX348" s="50"/>
      <c r="VEY348" s="50"/>
      <c r="VEZ348" s="50"/>
      <c r="VFA348" s="50"/>
      <c r="VFB348" s="50"/>
      <c r="VFC348" s="50"/>
      <c r="VFD348" s="50"/>
      <c r="VFE348" s="50"/>
      <c r="VFF348" s="50"/>
      <c r="VFG348" s="50"/>
      <c r="VFH348" s="50"/>
      <c r="VFI348" s="50"/>
      <c r="VFJ348" s="50"/>
      <c r="VFK348" s="50"/>
      <c r="VFL348" s="50"/>
      <c r="VFM348" s="50"/>
      <c r="VFN348" s="50"/>
      <c r="VFO348" s="50"/>
      <c r="VFP348" s="50"/>
      <c r="VFQ348" s="50"/>
      <c r="VFR348" s="50"/>
      <c r="VFS348" s="50"/>
      <c r="VFT348" s="50"/>
      <c r="VFU348" s="50"/>
      <c r="VFV348" s="50"/>
      <c r="VFW348" s="50"/>
      <c r="VFX348" s="50"/>
      <c r="VFY348" s="50"/>
      <c r="VFZ348" s="50"/>
      <c r="VGA348" s="50"/>
      <c r="VGB348" s="50"/>
      <c r="VGC348" s="50"/>
      <c r="VGD348" s="50"/>
      <c r="VGE348" s="50"/>
      <c r="VGF348" s="50"/>
      <c r="VGG348" s="50"/>
      <c r="VGH348" s="50"/>
      <c r="VGI348" s="50"/>
      <c r="VGJ348" s="50"/>
      <c r="VGK348" s="50"/>
      <c r="VGL348" s="50"/>
      <c r="VGM348" s="50"/>
      <c r="VGN348" s="50"/>
      <c r="VGO348" s="50"/>
      <c r="VGP348" s="50"/>
      <c r="VGQ348" s="50"/>
      <c r="VGR348" s="50"/>
      <c r="VGS348" s="50"/>
      <c r="VGT348" s="50"/>
      <c r="VGU348" s="50"/>
      <c r="VGV348" s="50"/>
      <c r="VGW348" s="50"/>
      <c r="VGX348" s="50"/>
      <c r="VGY348" s="50"/>
      <c r="VGZ348" s="50"/>
      <c r="VHA348" s="50"/>
      <c r="VHB348" s="50"/>
      <c r="VHC348" s="50"/>
      <c r="VHD348" s="50"/>
      <c r="VHE348" s="50"/>
      <c r="VHF348" s="50"/>
      <c r="VHG348" s="50"/>
      <c r="VHH348" s="50"/>
      <c r="VHI348" s="50"/>
      <c r="VHJ348" s="50"/>
      <c r="VHK348" s="50"/>
      <c r="VHL348" s="50"/>
      <c r="VHM348" s="50"/>
      <c r="VHN348" s="50"/>
      <c r="VHO348" s="50"/>
      <c r="VHP348" s="50"/>
      <c r="VHQ348" s="50"/>
      <c r="VHR348" s="50"/>
      <c r="VHS348" s="50"/>
      <c r="VHT348" s="50"/>
      <c r="VHU348" s="50"/>
      <c r="VHV348" s="50"/>
      <c r="VHW348" s="50"/>
      <c r="VHX348" s="50"/>
      <c r="VHY348" s="50"/>
      <c r="VHZ348" s="50"/>
      <c r="VIA348" s="50"/>
      <c r="VIB348" s="50"/>
      <c r="VIC348" s="50"/>
      <c r="VID348" s="50"/>
      <c r="VIE348" s="50"/>
      <c r="VIF348" s="50"/>
      <c r="VIG348" s="50"/>
      <c r="VIH348" s="50"/>
      <c r="VII348" s="50"/>
      <c r="VIJ348" s="50"/>
      <c r="VIK348" s="50"/>
      <c r="VIL348" s="50"/>
      <c r="VIM348" s="50"/>
      <c r="VIN348" s="50"/>
      <c r="VIO348" s="50"/>
      <c r="VIP348" s="50"/>
      <c r="VIQ348" s="50"/>
      <c r="VIR348" s="50"/>
      <c r="VIS348" s="50"/>
      <c r="VIT348" s="50"/>
      <c r="VIU348" s="50"/>
      <c r="VIV348" s="50"/>
      <c r="VIW348" s="50"/>
      <c r="VIX348" s="50"/>
      <c r="VIY348" s="50"/>
      <c r="VIZ348" s="50"/>
      <c r="VJA348" s="50"/>
      <c r="VJB348" s="50"/>
      <c r="VJC348" s="50"/>
      <c r="VJD348" s="50"/>
      <c r="VJE348" s="50"/>
      <c r="VJF348" s="50"/>
      <c r="VJG348" s="50"/>
      <c r="VJH348" s="50"/>
      <c r="VJI348" s="50"/>
      <c r="VJJ348" s="50"/>
      <c r="VJK348" s="50"/>
      <c r="VJL348" s="50"/>
      <c r="VJM348" s="50"/>
      <c r="VJN348" s="50"/>
      <c r="VJO348" s="50"/>
      <c r="VJP348" s="50"/>
      <c r="VJQ348" s="50"/>
      <c r="VJR348" s="50"/>
      <c r="VJS348" s="50"/>
      <c r="VJT348" s="50"/>
      <c r="VJU348" s="50"/>
      <c r="VJV348" s="50"/>
      <c r="VJW348" s="50"/>
      <c r="VJX348" s="50"/>
      <c r="VJY348" s="50"/>
      <c r="VJZ348" s="50"/>
      <c r="VKA348" s="50"/>
      <c r="VKB348" s="50"/>
      <c r="VKC348" s="50"/>
      <c r="VKD348" s="50"/>
      <c r="VKE348" s="50"/>
      <c r="VKF348" s="50"/>
      <c r="VKG348" s="50"/>
      <c r="VKH348" s="50"/>
      <c r="VKI348" s="50"/>
      <c r="VKJ348" s="50"/>
      <c r="VKK348" s="50"/>
      <c r="VKL348" s="50"/>
      <c r="VKM348" s="50"/>
      <c r="VKN348" s="50"/>
      <c r="VKO348" s="50"/>
      <c r="VKP348" s="50"/>
      <c r="VKQ348" s="50"/>
      <c r="VKR348" s="50"/>
      <c r="VKS348" s="50"/>
      <c r="VKT348" s="50"/>
      <c r="VKU348" s="50"/>
      <c r="VKV348" s="50"/>
      <c r="VKW348" s="50"/>
      <c r="VKX348" s="50"/>
      <c r="VKY348" s="50"/>
      <c r="VKZ348" s="50"/>
      <c r="VLA348" s="50"/>
      <c r="VLB348" s="50"/>
      <c r="VLC348" s="50"/>
      <c r="VLD348" s="50"/>
      <c r="VLE348" s="50"/>
      <c r="VLF348" s="50"/>
      <c r="VLG348" s="50"/>
      <c r="VLH348" s="50"/>
      <c r="VLI348" s="50"/>
      <c r="VLJ348" s="50"/>
      <c r="VLK348" s="50"/>
      <c r="VLL348" s="50"/>
      <c r="VLM348" s="50"/>
      <c r="VLN348" s="50"/>
      <c r="VLO348" s="50"/>
      <c r="VLP348" s="50"/>
      <c r="VLQ348" s="50"/>
      <c r="VLR348" s="50"/>
      <c r="VLS348" s="50"/>
      <c r="VLT348" s="50"/>
      <c r="VLU348" s="50"/>
      <c r="VLV348" s="50"/>
      <c r="VLW348" s="50"/>
      <c r="VLX348" s="50"/>
      <c r="VLY348" s="50"/>
      <c r="VLZ348" s="50"/>
      <c r="VMA348" s="50"/>
      <c r="VMB348" s="50"/>
      <c r="VMC348" s="50"/>
      <c r="VMD348" s="50"/>
      <c r="VME348" s="50"/>
      <c r="VMF348" s="50"/>
      <c r="VMG348" s="50"/>
      <c r="VMH348" s="50"/>
      <c r="VMI348" s="50"/>
      <c r="VMJ348" s="50"/>
      <c r="VMK348" s="50"/>
      <c r="VML348" s="50"/>
      <c r="VMM348" s="50"/>
      <c r="VMN348" s="50"/>
      <c r="VMO348" s="50"/>
      <c r="VMP348" s="50"/>
      <c r="VMQ348" s="50"/>
      <c r="VMR348" s="50"/>
      <c r="VMS348" s="50"/>
      <c r="VMT348" s="50"/>
      <c r="VMU348" s="50"/>
      <c r="VMV348" s="50"/>
      <c r="VMW348" s="50"/>
      <c r="VMX348" s="50"/>
      <c r="VMY348" s="50"/>
      <c r="VMZ348" s="50"/>
      <c r="VNA348" s="50"/>
      <c r="VNB348" s="50"/>
      <c r="VNC348" s="50"/>
      <c r="VND348" s="50"/>
      <c r="VNE348" s="50"/>
      <c r="VNF348" s="50"/>
      <c r="VNG348" s="50"/>
      <c r="VNH348" s="50"/>
      <c r="VNI348" s="50"/>
      <c r="VNJ348" s="50"/>
      <c r="VNK348" s="50"/>
      <c r="VNL348" s="50"/>
      <c r="VNM348" s="50"/>
      <c r="VNN348" s="50"/>
      <c r="VNO348" s="50"/>
      <c r="VNP348" s="50"/>
      <c r="VNQ348" s="50"/>
      <c r="VNR348" s="50"/>
      <c r="VNS348" s="50"/>
      <c r="VNT348" s="50"/>
      <c r="VNU348" s="50"/>
      <c r="VNV348" s="50"/>
      <c r="VNW348" s="50"/>
      <c r="VNX348" s="50"/>
      <c r="VNY348" s="50"/>
      <c r="VNZ348" s="50"/>
      <c r="VOA348" s="50"/>
      <c r="VOB348" s="50"/>
      <c r="VOC348" s="50"/>
      <c r="VOD348" s="50"/>
      <c r="VOE348" s="50"/>
      <c r="VOF348" s="50"/>
      <c r="VOG348" s="50"/>
      <c r="VOH348" s="50"/>
      <c r="VOI348" s="50"/>
      <c r="VOJ348" s="50"/>
      <c r="VOK348" s="50"/>
      <c r="VOL348" s="50"/>
      <c r="VOM348" s="50"/>
      <c r="VON348" s="50"/>
      <c r="VOO348" s="50"/>
      <c r="VOP348" s="50"/>
      <c r="VOQ348" s="50"/>
      <c r="VOR348" s="50"/>
      <c r="VOS348" s="50"/>
      <c r="VOT348" s="50"/>
      <c r="VOU348" s="50"/>
      <c r="VOV348" s="50"/>
      <c r="VOW348" s="50"/>
      <c r="VOX348" s="50"/>
      <c r="VOY348" s="50"/>
      <c r="VOZ348" s="50"/>
      <c r="VPA348" s="50"/>
      <c r="VPB348" s="50"/>
      <c r="VPC348" s="50"/>
      <c r="VPD348" s="50"/>
      <c r="VPE348" s="50"/>
      <c r="VPF348" s="50"/>
      <c r="VPG348" s="50"/>
      <c r="VPH348" s="50"/>
      <c r="VPI348" s="50"/>
      <c r="VPJ348" s="50"/>
      <c r="VPK348" s="50"/>
      <c r="VPL348" s="50"/>
      <c r="VPM348" s="50"/>
      <c r="VPN348" s="50"/>
      <c r="VPO348" s="50"/>
      <c r="VPP348" s="50"/>
      <c r="VPQ348" s="50"/>
      <c r="VPR348" s="50"/>
      <c r="VPS348" s="50"/>
      <c r="VPT348" s="50"/>
      <c r="VPU348" s="50"/>
      <c r="VPV348" s="50"/>
      <c r="VPW348" s="50"/>
      <c r="VPX348" s="50"/>
      <c r="VPY348" s="50"/>
      <c r="VPZ348" s="50"/>
      <c r="VQA348" s="50"/>
      <c r="VQB348" s="50"/>
      <c r="VQC348" s="50"/>
      <c r="VQD348" s="50"/>
      <c r="VQE348" s="50"/>
      <c r="VQF348" s="50"/>
      <c r="VQG348" s="50"/>
      <c r="VQH348" s="50"/>
      <c r="VQI348" s="50"/>
      <c r="VQJ348" s="50"/>
      <c r="VQK348" s="50"/>
      <c r="VQL348" s="50"/>
      <c r="VQM348" s="50"/>
      <c r="VQN348" s="50"/>
      <c r="VQO348" s="50"/>
      <c r="VQP348" s="50"/>
      <c r="VQQ348" s="50"/>
      <c r="VQR348" s="50"/>
      <c r="VQS348" s="50"/>
      <c r="VQT348" s="50"/>
      <c r="VQU348" s="50"/>
      <c r="VQV348" s="50"/>
      <c r="VQW348" s="50"/>
      <c r="VQX348" s="50"/>
      <c r="VQY348" s="50"/>
      <c r="VQZ348" s="50"/>
      <c r="VRA348" s="50"/>
      <c r="VRB348" s="50"/>
      <c r="VRC348" s="50"/>
      <c r="VRD348" s="50"/>
      <c r="VRE348" s="50"/>
      <c r="VRF348" s="50"/>
      <c r="VRG348" s="50"/>
      <c r="VRH348" s="50"/>
      <c r="VRI348" s="50"/>
      <c r="VRJ348" s="50"/>
      <c r="VRK348" s="50"/>
      <c r="VRL348" s="50"/>
      <c r="VRM348" s="50"/>
      <c r="VRN348" s="50"/>
      <c r="VRO348" s="50"/>
      <c r="VRP348" s="50"/>
      <c r="VRQ348" s="50"/>
      <c r="VRR348" s="50"/>
      <c r="VRS348" s="50"/>
      <c r="VRT348" s="50"/>
      <c r="VRU348" s="50"/>
      <c r="VRV348" s="50"/>
      <c r="VRW348" s="50"/>
      <c r="VRX348" s="50"/>
      <c r="VRY348" s="50"/>
      <c r="VRZ348" s="50"/>
      <c r="VSA348" s="50"/>
      <c r="VSB348" s="50"/>
      <c r="VSC348" s="50"/>
      <c r="VSD348" s="50"/>
      <c r="VSE348" s="50"/>
      <c r="VSF348" s="50"/>
      <c r="VSG348" s="50"/>
      <c r="VSH348" s="50"/>
      <c r="VSI348" s="50"/>
      <c r="VSJ348" s="50"/>
      <c r="VSK348" s="50"/>
      <c r="VSL348" s="50"/>
      <c r="VSM348" s="50"/>
      <c r="VSN348" s="50"/>
      <c r="VSO348" s="50"/>
      <c r="VSP348" s="50"/>
      <c r="VSQ348" s="50"/>
      <c r="VSR348" s="50"/>
      <c r="VSS348" s="50"/>
      <c r="VST348" s="50"/>
      <c r="VSU348" s="50"/>
      <c r="VSV348" s="50"/>
      <c r="VSW348" s="50"/>
      <c r="VSX348" s="50"/>
      <c r="VSY348" s="50"/>
      <c r="VSZ348" s="50"/>
      <c r="VTA348" s="50"/>
      <c r="VTB348" s="50"/>
      <c r="VTC348" s="50"/>
      <c r="VTD348" s="50"/>
      <c r="VTE348" s="50"/>
      <c r="VTF348" s="50"/>
      <c r="VTG348" s="50"/>
      <c r="VTH348" s="50"/>
      <c r="VTI348" s="50"/>
      <c r="VTJ348" s="50"/>
      <c r="VTK348" s="50"/>
      <c r="VTL348" s="50"/>
      <c r="VTM348" s="50"/>
      <c r="VTN348" s="50"/>
      <c r="VTO348" s="50"/>
      <c r="VTP348" s="50"/>
      <c r="VTQ348" s="50"/>
      <c r="VTR348" s="50"/>
      <c r="VTS348" s="50"/>
      <c r="VTT348" s="50"/>
      <c r="VTU348" s="50"/>
      <c r="VTV348" s="50"/>
      <c r="VTW348" s="50"/>
      <c r="VTX348" s="50"/>
      <c r="VTY348" s="50"/>
      <c r="VTZ348" s="50"/>
      <c r="VUA348" s="50"/>
      <c r="VUB348" s="50"/>
      <c r="VUC348" s="50"/>
      <c r="VUD348" s="50"/>
      <c r="VUE348" s="50"/>
      <c r="VUF348" s="50"/>
      <c r="VUG348" s="50"/>
      <c r="VUH348" s="50"/>
      <c r="VUI348" s="50"/>
      <c r="VUJ348" s="50"/>
      <c r="VUK348" s="50"/>
      <c r="VUL348" s="50"/>
      <c r="VUM348" s="50"/>
      <c r="VUN348" s="50"/>
      <c r="VUO348" s="50"/>
      <c r="VUP348" s="50"/>
      <c r="VUQ348" s="50"/>
      <c r="VUR348" s="50"/>
      <c r="VUS348" s="50"/>
      <c r="VUT348" s="50"/>
      <c r="VUU348" s="50"/>
      <c r="VUV348" s="50"/>
      <c r="VUW348" s="50"/>
      <c r="VUX348" s="50"/>
      <c r="VUY348" s="50"/>
      <c r="VUZ348" s="50"/>
      <c r="VVA348" s="50"/>
      <c r="VVB348" s="50"/>
      <c r="VVC348" s="50"/>
      <c r="VVD348" s="50"/>
      <c r="VVE348" s="50"/>
      <c r="VVF348" s="50"/>
      <c r="VVG348" s="50"/>
      <c r="VVH348" s="50"/>
      <c r="VVI348" s="50"/>
      <c r="VVJ348" s="50"/>
      <c r="VVK348" s="50"/>
      <c r="VVL348" s="50"/>
      <c r="VVM348" s="50"/>
      <c r="VVN348" s="50"/>
      <c r="VVO348" s="50"/>
      <c r="VVP348" s="50"/>
      <c r="VVQ348" s="50"/>
      <c r="VVR348" s="50"/>
      <c r="VVS348" s="50"/>
      <c r="VVT348" s="50"/>
      <c r="VVU348" s="50"/>
      <c r="VVV348" s="50"/>
      <c r="VVW348" s="50"/>
      <c r="VVX348" s="50"/>
      <c r="VVY348" s="50"/>
      <c r="VVZ348" s="50"/>
      <c r="VWA348" s="50"/>
      <c r="VWB348" s="50"/>
      <c r="VWC348" s="50"/>
      <c r="VWD348" s="50"/>
      <c r="VWE348" s="50"/>
      <c r="VWF348" s="50"/>
      <c r="VWG348" s="50"/>
      <c r="VWH348" s="50"/>
      <c r="VWI348" s="50"/>
      <c r="VWJ348" s="50"/>
      <c r="VWK348" s="50"/>
      <c r="VWL348" s="50"/>
      <c r="VWM348" s="50"/>
      <c r="VWN348" s="50"/>
      <c r="VWO348" s="50"/>
      <c r="VWP348" s="50"/>
      <c r="VWQ348" s="50"/>
      <c r="VWR348" s="50"/>
      <c r="VWS348" s="50"/>
      <c r="VWT348" s="50"/>
      <c r="VWU348" s="50"/>
      <c r="VWV348" s="50"/>
      <c r="VWW348" s="50"/>
      <c r="VWX348" s="50"/>
      <c r="VWY348" s="50"/>
      <c r="VWZ348" s="50"/>
      <c r="VXA348" s="50"/>
      <c r="VXB348" s="50"/>
      <c r="VXC348" s="50"/>
      <c r="VXD348" s="50"/>
      <c r="VXE348" s="50"/>
      <c r="VXF348" s="50"/>
      <c r="VXG348" s="50"/>
      <c r="VXH348" s="50"/>
      <c r="VXI348" s="50"/>
      <c r="VXJ348" s="50"/>
      <c r="VXK348" s="50"/>
      <c r="VXL348" s="50"/>
      <c r="VXM348" s="50"/>
      <c r="VXN348" s="50"/>
      <c r="VXO348" s="50"/>
      <c r="VXP348" s="50"/>
      <c r="VXQ348" s="50"/>
      <c r="VXR348" s="50"/>
      <c r="VXS348" s="50"/>
      <c r="VXT348" s="50"/>
      <c r="VXU348" s="50"/>
      <c r="VXV348" s="50"/>
      <c r="VXW348" s="50"/>
      <c r="VXX348" s="50"/>
      <c r="VXY348" s="50"/>
      <c r="VXZ348" s="50"/>
      <c r="VYA348" s="50"/>
      <c r="VYB348" s="50"/>
      <c r="VYC348" s="50"/>
      <c r="VYD348" s="50"/>
      <c r="VYE348" s="50"/>
      <c r="VYF348" s="50"/>
      <c r="VYG348" s="50"/>
      <c r="VYH348" s="50"/>
      <c r="VYI348" s="50"/>
      <c r="VYJ348" s="50"/>
      <c r="VYK348" s="50"/>
      <c r="VYL348" s="50"/>
      <c r="VYM348" s="50"/>
      <c r="VYN348" s="50"/>
      <c r="VYO348" s="50"/>
      <c r="VYP348" s="50"/>
      <c r="VYQ348" s="50"/>
      <c r="VYR348" s="50"/>
      <c r="VYS348" s="50"/>
      <c r="VYT348" s="50"/>
      <c r="VYU348" s="50"/>
      <c r="VYV348" s="50"/>
      <c r="VYW348" s="50"/>
      <c r="VYX348" s="50"/>
      <c r="VYY348" s="50"/>
      <c r="VYZ348" s="50"/>
      <c r="VZA348" s="50"/>
      <c r="VZB348" s="50"/>
      <c r="VZC348" s="50"/>
      <c r="VZD348" s="50"/>
      <c r="VZE348" s="50"/>
      <c r="VZF348" s="50"/>
      <c r="VZG348" s="50"/>
      <c r="VZH348" s="50"/>
      <c r="VZI348" s="50"/>
      <c r="VZJ348" s="50"/>
      <c r="VZK348" s="50"/>
      <c r="VZL348" s="50"/>
      <c r="VZM348" s="50"/>
      <c r="VZN348" s="50"/>
      <c r="VZO348" s="50"/>
      <c r="VZP348" s="50"/>
      <c r="VZQ348" s="50"/>
      <c r="VZR348" s="50"/>
      <c r="VZS348" s="50"/>
      <c r="VZT348" s="50"/>
      <c r="VZU348" s="50"/>
      <c r="VZV348" s="50"/>
      <c r="VZW348" s="50"/>
      <c r="VZX348" s="50"/>
      <c r="VZY348" s="50"/>
      <c r="VZZ348" s="50"/>
      <c r="WAA348" s="50"/>
      <c r="WAB348" s="50"/>
      <c r="WAC348" s="50"/>
      <c r="WAD348" s="50"/>
      <c r="WAE348" s="50"/>
      <c r="WAF348" s="50"/>
      <c r="WAG348" s="50"/>
      <c r="WAH348" s="50"/>
      <c r="WAI348" s="50"/>
      <c r="WAJ348" s="50"/>
      <c r="WAK348" s="50"/>
      <c r="WAL348" s="50"/>
      <c r="WAM348" s="50"/>
      <c r="WAN348" s="50"/>
      <c r="WAO348" s="50"/>
      <c r="WAP348" s="50"/>
      <c r="WAQ348" s="50"/>
      <c r="WAR348" s="50"/>
      <c r="WAS348" s="50"/>
      <c r="WAT348" s="50"/>
      <c r="WAU348" s="50"/>
      <c r="WAV348" s="50"/>
      <c r="WAW348" s="50"/>
      <c r="WAX348" s="50"/>
      <c r="WAY348" s="50"/>
      <c r="WAZ348" s="50"/>
      <c r="WBA348" s="50"/>
      <c r="WBB348" s="50"/>
      <c r="WBC348" s="50"/>
      <c r="WBD348" s="50"/>
      <c r="WBE348" s="50"/>
      <c r="WBF348" s="50"/>
      <c r="WBG348" s="50"/>
      <c r="WBH348" s="50"/>
      <c r="WBI348" s="50"/>
      <c r="WBJ348" s="50"/>
      <c r="WBK348" s="50"/>
      <c r="WBL348" s="50"/>
      <c r="WBM348" s="50"/>
      <c r="WBN348" s="50"/>
      <c r="WBO348" s="50"/>
      <c r="WBP348" s="50"/>
      <c r="WBQ348" s="50"/>
      <c r="WBR348" s="50"/>
      <c r="WBS348" s="50"/>
      <c r="WBT348" s="50"/>
      <c r="WBU348" s="50"/>
      <c r="WBV348" s="50"/>
      <c r="WBW348" s="50"/>
      <c r="WBX348" s="50"/>
      <c r="WBY348" s="50"/>
      <c r="WBZ348" s="50"/>
      <c r="WCA348" s="50"/>
      <c r="WCB348" s="50"/>
      <c r="WCC348" s="50"/>
      <c r="WCD348" s="50"/>
      <c r="WCE348" s="50"/>
      <c r="WCF348" s="50"/>
      <c r="WCG348" s="50"/>
      <c r="WCH348" s="50"/>
      <c r="WCI348" s="50"/>
      <c r="WCJ348" s="50"/>
      <c r="WCK348" s="50"/>
      <c r="WCL348" s="50"/>
      <c r="WCM348" s="50"/>
      <c r="WCN348" s="50"/>
      <c r="WCO348" s="50"/>
      <c r="WCP348" s="50"/>
      <c r="WCQ348" s="50"/>
      <c r="WCR348" s="50"/>
      <c r="WCS348" s="50"/>
      <c r="WCT348" s="50"/>
      <c r="WCU348" s="50"/>
      <c r="WCV348" s="50"/>
      <c r="WCW348" s="50"/>
      <c r="WCX348" s="50"/>
      <c r="WCY348" s="50"/>
      <c r="WCZ348" s="50"/>
      <c r="WDA348" s="50"/>
      <c r="WDB348" s="50"/>
      <c r="WDC348" s="50"/>
      <c r="WDD348" s="50"/>
      <c r="WDE348" s="50"/>
      <c r="WDF348" s="50"/>
      <c r="WDG348" s="50"/>
      <c r="WDH348" s="50"/>
      <c r="WDI348" s="50"/>
      <c r="WDJ348" s="50"/>
      <c r="WDK348" s="50"/>
      <c r="WDL348" s="50"/>
      <c r="WDM348" s="50"/>
      <c r="WDN348" s="50"/>
      <c r="WDO348" s="50"/>
      <c r="WDP348" s="50"/>
      <c r="WDQ348" s="50"/>
      <c r="WDR348" s="50"/>
      <c r="WDS348" s="50"/>
      <c r="WDT348" s="50"/>
      <c r="WDU348" s="50"/>
      <c r="WDV348" s="50"/>
      <c r="WDW348" s="50"/>
      <c r="WDX348" s="50"/>
      <c r="WDY348" s="50"/>
      <c r="WDZ348" s="50"/>
      <c r="WEA348" s="50"/>
      <c r="WEB348" s="50"/>
      <c r="WEC348" s="50"/>
      <c r="WED348" s="50"/>
      <c r="WEE348" s="50"/>
      <c r="WEF348" s="50"/>
      <c r="WEG348" s="50"/>
      <c r="WEH348" s="50"/>
      <c r="WEI348" s="50"/>
      <c r="WEJ348" s="50"/>
      <c r="WEK348" s="50"/>
      <c r="WEL348" s="50"/>
      <c r="WEM348" s="50"/>
      <c r="WEN348" s="50"/>
      <c r="WEO348" s="50"/>
      <c r="WEP348" s="50"/>
      <c r="WEQ348" s="50"/>
      <c r="WER348" s="50"/>
      <c r="WES348" s="50"/>
      <c r="WET348" s="50"/>
      <c r="WEU348" s="50"/>
      <c r="WEV348" s="50"/>
      <c r="WEW348" s="50"/>
      <c r="WEX348" s="50"/>
      <c r="WEY348" s="50"/>
      <c r="WEZ348" s="50"/>
      <c r="WFA348" s="50"/>
      <c r="WFB348" s="50"/>
      <c r="WFC348" s="50"/>
      <c r="WFD348" s="50"/>
      <c r="WFE348" s="50"/>
      <c r="WFF348" s="50"/>
      <c r="WFG348" s="50"/>
      <c r="WFH348" s="50"/>
      <c r="WFI348" s="50"/>
      <c r="WFJ348" s="50"/>
      <c r="WFK348" s="50"/>
      <c r="WFL348" s="50"/>
      <c r="WFM348" s="50"/>
      <c r="WFN348" s="50"/>
      <c r="WFO348" s="50"/>
      <c r="WFP348" s="50"/>
      <c r="WFQ348" s="50"/>
      <c r="WFR348" s="50"/>
      <c r="WFS348" s="50"/>
      <c r="WFT348" s="50"/>
      <c r="WFU348" s="50"/>
      <c r="WFV348" s="50"/>
      <c r="WFW348" s="50"/>
      <c r="WFX348" s="50"/>
      <c r="WFY348" s="50"/>
      <c r="WFZ348" s="50"/>
      <c r="WGA348" s="50"/>
      <c r="WGB348" s="50"/>
      <c r="WGC348" s="50"/>
      <c r="WGD348" s="50"/>
      <c r="WGE348" s="50"/>
      <c r="WGF348" s="50"/>
      <c r="WGG348" s="50"/>
      <c r="WGH348" s="50"/>
      <c r="WGI348" s="50"/>
      <c r="WGJ348" s="50"/>
      <c r="WGK348" s="50"/>
      <c r="WGL348" s="50"/>
      <c r="WGM348" s="50"/>
      <c r="WGN348" s="50"/>
      <c r="WGO348" s="50"/>
      <c r="WGP348" s="50"/>
      <c r="WGQ348" s="50"/>
      <c r="WGR348" s="50"/>
      <c r="WGS348" s="50"/>
      <c r="WGT348" s="50"/>
      <c r="WGU348" s="50"/>
      <c r="WGV348" s="50"/>
      <c r="WGW348" s="50"/>
      <c r="WGX348" s="50"/>
      <c r="WGY348" s="50"/>
      <c r="WGZ348" s="50"/>
      <c r="WHA348" s="50"/>
      <c r="WHB348" s="50"/>
      <c r="WHC348" s="50"/>
      <c r="WHD348" s="50"/>
      <c r="WHE348" s="50"/>
      <c r="WHF348" s="50"/>
      <c r="WHG348" s="50"/>
      <c r="WHH348" s="50"/>
      <c r="WHI348" s="50"/>
      <c r="WHJ348" s="50"/>
      <c r="WHK348" s="50"/>
      <c r="WHL348" s="50"/>
      <c r="WHM348" s="50"/>
      <c r="WHN348" s="50"/>
      <c r="WHO348" s="50"/>
      <c r="WHP348" s="50"/>
      <c r="WHQ348" s="50"/>
      <c r="WHR348" s="50"/>
      <c r="WHS348" s="50"/>
      <c r="WHT348" s="50"/>
      <c r="WHU348" s="50"/>
      <c r="WHV348" s="50"/>
      <c r="WHW348" s="50"/>
      <c r="WHX348" s="50"/>
      <c r="WHY348" s="50"/>
      <c r="WHZ348" s="50"/>
      <c r="WIA348" s="50"/>
      <c r="WIB348" s="50"/>
      <c r="WIC348" s="50"/>
      <c r="WID348" s="50"/>
      <c r="WIE348" s="50"/>
      <c r="WIF348" s="50"/>
      <c r="WIG348" s="50"/>
      <c r="WIH348" s="50"/>
      <c r="WII348" s="50"/>
      <c r="WIJ348" s="50"/>
      <c r="WIK348" s="50"/>
      <c r="WIL348" s="50"/>
      <c r="WIM348" s="50"/>
      <c r="WIN348" s="50"/>
      <c r="WIO348" s="50"/>
      <c r="WIP348" s="50"/>
      <c r="WIQ348" s="50"/>
      <c r="WIR348" s="50"/>
      <c r="WIS348" s="50"/>
      <c r="WIT348" s="50"/>
      <c r="WIU348" s="50"/>
      <c r="WIV348" s="50"/>
      <c r="WIW348" s="50"/>
      <c r="WIX348" s="50"/>
      <c r="WIY348" s="50"/>
      <c r="WIZ348" s="50"/>
      <c r="WJA348" s="50"/>
      <c r="WJB348" s="50"/>
      <c r="WJC348" s="50"/>
      <c r="WJD348" s="50"/>
      <c r="WJE348" s="50"/>
      <c r="WJF348" s="50"/>
      <c r="WJG348" s="50"/>
      <c r="WJH348" s="50"/>
      <c r="WJI348" s="50"/>
      <c r="WJJ348" s="50"/>
      <c r="WJK348" s="50"/>
      <c r="WJL348" s="50"/>
      <c r="WJM348" s="50"/>
      <c r="WJN348" s="50"/>
      <c r="WJO348" s="50"/>
      <c r="WJP348" s="50"/>
      <c r="WJQ348" s="50"/>
      <c r="WJR348" s="50"/>
      <c r="WJS348" s="50"/>
      <c r="WJT348" s="50"/>
      <c r="WJU348" s="50"/>
      <c r="WJV348" s="50"/>
      <c r="WJW348" s="50"/>
      <c r="WJX348" s="50"/>
      <c r="WJY348" s="50"/>
      <c r="WJZ348" s="50"/>
      <c r="WKA348" s="50"/>
      <c r="WKB348" s="50"/>
      <c r="WKC348" s="50"/>
      <c r="WKD348" s="50"/>
      <c r="WKE348" s="50"/>
      <c r="WKF348" s="50"/>
      <c r="WKG348" s="50"/>
      <c r="WKH348" s="50"/>
      <c r="WKI348" s="50"/>
      <c r="WKJ348" s="50"/>
      <c r="WKK348" s="50"/>
      <c r="WKL348" s="50"/>
      <c r="WKM348" s="50"/>
      <c r="WKN348" s="50"/>
      <c r="WKO348" s="50"/>
      <c r="WKP348" s="50"/>
      <c r="WKQ348" s="50"/>
      <c r="WKR348" s="50"/>
      <c r="WKS348" s="50"/>
      <c r="WKT348" s="50"/>
      <c r="WKU348" s="50"/>
      <c r="WKV348" s="50"/>
      <c r="WKW348" s="50"/>
      <c r="WKX348" s="50"/>
      <c r="WKY348" s="50"/>
      <c r="WKZ348" s="50"/>
      <c r="WLA348" s="50"/>
      <c r="WLB348" s="50"/>
      <c r="WLC348" s="50"/>
      <c r="WLD348" s="50"/>
      <c r="WLE348" s="50"/>
      <c r="WLF348" s="50"/>
      <c r="WLG348" s="50"/>
      <c r="WLH348" s="50"/>
      <c r="WLI348" s="50"/>
      <c r="WLJ348" s="50"/>
      <c r="WLK348" s="50"/>
      <c r="WLL348" s="50"/>
      <c r="WLM348" s="50"/>
      <c r="WLN348" s="50"/>
      <c r="WLO348" s="50"/>
      <c r="WLP348" s="50"/>
      <c r="WLQ348" s="50"/>
      <c r="WLR348" s="50"/>
      <c r="WLS348" s="50"/>
      <c r="WLT348" s="50"/>
      <c r="WLU348" s="50"/>
      <c r="WLV348" s="50"/>
      <c r="WLW348" s="50"/>
      <c r="WLX348" s="50"/>
      <c r="WLY348" s="50"/>
      <c r="WLZ348" s="50"/>
      <c r="WMA348" s="50"/>
      <c r="WMB348" s="50"/>
      <c r="WMC348" s="50"/>
      <c r="WMD348" s="50"/>
      <c r="WME348" s="50"/>
      <c r="WMF348" s="50"/>
      <c r="WMG348" s="50"/>
      <c r="WMH348" s="50"/>
      <c r="WMI348" s="50"/>
      <c r="WMJ348" s="50"/>
      <c r="WMK348" s="50"/>
      <c r="WML348" s="50"/>
      <c r="WMM348" s="50"/>
      <c r="WMN348" s="50"/>
      <c r="WMO348" s="50"/>
      <c r="WMP348" s="50"/>
      <c r="WMQ348" s="50"/>
      <c r="WMR348" s="50"/>
      <c r="WMS348" s="50"/>
      <c r="WMT348" s="50"/>
      <c r="WMU348" s="50"/>
      <c r="WMV348" s="50"/>
      <c r="WMW348" s="50"/>
      <c r="WMX348" s="50"/>
      <c r="WMY348" s="50"/>
      <c r="WMZ348" s="50"/>
      <c r="WNA348" s="50"/>
      <c r="WNB348" s="50"/>
      <c r="WNC348" s="50"/>
      <c r="WND348" s="50"/>
      <c r="WNE348" s="50"/>
      <c r="WNF348" s="50"/>
      <c r="WNG348" s="50"/>
      <c r="WNH348" s="50"/>
      <c r="WNI348" s="50"/>
      <c r="WNJ348" s="50"/>
      <c r="WNK348" s="50"/>
      <c r="WNL348" s="50"/>
      <c r="WNM348" s="50"/>
      <c r="WNN348" s="50"/>
      <c r="WNO348" s="50"/>
      <c r="WNP348" s="50"/>
      <c r="WNQ348" s="50"/>
      <c r="WNR348" s="50"/>
      <c r="WNS348" s="50"/>
      <c r="WNT348" s="50"/>
      <c r="WNU348" s="50"/>
      <c r="WNV348" s="50"/>
      <c r="WNW348" s="50"/>
      <c r="WNX348" s="50"/>
      <c r="WNY348" s="50"/>
      <c r="WNZ348" s="50"/>
      <c r="WOA348" s="50"/>
      <c r="WOB348" s="50"/>
      <c r="WOC348" s="50"/>
      <c r="WOD348" s="50"/>
      <c r="WOE348" s="50"/>
      <c r="WOF348" s="50"/>
      <c r="WOG348" s="50"/>
      <c r="WOH348" s="50"/>
      <c r="WOI348" s="50"/>
      <c r="WOJ348" s="50"/>
      <c r="WOK348" s="50"/>
      <c r="WOL348" s="50"/>
      <c r="WOM348" s="50"/>
      <c r="WON348" s="50"/>
      <c r="WOO348" s="50"/>
      <c r="WOP348" s="50"/>
      <c r="WOQ348" s="50"/>
      <c r="WOR348" s="50"/>
      <c r="WOS348" s="50"/>
      <c r="WOT348" s="50"/>
      <c r="WOU348" s="50"/>
      <c r="WOV348" s="50"/>
      <c r="WOW348" s="50"/>
      <c r="WOX348" s="50"/>
      <c r="WOY348" s="50"/>
      <c r="WOZ348" s="50"/>
      <c r="WPA348" s="50"/>
      <c r="WPB348" s="50"/>
      <c r="WPC348" s="50"/>
      <c r="WPD348" s="50"/>
      <c r="WPE348" s="50"/>
      <c r="WPF348" s="50"/>
      <c r="WPG348" s="50"/>
      <c r="WPH348" s="50"/>
      <c r="WPI348" s="50"/>
      <c r="WPJ348" s="50"/>
      <c r="WPK348" s="50"/>
      <c r="WPL348" s="50"/>
      <c r="WPM348" s="50"/>
      <c r="WPN348" s="50"/>
      <c r="WPO348" s="50"/>
      <c r="WPP348" s="50"/>
      <c r="WPQ348" s="50"/>
      <c r="WPR348" s="50"/>
      <c r="WPS348" s="50"/>
      <c r="WPT348" s="50"/>
      <c r="WPU348" s="50"/>
      <c r="WPV348" s="50"/>
      <c r="WPW348" s="50"/>
      <c r="WPX348" s="50"/>
      <c r="WPY348" s="50"/>
      <c r="WPZ348" s="50"/>
      <c r="WQA348" s="50"/>
      <c r="WQB348" s="50"/>
      <c r="WQC348" s="50"/>
      <c r="WQD348" s="50"/>
      <c r="WQE348" s="50"/>
      <c r="WQF348" s="50"/>
      <c r="WQG348" s="50"/>
      <c r="WQH348" s="50"/>
      <c r="WQI348" s="50"/>
      <c r="WQJ348" s="50"/>
      <c r="WQK348" s="50"/>
      <c r="WQL348" s="50"/>
      <c r="WQM348" s="50"/>
      <c r="WQN348" s="50"/>
      <c r="WQO348" s="50"/>
      <c r="WQP348" s="50"/>
      <c r="WQQ348" s="50"/>
      <c r="WQR348" s="50"/>
      <c r="WQS348" s="50"/>
      <c r="WQT348" s="50"/>
      <c r="WQU348" s="50"/>
      <c r="WQV348" s="50"/>
      <c r="WQW348" s="50"/>
      <c r="WQX348" s="50"/>
      <c r="WQY348" s="50"/>
      <c r="WQZ348" s="50"/>
      <c r="WRA348" s="50"/>
      <c r="WRB348" s="50"/>
      <c r="WRC348" s="50"/>
      <c r="WRD348" s="50"/>
      <c r="WRE348" s="50"/>
      <c r="WRF348" s="50"/>
      <c r="WRG348" s="50"/>
      <c r="WRH348" s="50"/>
      <c r="WRI348" s="50"/>
      <c r="WRJ348" s="50"/>
      <c r="WRK348" s="50"/>
      <c r="WRL348" s="50"/>
      <c r="WRM348" s="50"/>
      <c r="WRN348" s="50"/>
      <c r="WRO348" s="50"/>
      <c r="WRP348" s="50"/>
      <c r="WRQ348" s="50"/>
      <c r="WRR348" s="50"/>
      <c r="WRS348" s="50"/>
      <c r="WRT348" s="50"/>
      <c r="WRU348" s="50"/>
      <c r="WRV348" s="50"/>
      <c r="WRW348" s="50"/>
      <c r="WRX348" s="50"/>
      <c r="WRY348" s="50"/>
      <c r="WRZ348" s="50"/>
      <c r="WSA348" s="50"/>
      <c r="WSB348" s="50"/>
      <c r="WSC348" s="50"/>
      <c r="WSD348" s="50"/>
      <c r="WSE348" s="50"/>
      <c r="WSF348" s="50"/>
      <c r="WSG348" s="50"/>
      <c r="WSH348" s="50"/>
      <c r="WSI348" s="50"/>
      <c r="WSJ348" s="50"/>
      <c r="WSK348" s="50"/>
      <c r="WSL348" s="50"/>
      <c r="WSM348" s="50"/>
      <c r="WSN348" s="50"/>
      <c r="WSO348" s="50"/>
      <c r="WSP348" s="50"/>
      <c r="WSQ348" s="50"/>
      <c r="WSR348" s="50"/>
      <c r="WSS348" s="50"/>
      <c r="WST348" s="50"/>
      <c r="WSU348" s="50"/>
      <c r="WSV348" s="50"/>
      <c r="WSW348" s="50"/>
      <c r="WSX348" s="50"/>
      <c r="WSY348" s="50"/>
      <c r="WSZ348" s="50"/>
      <c r="WTA348" s="50"/>
      <c r="WTB348" s="50"/>
      <c r="WTC348" s="50"/>
      <c r="WTD348" s="50"/>
      <c r="WTE348" s="50"/>
      <c r="WTF348" s="50"/>
      <c r="WTG348" s="50"/>
      <c r="WTH348" s="50"/>
      <c r="WTI348" s="50"/>
      <c r="WTJ348" s="50"/>
      <c r="WTK348" s="50"/>
      <c r="WTL348" s="50"/>
      <c r="WTM348" s="50"/>
      <c r="WTN348" s="50"/>
      <c r="WTO348" s="50"/>
      <c r="WTP348" s="50"/>
      <c r="WTQ348" s="50"/>
      <c r="WTR348" s="50"/>
      <c r="WTS348" s="50"/>
      <c r="WTT348" s="50"/>
      <c r="WTU348" s="50"/>
      <c r="WTV348" s="50"/>
      <c r="WTW348" s="50"/>
      <c r="WTX348" s="50"/>
      <c r="WTY348" s="50"/>
      <c r="WTZ348" s="50"/>
      <c r="WUA348" s="50"/>
      <c r="WUB348" s="50"/>
      <c r="WUC348" s="50"/>
      <c r="WUD348" s="50"/>
      <c r="WUE348" s="50"/>
      <c r="WUF348" s="50"/>
      <c r="WUG348" s="50"/>
      <c r="WUH348" s="50"/>
      <c r="WUI348" s="50"/>
      <c r="WUJ348" s="50"/>
      <c r="WUK348" s="50"/>
      <c r="WUL348" s="50"/>
      <c r="WUM348" s="50"/>
      <c r="WUN348" s="50"/>
      <c r="WUO348" s="50"/>
    </row>
    <row r="349" spans="1:16109" s="29" customFormat="1" ht="90.75" customHeight="1" x14ac:dyDescent="0.25">
      <c r="A349" s="20"/>
      <c r="B349" s="20"/>
      <c r="C349" s="20"/>
      <c r="D349" s="21"/>
      <c r="E349" s="21"/>
      <c r="F349" s="22"/>
      <c r="G349" s="22"/>
      <c r="H349" s="24"/>
      <c r="I349" s="25"/>
      <c r="J349" s="24"/>
      <c r="K349" s="37">
        <v>5</v>
      </c>
      <c r="L349" s="20" t="s">
        <v>31</v>
      </c>
      <c r="M349" s="20"/>
      <c r="N349" s="62" t="s">
        <v>209</v>
      </c>
      <c r="O349" s="24">
        <v>825</v>
      </c>
      <c r="P349" s="35">
        <v>100</v>
      </c>
      <c r="Q349" s="40">
        <v>2550</v>
      </c>
      <c r="R349" s="77">
        <f t="shared" si="69"/>
        <v>2103750</v>
      </c>
      <c r="S349" s="37">
        <v>5</v>
      </c>
      <c r="T349" s="28">
        <f t="shared" si="70"/>
        <v>105187.5</v>
      </c>
      <c r="U349" s="77">
        <f t="shared" si="71"/>
        <v>1998562.5</v>
      </c>
      <c r="V349" s="20"/>
      <c r="W349" s="26"/>
      <c r="X349" s="27"/>
      <c r="Y349" s="20"/>
      <c r="Z349" s="2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50"/>
      <c r="AR349" s="50"/>
      <c r="AS349" s="50"/>
      <c r="AT349" s="50"/>
      <c r="AU349" s="50"/>
      <c r="AV349" s="50"/>
      <c r="AW349" s="50"/>
      <c r="AX349" s="50"/>
      <c r="AY349" s="50"/>
      <c r="AZ349" s="50"/>
      <c r="BA349" s="50"/>
      <c r="BB349" s="50"/>
      <c r="BC349" s="50"/>
      <c r="BD349" s="50"/>
      <c r="BE349" s="50"/>
      <c r="BF349" s="50"/>
      <c r="BG349" s="50"/>
      <c r="BH349" s="50"/>
      <c r="BI349" s="50"/>
      <c r="BJ349" s="50"/>
      <c r="BK349" s="50"/>
      <c r="BL349" s="50"/>
      <c r="BM349" s="50"/>
      <c r="BN349" s="50"/>
      <c r="BO349" s="50"/>
      <c r="BP349" s="50"/>
      <c r="BQ349" s="50"/>
      <c r="BR349" s="50"/>
      <c r="BS349" s="50"/>
      <c r="BT349" s="50"/>
      <c r="BU349" s="50"/>
      <c r="BV349" s="50"/>
      <c r="BW349" s="50"/>
      <c r="BX349" s="50"/>
      <c r="BY349" s="50"/>
      <c r="BZ349" s="50"/>
      <c r="CA349" s="50"/>
      <c r="CB349" s="50"/>
      <c r="CC349" s="50"/>
      <c r="CD349" s="50"/>
      <c r="CE349" s="50"/>
      <c r="CF349" s="50"/>
      <c r="CG349" s="50"/>
      <c r="CH349" s="50"/>
      <c r="CI349" s="50"/>
      <c r="CJ349" s="50"/>
      <c r="CK349" s="50"/>
      <c r="CL349" s="50"/>
      <c r="CM349" s="50"/>
      <c r="CN349" s="50"/>
      <c r="CO349" s="50"/>
      <c r="CP349" s="50"/>
      <c r="CQ349" s="50"/>
      <c r="CR349" s="50"/>
      <c r="CS349" s="50"/>
      <c r="CT349" s="50"/>
      <c r="CU349" s="50"/>
      <c r="CV349" s="50"/>
      <c r="CW349" s="50"/>
      <c r="CX349" s="50"/>
      <c r="CY349" s="50"/>
      <c r="CZ349" s="50"/>
      <c r="DA349" s="50"/>
      <c r="DB349" s="50"/>
      <c r="DC349" s="50"/>
      <c r="DD349" s="50"/>
      <c r="DE349" s="50"/>
      <c r="DF349" s="50"/>
      <c r="DG349" s="50"/>
      <c r="DH349" s="50"/>
      <c r="DI349" s="50"/>
      <c r="DJ349" s="50"/>
      <c r="DK349" s="50"/>
      <c r="DL349" s="50"/>
      <c r="DM349" s="50"/>
      <c r="DN349" s="50"/>
      <c r="DO349" s="50"/>
      <c r="DP349" s="50"/>
      <c r="DQ349" s="50"/>
      <c r="DR349" s="50"/>
      <c r="DS349" s="50"/>
      <c r="DT349" s="50"/>
      <c r="DU349" s="50"/>
      <c r="DV349" s="50"/>
      <c r="DW349" s="50"/>
      <c r="DX349" s="50"/>
      <c r="DY349" s="50"/>
      <c r="DZ349" s="50"/>
      <c r="EA349" s="50"/>
      <c r="EB349" s="50"/>
      <c r="EC349" s="50"/>
      <c r="ED349" s="50"/>
      <c r="EE349" s="50"/>
      <c r="EF349" s="50"/>
      <c r="EG349" s="50"/>
      <c r="EH349" s="50"/>
      <c r="EI349" s="50"/>
      <c r="EJ349" s="50"/>
      <c r="EK349" s="50"/>
      <c r="EL349" s="50"/>
      <c r="EM349" s="50"/>
      <c r="EN349" s="50"/>
      <c r="EO349" s="50"/>
      <c r="EP349" s="50"/>
      <c r="EQ349" s="50"/>
      <c r="ER349" s="50"/>
      <c r="ES349" s="50"/>
      <c r="ET349" s="50"/>
      <c r="EU349" s="50"/>
      <c r="EV349" s="50"/>
      <c r="EW349" s="50"/>
      <c r="EX349" s="50"/>
      <c r="EY349" s="50"/>
      <c r="EZ349" s="50"/>
      <c r="FA349" s="50"/>
      <c r="FB349" s="50"/>
      <c r="FC349" s="50"/>
      <c r="FD349" s="50"/>
      <c r="FE349" s="50"/>
      <c r="FF349" s="50"/>
      <c r="FG349" s="50"/>
      <c r="FH349" s="50"/>
      <c r="FI349" s="50"/>
      <c r="FJ349" s="50"/>
      <c r="FK349" s="50"/>
      <c r="FL349" s="50"/>
      <c r="FM349" s="50"/>
      <c r="FN349" s="50"/>
      <c r="FO349" s="50"/>
      <c r="FP349" s="50"/>
      <c r="FQ349" s="50"/>
      <c r="FR349" s="50"/>
      <c r="FS349" s="50"/>
      <c r="FT349" s="50"/>
      <c r="FU349" s="50"/>
      <c r="FV349" s="50"/>
      <c r="FW349" s="50"/>
      <c r="FX349" s="50"/>
      <c r="FY349" s="50"/>
      <c r="FZ349" s="50"/>
      <c r="GA349" s="50"/>
      <c r="GB349" s="50"/>
      <c r="GC349" s="50"/>
      <c r="GD349" s="50"/>
      <c r="GE349" s="50"/>
      <c r="GF349" s="50"/>
      <c r="GG349" s="50"/>
      <c r="GH349" s="50"/>
      <c r="GI349" s="50"/>
      <c r="GJ349" s="50"/>
      <c r="GK349" s="50"/>
      <c r="GL349" s="50"/>
      <c r="GM349" s="50"/>
      <c r="GN349" s="50"/>
      <c r="GO349" s="50"/>
      <c r="GP349" s="50"/>
      <c r="GQ349" s="50"/>
      <c r="GR349" s="50"/>
      <c r="GS349" s="50"/>
      <c r="GT349" s="50"/>
      <c r="GU349" s="50"/>
      <c r="GV349" s="50"/>
      <c r="GW349" s="50"/>
      <c r="GX349" s="50"/>
      <c r="GY349" s="50"/>
      <c r="GZ349" s="50"/>
      <c r="HA349" s="50"/>
      <c r="HB349" s="50"/>
      <c r="HC349" s="50"/>
      <c r="HD349" s="50"/>
      <c r="HE349" s="50"/>
      <c r="HF349" s="50"/>
      <c r="HG349" s="50"/>
      <c r="HH349" s="50"/>
      <c r="HI349" s="50"/>
      <c r="HJ349" s="50"/>
      <c r="HK349" s="50"/>
      <c r="HL349" s="50"/>
      <c r="HM349" s="50"/>
      <c r="HN349" s="50"/>
      <c r="HO349" s="50"/>
      <c r="HP349" s="50"/>
      <c r="HQ349" s="50"/>
      <c r="HR349" s="50"/>
      <c r="HS349" s="50"/>
      <c r="HT349" s="50"/>
      <c r="HU349" s="50"/>
      <c r="HV349" s="50"/>
      <c r="HW349" s="50"/>
      <c r="HX349" s="50"/>
      <c r="HY349" s="50"/>
      <c r="HZ349" s="50"/>
      <c r="IA349" s="50"/>
      <c r="IB349" s="50"/>
      <c r="IC349" s="50"/>
      <c r="ID349" s="50"/>
      <c r="IE349" s="50"/>
      <c r="IF349" s="50"/>
      <c r="IG349" s="50"/>
      <c r="IH349" s="50"/>
      <c r="II349" s="50"/>
      <c r="IJ349" s="50"/>
      <c r="IK349" s="50"/>
      <c r="IL349" s="50"/>
      <c r="IM349" s="50"/>
      <c r="IN349" s="50"/>
      <c r="IO349" s="50"/>
      <c r="IP349" s="50"/>
      <c r="IQ349" s="50"/>
      <c r="IR349" s="50"/>
      <c r="IS349" s="50"/>
      <c r="IT349" s="50"/>
      <c r="IU349" s="50"/>
      <c r="IV349" s="50"/>
      <c r="IW349" s="50"/>
      <c r="IX349" s="50"/>
      <c r="IY349" s="50"/>
      <c r="IZ349" s="50"/>
      <c r="JA349" s="50"/>
      <c r="JB349" s="50"/>
      <c r="JC349" s="50"/>
      <c r="JD349" s="50"/>
      <c r="JE349" s="50"/>
      <c r="JF349" s="50"/>
      <c r="JG349" s="50"/>
      <c r="JH349" s="50"/>
      <c r="JI349" s="50"/>
      <c r="JJ349" s="50"/>
      <c r="JK349" s="50"/>
      <c r="JL349" s="50"/>
      <c r="JM349" s="50"/>
      <c r="JN349" s="50"/>
      <c r="JO349" s="50"/>
      <c r="JP349" s="50"/>
      <c r="JQ349" s="50"/>
      <c r="JR349" s="50"/>
      <c r="JS349" s="50"/>
      <c r="JT349" s="50"/>
      <c r="JU349" s="50"/>
      <c r="JV349" s="50"/>
      <c r="JW349" s="50"/>
      <c r="JX349" s="50"/>
      <c r="JY349" s="50"/>
      <c r="JZ349" s="50"/>
      <c r="KA349" s="50"/>
      <c r="KB349" s="50"/>
      <c r="KC349" s="50"/>
      <c r="KD349" s="50"/>
      <c r="KE349" s="50"/>
      <c r="KF349" s="50"/>
      <c r="KG349" s="50"/>
      <c r="KH349" s="50"/>
      <c r="KI349" s="50"/>
      <c r="KJ349" s="50"/>
      <c r="KK349" s="50"/>
      <c r="KL349" s="50"/>
      <c r="KM349" s="50"/>
      <c r="KN349" s="50"/>
      <c r="KO349" s="50"/>
      <c r="KP349" s="50"/>
      <c r="KQ349" s="50"/>
      <c r="KR349" s="50"/>
      <c r="KS349" s="50"/>
      <c r="KT349" s="50"/>
      <c r="KU349" s="50"/>
      <c r="KV349" s="50"/>
      <c r="KW349" s="50"/>
      <c r="KX349" s="50"/>
      <c r="KY349" s="50"/>
      <c r="KZ349" s="50"/>
      <c r="LA349" s="50"/>
      <c r="LB349" s="50"/>
      <c r="LC349" s="50"/>
      <c r="LD349" s="50"/>
      <c r="LE349" s="50"/>
      <c r="LF349" s="50"/>
      <c r="LG349" s="50"/>
      <c r="LH349" s="50"/>
      <c r="LI349" s="50"/>
      <c r="LJ349" s="50"/>
      <c r="LK349" s="50"/>
      <c r="LL349" s="50"/>
      <c r="LM349" s="50"/>
      <c r="LN349" s="50"/>
      <c r="LO349" s="50"/>
      <c r="LP349" s="50"/>
      <c r="LQ349" s="50"/>
      <c r="LR349" s="50"/>
      <c r="LS349" s="50"/>
      <c r="LT349" s="50"/>
      <c r="LU349" s="50"/>
      <c r="LV349" s="50"/>
      <c r="LW349" s="50"/>
      <c r="LX349" s="50"/>
      <c r="LY349" s="50"/>
      <c r="LZ349" s="50"/>
      <c r="MA349" s="50"/>
      <c r="MB349" s="50"/>
      <c r="MC349" s="50"/>
      <c r="MD349" s="50"/>
      <c r="ME349" s="50"/>
      <c r="MF349" s="50"/>
      <c r="MG349" s="50"/>
      <c r="MH349" s="50"/>
      <c r="MI349" s="50"/>
      <c r="MJ349" s="50"/>
      <c r="MK349" s="50"/>
      <c r="ML349" s="50"/>
      <c r="MM349" s="50"/>
      <c r="MN349" s="50"/>
      <c r="MO349" s="50"/>
      <c r="MP349" s="50"/>
      <c r="MQ349" s="50"/>
      <c r="MR349" s="50"/>
      <c r="MS349" s="50"/>
      <c r="MT349" s="50"/>
      <c r="MU349" s="50"/>
      <c r="MV349" s="50"/>
      <c r="MW349" s="50"/>
      <c r="MX349" s="50"/>
      <c r="MY349" s="50"/>
      <c r="MZ349" s="50"/>
      <c r="NA349" s="50"/>
      <c r="NB349" s="50"/>
      <c r="NC349" s="50"/>
      <c r="ND349" s="50"/>
      <c r="NE349" s="50"/>
      <c r="NF349" s="50"/>
      <c r="NG349" s="50"/>
      <c r="NH349" s="50"/>
      <c r="NI349" s="50"/>
      <c r="NJ349" s="50"/>
      <c r="NK349" s="50"/>
      <c r="NL349" s="50"/>
      <c r="NM349" s="50"/>
      <c r="NN349" s="50"/>
      <c r="NO349" s="50"/>
      <c r="NP349" s="50"/>
      <c r="NQ349" s="50"/>
      <c r="NR349" s="50"/>
      <c r="NS349" s="50"/>
      <c r="NT349" s="50"/>
      <c r="NU349" s="50"/>
      <c r="NV349" s="50"/>
      <c r="NW349" s="50"/>
      <c r="NX349" s="50"/>
      <c r="NY349" s="50"/>
      <c r="NZ349" s="50"/>
      <c r="OA349" s="50"/>
      <c r="OB349" s="50"/>
      <c r="OC349" s="50"/>
      <c r="OD349" s="50"/>
      <c r="OE349" s="50"/>
      <c r="OF349" s="50"/>
      <c r="OG349" s="50"/>
      <c r="OH349" s="50"/>
      <c r="OI349" s="50"/>
      <c r="OJ349" s="50"/>
      <c r="OK349" s="50"/>
      <c r="OL349" s="50"/>
      <c r="OM349" s="50"/>
      <c r="ON349" s="50"/>
      <c r="OO349" s="50"/>
      <c r="OP349" s="50"/>
      <c r="OQ349" s="50"/>
      <c r="OR349" s="50"/>
      <c r="OS349" s="50"/>
      <c r="OT349" s="50"/>
      <c r="OU349" s="50"/>
      <c r="OV349" s="50"/>
      <c r="OW349" s="50"/>
      <c r="OX349" s="50"/>
      <c r="OY349" s="50"/>
      <c r="OZ349" s="50"/>
      <c r="PA349" s="50"/>
      <c r="PB349" s="50"/>
      <c r="PC349" s="50"/>
      <c r="PD349" s="50"/>
      <c r="PE349" s="50"/>
      <c r="PF349" s="50"/>
      <c r="PG349" s="50"/>
      <c r="PH349" s="50"/>
      <c r="PI349" s="50"/>
      <c r="PJ349" s="50"/>
      <c r="PK349" s="50"/>
      <c r="PL349" s="50"/>
      <c r="PM349" s="50"/>
      <c r="PN349" s="50"/>
      <c r="PO349" s="50"/>
      <c r="PP349" s="50"/>
      <c r="PQ349" s="50"/>
      <c r="PR349" s="50"/>
      <c r="PS349" s="50"/>
      <c r="PT349" s="50"/>
      <c r="PU349" s="50"/>
      <c r="PV349" s="50"/>
      <c r="PW349" s="50"/>
      <c r="PX349" s="50"/>
      <c r="PY349" s="50"/>
      <c r="PZ349" s="50"/>
      <c r="QA349" s="50"/>
      <c r="QB349" s="50"/>
      <c r="QC349" s="50"/>
      <c r="QD349" s="50"/>
      <c r="QE349" s="50"/>
      <c r="QF349" s="50"/>
      <c r="QG349" s="50"/>
      <c r="QH349" s="50"/>
      <c r="QI349" s="50"/>
      <c r="QJ349" s="50"/>
      <c r="QK349" s="50"/>
      <c r="QL349" s="50"/>
      <c r="QM349" s="50"/>
      <c r="QN349" s="50"/>
      <c r="QO349" s="50"/>
      <c r="QP349" s="50"/>
      <c r="QQ349" s="50"/>
      <c r="QR349" s="50"/>
      <c r="QS349" s="50"/>
      <c r="QT349" s="50"/>
      <c r="QU349" s="50"/>
      <c r="QV349" s="50"/>
      <c r="QW349" s="50"/>
      <c r="QX349" s="50"/>
      <c r="QY349" s="50"/>
      <c r="QZ349" s="50"/>
      <c r="RA349" s="50"/>
      <c r="RB349" s="50"/>
      <c r="RC349" s="50"/>
      <c r="RD349" s="50"/>
      <c r="RE349" s="50"/>
      <c r="RF349" s="50"/>
      <c r="RG349" s="50"/>
      <c r="RH349" s="50"/>
      <c r="RI349" s="50"/>
      <c r="RJ349" s="50"/>
      <c r="RK349" s="50"/>
      <c r="RL349" s="50"/>
      <c r="RM349" s="50"/>
      <c r="RN349" s="50"/>
      <c r="RO349" s="50"/>
      <c r="RP349" s="50"/>
      <c r="RQ349" s="50"/>
      <c r="RR349" s="50"/>
      <c r="RS349" s="50"/>
      <c r="RT349" s="50"/>
      <c r="RU349" s="50"/>
      <c r="RV349" s="50"/>
      <c r="RW349" s="50"/>
      <c r="RX349" s="50"/>
      <c r="RY349" s="50"/>
      <c r="RZ349" s="50"/>
      <c r="SA349" s="50"/>
      <c r="SB349" s="50"/>
      <c r="SC349" s="50"/>
      <c r="SD349" s="50"/>
      <c r="SE349" s="50"/>
      <c r="SF349" s="50"/>
      <c r="SG349" s="50"/>
      <c r="SH349" s="50"/>
      <c r="SI349" s="50"/>
      <c r="SJ349" s="50"/>
      <c r="SK349" s="50"/>
      <c r="SL349" s="50"/>
      <c r="SM349" s="50"/>
      <c r="SN349" s="50"/>
      <c r="SO349" s="50"/>
      <c r="SP349" s="50"/>
      <c r="SQ349" s="50"/>
      <c r="SR349" s="50"/>
      <c r="SS349" s="50"/>
      <c r="ST349" s="50"/>
      <c r="SU349" s="50"/>
      <c r="SV349" s="50"/>
      <c r="SW349" s="50"/>
      <c r="SX349" s="50"/>
      <c r="SY349" s="50"/>
      <c r="SZ349" s="50"/>
      <c r="TA349" s="50"/>
      <c r="TB349" s="50"/>
      <c r="TC349" s="50"/>
      <c r="TD349" s="50"/>
      <c r="TE349" s="50"/>
      <c r="TF349" s="50"/>
      <c r="TG349" s="50"/>
      <c r="TH349" s="50"/>
      <c r="TI349" s="50"/>
      <c r="TJ349" s="50"/>
      <c r="TK349" s="50"/>
      <c r="TL349" s="50"/>
      <c r="TM349" s="50"/>
      <c r="TN349" s="50"/>
      <c r="TO349" s="50"/>
      <c r="TP349" s="50"/>
      <c r="TQ349" s="50"/>
      <c r="TR349" s="50"/>
      <c r="TS349" s="50"/>
      <c r="TT349" s="50"/>
      <c r="TU349" s="50"/>
      <c r="TV349" s="50"/>
      <c r="TW349" s="50"/>
      <c r="TX349" s="50"/>
      <c r="TY349" s="50"/>
      <c r="TZ349" s="50"/>
      <c r="UA349" s="50"/>
      <c r="UB349" s="50"/>
      <c r="UC349" s="50"/>
      <c r="UD349" s="50"/>
      <c r="UE349" s="50"/>
      <c r="UF349" s="50"/>
      <c r="UG349" s="50"/>
      <c r="UH349" s="50"/>
      <c r="UI349" s="50"/>
      <c r="UJ349" s="50"/>
      <c r="UK349" s="50"/>
      <c r="UL349" s="50"/>
      <c r="UM349" s="50"/>
      <c r="UN349" s="50"/>
      <c r="UO349" s="50"/>
      <c r="UP349" s="50"/>
      <c r="UQ349" s="50"/>
      <c r="UR349" s="50"/>
      <c r="US349" s="50"/>
      <c r="UT349" s="50"/>
      <c r="UU349" s="50"/>
      <c r="UV349" s="50"/>
      <c r="UW349" s="50"/>
      <c r="UX349" s="50"/>
      <c r="UY349" s="50"/>
      <c r="UZ349" s="50"/>
      <c r="VA349" s="50"/>
      <c r="VB349" s="50"/>
      <c r="VC349" s="50"/>
      <c r="VD349" s="50"/>
      <c r="VE349" s="50"/>
      <c r="VF349" s="50"/>
      <c r="VG349" s="50"/>
      <c r="VH349" s="50"/>
      <c r="VI349" s="50"/>
      <c r="VJ349" s="50"/>
      <c r="VK349" s="50"/>
      <c r="VL349" s="50"/>
      <c r="VM349" s="50"/>
      <c r="VN349" s="50"/>
      <c r="VO349" s="50"/>
      <c r="VP349" s="50"/>
      <c r="VQ349" s="50"/>
      <c r="VR349" s="50"/>
      <c r="VS349" s="50"/>
      <c r="VT349" s="50"/>
      <c r="VU349" s="50"/>
      <c r="VV349" s="50"/>
      <c r="VW349" s="50"/>
      <c r="VX349" s="50"/>
      <c r="VY349" s="50"/>
      <c r="VZ349" s="50"/>
      <c r="WA349" s="50"/>
      <c r="WB349" s="50"/>
      <c r="WC349" s="50"/>
      <c r="WD349" s="50"/>
      <c r="WE349" s="50"/>
      <c r="WF349" s="50"/>
      <c r="WG349" s="50"/>
      <c r="WH349" s="50"/>
      <c r="WI349" s="50"/>
      <c r="WJ349" s="50"/>
      <c r="WK349" s="50"/>
      <c r="WL349" s="50"/>
      <c r="WM349" s="50"/>
      <c r="WN349" s="50"/>
      <c r="WO349" s="50"/>
      <c r="WP349" s="50"/>
      <c r="WQ349" s="50"/>
      <c r="WR349" s="50"/>
      <c r="WS349" s="50"/>
      <c r="WT349" s="50"/>
      <c r="WU349" s="50"/>
      <c r="WV349" s="50"/>
      <c r="WW349" s="50"/>
      <c r="WX349" s="50"/>
      <c r="WY349" s="50"/>
      <c r="WZ349" s="50"/>
      <c r="XA349" s="50"/>
      <c r="XB349" s="50"/>
      <c r="XC349" s="50"/>
      <c r="XD349" s="50"/>
      <c r="XE349" s="50"/>
      <c r="XF349" s="50"/>
      <c r="XG349" s="50"/>
      <c r="XH349" s="50"/>
      <c r="XI349" s="50"/>
      <c r="XJ349" s="50"/>
      <c r="XK349" s="50"/>
      <c r="XL349" s="50"/>
      <c r="XM349" s="50"/>
      <c r="XN349" s="50"/>
      <c r="XO349" s="50"/>
      <c r="XP349" s="50"/>
      <c r="XQ349" s="50"/>
      <c r="XR349" s="50"/>
      <c r="XS349" s="50"/>
      <c r="XT349" s="50"/>
      <c r="XU349" s="50"/>
      <c r="XV349" s="50"/>
      <c r="XW349" s="50"/>
      <c r="XX349" s="50"/>
      <c r="XY349" s="50"/>
      <c r="XZ349" s="50"/>
      <c r="YA349" s="50"/>
      <c r="YB349" s="50"/>
      <c r="YC349" s="50"/>
      <c r="YD349" s="50"/>
      <c r="YE349" s="50"/>
      <c r="YF349" s="50"/>
      <c r="YG349" s="50"/>
      <c r="YH349" s="50"/>
      <c r="YI349" s="50"/>
      <c r="YJ349" s="50"/>
      <c r="YK349" s="50"/>
      <c r="YL349" s="50"/>
      <c r="YM349" s="50"/>
      <c r="YN349" s="50"/>
      <c r="YO349" s="50"/>
      <c r="YP349" s="50"/>
      <c r="YQ349" s="50"/>
      <c r="YR349" s="50"/>
      <c r="YS349" s="50"/>
      <c r="YT349" s="50"/>
      <c r="YU349" s="50"/>
      <c r="YV349" s="50"/>
      <c r="YW349" s="50"/>
      <c r="YX349" s="50"/>
      <c r="YY349" s="50"/>
      <c r="YZ349" s="50"/>
      <c r="ZA349" s="50"/>
      <c r="ZB349" s="50"/>
      <c r="ZC349" s="50"/>
      <c r="ZD349" s="50"/>
      <c r="ZE349" s="50"/>
      <c r="ZF349" s="50"/>
      <c r="ZG349" s="50"/>
      <c r="ZH349" s="50"/>
      <c r="ZI349" s="50"/>
      <c r="ZJ349" s="50"/>
      <c r="ZK349" s="50"/>
      <c r="ZL349" s="50"/>
      <c r="ZM349" s="50"/>
      <c r="ZN349" s="50"/>
      <c r="ZO349" s="50"/>
      <c r="ZP349" s="50"/>
      <c r="ZQ349" s="50"/>
      <c r="ZR349" s="50"/>
      <c r="ZS349" s="50"/>
      <c r="ZT349" s="50"/>
      <c r="ZU349" s="50"/>
      <c r="ZV349" s="50"/>
      <c r="ZW349" s="50"/>
      <c r="ZX349" s="50"/>
      <c r="ZY349" s="50"/>
      <c r="ZZ349" s="50"/>
      <c r="AAA349" s="50"/>
      <c r="AAB349" s="50"/>
      <c r="AAC349" s="50"/>
      <c r="AAD349" s="50"/>
      <c r="AAE349" s="50"/>
      <c r="AAF349" s="50"/>
      <c r="AAG349" s="50"/>
      <c r="AAH349" s="50"/>
      <c r="AAI349" s="50"/>
      <c r="AAJ349" s="50"/>
      <c r="AAK349" s="50"/>
      <c r="AAL349" s="50"/>
      <c r="AAM349" s="50"/>
      <c r="AAN349" s="50"/>
      <c r="AAO349" s="50"/>
      <c r="AAP349" s="50"/>
      <c r="AAQ349" s="50"/>
      <c r="AAR349" s="50"/>
      <c r="AAS349" s="50"/>
      <c r="AAT349" s="50"/>
      <c r="AAU349" s="50"/>
      <c r="AAV349" s="50"/>
      <c r="AAW349" s="50"/>
      <c r="AAX349" s="50"/>
      <c r="AAY349" s="50"/>
      <c r="AAZ349" s="50"/>
      <c r="ABA349" s="50"/>
      <c r="ABB349" s="50"/>
      <c r="ABC349" s="50"/>
      <c r="ABD349" s="50"/>
      <c r="ABE349" s="50"/>
      <c r="ABF349" s="50"/>
      <c r="ABG349" s="50"/>
      <c r="ABH349" s="50"/>
      <c r="ABI349" s="50"/>
      <c r="ABJ349" s="50"/>
      <c r="ABK349" s="50"/>
      <c r="ABL349" s="50"/>
      <c r="ABM349" s="50"/>
      <c r="ABN349" s="50"/>
      <c r="ABO349" s="50"/>
      <c r="ABP349" s="50"/>
      <c r="ABQ349" s="50"/>
      <c r="ABR349" s="50"/>
      <c r="ABS349" s="50"/>
      <c r="ABT349" s="50"/>
      <c r="ABU349" s="50"/>
      <c r="ABV349" s="50"/>
      <c r="ABW349" s="50"/>
      <c r="ABX349" s="50"/>
      <c r="ABY349" s="50"/>
      <c r="ABZ349" s="50"/>
      <c r="ACA349" s="50"/>
      <c r="ACB349" s="50"/>
      <c r="ACC349" s="50"/>
      <c r="ACD349" s="50"/>
      <c r="ACE349" s="50"/>
      <c r="ACF349" s="50"/>
      <c r="ACG349" s="50"/>
      <c r="ACH349" s="50"/>
      <c r="ACI349" s="50"/>
      <c r="ACJ349" s="50"/>
      <c r="ACK349" s="50"/>
      <c r="ACL349" s="50"/>
      <c r="ACM349" s="50"/>
      <c r="ACN349" s="50"/>
      <c r="ACO349" s="50"/>
      <c r="ACP349" s="50"/>
      <c r="ACQ349" s="50"/>
      <c r="ACR349" s="50"/>
      <c r="ACS349" s="50"/>
      <c r="ACT349" s="50"/>
      <c r="ACU349" s="50"/>
      <c r="ACV349" s="50"/>
      <c r="ACW349" s="50"/>
      <c r="ACX349" s="50"/>
      <c r="ACY349" s="50"/>
      <c r="ACZ349" s="50"/>
      <c r="ADA349" s="50"/>
      <c r="ADB349" s="50"/>
      <c r="ADC349" s="50"/>
      <c r="ADD349" s="50"/>
      <c r="ADE349" s="50"/>
      <c r="ADF349" s="50"/>
      <c r="ADG349" s="50"/>
      <c r="ADH349" s="50"/>
      <c r="ADI349" s="50"/>
      <c r="ADJ349" s="50"/>
      <c r="ADK349" s="50"/>
      <c r="ADL349" s="50"/>
      <c r="ADM349" s="50"/>
      <c r="ADN349" s="50"/>
      <c r="ADO349" s="50"/>
      <c r="ADP349" s="50"/>
      <c r="ADQ349" s="50"/>
      <c r="ADR349" s="50"/>
      <c r="ADS349" s="50"/>
      <c r="ADT349" s="50"/>
      <c r="ADU349" s="50"/>
      <c r="ADV349" s="50"/>
      <c r="ADW349" s="50"/>
      <c r="ADX349" s="50"/>
      <c r="ADY349" s="50"/>
      <c r="ADZ349" s="50"/>
      <c r="AEA349" s="50"/>
      <c r="AEB349" s="50"/>
      <c r="AEC349" s="50"/>
      <c r="AED349" s="50"/>
      <c r="AEE349" s="50"/>
      <c r="AEF349" s="50"/>
      <c r="AEG349" s="50"/>
      <c r="AEH349" s="50"/>
      <c r="AEI349" s="50"/>
      <c r="AEJ349" s="50"/>
      <c r="AEK349" s="50"/>
      <c r="AEL349" s="50"/>
      <c r="AEM349" s="50"/>
      <c r="AEN349" s="50"/>
      <c r="AEO349" s="50"/>
      <c r="AEP349" s="50"/>
      <c r="AEQ349" s="50"/>
      <c r="AER349" s="50"/>
      <c r="AES349" s="50"/>
      <c r="AET349" s="50"/>
      <c r="AEU349" s="50"/>
      <c r="AEV349" s="50"/>
      <c r="AEW349" s="50"/>
      <c r="AEX349" s="50"/>
      <c r="AEY349" s="50"/>
      <c r="AEZ349" s="50"/>
      <c r="AFA349" s="50"/>
      <c r="AFB349" s="50"/>
      <c r="AFC349" s="50"/>
      <c r="AFD349" s="50"/>
      <c r="AFE349" s="50"/>
      <c r="AFF349" s="50"/>
      <c r="AFG349" s="50"/>
      <c r="AFH349" s="50"/>
      <c r="AFI349" s="50"/>
      <c r="AFJ349" s="50"/>
      <c r="AFK349" s="50"/>
      <c r="AFL349" s="50"/>
      <c r="AFM349" s="50"/>
      <c r="AFN349" s="50"/>
      <c r="AFO349" s="50"/>
      <c r="AFP349" s="50"/>
      <c r="AFQ349" s="50"/>
      <c r="AFR349" s="50"/>
      <c r="AFS349" s="50"/>
      <c r="AFT349" s="50"/>
      <c r="AFU349" s="50"/>
      <c r="AFV349" s="50"/>
      <c r="AFW349" s="50"/>
      <c r="AFX349" s="50"/>
      <c r="AFY349" s="50"/>
      <c r="AFZ349" s="50"/>
      <c r="AGA349" s="50"/>
      <c r="AGB349" s="50"/>
      <c r="AGC349" s="50"/>
      <c r="AGD349" s="50"/>
      <c r="AGE349" s="50"/>
      <c r="AGF349" s="50"/>
      <c r="AGG349" s="50"/>
      <c r="AGH349" s="50"/>
      <c r="AGI349" s="50"/>
      <c r="AGJ349" s="50"/>
      <c r="AGK349" s="50"/>
      <c r="AGL349" s="50"/>
      <c r="AGM349" s="50"/>
      <c r="AGN349" s="50"/>
      <c r="AGO349" s="50"/>
      <c r="AGP349" s="50"/>
      <c r="AGQ349" s="50"/>
      <c r="AGR349" s="50"/>
      <c r="AGS349" s="50"/>
      <c r="AGT349" s="50"/>
      <c r="AGU349" s="50"/>
      <c r="AGV349" s="50"/>
      <c r="AGW349" s="50"/>
      <c r="AGX349" s="50"/>
      <c r="AGY349" s="50"/>
      <c r="AGZ349" s="50"/>
      <c r="AHA349" s="50"/>
      <c r="AHB349" s="50"/>
      <c r="AHC349" s="50"/>
      <c r="AHD349" s="50"/>
      <c r="AHE349" s="50"/>
      <c r="AHF349" s="50"/>
      <c r="AHG349" s="50"/>
      <c r="AHH349" s="50"/>
      <c r="AHI349" s="50"/>
      <c r="AHJ349" s="50"/>
      <c r="AHK349" s="50"/>
      <c r="AHL349" s="50"/>
      <c r="AHM349" s="50"/>
      <c r="AHN349" s="50"/>
      <c r="AHO349" s="50"/>
      <c r="AHP349" s="50"/>
      <c r="AHQ349" s="50"/>
      <c r="AHR349" s="50"/>
      <c r="AHS349" s="50"/>
      <c r="AHT349" s="50"/>
      <c r="AHU349" s="50"/>
      <c r="AHV349" s="50"/>
      <c r="AHW349" s="50"/>
      <c r="AHX349" s="50"/>
      <c r="AHY349" s="50"/>
      <c r="AHZ349" s="50"/>
      <c r="AIA349" s="50"/>
      <c r="AIB349" s="50"/>
      <c r="AIC349" s="50"/>
      <c r="AID349" s="50"/>
      <c r="AIE349" s="50"/>
      <c r="AIF349" s="50"/>
      <c r="AIG349" s="50"/>
      <c r="AIH349" s="50"/>
      <c r="AII349" s="50"/>
      <c r="AIJ349" s="50"/>
      <c r="AIK349" s="50"/>
      <c r="AIL349" s="50"/>
      <c r="AIM349" s="50"/>
      <c r="AIN349" s="50"/>
      <c r="AIO349" s="50"/>
      <c r="AIP349" s="50"/>
      <c r="AIQ349" s="50"/>
      <c r="AIR349" s="50"/>
      <c r="AIS349" s="50"/>
      <c r="AIT349" s="50"/>
      <c r="AIU349" s="50"/>
      <c r="AIV349" s="50"/>
      <c r="AIW349" s="50"/>
      <c r="AIX349" s="50"/>
      <c r="AIY349" s="50"/>
      <c r="AIZ349" s="50"/>
      <c r="AJA349" s="50"/>
      <c r="AJB349" s="50"/>
      <c r="AJC349" s="50"/>
      <c r="AJD349" s="50"/>
      <c r="AJE349" s="50"/>
      <c r="AJF349" s="50"/>
      <c r="AJG349" s="50"/>
      <c r="AJH349" s="50"/>
      <c r="AJI349" s="50"/>
      <c r="AJJ349" s="50"/>
      <c r="AJK349" s="50"/>
      <c r="AJL349" s="50"/>
      <c r="AJM349" s="50"/>
      <c r="AJN349" s="50"/>
      <c r="AJO349" s="50"/>
      <c r="AJP349" s="50"/>
      <c r="AJQ349" s="50"/>
      <c r="AJR349" s="50"/>
      <c r="AJS349" s="50"/>
      <c r="AJT349" s="50"/>
      <c r="AJU349" s="50"/>
      <c r="AJV349" s="50"/>
      <c r="AJW349" s="50"/>
      <c r="AJX349" s="50"/>
      <c r="AJY349" s="50"/>
      <c r="AJZ349" s="50"/>
      <c r="AKA349" s="50"/>
      <c r="AKB349" s="50"/>
      <c r="AKC349" s="50"/>
      <c r="AKD349" s="50"/>
      <c r="AKE349" s="50"/>
      <c r="AKF349" s="50"/>
      <c r="AKG349" s="50"/>
      <c r="AKH349" s="50"/>
      <c r="AKI349" s="50"/>
      <c r="AKJ349" s="50"/>
      <c r="AKK349" s="50"/>
      <c r="AKL349" s="50"/>
      <c r="AKM349" s="50"/>
      <c r="AKN349" s="50"/>
      <c r="AKO349" s="50"/>
      <c r="AKP349" s="50"/>
      <c r="AKQ349" s="50"/>
      <c r="AKR349" s="50"/>
      <c r="AKS349" s="50"/>
      <c r="AKT349" s="50"/>
      <c r="AKU349" s="50"/>
      <c r="AKV349" s="50"/>
      <c r="AKW349" s="50"/>
      <c r="AKX349" s="50"/>
      <c r="AKY349" s="50"/>
      <c r="AKZ349" s="50"/>
      <c r="ALA349" s="50"/>
      <c r="ALB349" s="50"/>
      <c r="ALC349" s="50"/>
      <c r="ALD349" s="50"/>
      <c r="ALE349" s="50"/>
      <c r="ALF349" s="50"/>
      <c r="ALG349" s="50"/>
      <c r="ALH349" s="50"/>
      <c r="ALI349" s="50"/>
      <c r="ALJ349" s="50"/>
      <c r="ALK349" s="50"/>
      <c r="ALL349" s="50"/>
      <c r="ALM349" s="50"/>
      <c r="ALN349" s="50"/>
      <c r="ALO349" s="50"/>
      <c r="ALP349" s="50"/>
      <c r="ALQ349" s="50"/>
      <c r="ALR349" s="50"/>
      <c r="ALS349" s="50"/>
      <c r="ALT349" s="50"/>
      <c r="ALU349" s="50"/>
      <c r="ALV349" s="50"/>
      <c r="ALW349" s="50"/>
      <c r="ALX349" s="50"/>
      <c r="ALY349" s="50"/>
      <c r="ALZ349" s="50"/>
      <c r="AMA349" s="50"/>
      <c r="AMB349" s="50"/>
      <c r="AMC349" s="50"/>
      <c r="AMD349" s="50"/>
      <c r="AME349" s="50"/>
      <c r="AMF349" s="50"/>
      <c r="AMG349" s="50"/>
      <c r="AMH349" s="50"/>
      <c r="AMI349" s="50"/>
      <c r="AMJ349" s="50"/>
      <c r="AMK349" s="50"/>
      <c r="AML349" s="50"/>
      <c r="AMM349" s="50"/>
      <c r="AMN349" s="50"/>
      <c r="AMO349" s="50"/>
      <c r="AMP349" s="50"/>
      <c r="AMQ349" s="50"/>
      <c r="AMR349" s="50"/>
      <c r="AMS349" s="50"/>
      <c r="AMT349" s="50"/>
      <c r="AMU349" s="50"/>
      <c r="AMV349" s="50"/>
      <c r="AMW349" s="50"/>
      <c r="AMX349" s="50"/>
      <c r="AMY349" s="50"/>
      <c r="AMZ349" s="50"/>
      <c r="ANA349" s="50"/>
      <c r="ANB349" s="50"/>
      <c r="ANC349" s="50"/>
      <c r="AND349" s="50"/>
      <c r="ANE349" s="50"/>
      <c r="ANF349" s="50"/>
      <c r="ANG349" s="50"/>
      <c r="ANH349" s="50"/>
      <c r="ANI349" s="50"/>
      <c r="ANJ349" s="50"/>
      <c r="ANK349" s="50"/>
      <c r="ANL349" s="50"/>
      <c r="ANM349" s="50"/>
      <c r="ANN349" s="50"/>
      <c r="ANO349" s="50"/>
      <c r="ANP349" s="50"/>
      <c r="ANQ349" s="50"/>
      <c r="ANR349" s="50"/>
      <c r="ANS349" s="50"/>
      <c r="ANT349" s="50"/>
      <c r="ANU349" s="50"/>
      <c r="ANV349" s="50"/>
      <c r="ANW349" s="50"/>
      <c r="ANX349" s="50"/>
      <c r="ANY349" s="50"/>
      <c r="ANZ349" s="50"/>
      <c r="AOA349" s="50"/>
      <c r="AOB349" s="50"/>
      <c r="AOC349" s="50"/>
      <c r="AOD349" s="50"/>
      <c r="AOE349" s="50"/>
      <c r="AOF349" s="50"/>
      <c r="AOG349" s="50"/>
      <c r="AOH349" s="50"/>
      <c r="AOI349" s="50"/>
      <c r="AOJ349" s="50"/>
      <c r="AOK349" s="50"/>
      <c r="AOL349" s="50"/>
      <c r="AOM349" s="50"/>
      <c r="AON349" s="50"/>
      <c r="AOO349" s="50"/>
      <c r="AOP349" s="50"/>
      <c r="AOQ349" s="50"/>
      <c r="AOR349" s="50"/>
      <c r="AOS349" s="50"/>
      <c r="AOT349" s="50"/>
      <c r="AOU349" s="50"/>
      <c r="AOV349" s="50"/>
      <c r="AOW349" s="50"/>
      <c r="AOX349" s="50"/>
      <c r="AOY349" s="50"/>
      <c r="AOZ349" s="50"/>
      <c r="APA349" s="50"/>
      <c r="APB349" s="50"/>
      <c r="APC349" s="50"/>
      <c r="APD349" s="50"/>
      <c r="APE349" s="50"/>
      <c r="APF349" s="50"/>
      <c r="APG349" s="50"/>
      <c r="APH349" s="50"/>
      <c r="API349" s="50"/>
      <c r="APJ349" s="50"/>
      <c r="APK349" s="50"/>
      <c r="APL349" s="50"/>
      <c r="APM349" s="50"/>
      <c r="APN349" s="50"/>
      <c r="APO349" s="50"/>
      <c r="APP349" s="50"/>
      <c r="APQ349" s="50"/>
      <c r="APR349" s="50"/>
      <c r="APS349" s="50"/>
      <c r="APT349" s="50"/>
      <c r="APU349" s="50"/>
      <c r="APV349" s="50"/>
      <c r="APW349" s="50"/>
      <c r="APX349" s="50"/>
      <c r="APY349" s="50"/>
      <c r="APZ349" s="50"/>
      <c r="AQA349" s="50"/>
      <c r="AQB349" s="50"/>
      <c r="AQC349" s="50"/>
      <c r="AQD349" s="50"/>
      <c r="AQE349" s="50"/>
      <c r="AQF349" s="50"/>
      <c r="AQG349" s="50"/>
      <c r="AQH349" s="50"/>
      <c r="AQI349" s="50"/>
      <c r="AQJ349" s="50"/>
      <c r="AQK349" s="50"/>
      <c r="AQL349" s="50"/>
      <c r="AQM349" s="50"/>
      <c r="AQN349" s="50"/>
      <c r="AQO349" s="50"/>
      <c r="AQP349" s="50"/>
      <c r="AQQ349" s="50"/>
      <c r="AQR349" s="50"/>
      <c r="AQS349" s="50"/>
      <c r="AQT349" s="50"/>
      <c r="AQU349" s="50"/>
      <c r="AQV349" s="50"/>
      <c r="AQW349" s="50"/>
      <c r="AQX349" s="50"/>
      <c r="AQY349" s="50"/>
      <c r="AQZ349" s="50"/>
      <c r="ARA349" s="50"/>
      <c r="ARB349" s="50"/>
      <c r="ARC349" s="50"/>
      <c r="ARD349" s="50"/>
      <c r="ARE349" s="50"/>
      <c r="ARF349" s="50"/>
      <c r="ARG349" s="50"/>
      <c r="ARH349" s="50"/>
      <c r="ARI349" s="50"/>
      <c r="ARJ349" s="50"/>
      <c r="ARK349" s="50"/>
      <c r="ARL349" s="50"/>
      <c r="ARM349" s="50"/>
      <c r="ARN349" s="50"/>
      <c r="ARO349" s="50"/>
      <c r="ARP349" s="50"/>
      <c r="ARQ349" s="50"/>
      <c r="ARR349" s="50"/>
      <c r="ARS349" s="50"/>
      <c r="ART349" s="50"/>
      <c r="ARU349" s="50"/>
      <c r="ARV349" s="50"/>
      <c r="ARW349" s="50"/>
      <c r="ARX349" s="50"/>
      <c r="ARY349" s="50"/>
      <c r="ARZ349" s="50"/>
      <c r="ASA349" s="50"/>
      <c r="ASB349" s="50"/>
      <c r="ASC349" s="50"/>
      <c r="ASD349" s="50"/>
      <c r="ASE349" s="50"/>
      <c r="ASF349" s="50"/>
      <c r="ASG349" s="50"/>
      <c r="ASH349" s="50"/>
      <c r="ASI349" s="50"/>
      <c r="ASJ349" s="50"/>
      <c r="ASK349" s="50"/>
      <c r="ASL349" s="50"/>
      <c r="ASM349" s="50"/>
      <c r="ASN349" s="50"/>
      <c r="ASO349" s="50"/>
      <c r="ASP349" s="50"/>
      <c r="ASQ349" s="50"/>
      <c r="ASR349" s="50"/>
      <c r="ASS349" s="50"/>
      <c r="AST349" s="50"/>
      <c r="ASU349" s="50"/>
      <c r="ASV349" s="50"/>
      <c r="ASW349" s="50"/>
      <c r="ASX349" s="50"/>
      <c r="ASY349" s="50"/>
      <c r="ASZ349" s="50"/>
      <c r="ATA349" s="50"/>
      <c r="ATB349" s="50"/>
      <c r="ATC349" s="50"/>
      <c r="ATD349" s="50"/>
      <c r="ATE349" s="50"/>
      <c r="ATF349" s="50"/>
      <c r="ATG349" s="50"/>
      <c r="ATH349" s="50"/>
      <c r="ATI349" s="50"/>
      <c r="ATJ349" s="50"/>
      <c r="ATK349" s="50"/>
      <c r="ATL349" s="50"/>
      <c r="ATM349" s="50"/>
      <c r="ATN349" s="50"/>
      <c r="ATO349" s="50"/>
      <c r="ATP349" s="50"/>
      <c r="ATQ349" s="50"/>
      <c r="ATR349" s="50"/>
      <c r="ATS349" s="50"/>
      <c r="ATT349" s="50"/>
      <c r="ATU349" s="50"/>
      <c r="ATV349" s="50"/>
      <c r="ATW349" s="50"/>
      <c r="ATX349" s="50"/>
      <c r="ATY349" s="50"/>
      <c r="ATZ349" s="50"/>
      <c r="AUA349" s="50"/>
      <c r="AUB349" s="50"/>
      <c r="AUC349" s="50"/>
      <c r="AUD349" s="50"/>
      <c r="AUE349" s="50"/>
      <c r="AUF349" s="50"/>
      <c r="AUG349" s="50"/>
      <c r="AUH349" s="50"/>
      <c r="AUI349" s="50"/>
      <c r="AUJ349" s="50"/>
      <c r="AUK349" s="50"/>
      <c r="AUL349" s="50"/>
      <c r="AUM349" s="50"/>
      <c r="AUN349" s="50"/>
      <c r="AUO349" s="50"/>
      <c r="AUP349" s="50"/>
      <c r="AUQ349" s="50"/>
      <c r="AUR349" s="50"/>
      <c r="AUS349" s="50"/>
      <c r="AUT349" s="50"/>
      <c r="AUU349" s="50"/>
      <c r="AUV349" s="50"/>
      <c r="AUW349" s="50"/>
      <c r="AUX349" s="50"/>
      <c r="AUY349" s="50"/>
      <c r="AUZ349" s="50"/>
      <c r="AVA349" s="50"/>
      <c r="AVB349" s="50"/>
      <c r="AVC349" s="50"/>
      <c r="AVD349" s="50"/>
      <c r="AVE349" s="50"/>
      <c r="AVF349" s="50"/>
      <c r="AVG349" s="50"/>
      <c r="AVH349" s="50"/>
      <c r="AVI349" s="50"/>
      <c r="AVJ349" s="50"/>
      <c r="AVK349" s="50"/>
      <c r="AVL349" s="50"/>
      <c r="AVM349" s="50"/>
      <c r="AVN349" s="50"/>
      <c r="AVO349" s="50"/>
      <c r="AVP349" s="50"/>
      <c r="AVQ349" s="50"/>
      <c r="AVR349" s="50"/>
      <c r="AVS349" s="50"/>
      <c r="AVT349" s="50"/>
      <c r="AVU349" s="50"/>
      <c r="AVV349" s="50"/>
      <c r="AVW349" s="50"/>
      <c r="AVX349" s="50"/>
      <c r="AVY349" s="50"/>
      <c r="AVZ349" s="50"/>
      <c r="AWA349" s="50"/>
      <c r="AWB349" s="50"/>
      <c r="AWC349" s="50"/>
      <c r="AWD349" s="50"/>
      <c r="AWE349" s="50"/>
      <c r="AWF349" s="50"/>
      <c r="AWG349" s="50"/>
      <c r="AWH349" s="50"/>
      <c r="AWI349" s="50"/>
      <c r="AWJ349" s="50"/>
      <c r="AWK349" s="50"/>
      <c r="AWL349" s="50"/>
      <c r="AWM349" s="50"/>
      <c r="AWN349" s="50"/>
      <c r="AWO349" s="50"/>
      <c r="AWP349" s="50"/>
      <c r="AWQ349" s="50"/>
      <c r="AWR349" s="50"/>
      <c r="AWS349" s="50"/>
      <c r="AWT349" s="50"/>
      <c r="AWU349" s="50"/>
      <c r="AWV349" s="50"/>
      <c r="AWW349" s="50"/>
      <c r="AWX349" s="50"/>
      <c r="AWY349" s="50"/>
      <c r="AWZ349" s="50"/>
      <c r="AXA349" s="50"/>
      <c r="AXB349" s="50"/>
      <c r="AXC349" s="50"/>
      <c r="AXD349" s="50"/>
      <c r="AXE349" s="50"/>
      <c r="AXF349" s="50"/>
      <c r="AXG349" s="50"/>
      <c r="AXH349" s="50"/>
      <c r="AXI349" s="50"/>
      <c r="AXJ349" s="50"/>
      <c r="AXK349" s="50"/>
      <c r="AXL349" s="50"/>
      <c r="AXM349" s="50"/>
      <c r="AXN349" s="50"/>
      <c r="AXO349" s="50"/>
      <c r="AXP349" s="50"/>
      <c r="AXQ349" s="50"/>
      <c r="AXR349" s="50"/>
      <c r="AXS349" s="50"/>
      <c r="AXT349" s="50"/>
      <c r="AXU349" s="50"/>
      <c r="AXV349" s="50"/>
      <c r="AXW349" s="50"/>
      <c r="AXX349" s="50"/>
      <c r="AXY349" s="50"/>
      <c r="AXZ349" s="50"/>
      <c r="AYA349" s="50"/>
      <c r="AYB349" s="50"/>
      <c r="AYC349" s="50"/>
      <c r="AYD349" s="50"/>
      <c r="AYE349" s="50"/>
      <c r="AYF349" s="50"/>
      <c r="AYG349" s="50"/>
      <c r="AYH349" s="50"/>
      <c r="AYI349" s="50"/>
      <c r="AYJ349" s="50"/>
      <c r="AYK349" s="50"/>
      <c r="AYL349" s="50"/>
      <c r="AYM349" s="50"/>
      <c r="AYN349" s="50"/>
      <c r="AYO349" s="50"/>
      <c r="AYP349" s="50"/>
      <c r="AYQ349" s="50"/>
      <c r="AYR349" s="50"/>
      <c r="AYS349" s="50"/>
      <c r="AYT349" s="50"/>
      <c r="AYU349" s="50"/>
      <c r="AYV349" s="50"/>
      <c r="AYW349" s="50"/>
      <c r="AYX349" s="50"/>
      <c r="AYY349" s="50"/>
      <c r="AYZ349" s="50"/>
      <c r="AZA349" s="50"/>
      <c r="AZB349" s="50"/>
      <c r="AZC349" s="50"/>
      <c r="AZD349" s="50"/>
      <c r="AZE349" s="50"/>
      <c r="AZF349" s="50"/>
      <c r="AZG349" s="50"/>
      <c r="AZH349" s="50"/>
      <c r="AZI349" s="50"/>
      <c r="AZJ349" s="50"/>
      <c r="AZK349" s="50"/>
      <c r="AZL349" s="50"/>
      <c r="AZM349" s="50"/>
      <c r="AZN349" s="50"/>
      <c r="AZO349" s="50"/>
      <c r="AZP349" s="50"/>
      <c r="AZQ349" s="50"/>
      <c r="AZR349" s="50"/>
      <c r="AZS349" s="50"/>
      <c r="AZT349" s="50"/>
      <c r="AZU349" s="50"/>
      <c r="AZV349" s="50"/>
      <c r="AZW349" s="50"/>
      <c r="AZX349" s="50"/>
      <c r="AZY349" s="50"/>
      <c r="AZZ349" s="50"/>
      <c r="BAA349" s="50"/>
      <c r="BAB349" s="50"/>
      <c r="BAC349" s="50"/>
      <c r="BAD349" s="50"/>
      <c r="BAE349" s="50"/>
      <c r="BAF349" s="50"/>
      <c r="BAG349" s="50"/>
      <c r="BAH349" s="50"/>
      <c r="BAI349" s="50"/>
      <c r="BAJ349" s="50"/>
      <c r="BAK349" s="50"/>
      <c r="BAL349" s="50"/>
      <c r="BAM349" s="50"/>
      <c r="BAN349" s="50"/>
      <c r="BAO349" s="50"/>
      <c r="BAP349" s="50"/>
      <c r="BAQ349" s="50"/>
      <c r="BAR349" s="50"/>
      <c r="BAS349" s="50"/>
      <c r="BAT349" s="50"/>
      <c r="BAU349" s="50"/>
      <c r="BAV349" s="50"/>
      <c r="BAW349" s="50"/>
      <c r="BAX349" s="50"/>
      <c r="BAY349" s="50"/>
      <c r="BAZ349" s="50"/>
      <c r="BBA349" s="50"/>
      <c r="BBB349" s="50"/>
      <c r="BBC349" s="50"/>
      <c r="BBD349" s="50"/>
      <c r="BBE349" s="50"/>
      <c r="BBF349" s="50"/>
      <c r="BBG349" s="50"/>
      <c r="BBH349" s="50"/>
      <c r="BBI349" s="50"/>
      <c r="BBJ349" s="50"/>
      <c r="BBK349" s="50"/>
      <c r="BBL349" s="50"/>
      <c r="BBM349" s="50"/>
      <c r="BBN349" s="50"/>
      <c r="BBO349" s="50"/>
      <c r="BBP349" s="50"/>
      <c r="BBQ349" s="50"/>
      <c r="BBR349" s="50"/>
      <c r="BBS349" s="50"/>
      <c r="BBT349" s="50"/>
      <c r="BBU349" s="50"/>
      <c r="BBV349" s="50"/>
      <c r="BBW349" s="50"/>
      <c r="BBX349" s="50"/>
      <c r="BBY349" s="50"/>
      <c r="BBZ349" s="50"/>
      <c r="BCA349" s="50"/>
      <c r="BCB349" s="50"/>
      <c r="BCC349" s="50"/>
      <c r="BCD349" s="50"/>
      <c r="BCE349" s="50"/>
      <c r="BCF349" s="50"/>
      <c r="BCG349" s="50"/>
      <c r="BCH349" s="50"/>
      <c r="BCI349" s="50"/>
      <c r="BCJ349" s="50"/>
      <c r="BCK349" s="50"/>
      <c r="BCL349" s="50"/>
      <c r="BCM349" s="50"/>
      <c r="BCN349" s="50"/>
      <c r="BCO349" s="50"/>
      <c r="BCP349" s="50"/>
      <c r="BCQ349" s="50"/>
      <c r="BCR349" s="50"/>
      <c r="BCS349" s="50"/>
      <c r="BCT349" s="50"/>
      <c r="BCU349" s="50"/>
      <c r="BCV349" s="50"/>
      <c r="BCW349" s="50"/>
      <c r="BCX349" s="50"/>
      <c r="BCY349" s="50"/>
      <c r="BCZ349" s="50"/>
      <c r="BDA349" s="50"/>
      <c r="BDB349" s="50"/>
      <c r="BDC349" s="50"/>
      <c r="BDD349" s="50"/>
      <c r="BDE349" s="50"/>
      <c r="BDF349" s="50"/>
      <c r="BDG349" s="50"/>
      <c r="BDH349" s="50"/>
      <c r="BDI349" s="50"/>
      <c r="BDJ349" s="50"/>
      <c r="BDK349" s="50"/>
      <c r="BDL349" s="50"/>
      <c r="BDM349" s="50"/>
      <c r="BDN349" s="50"/>
      <c r="BDO349" s="50"/>
      <c r="BDP349" s="50"/>
      <c r="BDQ349" s="50"/>
      <c r="BDR349" s="50"/>
      <c r="BDS349" s="50"/>
      <c r="BDT349" s="50"/>
      <c r="BDU349" s="50"/>
      <c r="BDV349" s="50"/>
      <c r="BDW349" s="50"/>
      <c r="BDX349" s="50"/>
      <c r="BDY349" s="50"/>
      <c r="BDZ349" s="50"/>
      <c r="BEA349" s="50"/>
      <c r="BEB349" s="50"/>
      <c r="BEC349" s="50"/>
      <c r="BED349" s="50"/>
      <c r="BEE349" s="50"/>
      <c r="BEF349" s="50"/>
      <c r="BEG349" s="50"/>
      <c r="BEH349" s="50"/>
      <c r="BEI349" s="50"/>
      <c r="BEJ349" s="50"/>
      <c r="BEK349" s="50"/>
      <c r="BEL349" s="50"/>
      <c r="BEM349" s="50"/>
      <c r="BEN349" s="50"/>
      <c r="BEO349" s="50"/>
      <c r="BEP349" s="50"/>
      <c r="BEQ349" s="50"/>
      <c r="BER349" s="50"/>
      <c r="BES349" s="50"/>
      <c r="BET349" s="50"/>
      <c r="BEU349" s="50"/>
      <c r="BEV349" s="50"/>
      <c r="BEW349" s="50"/>
      <c r="BEX349" s="50"/>
      <c r="BEY349" s="50"/>
      <c r="BEZ349" s="50"/>
      <c r="BFA349" s="50"/>
      <c r="BFB349" s="50"/>
      <c r="BFC349" s="50"/>
      <c r="BFD349" s="50"/>
      <c r="BFE349" s="50"/>
      <c r="BFF349" s="50"/>
      <c r="BFG349" s="50"/>
      <c r="BFH349" s="50"/>
      <c r="BFI349" s="50"/>
      <c r="BFJ349" s="50"/>
      <c r="BFK349" s="50"/>
      <c r="BFL349" s="50"/>
      <c r="BFM349" s="50"/>
      <c r="BFN349" s="50"/>
      <c r="BFO349" s="50"/>
      <c r="BFP349" s="50"/>
      <c r="BFQ349" s="50"/>
      <c r="BFR349" s="50"/>
      <c r="BFS349" s="50"/>
      <c r="BFT349" s="50"/>
      <c r="BFU349" s="50"/>
      <c r="BFV349" s="50"/>
      <c r="BFW349" s="50"/>
      <c r="BFX349" s="50"/>
      <c r="BFY349" s="50"/>
      <c r="BFZ349" s="50"/>
      <c r="BGA349" s="50"/>
      <c r="BGB349" s="50"/>
      <c r="BGC349" s="50"/>
      <c r="BGD349" s="50"/>
      <c r="BGE349" s="50"/>
      <c r="BGF349" s="50"/>
      <c r="BGG349" s="50"/>
      <c r="BGH349" s="50"/>
      <c r="BGI349" s="50"/>
      <c r="BGJ349" s="50"/>
      <c r="BGK349" s="50"/>
      <c r="BGL349" s="50"/>
      <c r="BGM349" s="50"/>
      <c r="BGN349" s="50"/>
      <c r="BGO349" s="50"/>
      <c r="BGP349" s="50"/>
      <c r="BGQ349" s="50"/>
      <c r="BGR349" s="50"/>
      <c r="BGS349" s="50"/>
      <c r="BGT349" s="50"/>
      <c r="BGU349" s="50"/>
      <c r="BGV349" s="50"/>
      <c r="BGW349" s="50"/>
      <c r="BGX349" s="50"/>
      <c r="BGY349" s="50"/>
      <c r="BGZ349" s="50"/>
      <c r="BHA349" s="50"/>
      <c r="BHB349" s="50"/>
      <c r="BHC349" s="50"/>
      <c r="BHD349" s="50"/>
      <c r="BHE349" s="50"/>
      <c r="BHF349" s="50"/>
      <c r="BHG349" s="50"/>
      <c r="BHH349" s="50"/>
      <c r="BHI349" s="50"/>
      <c r="BHJ349" s="50"/>
      <c r="BHK349" s="50"/>
      <c r="BHL349" s="50"/>
      <c r="BHM349" s="50"/>
      <c r="BHN349" s="50"/>
      <c r="BHO349" s="50"/>
      <c r="BHP349" s="50"/>
      <c r="BHQ349" s="50"/>
      <c r="BHR349" s="50"/>
      <c r="BHS349" s="50"/>
      <c r="BHT349" s="50"/>
      <c r="BHU349" s="50"/>
      <c r="BHV349" s="50"/>
      <c r="BHW349" s="50"/>
      <c r="BHX349" s="50"/>
      <c r="BHY349" s="50"/>
      <c r="BHZ349" s="50"/>
      <c r="BIA349" s="50"/>
      <c r="BIB349" s="50"/>
      <c r="BIC349" s="50"/>
      <c r="BID349" s="50"/>
      <c r="BIE349" s="50"/>
      <c r="BIF349" s="50"/>
      <c r="BIG349" s="50"/>
      <c r="BIH349" s="50"/>
      <c r="BII349" s="50"/>
      <c r="BIJ349" s="50"/>
      <c r="BIK349" s="50"/>
      <c r="BIL349" s="50"/>
      <c r="BIM349" s="50"/>
      <c r="BIN349" s="50"/>
      <c r="BIO349" s="50"/>
      <c r="BIP349" s="50"/>
      <c r="BIQ349" s="50"/>
      <c r="BIR349" s="50"/>
      <c r="BIS349" s="50"/>
      <c r="BIT349" s="50"/>
      <c r="BIU349" s="50"/>
      <c r="BIV349" s="50"/>
      <c r="BIW349" s="50"/>
      <c r="BIX349" s="50"/>
      <c r="BIY349" s="50"/>
      <c r="BIZ349" s="50"/>
      <c r="BJA349" s="50"/>
      <c r="BJB349" s="50"/>
      <c r="BJC349" s="50"/>
      <c r="BJD349" s="50"/>
      <c r="BJE349" s="50"/>
      <c r="BJF349" s="50"/>
      <c r="BJG349" s="50"/>
      <c r="BJH349" s="50"/>
      <c r="BJI349" s="50"/>
      <c r="BJJ349" s="50"/>
      <c r="BJK349" s="50"/>
      <c r="BJL349" s="50"/>
      <c r="BJM349" s="50"/>
      <c r="BJN349" s="50"/>
      <c r="BJO349" s="50"/>
      <c r="BJP349" s="50"/>
      <c r="BJQ349" s="50"/>
      <c r="BJR349" s="50"/>
      <c r="BJS349" s="50"/>
      <c r="BJT349" s="50"/>
      <c r="BJU349" s="50"/>
      <c r="BJV349" s="50"/>
      <c r="BJW349" s="50"/>
      <c r="BJX349" s="50"/>
      <c r="BJY349" s="50"/>
      <c r="BJZ349" s="50"/>
      <c r="BKA349" s="50"/>
      <c r="BKB349" s="50"/>
      <c r="BKC349" s="50"/>
      <c r="BKD349" s="50"/>
      <c r="BKE349" s="50"/>
      <c r="BKF349" s="50"/>
      <c r="BKG349" s="50"/>
      <c r="BKH349" s="50"/>
      <c r="BKI349" s="50"/>
      <c r="BKJ349" s="50"/>
      <c r="BKK349" s="50"/>
      <c r="BKL349" s="50"/>
      <c r="BKM349" s="50"/>
      <c r="BKN349" s="50"/>
      <c r="BKO349" s="50"/>
      <c r="BKP349" s="50"/>
      <c r="BKQ349" s="50"/>
      <c r="BKR349" s="50"/>
      <c r="BKS349" s="50"/>
      <c r="BKT349" s="50"/>
      <c r="BKU349" s="50"/>
      <c r="BKV349" s="50"/>
      <c r="BKW349" s="50"/>
      <c r="BKX349" s="50"/>
      <c r="BKY349" s="50"/>
      <c r="BKZ349" s="50"/>
      <c r="BLA349" s="50"/>
      <c r="BLB349" s="50"/>
      <c r="BLC349" s="50"/>
      <c r="BLD349" s="50"/>
      <c r="BLE349" s="50"/>
      <c r="BLF349" s="50"/>
      <c r="BLG349" s="50"/>
      <c r="BLH349" s="50"/>
      <c r="BLI349" s="50"/>
      <c r="BLJ349" s="50"/>
      <c r="BLK349" s="50"/>
      <c r="BLL349" s="50"/>
      <c r="BLM349" s="50"/>
      <c r="BLN349" s="50"/>
      <c r="BLO349" s="50"/>
      <c r="BLP349" s="50"/>
      <c r="BLQ349" s="50"/>
      <c r="BLR349" s="50"/>
      <c r="BLS349" s="50"/>
      <c r="BLT349" s="50"/>
      <c r="BLU349" s="50"/>
      <c r="BLV349" s="50"/>
      <c r="BLW349" s="50"/>
      <c r="BLX349" s="50"/>
      <c r="BLY349" s="50"/>
      <c r="BLZ349" s="50"/>
      <c r="BMA349" s="50"/>
      <c r="BMB349" s="50"/>
      <c r="BMC349" s="50"/>
      <c r="BMD349" s="50"/>
      <c r="BME349" s="50"/>
      <c r="BMF349" s="50"/>
      <c r="BMG349" s="50"/>
      <c r="BMH349" s="50"/>
      <c r="BMI349" s="50"/>
      <c r="BMJ349" s="50"/>
      <c r="BMK349" s="50"/>
      <c r="BML349" s="50"/>
      <c r="BMM349" s="50"/>
      <c r="BMN349" s="50"/>
      <c r="BMO349" s="50"/>
      <c r="BMP349" s="50"/>
      <c r="BMQ349" s="50"/>
      <c r="BMR349" s="50"/>
      <c r="BMS349" s="50"/>
      <c r="BMT349" s="50"/>
      <c r="BMU349" s="50"/>
      <c r="BMV349" s="50"/>
      <c r="BMW349" s="50"/>
      <c r="BMX349" s="50"/>
      <c r="BMY349" s="50"/>
      <c r="BMZ349" s="50"/>
      <c r="BNA349" s="50"/>
      <c r="BNB349" s="50"/>
      <c r="BNC349" s="50"/>
      <c r="BND349" s="50"/>
      <c r="BNE349" s="50"/>
      <c r="BNF349" s="50"/>
      <c r="BNG349" s="50"/>
      <c r="BNH349" s="50"/>
      <c r="BNI349" s="50"/>
      <c r="BNJ349" s="50"/>
      <c r="BNK349" s="50"/>
      <c r="BNL349" s="50"/>
      <c r="BNM349" s="50"/>
      <c r="BNN349" s="50"/>
      <c r="BNO349" s="50"/>
      <c r="BNP349" s="50"/>
      <c r="BNQ349" s="50"/>
      <c r="BNR349" s="50"/>
      <c r="BNS349" s="50"/>
      <c r="BNT349" s="50"/>
      <c r="BNU349" s="50"/>
      <c r="BNV349" s="50"/>
      <c r="BNW349" s="50"/>
      <c r="BNX349" s="50"/>
      <c r="BNY349" s="50"/>
      <c r="BNZ349" s="50"/>
      <c r="BOA349" s="50"/>
      <c r="BOB349" s="50"/>
      <c r="BOC349" s="50"/>
      <c r="BOD349" s="50"/>
      <c r="BOE349" s="50"/>
      <c r="BOF349" s="50"/>
      <c r="BOG349" s="50"/>
      <c r="BOH349" s="50"/>
      <c r="BOI349" s="50"/>
      <c r="BOJ349" s="50"/>
      <c r="BOK349" s="50"/>
      <c r="BOL349" s="50"/>
      <c r="BOM349" s="50"/>
      <c r="BON349" s="50"/>
      <c r="BOO349" s="50"/>
      <c r="BOP349" s="50"/>
      <c r="BOQ349" s="50"/>
      <c r="BOR349" s="50"/>
      <c r="BOS349" s="50"/>
      <c r="BOT349" s="50"/>
      <c r="BOU349" s="50"/>
      <c r="BOV349" s="50"/>
      <c r="BOW349" s="50"/>
      <c r="BOX349" s="50"/>
      <c r="BOY349" s="50"/>
      <c r="BOZ349" s="50"/>
      <c r="BPA349" s="50"/>
      <c r="BPB349" s="50"/>
      <c r="BPC349" s="50"/>
      <c r="BPD349" s="50"/>
      <c r="BPE349" s="50"/>
      <c r="BPF349" s="50"/>
      <c r="BPG349" s="50"/>
      <c r="BPH349" s="50"/>
      <c r="BPI349" s="50"/>
      <c r="BPJ349" s="50"/>
      <c r="BPK349" s="50"/>
      <c r="BPL349" s="50"/>
      <c r="BPM349" s="50"/>
      <c r="BPN349" s="50"/>
      <c r="BPO349" s="50"/>
      <c r="BPP349" s="50"/>
      <c r="BPQ349" s="50"/>
      <c r="BPR349" s="50"/>
      <c r="BPS349" s="50"/>
      <c r="BPT349" s="50"/>
      <c r="BPU349" s="50"/>
      <c r="BPV349" s="50"/>
      <c r="BPW349" s="50"/>
      <c r="BPX349" s="50"/>
      <c r="BPY349" s="50"/>
      <c r="BPZ349" s="50"/>
      <c r="BQA349" s="50"/>
      <c r="BQB349" s="50"/>
      <c r="BQC349" s="50"/>
      <c r="BQD349" s="50"/>
      <c r="BQE349" s="50"/>
      <c r="BQF349" s="50"/>
      <c r="BQG349" s="50"/>
      <c r="BQH349" s="50"/>
      <c r="BQI349" s="50"/>
      <c r="BQJ349" s="50"/>
      <c r="BQK349" s="50"/>
      <c r="BQL349" s="50"/>
      <c r="BQM349" s="50"/>
      <c r="BQN349" s="50"/>
      <c r="BQO349" s="50"/>
      <c r="BQP349" s="50"/>
      <c r="BQQ349" s="50"/>
      <c r="BQR349" s="50"/>
      <c r="BQS349" s="50"/>
      <c r="BQT349" s="50"/>
      <c r="BQU349" s="50"/>
      <c r="BQV349" s="50"/>
      <c r="BQW349" s="50"/>
      <c r="BQX349" s="50"/>
      <c r="BQY349" s="50"/>
      <c r="BQZ349" s="50"/>
      <c r="BRA349" s="50"/>
      <c r="BRB349" s="50"/>
      <c r="BRC349" s="50"/>
      <c r="BRD349" s="50"/>
      <c r="BRE349" s="50"/>
      <c r="BRF349" s="50"/>
      <c r="BRG349" s="50"/>
      <c r="BRH349" s="50"/>
      <c r="BRI349" s="50"/>
      <c r="BRJ349" s="50"/>
      <c r="BRK349" s="50"/>
      <c r="BRL349" s="50"/>
      <c r="BRM349" s="50"/>
      <c r="BRN349" s="50"/>
      <c r="BRO349" s="50"/>
      <c r="BRP349" s="50"/>
      <c r="BRQ349" s="50"/>
      <c r="BRR349" s="50"/>
      <c r="BRS349" s="50"/>
      <c r="BRT349" s="50"/>
      <c r="BRU349" s="50"/>
      <c r="BRV349" s="50"/>
      <c r="BRW349" s="50"/>
      <c r="BRX349" s="50"/>
      <c r="BRY349" s="50"/>
      <c r="BRZ349" s="50"/>
      <c r="BSA349" s="50"/>
      <c r="BSB349" s="50"/>
      <c r="BSC349" s="50"/>
      <c r="BSD349" s="50"/>
      <c r="BSE349" s="50"/>
      <c r="BSF349" s="50"/>
      <c r="BSG349" s="50"/>
      <c r="BSH349" s="50"/>
      <c r="BSI349" s="50"/>
      <c r="BSJ349" s="50"/>
      <c r="BSK349" s="50"/>
      <c r="BSL349" s="50"/>
      <c r="BSM349" s="50"/>
      <c r="BSN349" s="50"/>
      <c r="BSO349" s="50"/>
      <c r="BSP349" s="50"/>
      <c r="BSQ349" s="50"/>
      <c r="BSR349" s="50"/>
      <c r="BSS349" s="50"/>
      <c r="BST349" s="50"/>
      <c r="BSU349" s="50"/>
      <c r="BSV349" s="50"/>
      <c r="BSW349" s="50"/>
      <c r="BSX349" s="50"/>
      <c r="BSY349" s="50"/>
      <c r="BSZ349" s="50"/>
      <c r="BTA349" s="50"/>
      <c r="BTB349" s="50"/>
      <c r="BTC349" s="50"/>
      <c r="BTD349" s="50"/>
      <c r="BTE349" s="50"/>
      <c r="BTF349" s="50"/>
      <c r="BTG349" s="50"/>
      <c r="BTH349" s="50"/>
      <c r="BTI349" s="50"/>
      <c r="BTJ349" s="50"/>
      <c r="BTK349" s="50"/>
      <c r="BTL349" s="50"/>
      <c r="BTM349" s="50"/>
      <c r="BTN349" s="50"/>
      <c r="BTO349" s="50"/>
      <c r="BTP349" s="50"/>
      <c r="BTQ349" s="50"/>
      <c r="BTR349" s="50"/>
      <c r="BTS349" s="50"/>
      <c r="BTT349" s="50"/>
      <c r="BTU349" s="50"/>
      <c r="BTV349" s="50"/>
      <c r="BTW349" s="50"/>
      <c r="BTX349" s="50"/>
      <c r="BTY349" s="50"/>
      <c r="BTZ349" s="50"/>
      <c r="BUA349" s="50"/>
      <c r="BUB349" s="50"/>
      <c r="BUC349" s="50"/>
      <c r="BUD349" s="50"/>
      <c r="BUE349" s="50"/>
      <c r="BUF349" s="50"/>
      <c r="BUG349" s="50"/>
      <c r="BUH349" s="50"/>
      <c r="BUI349" s="50"/>
      <c r="BUJ349" s="50"/>
      <c r="BUK349" s="50"/>
      <c r="BUL349" s="50"/>
      <c r="BUM349" s="50"/>
      <c r="BUN349" s="50"/>
      <c r="BUO349" s="50"/>
      <c r="BUP349" s="50"/>
      <c r="BUQ349" s="50"/>
      <c r="BUR349" s="50"/>
      <c r="BUS349" s="50"/>
      <c r="BUT349" s="50"/>
      <c r="BUU349" s="50"/>
      <c r="BUV349" s="50"/>
      <c r="BUW349" s="50"/>
      <c r="BUX349" s="50"/>
      <c r="BUY349" s="50"/>
      <c r="BUZ349" s="50"/>
      <c r="BVA349" s="50"/>
      <c r="BVB349" s="50"/>
      <c r="BVC349" s="50"/>
      <c r="BVD349" s="50"/>
      <c r="BVE349" s="50"/>
      <c r="BVF349" s="50"/>
      <c r="BVG349" s="50"/>
      <c r="BVH349" s="50"/>
      <c r="BVI349" s="50"/>
      <c r="BVJ349" s="50"/>
      <c r="BVK349" s="50"/>
      <c r="BVL349" s="50"/>
      <c r="BVM349" s="50"/>
      <c r="BVN349" s="50"/>
      <c r="BVO349" s="50"/>
      <c r="BVP349" s="50"/>
      <c r="BVQ349" s="50"/>
      <c r="BVR349" s="50"/>
      <c r="BVS349" s="50"/>
      <c r="BVT349" s="50"/>
      <c r="BVU349" s="50"/>
      <c r="BVV349" s="50"/>
      <c r="BVW349" s="50"/>
      <c r="BVX349" s="50"/>
      <c r="BVY349" s="50"/>
      <c r="BVZ349" s="50"/>
      <c r="BWA349" s="50"/>
      <c r="BWB349" s="50"/>
      <c r="BWC349" s="50"/>
      <c r="BWD349" s="50"/>
      <c r="BWE349" s="50"/>
      <c r="BWF349" s="50"/>
      <c r="BWG349" s="50"/>
      <c r="BWH349" s="50"/>
      <c r="BWI349" s="50"/>
      <c r="BWJ349" s="50"/>
      <c r="BWK349" s="50"/>
      <c r="BWL349" s="50"/>
      <c r="BWM349" s="50"/>
      <c r="BWN349" s="50"/>
      <c r="BWO349" s="50"/>
      <c r="BWP349" s="50"/>
      <c r="BWQ349" s="50"/>
      <c r="BWR349" s="50"/>
      <c r="BWS349" s="50"/>
      <c r="BWT349" s="50"/>
      <c r="BWU349" s="50"/>
      <c r="BWV349" s="50"/>
      <c r="BWW349" s="50"/>
      <c r="BWX349" s="50"/>
      <c r="BWY349" s="50"/>
      <c r="BWZ349" s="50"/>
      <c r="BXA349" s="50"/>
      <c r="BXB349" s="50"/>
      <c r="BXC349" s="50"/>
      <c r="BXD349" s="50"/>
      <c r="BXE349" s="50"/>
      <c r="BXF349" s="50"/>
      <c r="BXG349" s="50"/>
      <c r="BXH349" s="50"/>
      <c r="BXI349" s="50"/>
      <c r="BXJ349" s="50"/>
      <c r="BXK349" s="50"/>
      <c r="BXL349" s="50"/>
      <c r="BXM349" s="50"/>
      <c r="BXN349" s="50"/>
      <c r="BXO349" s="50"/>
      <c r="BXP349" s="50"/>
      <c r="BXQ349" s="50"/>
      <c r="BXR349" s="50"/>
      <c r="BXS349" s="50"/>
      <c r="BXT349" s="50"/>
      <c r="BXU349" s="50"/>
      <c r="BXV349" s="50"/>
      <c r="BXW349" s="50"/>
      <c r="BXX349" s="50"/>
      <c r="BXY349" s="50"/>
      <c r="BXZ349" s="50"/>
      <c r="BYA349" s="50"/>
      <c r="BYB349" s="50"/>
      <c r="BYC349" s="50"/>
      <c r="BYD349" s="50"/>
      <c r="BYE349" s="50"/>
      <c r="BYF349" s="50"/>
      <c r="BYG349" s="50"/>
      <c r="BYH349" s="50"/>
      <c r="BYI349" s="50"/>
      <c r="BYJ349" s="50"/>
      <c r="BYK349" s="50"/>
      <c r="BYL349" s="50"/>
      <c r="BYM349" s="50"/>
      <c r="BYN349" s="50"/>
      <c r="BYO349" s="50"/>
      <c r="BYP349" s="50"/>
      <c r="BYQ349" s="50"/>
      <c r="BYR349" s="50"/>
      <c r="BYS349" s="50"/>
      <c r="BYT349" s="50"/>
      <c r="BYU349" s="50"/>
      <c r="BYV349" s="50"/>
      <c r="BYW349" s="50"/>
      <c r="BYX349" s="50"/>
      <c r="BYY349" s="50"/>
      <c r="BYZ349" s="50"/>
      <c r="BZA349" s="50"/>
      <c r="BZB349" s="50"/>
      <c r="BZC349" s="50"/>
      <c r="BZD349" s="50"/>
      <c r="BZE349" s="50"/>
      <c r="BZF349" s="50"/>
      <c r="BZG349" s="50"/>
      <c r="BZH349" s="50"/>
      <c r="BZI349" s="50"/>
      <c r="BZJ349" s="50"/>
      <c r="BZK349" s="50"/>
      <c r="BZL349" s="50"/>
      <c r="BZM349" s="50"/>
      <c r="BZN349" s="50"/>
      <c r="BZO349" s="50"/>
      <c r="BZP349" s="50"/>
      <c r="BZQ349" s="50"/>
      <c r="BZR349" s="50"/>
      <c r="BZS349" s="50"/>
      <c r="BZT349" s="50"/>
      <c r="BZU349" s="50"/>
      <c r="BZV349" s="50"/>
      <c r="BZW349" s="50"/>
      <c r="BZX349" s="50"/>
      <c r="BZY349" s="50"/>
      <c r="BZZ349" s="50"/>
      <c r="CAA349" s="50"/>
      <c r="CAB349" s="50"/>
      <c r="CAC349" s="50"/>
      <c r="CAD349" s="50"/>
      <c r="CAE349" s="50"/>
      <c r="CAF349" s="50"/>
      <c r="CAG349" s="50"/>
      <c r="CAH349" s="50"/>
      <c r="CAI349" s="50"/>
      <c r="CAJ349" s="50"/>
      <c r="CAK349" s="50"/>
      <c r="CAL349" s="50"/>
      <c r="CAM349" s="50"/>
      <c r="CAN349" s="50"/>
      <c r="CAO349" s="50"/>
      <c r="CAP349" s="50"/>
      <c r="CAQ349" s="50"/>
      <c r="CAR349" s="50"/>
      <c r="CAS349" s="50"/>
      <c r="CAT349" s="50"/>
      <c r="CAU349" s="50"/>
      <c r="CAV349" s="50"/>
      <c r="CAW349" s="50"/>
      <c r="CAX349" s="50"/>
      <c r="CAY349" s="50"/>
      <c r="CAZ349" s="50"/>
      <c r="CBA349" s="50"/>
      <c r="CBB349" s="50"/>
      <c r="CBC349" s="50"/>
      <c r="CBD349" s="50"/>
      <c r="CBE349" s="50"/>
      <c r="CBF349" s="50"/>
      <c r="CBG349" s="50"/>
      <c r="CBH349" s="50"/>
      <c r="CBI349" s="50"/>
      <c r="CBJ349" s="50"/>
      <c r="CBK349" s="50"/>
      <c r="CBL349" s="50"/>
      <c r="CBM349" s="50"/>
      <c r="CBN349" s="50"/>
      <c r="CBO349" s="50"/>
      <c r="CBP349" s="50"/>
      <c r="CBQ349" s="50"/>
      <c r="CBR349" s="50"/>
      <c r="CBS349" s="50"/>
      <c r="CBT349" s="50"/>
      <c r="CBU349" s="50"/>
      <c r="CBV349" s="50"/>
      <c r="CBW349" s="50"/>
      <c r="CBX349" s="50"/>
      <c r="CBY349" s="50"/>
      <c r="CBZ349" s="50"/>
      <c r="CCA349" s="50"/>
      <c r="CCB349" s="50"/>
      <c r="CCC349" s="50"/>
      <c r="CCD349" s="50"/>
      <c r="CCE349" s="50"/>
      <c r="CCF349" s="50"/>
      <c r="CCG349" s="50"/>
      <c r="CCH349" s="50"/>
      <c r="CCI349" s="50"/>
      <c r="CCJ349" s="50"/>
      <c r="CCK349" s="50"/>
      <c r="CCL349" s="50"/>
      <c r="CCM349" s="50"/>
      <c r="CCN349" s="50"/>
      <c r="CCO349" s="50"/>
      <c r="CCP349" s="50"/>
      <c r="CCQ349" s="50"/>
      <c r="CCR349" s="50"/>
      <c r="CCS349" s="50"/>
      <c r="CCT349" s="50"/>
      <c r="CCU349" s="50"/>
      <c r="CCV349" s="50"/>
      <c r="CCW349" s="50"/>
      <c r="CCX349" s="50"/>
      <c r="CCY349" s="50"/>
      <c r="CCZ349" s="50"/>
      <c r="CDA349" s="50"/>
      <c r="CDB349" s="50"/>
      <c r="CDC349" s="50"/>
      <c r="CDD349" s="50"/>
      <c r="CDE349" s="50"/>
      <c r="CDF349" s="50"/>
      <c r="CDG349" s="50"/>
      <c r="CDH349" s="50"/>
      <c r="CDI349" s="50"/>
      <c r="CDJ349" s="50"/>
      <c r="CDK349" s="50"/>
      <c r="CDL349" s="50"/>
      <c r="CDM349" s="50"/>
      <c r="CDN349" s="50"/>
      <c r="CDO349" s="50"/>
      <c r="CDP349" s="50"/>
      <c r="CDQ349" s="50"/>
      <c r="CDR349" s="50"/>
      <c r="CDS349" s="50"/>
      <c r="CDT349" s="50"/>
      <c r="CDU349" s="50"/>
      <c r="CDV349" s="50"/>
      <c r="CDW349" s="50"/>
      <c r="CDX349" s="50"/>
      <c r="CDY349" s="50"/>
      <c r="CDZ349" s="50"/>
      <c r="CEA349" s="50"/>
      <c r="CEB349" s="50"/>
      <c r="CEC349" s="50"/>
      <c r="CED349" s="50"/>
      <c r="CEE349" s="50"/>
      <c r="CEF349" s="50"/>
      <c r="CEG349" s="50"/>
      <c r="CEH349" s="50"/>
      <c r="CEI349" s="50"/>
      <c r="CEJ349" s="50"/>
      <c r="CEK349" s="50"/>
      <c r="CEL349" s="50"/>
      <c r="CEM349" s="50"/>
      <c r="CEN349" s="50"/>
      <c r="CEO349" s="50"/>
      <c r="CEP349" s="50"/>
      <c r="CEQ349" s="50"/>
      <c r="CER349" s="50"/>
      <c r="CES349" s="50"/>
      <c r="CET349" s="50"/>
      <c r="CEU349" s="50"/>
      <c r="CEV349" s="50"/>
      <c r="CEW349" s="50"/>
      <c r="CEX349" s="50"/>
      <c r="CEY349" s="50"/>
      <c r="CEZ349" s="50"/>
      <c r="CFA349" s="50"/>
      <c r="CFB349" s="50"/>
      <c r="CFC349" s="50"/>
      <c r="CFD349" s="50"/>
      <c r="CFE349" s="50"/>
      <c r="CFF349" s="50"/>
      <c r="CFG349" s="50"/>
      <c r="CFH349" s="50"/>
      <c r="CFI349" s="50"/>
      <c r="CFJ349" s="50"/>
      <c r="CFK349" s="50"/>
      <c r="CFL349" s="50"/>
      <c r="CFM349" s="50"/>
      <c r="CFN349" s="50"/>
      <c r="CFO349" s="50"/>
      <c r="CFP349" s="50"/>
      <c r="CFQ349" s="50"/>
      <c r="CFR349" s="50"/>
      <c r="CFS349" s="50"/>
      <c r="CFT349" s="50"/>
      <c r="CFU349" s="50"/>
      <c r="CFV349" s="50"/>
      <c r="CFW349" s="50"/>
      <c r="CFX349" s="50"/>
      <c r="CFY349" s="50"/>
      <c r="CFZ349" s="50"/>
      <c r="CGA349" s="50"/>
      <c r="CGB349" s="50"/>
      <c r="CGC349" s="50"/>
      <c r="CGD349" s="50"/>
      <c r="CGE349" s="50"/>
      <c r="CGF349" s="50"/>
      <c r="CGG349" s="50"/>
      <c r="CGH349" s="50"/>
      <c r="CGI349" s="50"/>
      <c r="CGJ349" s="50"/>
      <c r="CGK349" s="50"/>
      <c r="CGL349" s="50"/>
      <c r="CGM349" s="50"/>
      <c r="CGN349" s="50"/>
      <c r="CGO349" s="50"/>
      <c r="CGP349" s="50"/>
      <c r="CGQ349" s="50"/>
      <c r="CGR349" s="50"/>
      <c r="CGS349" s="50"/>
      <c r="CGT349" s="50"/>
      <c r="CGU349" s="50"/>
      <c r="CGV349" s="50"/>
      <c r="CGW349" s="50"/>
      <c r="CGX349" s="50"/>
      <c r="CGY349" s="50"/>
      <c r="CGZ349" s="50"/>
      <c r="CHA349" s="50"/>
      <c r="CHB349" s="50"/>
      <c r="CHC349" s="50"/>
      <c r="CHD349" s="50"/>
      <c r="CHE349" s="50"/>
      <c r="CHF349" s="50"/>
      <c r="CHG349" s="50"/>
      <c r="CHH349" s="50"/>
      <c r="CHI349" s="50"/>
      <c r="CHJ349" s="50"/>
      <c r="CHK349" s="50"/>
      <c r="CHL349" s="50"/>
      <c r="CHM349" s="50"/>
      <c r="CHN349" s="50"/>
      <c r="CHO349" s="50"/>
      <c r="CHP349" s="50"/>
      <c r="CHQ349" s="50"/>
      <c r="CHR349" s="50"/>
      <c r="CHS349" s="50"/>
      <c r="CHT349" s="50"/>
      <c r="CHU349" s="50"/>
      <c r="CHV349" s="50"/>
      <c r="CHW349" s="50"/>
      <c r="CHX349" s="50"/>
      <c r="CHY349" s="50"/>
      <c r="CHZ349" s="50"/>
      <c r="CIA349" s="50"/>
      <c r="CIB349" s="50"/>
      <c r="CIC349" s="50"/>
      <c r="CID349" s="50"/>
      <c r="CIE349" s="50"/>
      <c r="CIF349" s="50"/>
      <c r="CIG349" s="50"/>
      <c r="CIH349" s="50"/>
      <c r="CII349" s="50"/>
      <c r="CIJ349" s="50"/>
      <c r="CIK349" s="50"/>
      <c r="CIL349" s="50"/>
      <c r="CIM349" s="50"/>
      <c r="CIN349" s="50"/>
      <c r="CIO349" s="50"/>
      <c r="CIP349" s="50"/>
      <c r="CIQ349" s="50"/>
      <c r="CIR349" s="50"/>
      <c r="CIS349" s="50"/>
      <c r="CIT349" s="50"/>
      <c r="CIU349" s="50"/>
      <c r="CIV349" s="50"/>
      <c r="CIW349" s="50"/>
      <c r="CIX349" s="50"/>
      <c r="CIY349" s="50"/>
      <c r="CIZ349" s="50"/>
      <c r="CJA349" s="50"/>
      <c r="CJB349" s="50"/>
      <c r="CJC349" s="50"/>
      <c r="CJD349" s="50"/>
      <c r="CJE349" s="50"/>
      <c r="CJF349" s="50"/>
      <c r="CJG349" s="50"/>
      <c r="CJH349" s="50"/>
      <c r="CJI349" s="50"/>
      <c r="CJJ349" s="50"/>
      <c r="CJK349" s="50"/>
      <c r="CJL349" s="50"/>
      <c r="CJM349" s="50"/>
      <c r="CJN349" s="50"/>
      <c r="CJO349" s="50"/>
      <c r="CJP349" s="50"/>
      <c r="CJQ349" s="50"/>
      <c r="CJR349" s="50"/>
      <c r="CJS349" s="50"/>
      <c r="CJT349" s="50"/>
      <c r="CJU349" s="50"/>
      <c r="CJV349" s="50"/>
      <c r="CJW349" s="50"/>
      <c r="CJX349" s="50"/>
      <c r="CJY349" s="50"/>
      <c r="CJZ349" s="50"/>
      <c r="CKA349" s="50"/>
      <c r="CKB349" s="50"/>
      <c r="CKC349" s="50"/>
      <c r="CKD349" s="50"/>
      <c r="CKE349" s="50"/>
      <c r="CKF349" s="50"/>
      <c r="CKG349" s="50"/>
      <c r="CKH349" s="50"/>
      <c r="CKI349" s="50"/>
      <c r="CKJ349" s="50"/>
      <c r="CKK349" s="50"/>
      <c r="CKL349" s="50"/>
      <c r="CKM349" s="50"/>
      <c r="CKN349" s="50"/>
      <c r="CKO349" s="50"/>
      <c r="CKP349" s="50"/>
      <c r="CKQ349" s="50"/>
      <c r="CKR349" s="50"/>
      <c r="CKS349" s="50"/>
      <c r="CKT349" s="50"/>
      <c r="CKU349" s="50"/>
      <c r="CKV349" s="50"/>
      <c r="CKW349" s="50"/>
      <c r="CKX349" s="50"/>
      <c r="CKY349" s="50"/>
      <c r="CKZ349" s="50"/>
      <c r="CLA349" s="50"/>
      <c r="CLB349" s="50"/>
      <c r="CLC349" s="50"/>
      <c r="CLD349" s="50"/>
      <c r="CLE349" s="50"/>
      <c r="CLF349" s="50"/>
      <c r="CLG349" s="50"/>
      <c r="CLH349" s="50"/>
      <c r="CLI349" s="50"/>
      <c r="CLJ349" s="50"/>
      <c r="CLK349" s="50"/>
      <c r="CLL349" s="50"/>
      <c r="CLM349" s="50"/>
      <c r="CLN349" s="50"/>
      <c r="CLO349" s="50"/>
      <c r="CLP349" s="50"/>
      <c r="CLQ349" s="50"/>
      <c r="CLR349" s="50"/>
      <c r="CLS349" s="50"/>
      <c r="CLT349" s="50"/>
      <c r="CLU349" s="50"/>
      <c r="CLV349" s="50"/>
      <c r="CLW349" s="50"/>
      <c r="CLX349" s="50"/>
      <c r="CLY349" s="50"/>
      <c r="CLZ349" s="50"/>
      <c r="CMA349" s="50"/>
      <c r="CMB349" s="50"/>
      <c r="CMC349" s="50"/>
      <c r="CMD349" s="50"/>
      <c r="CME349" s="50"/>
      <c r="CMF349" s="50"/>
      <c r="CMG349" s="50"/>
      <c r="CMH349" s="50"/>
      <c r="CMI349" s="50"/>
      <c r="CMJ349" s="50"/>
      <c r="CMK349" s="50"/>
      <c r="CML349" s="50"/>
      <c r="CMM349" s="50"/>
      <c r="CMN349" s="50"/>
      <c r="CMO349" s="50"/>
      <c r="CMP349" s="50"/>
      <c r="CMQ349" s="50"/>
      <c r="CMR349" s="50"/>
      <c r="CMS349" s="50"/>
      <c r="CMT349" s="50"/>
      <c r="CMU349" s="50"/>
      <c r="CMV349" s="50"/>
      <c r="CMW349" s="50"/>
      <c r="CMX349" s="50"/>
      <c r="CMY349" s="50"/>
      <c r="CMZ349" s="50"/>
      <c r="CNA349" s="50"/>
      <c r="CNB349" s="50"/>
      <c r="CNC349" s="50"/>
      <c r="CND349" s="50"/>
      <c r="CNE349" s="50"/>
      <c r="CNF349" s="50"/>
      <c r="CNG349" s="50"/>
      <c r="CNH349" s="50"/>
      <c r="CNI349" s="50"/>
      <c r="CNJ349" s="50"/>
      <c r="CNK349" s="50"/>
      <c r="CNL349" s="50"/>
      <c r="CNM349" s="50"/>
      <c r="CNN349" s="50"/>
      <c r="CNO349" s="50"/>
      <c r="CNP349" s="50"/>
      <c r="CNQ349" s="50"/>
      <c r="CNR349" s="50"/>
      <c r="CNS349" s="50"/>
      <c r="CNT349" s="50"/>
      <c r="CNU349" s="50"/>
      <c r="CNV349" s="50"/>
      <c r="CNW349" s="50"/>
      <c r="CNX349" s="50"/>
      <c r="CNY349" s="50"/>
      <c r="CNZ349" s="50"/>
      <c r="COA349" s="50"/>
      <c r="COB349" s="50"/>
      <c r="COC349" s="50"/>
      <c r="COD349" s="50"/>
      <c r="COE349" s="50"/>
      <c r="COF349" s="50"/>
      <c r="COG349" s="50"/>
      <c r="COH349" s="50"/>
      <c r="COI349" s="50"/>
      <c r="COJ349" s="50"/>
      <c r="COK349" s="50"/>
      <c r="COL349" s="50"/>
      <c r="COM349" s="50"/>
      <c r="CON349" s="50"/>
      <c r="COO349" s="50"/>
      <c r="COP349" s="50"/>
      <c r="COQ349" s="50"/>
      <c r="COR349" s="50"/>
      <c r="COS349" s="50"/>
      <c r="COT349" s="50"/>
      <c r="COU349" s="50"/>
      <c r="COV349" s="50"/>
      <c r="COW349" s="50"/>
      <c r="COX349" s="50"/>
      <c r="COY349" s="50"/>
      <c r="COZ349" s="50"/>
      <c r="CPA349" s="50"/>
      <c r="CPB349" s="50"/>
      <c r="CPC349" s="50"/>
      <c r="CPD349" s="50"/>
      <c r="CPE349" s="50"/>
      <c r="CPF349" s="50"/>
      <c r="CPG349" s="50"/>
      <c r="CPH349" s="50"/>
      <c r="CPI349" s="50"/>
      <c r="CPJ349" s="50"/>
      <c r="CPK349" s="50"/>
      <c r="CPL349" s="50"/>
      <c r="CPM349" s="50"/>
      <c r="CPN349" s="50"/>
      <c r="CPO349" s="50"/>
      <c r="CPP349" s="50"/>
      <c r="CPQ349" s="50"/>
      <c r="CPR349" s="50"/>
      <c r="CPS349" s="50"/>
      <c r="CPT349" s="50"/>
      <c r="CPU349" s="50"/>
      <c r="CPV349" s="50"/>
      <c r="CPW349" s="50"/>
      <c r="CPX349" s="50"/>
      <c r="CPY349" s="50"/>
      <c r="CPZ349" s="50"/>
      <c r="CQA349" s="50"/>
      <c r="CQB349" s="50"/>
      <c r="CQC349" s="50"/>
      <c r="CQD349" s="50"/>
      <c r="CQE349" s="50"/>
      <c r="CQF349" s="50"/>
      <c r="CQG349" s="50"/>
      <c r="CQH349" s="50"/>
      <c r="CQI349" s="50"/>
      <c r="CQJ349" s="50"/>
      <c r="CQK349" s="50"/>
      <c r="CQL349" s="50"/>
      <c r="CQM349" s="50"/>
      <c r="CQN349" s="50"/>
      <c r="CQO349" s="50"/>
      <c r="CQP349" s="50"/>
      <c r="CQQ349" s="50"/>
      <c r="CQR349" s="50"/>
      <c r="CQS349" s="50"/>
      <c r="CQT349" s="50"/>
      <c r="CQU349" s="50"/>
      <c r="CQV349" s="50"/>
      <c r="CQW349" s="50"/>
      <c r="CQX349" s="50"/>
      <c r="CQY349" s="50"/>
      <c r="CQZ349" s="50"/>
      <c r="CRA349" s="50"/>
      <c r="CRB349" s="50"/>
      <c r="CRC349" s="50"/>
      <c r="CRD349" s="50"/>
      <c r="CRE349" s="50"/>
      <c r="CRF349" s="50"/>
      <c r="CRG349" s="50"/>
      <c r="CRH349" s="50"/>
      <c r="CRI349" s="50"/>
      <c r="CRJ349" s="50"/>
      <c r="CRK349" s="50"/>
      <c r="CRL349" s="50"/>
      <c r="CRM349" s="50"/>
      <c r="CRN349" s="50"/>
      <c r="CRO349" s="50"/>
      <c r="CRP349" s="50"/>
      <c r="CRQ349" s="50"/>
      <c r="CRR349" s="50"/>
      <c r="CRS349" s="50"/>
      <c r="CRT349" s="50"/>
      <c r="CRU349" s="50"/>
      <c r="CRV349" s="50"/>
      <c r="CRW349" s="50"/>
      <c r="CRX349" s="50"/>
      <c r="CRY349" s="50"/>
      <c r="CRZ349" s="50"/>
      <c r="CSA349" s="50"/>
      <c r="CSB349" s="50"/>
      <c r="CSC349" s="50"/>
      <c r="CSD349" s="50"/>
      <c r="CSE349" s="50"/>
      <c r="CSF349" s="50"/>
      <c r="CSG349" s="50"/>
      <c r="CSH349" s="50"/>
      <c r="CSI349" s="50"/>
      <c r="CSJ349" s="50"/>
      <c r="CSK349" s="50"/>
      <c r="CSL349" s="50"/>
      <c r="CSM349" s="50"/>
      <c r="CSN349" s="50"/>
      <c r="CSO349" s="50"/>
      <c r="CSP349" s="50"/>
      <c r="CSQ349" s="50"/>
      <c r="CSR349" s="50"/>
      <c r="CSS349" s="50"/>
      <c r="CST349" s="50"/>
      <c r="CSU349" s="50"/>
      <c r="CSV349" s="50"/>
      <c r="CSW349" s="50"/>
      <c r="CSX349" s="50"/>
      <c r="CSY349" s="50"/>
      <c r="CSZ349" s="50"/>
      <c r="CTA349" s="50"/>
      <c r="CTB349" s="50"/>
      <c r="CTC349" s="50"/>
      <c r="CTD349" s="50"/>
      <c r="CTE349" s="50"/>
      <c r="CTF349" s="50"/>
      <c r="CTG349" s="50"/>
      <c r="CTH349" s="50"/>
      <c r="CTI349" s="50"/>
      <c r="CTJ349" s="50"/>
      <c r="CTK349" s="50"/>
      <c r="CTL349" s="50"/>
      <c r="CTM349" s="50"/>
      <c r="CTN349" s="50"/>
      <c r="CTO349" s="50"/>
      <c r="CTP349" s="50"/>
      <c r="CTQ349" s="50"/>
      <c r="CTR349" s="50"/>
      <c r="CTS349" s="50"/>
      <c r="CTT349" s="50"/>
      <c r="CTU349" s="50"/>
      <c r="CTV349" s="50"/>
      <c r="CTW349" s="50"/>
      <c r="CTX349" s="50"/>
      <c r="CTY349" s="50"/>
      <c r="CTZ349" s="50"/>
      <c r="CUA349" s="50"/>
      <c r="CUB349" s="50"/>
      <c r="CUC349" s="50"/>
      <c r="CUD349" s="50"/>
      <c r="CUE349" s="50"/>
      <c r="CUF349" s="50"/>
      <c r="CUG349" s="50"/>
      <c r="CUH349" s="50"/>
      <c r="CUI349" s="50"/>
      <c r="CUJ349" s="50"/>
      <c r="CUK349" s="50"/>
      <c r="CUL349" s="50"/>
      <c r="CUM349" s="50"/>
      <c r="CUN349" s="50"/>
      <c r="CUO349" s="50"/>
      <c r="CUP349" s="50"/>
      <c r="CUQ349" s="50"/>
      <c r="CUR349" s="50"/>
      <c r="CUS349" s="50"/>
      <c r="CUT349" s="50"/>
      <c r="CUU349" s="50"/>
      <c r="CUV349" s="50"/>
      <c r="CUW349" s="50"/>
      <c r="CUX349" s="50"/>
      <c r="CUY349" s="50"/>
      <c r="CUZ349" s="50"/>
      <c r="CVA349" s="50"/>
      <c r="CVB349" s="50"/>
      <c r="CVC349" s="50"/>
      <c r="CVD349" s="50"/>
      <c r="CVE349" s="50"/>
      <c r="CVF349" s="50"/>
      <c r="CVG349" s="50"/>
      <c r="CVH349" s="50"/>
      <c r="CVI349" s="50"/>
      <c r="CVJ349" s="50"/>
      <c r="CVK349" s="50"/>
      <c r="CVL349" s="50"/>
      <c r="CVM349" s="50"/>
      <c r="CVN349" s="50"/>
      <c r="CVO349" s="50"/>
      <c r="CVP349" s="50"/>
      <c r="CVQ349" s="50"/>
      <c r="CVR349" s="50"/>
      <c r="CVS349" s="50"/>
      <c r="CVT349" s="50"/>
      <c r="CVU349" s="50"/>
      <c r="CVV349" s="50"/>
      <c r="CVW349" s="50"/>
      <c r="CVX349" s="50"/>
      <c r="CVY349" s="50"/>
      <c r="CVZ349" s="50"/>
      <c r="CWA349" s="50"/>
      <c r="CWB349" s="50"/>
      <c r="CWC349" s="50"/>
      <c r="CWD349" s="50"/>
      <c r="CWE349" s="50"/>
      <c r="CWF349" s="50"/>
      <c r="CWG349" s="50"/>
      <c r="CWH349" s="50"/>
      <c r="CWI349" s="50"/>
      <c r="CWJ349" s="50"/>
      <c r="CWK349" s="50"/>
      <c r="CWL349" s="50"/>
      <c r="CWM349" s="50"/>
      <c r="CWN349" s="50"/>
      <c r="CWO349" s="50"/>
      <c r="CWP349" s="50"/>
      <c r="CWQ349" s="50"/>
      <c r="CWR349" s="50"/>
      <c r="CWS349" s="50"/>
      <c r="CWT349" s="50"/>
      <c r="CWU349" s="50"/>
      <c r="CWV349" s="50"/>
      <c r="CWW349" s="50"/>
      <c r="CWX349" s="50"/>
      <c r="CWY349" s="50"/>
      <c r="CWZ349" s="50"/>
      <c r="CXA349" s="50"/>
      <c r="CXB349" s="50"/>
      <c r="CXC349" s="50"/>
      <c r="CXD349" s="50"/>
      <c r="CXE349" s="50"/>
      <c r="CXF349" s="50"/>
      <c r="CXG349" s="50"/>
      <c r="CXH349" s="50"/>
      <c r="CXI349" s="50"/>
      <c r="CXJ349" s="50"/>
      <c r="CXK349" s="50"/>
      <c r="CXL349" s="50"/>
      <c r="CXM349" s="50"/>
      <c r="CXN349" s="50"/>
      <c r="CXO349" s="50"/>
      <c r="CXP349" s="50"/>
      <c r="CXQ349" s="50"/>
      <c r="CXR349" s="50"/>
      <c r="CXS349" s="50"/>
      <c r="CXT349" s="50"/>
      <c r="CXU349" s="50"/>
      <c r="CXV349" s="50"/>
      <c r="CXW349" s="50"/>
      <c r="CXX349" s="50"/>
      <c r="CXY349" s="50"/>
      <c r="CXZ349" s="50"/>
      <c r="CYA349" s="50"/>
      <c r="CYB349" s="50"/>
      <c r="CYC349" s="50"/>
      <c r="CYD349" s="50"/>
      <c r="CYE349" s="50"/>
      <c r="CYF349" s="50"/>
      <c r="CYG349" s="50"/>
      <c r="CYH349" s="50"/>
      <c r="CYI349" s="50"/>
      <c r="CYJ349" s="50"/>
      <c r="CYK349" s="50"/>
      <c r="CYL349" s="50"/>
      <c r="CYM349" s="50"/>
      <c r="CYN349" s="50"/>
      <c r="CYO349" s="50"/>
      <c r="CYP349" s="50"/>
      <c r="CYQ349" s="50"/>
      <c r="CYR349" s="50"/>
      <c r="CYS349" s="50"/>
      <c r="CYT349" s="50"/>
      <c r="CYU349" s="50"/>
      <c r="CYV349" s="50"/>
      <c r="CYW349" s="50"/>
      <c r="CYX349" s="50"/>
      <c r="CYY349" s="50"/>
      <c r="CYZ349" s="50"/>
      <c r="CZA349" s="50"/>
      <c r="CZB349" s="50"/>
      <c r="CZC349" s="50"/>
      <c r="CZD349" s="50"/>
      <c r="CZE349" s="50"/>
      <c r="CZF349" s="50"/>
      <c r="CZG349" s="50"/>
      <c r="CZH349" s="50"/>
      <c r="CZI349" s="50"/>
      <c r="CZJ349" s="50"/>
      <c r="CZK349" s="50"/>
      <c r="CZL349" s="50"/>
      <c r="CZM349" s="50"/>
      <c r="CZN349" s="50"/>
      <c r="CZO349" s="50"/>
      <c r="CZP349" s="50"/>
      <c r="CZQ349" s="50"/>
      <c r="CZR349" s="50"/>
      <c r="CZS349" s="50"/>
      <c r="CZT349" s="50"/>
      <c r="CZU349" s="50"/>
      <c r="CZV349" s="50"/>
      <c r="CZW349" s="50"/>
      <c r="CZX349" s="50"/>
      <c r="CZY349" s="50"/>
      <c r="CZZ349" s="50"/>
      <c r="DAA349" s="50"/>
      <c r="DAB349" s="50"/>
      <c r="DAC349" s="50"/>
      <c r="DAD349" s="50"/>
      <c r="DAE349" s="50"/>
      <c r="DAF349" s="50"/>
      <c r="DAG349" s="50"/>
      <c r="DAH349" s="50"/>
      <c r="DAI349" s="50"/>
      <c r="DAJ349" s="50"/>
      <c r="DAK349" s="50"/>
      <c r="DAL349" s="50"/>
      <c r="DAM349" s="50"/>
      <c r="DAN349" s="50"/>
      <c r="DAO349" s="50"/>
      <c r="DAP349" s="50"/>
      <c r="DAQ349" s="50"/>
      <c r="DAR349" s="50"/>
      <c r="DAS349" s="50"/>
      <c r="DAT349" s="50"/>
      <c r="DAU349" s="50"/>
      <c r="DAV349" s="50"/>
      <c r="DAW349" s="50"/>
      <c r="DAX349" s="50"/>
      <c r="DAY349" s="50"/>
      <c r="DAZ349" s="50"/>
      <c r="DBA349" s="50"/>
      <c r="DBB349" s="50"/>
      <c r="DBC349" s="50"/>
      <c r="DBD349" s="50"/>
      <c r="DBE349" s="50"/>
      <c r="DBF349" s="50"/>
      <c r="DBG349" s="50"/>
      <c r="DBH349" s="50"/>
      <c r="DBI349" s="50"/>
      <c r="DBJ349" s="50"/>
      <c r="DBK349" s="50"/>
      <c r="DBL349" s="50"/>
      <c r="DBM349" s="50"/>
      <c r="DBN349" s="50"/>
      <c r="DBO349" s="50"/>
      <c r="DBP349" s="50"/>
      <c r="DBQ349" s="50"/>
      <c r="DBR349" s="50"/>
      <c r="DBS349" s="50"/>
      <c r="DBT349" s="50"/>
      <c r="DBU349" s="50"/>
      <c r="DBV349" s="50"/>
      <c r="DBW349" s="50"/>
      <c r="DBX349" s="50"/>
      <c r="DBY349" s="50"/>
      <c r="DBZ349" s="50"/>
      <c r="DCA349" s="50"/>
      <c r="DCB349" s="50"/>
      <c r="DCC349" s="50"/>
      <c r="DCD349" s="50"/>
      <c r="DCE349" s="50"/>
      <c r="DCF349" s="50"/>
      <c r="DCG349" s="50"/>
      <c r="DCH349" s="50"/>
      <c r="DCI349" s="50"/>
      <c r="DCJ349" s="50"/>
      <c r="DCK349" s="50"/>
      <c r="DCL349" s="50"/>
      <c r="DCM349" s="50"/>
      <c r="DCN349" s="50"/>
      <c r="DCO349" s="50"/>
      <c r="DCP349" s="50"/>
      <c r="DCQ349" s="50"/>
      <c r="DCR349" s="50"/>
      <c r="DCS349" s="50"/>
      <c r="DCT349" s="50"/>
      <c r="DCU349" s="50"/>
      <c r="DCV349" s="50"/>
      <c r="DCW349" s="50"/>
      <c r="DCX349" s="50"/>
      <c r="DCY349" s="50"/>
      <c r="DCZ349" s="50"/>
      <c r="DDA349" s="50"/>
      <c r="DDB349" s="50"/>
      <c r="DDC349" s="50"/>
      <c r="DDD349" s="50"/>
      <c r="DDE349" s="50"/>
      <c r="DDF349" s="50"/>
      <c r="DDG349" s="50"/>
      <c r="DDH349" s="50"/>
      <c r="DDI349" s="50"/>
      <c r="DDJ349" s="50"/>
      <c r="DDK349" s="50"/>
      <c r="DDL349" s="50"/>
      <c r="DDM349" s="50"/>
      <c r="DDN349" s="50"/>
      <c r="DDO349" s="50"/>
      <c r="DDP349" s="50"/>
      <c r="DDQ349" s="50"/>
      <c r="DDR349" s="50"/>
      <c r="DDS349" s="50"/>
      <c r="DDT349" s="50"/>
      <c r="DDU349" s="50"/>
      <c r="DDV349" s="50"/>
      <c r="DDW349" s="50"/>
      <c r="DDX349" s="50"/>
      <c r="DDY349" s="50"/>
      <c r="DDZ349" s="50"/>
      <c r="DEA349" s="50"/>
      <c r="DEB349" s="50"/>
      <c r="DEC349" s="50"/>
      <c r="DED349" s="50"/>
      <c r="DEE349" s="50"/>
      <c r="DEF349" s="50"/>
      <c r="DEG349" s="50"/>
      <c r="DEH349" s="50"/>
      <c r="DEI349" s="50"/>
      <c r="DEJ349" s="50"/>
      <c r="DEK349" s="50"/>
      <c r="DEL349" s="50"/>
      <c r="DEM349" s="50"/>
      <c r="DEN349" s="50"/>
      <c r="DEO349" s="50"/>
      <c r="DEP349" s="50"/>
      <c r="DEQ349" s="50"/>
      <c r="DER349" s="50"/>
      <c r="DES349" s="50"/>
      <c r="DET349" s="50"/>
      <c r="DEU349" s="50"/>
      <c r="DEV349" s="50"/>
      <c r="DEW349" s="50"/>
      <c r="DEX349" s="50"/>
      <c r="DEY349" s="50"/>
      <c r="DEZ349" s="50"/>
      <c r="DFA349" s="50"/>
      <c r="DFB349" s="50"/>
      <c r="DFC349" s="50"/>
      <c r="DFD349" s="50"/>
      <c r="DFE349" s="50"/>
      <c r="DFF349" s="50"/>
      <c r="DFG349" s="50"/>
      <c r="DFH349" s="50"/>
      <c r="DFI349" s="50"/>
      <c r="DFJ349" s="50"/>
      <c r="DFK349" s="50"/>
      <c r="DFL349" s="50"/>
      <c r="DFM349" s="50"/>
      <c r="DFN349" s="50"/>
      <c r="DFO349" s="50"/>
      <c r="DFP349" s="50"/>
      <c r="DFQ349" s="50"/>
      <c r="DFR349" s="50"/>
      <c r="DFS349" s="50"/>
      <c r="DFT349" s="50"/>
      <c r="DFU349" s="50"/>
      <c r="DFV349" s="50"/>
      <c r="DFW349" s="50"/>
      <c r="DFX349" s="50"/>
      <c r="DFY349" s="50"/>
      <c r="DFZ349" s="50"/>
      <c r="DGA349" s="50"/>
      <c r="DGB349" s="50"/>
      <c r="DGC349" s="50"/>
      <c r="DGD349" s="50"/>
      <c r="DGE349" s="50"/>
      <c r="DGF349" s="50"/>
      <c r="DGG349" s="50"/>
      <c r="DGH349" s="50"/>
      <c r="DGI349" s="50"/>
      <c r="DGJ349" s="50"/>
      <c r="DGK349" s="50"/>
      <c r="DGL349" s="50"/>
      <c r="DGM349" s="50"/>
      <c r="DGN349" s="50"/>
      <c r="DGO349" s="50"/>
      <c r="DGP349" s="50"/>
      <c r="DGQ349" s="50"/>
      <c r="DGR349" s="50"/>
      <c r="DGS349" s="50"/>
      <c r="DGT349" s="50"/>
      <c r="DGU349" s="50"/>
      <c r="DGV349" s="50"/>
      <c r="DGW349" s="50"/>
      <c r="DGX349" s="50"/>
      <c r="DGY349" s="50"/>
      <c r="DGZ349" s="50"/>
      <c r="DHA349" s="50"/>
      <c r="DHB349" s="50"/>
      <c r="DHC349" s="50"/>
      <c r="DHD349" s="50"/>
      <c r="DHE349" s="50"/>
      <c r="DHF349" s="50"/>
      <c r="DHG349" s="50"/>
      <c r="DHH349" s="50"/>
      <c r="DHI349" s="50"/>
      <c r="DHJ349" s="50"/>
      <c r="DHK349" s="50"/>
      <c r="DHL349" s="50"/>
      <c r="DHM349" s="50"/>
      <c r="DHN349" s="50"/>
      <c r="DHO349" s="50"/>
      <c r="DHP349" s="50"/>
      <c r="DHQ349" s="50"/>
      <c r="DHR349" s="50"/>
      <c r="DHS349" s="50"/>
      <c r="DHT349" s="50"/>
      <c r="DHU349" s="50"/>
      <c r="DHV349" s="50"/>
      <c r="DHW349" s="50"/>
      <c r="DHX349" s="50"/>
      <c r="DHY349" s="50"/>
      <c r="DHZ349" s="50"/>
      <c r="DIA349" s="50"/>
      <c r="DIB349" s="50"/>
      <c r="DIC349" s="50"/>
      <c r="DID349" s="50"/>
      <c r="DIE349" s="50"/>
      <c r="DIF349" s="50"/>
      <c r="DIG349" s="50"/>
      <c r="DIH349" s="50"/>
      <c r="DII349" s="50"/>
      <c r="DIJ349" s="50"/>
      <c r="DIK349" s="50"/>
      <c r="DIL349" s="50"/>
      <c r="DIM349" s="50"/>
      <c r="DIN349" s="50"/>
      <c r="DIO349" s="50"/>
      <c r="DIP349" s="50"/>
      <c r="DIQ349" s="50"/>
      <c r="DIR349" s="50"/>
      <c r="DIS349" s="50"/>
      <c r="DIT349" s="50"/>
      <c r="DIU349" s="50"/>
      <c r="DIV349" s="50"/>
      <c r="DIW349" s="50"/>
      <c r="DIX349" s="50"/>
      <c r="DIY349" s="50"/>
      <c r="DIZ349" s="50"/>
      <c r="DJA349" s="50"/>
      <c r="DJB349" s="50"/>
      <c r="DJC349" s="50"/>
      <c r="DJD349" s="50"/>
      <c r="DJE349" s="50"/>
      <c r="DJF349" s="50"/>
      <c r="DJG349" s="50"/>
      <c r="DJH349" s="50"/>
      <c r="DJI349" s="50"/>
      <c r="DJJ349" s="50"/>
      <c r="DJK349" s="50"/>
      <c r="DJL349" s="50"/>
      <c r="DJM349" s="50"/>
      <c r="DJN349" s="50"/>
      <c r="DJO349" s="50"/>
      <c r="DJP349" s="50"/>
      <c r="DJQ349" s="50"/>
      <c r="DJR349" s="50"/>
      <c r="DJS349" s="50"/>
      <c r="DJT349" s="50"/>
      <c r="DJU349" s="50"/>
      <c r="DJV349" s="50"/>
      <c r="DJW349" s="50"/>
      <c r="DJX349" s="50"/>
      <c r="DJY349" s="50"/>
      <c r="DJZ349" s="50"/>
      <c r="DKA349" s="50"/>
      <c r="DKB349" s="50"/>
      <c r="DKC349" s="50"/>
      <c r="DKD349" s="50"/>
      <c r="DKE349" s="50"/>
      <c r="DKF349" s="50"/>
      <c r="DKG349" s="50"/>
      <c r="DKH349" s="50"/>
      <c r="DKI349" s="50"/>
      <c r="DKJ349" s="50"/>
      <c r="DKK349" s="50"/>
      <c r="DKL349" s="50"/>
      <c r="DKM349" s="50"/>
      <c r="DKN349" s="50"/>
      <c r="DKO349" s="50"/>
      <c r="DKP349" s="50"/>
      <c r="DKQ349" s="50"/>
      <c r="DKR349" s="50"/>
      <c r="DKS349" s="50"/>
      <c r="DKT349" s="50"/>
      <c r="DKU349" s="50"/>
      <c r="DKV349" s="50"/>
      <c r="DKW349" s="50"/>
      <c r="DKX349" s="50"/>
      <c r="DKY349" s="50"/>
      <c r="DKZ349" s="50"/>
      <c r="DLA349" s="50"/>
      <c r="DLB349" s="50"/>
      <c r="DLC349" s="50"/>
      <c r="DLD349" s="50"/>
      <c r="DLE349" s="50"/>
      <c r="DLF349" s="50"/>
      <c r="DLG349" s="50"/>
      <c r="DLH349" s="50"/>
      <c r="DLI349" s="50"/>
      <c r="DLJ349" s="50"/>
      <c r="DLK349" s="50"/>
      <c r="DLL349" s="50"/>
      <c r="DLM349" s="50"/>
      <c r="DLN349" s="50"/>
      <c r="DLO349" s="50"/>
      <c r="DLP349" s="50"/>
      <c r="DLQ349" s="50"/>
      <c r="DLR349" s="50"/>
      <c r="DLS349" s="50"/>
      <c r="DLT349" s="50"/>
      <c r="DLU349" s="50"/>
      <c r="DLV349" s="50"/>
      <c r="DLW349" s="50"/>
      <c r="DLX349" s="50"/>
      <c r="DLY349" s="50"/>
      <c r="DLZ349" s="50"/>
      <c r="DMA349" s="50"/>
      <c r="DMB349" s="50"/>
      <c r="DMC349" s="50"/>
      <c r="DMD349" s="50"/>
      <c r="DME349" s="50"/>
      <c r="DMF349" s="50"/>
      <c r="DMG349" s="50"/>
      <c r="DMH349" s="50"/>
      <c r="DMI349" s="50"/>
      <c r="DMJ349" s="50"/>
      <c r="DMK349" s="50"/>
      <c r="DML349" s="50"/>
      <c r="DMM349" s="50"/>
      <c r="DMN349" s="50"/>
      <c r="DMO349" s="50"/>
      <c r="DMP349" s="50"/>
      <c r="DMQ349" s="50"/>
      <c r="DMR349" s="50"/>
      <c r="DMS349" s="50"/>
      <c r="DMT349" s="50"/>
      <c r="DMU349" s="50"/>
      <c r="DMV349" s="50"/>
      <c r="DMW349" s="50"/>
      <c r="DMX349" s="50"/>
      <c r="DMY349" s="50"/>
      <c r="DMZ349" s="50"/>
      <c r="DNA349" s="50"/>
      <c r="DNB349" s="50"/>
      <c r="DNC349" s="50"/>
      <c r="DND349" s="50"/>
      <c r="DNE349" s="50"/>
      <c r="DNF349" s="50"/>
      <c r="DNG349" s="50"/>
      <c r="DNH349" s="50"/>
      <c r="DNI349" s="50"/>
      <c r="DNJ349" s="50"/>
      <c r="DNK349" s="50"/>
      <c r="DNL349" s="50"/>
      <c r="DNM349" s="50"/>
      <c r="DNN349" s="50"/>
      <c r="DNO349" s="50"/>
      <c r="DNP349" s="50"/>
      <c r="DNQ349" s="50"/>
      <c r="DNR349" s="50"/>
      <c r="DNS349" s="50"/>
      <c r="DNT349" s="50"/>
      <c r="DNU349" s="50"/>
      <c r="DNV349" s="50"/>
      <c r="DNW349" s="50"/>
      <c r="DNX349" s="50"/>
      <c r="DNY349" s="50"/>
      <c r="DNZ349" s="50"/>
      <c r="DOA349" s="50"/>
      <c r="DOB349" s="50"/>
      <c r="DOC349" s="50"/>
      <c r="DOD349" s="50"/>
      <c r="DOE349" s="50"/>
      <c r="DOF349" s="50"/>
      <c r="DOG349" s="50"/>
      <c r="DOH349" s="50"/>
      <c r="DOI349" s="50"/>
      <c r="DOJ349" s="50"/>
      <c r="DOK349" s="50"/>
      <c r="DOL349" s="50"/>
      <c r="DOM349" s="50"/>
      <c r="DON349" s="50"/>
      <c r="DOO349" s="50"/>
      <c r="DOP349" s="50"/>
      <c r="DOQ349" s="50"/>
      <c r="DOR349" s="50"/>
      <c r="DOS349" s="50"/>
      <c r="DOT349" s="50"/>
      <c r="DOU349" s="50"/>
      <c r="DOV349" s="50"/>
      <c r="DOW349" s="50"/>
      <c r="DOX349" s="50"/>
      <c r="DOY349" s="50"/>
      <c r="DOZ349" s="50"/>
      <c r="DPA349" s="50"/>
      <c r="DPB349" s="50"/>
      <c r="DPC349" s="50"/>
      <c r="DPD349" s="50"/>
      <c r="DPE349" s="50"/>
      <c r="DPF349" s="50"/>
      <c r="DPG349" s="50"/>
      <c r="DPH349" s="50"/>
      <c r="DPI349" s="50"/>
      <c r="DPJ349" s="50"/>
      <c r="DPK349" s="50"/>
      <c r="DPL349" s="50"/>
      <c r="DPM349" s="50"/>
      <c r="DPN349" s="50"/>
      <c r="DPO349" s="50"/>
      <c r="DPP349" s="50"/>
      <c r="DPQ349" s="50"/>
      <c r="DPR349" s="50"/>
      <c r="DPS349" s="50"/>
      <c r="DPT349" s="50"/>
      <c r="DPU349" s="50"/>
      <c r="DPV349" s="50"/>
      <c r="DPW349" s="50"/>
      <c r="DPX349" s="50"/>
      <c r="DPY349" s="50"/>
      <c r="DPZ349" s="50"/>
      <c r="DQA349" s="50"/>
      <c r="DQB349" s="50"/>
      <c r="DQC349" s="50"/>
      <c r="DQD349" s="50"/>
      <c r="DQE349" s="50"/>
      <c r="DQF349" s="50"/>
      <c r="DQG349" s="50"/>
      <c r="DQH349" s="50"/>
      <c r="DQI349" s="50"/>
      <c r="DQJ349" s="50"/>
      <c r="DQK349" s="50"/>
      <c r="DQL349" s="50"/>
      <c r="DQM349" s="50"/>
      <c r="DQN349" s="50"/>
      <c r="DQO349" s="50"/>
      <c r="DQP349" s="50"/>
      <c r="DQQ349" s="50"/>
      <c r="DQR349" s="50"/>
      <c r="DQS349" s="50"/>
      <c r="DQT349" s="50"/>
      <c r="DQU349" s="50"/>
      <c r="DQV349" s="50"/>
      <c r="DQW349" s="50"/>
      <c r="DQX349" s="50"/>
      <c r="DQY349" s="50"/>
      <c r="DQZ349" s="50"/>
      <c r="DRA349" s="50"/>
      <c r="DRB349" s="50"/>
      <c r="DRC349" s="50"/>
      <c r="DRD349" s="50"/>
      <c r="DRE349" s="50"/>
      <c r="DRF349" s="50"/>
      <c r="DRG349" s="50"/>
      <c r="DRH349" s="50"/>
      <c r="DRI349" s="50"/>
      <c r="DRJ349" s="50"/>
      <c r="DRK349" s="50"/>
      <c r="DRL349" s="50"/>
      <c r="DRM349" s="50"/>
      <c r="DRN349" s="50"/>
      <c r="DRO349" s="50"/>
      <c r="DRP349" s="50"/>
      <c r="DRQ349" s="50"/>
      <c r="DRR349" s="50"/>
      <c r="DRS349" s="50"/>
      <c r="DRT349" s="50"/>
      <c r="DRU349" s="50"/>
      <c r="DRV349" s="50"/>
      <c r="DRW349" s="50"/>
      <c r="DRX349" s="50"/>
      <c r="DRY349" s="50"/>
      <c r="DRZ349" s="50"/>
      <c r="DSA349" s="50"/>
      <c r="DSB349" s="50"/>
      <c r="DSC349" s="50"/>
      <c r="DSD349" s="50"/>
      <c r="DSE349" s="50"/>
      <c r="DSF349" s="50"/>
      <c r="DSG349" s="50"/>
      <c r="DSH349" s="50"/>
      <c r="DSI349" s="50"/>
      <c r="DSJ349" s="50"/>
      <c r="DSK349" s="50"/>
      <c r="DSL349" s="50"/>
      <c r="DSM349" s="50"/>
      <c r="DSN349" s="50"/>
      <c r="DSO349" s="50"/>
      <c r="DSP349" s="50"/>
      <c r="DSQ349" s="50"/>
      <c r="DSR349" s="50"/>
      <c r="DSS349" s="50"/>
      <c r="DST349" s="50"/>
      <c r="DSU349" s="50"/>
      <c r="DSV349" s="50"/>
      <c r="DSW349" s="50"/>
      <c r="DSX349" s="50"/>
      <c r="DSY349" s="50"/>
      <c r="DSZ349" s="50"/>
      <c r="DTA349" s="50"/>
      <c r="DTB349" s="50"/>
      <c r="DTC349" s="50"/>
      <c r="DTD349" s="50"/>
      <c r="DTE349" s="50"/>
      <c r="DTF349" s="50"/>
      <c r="DTG349" s="50"/>
      <c r="DTH349" s="50"/>
      <c r="DTI349" s="50"/>
      <c r="DTJ349" s="50"/>
      <c r="DTK349" s="50"/>
      <c r="DTL349" s="50"/>
      <c r="DTM349" s="50"/>
      <c r="DTN349" s="50"/>
      <c r="DTO349" s="50"/>
      <c r="DTP349" s="50"/>
      <c r="DTQ349" s="50"/>
      <c r="DTR349" s="50"/>
      <c r="DTS349" s="50"/>
      <c r="DTT349" s="50"/>
      <c r="DTU349" s="50"/>
      <c r="DTV349" s="50"/>
      <c r="DTW349" s="50"/>
      <c r="DTX349" s="50"/>
      <c r="DTY349" s="50"/>
      <c r="DTZ349" s="50"/>
      <c r="DUA349" s="50"/>
      <c r="DUB349" s="50"/>
      <c r="DUC349" s="50"/>
      <c r="DUD349" s="50"/>
      <c r="DUE349" s="50"/>
      <c r="DUF349" s="50"/>
      <c r="DUG349" s="50"/>
      <c r="DUH349" s="50"/>
      <c r="DUI349" s="50"/>
      <c r="DUJ349" s="50"/>
      <c r="DUK349" s="50"/>
      <c r="DUL349" s="50"/>
      <c r="DUM349" s="50"/>
      <c r="DUN349" s="50"/>
      <c r="DUO349" s="50"/>
      <c r="DUP349" s="50"/>
      <c r="DUQ349" s="50"/>
      <c r="DUR349" s="50"/>
      <c r="DUS349" s="50"/>
      <c r="DUT349" s="50"/>
      <c r="DUU349" s="50"/>
      <c r="DUV349" s="50"/>
      <c r="DUW349" s="50"/>
      <c r="DUX349" s="50"/>
      <c r="DUY349" s="50"/>
      <c r="DUZ349" s="50"/>
      <c r="DVA349" s="50"/>
      <c r="DVB349" s="50"/>
      <c r="DVC349" s="50"/>
      <c r="DVD349" s="50"/>
      <c r="DVE349" s="50"/>
      <c r="DVF349" s="50"/>
      <c r="DVG349" s="50"/>
      <c r="DVH349" s="50"/>
      <c r="DVI349" s="50"/>
      <c r="DVJ349" s="50"/>
      <c r="DVK349" s="50"/>
      <c r="DVL349" s="50"/>
      <c r="DVM349" s="50"/>
      <c r="DVN349" s="50"/>
      <c r="DVO349" s="50"/>
      <c r="DVP349" s="50"/>
      <c r="DVQ349" s="50"/>
      <c r="DVR349" s="50"/>
      <c r="DVS349" s="50"/>
      <c r="DVT349" s="50"/>
      <c r="DVU349" s="50"/>
      <c r="DVV349" s="50"/>
      <c r="DVW349" s="50"/>
      <c r="DVX349" s="50"/>
      <c r="DVY349" s="50"/>
      <c r="DVZ349" s="50"/>
      <c r="DWA349" s="50"/>
      <c r="DWB349" s="50"/>
      <c r="DWC349" s="50"/>
      <c r="DWD349" s="50"/>
      <c r="DWE349" s="50"/>
      <c r="DWF349" s="50"/>
      <c r="DWG349" s="50"/>
      <c r="DWH349" s="50"/>
      <c r="DWI349" s="50"/>
      <c r="DWJ349" s="50"/>
      <c r="DWK349" s="50"/>
      <c r="DWL349" s="50"/>
      <c r="DWM349" s="50"/>
      <c r="DWN349" s="50"/>
      <c r="DWO349" s="50"/>
      <c r="DWP349" s="50"/>
      <c r="DWQ349" s="50"/>
      <c r="DWR349" s="50"/>
      <c r="DWS349" s="50"/>
      <c r="DWT349" s="50"/>
      <c r="DWU349" s="50"/>
      <c r="DWV349" s="50"/>
      <c r="DWW349" s="50"/>
      <c r="DWX349" s="50"/>
      <c r="DWY349" s="50"/>
      <c r="DWZ349" s="50"/>
      <c r="DXA349" s="50"/>
      <c r="DXB349" s="50"/>
      <c r="DXC349" s="50"/>
      <c r="DXD349" s="50"/>
      <c r="DXE349" s="50"/>
      <c r="DXF349" s="50"/>
      <c r="DXG349" s="50"/>
      <c r="DXH349" s="50"/>
      <c r="DXI349" s="50"/>
      <c r="DXJ349" s="50"/>
      <c r="DXK349" s="50"/>
      <c r="DXL349" s="50"/>
      <c r="DXM349" s="50"/>
      <c r="DXN349" s="50"/>
      <c r="DXO349" s="50"/>
      <c r="DXP349" s="50"/>
      <c r="DXQ349" s="50"/>
      <c r="DXR349" s="50"/>
      <c r="DXS349" s="50"/>
      <c r="DXT349" s="50"/>
      <c r="DXU349" s="50"/>
      <c r="DXV349" s="50"/>
      <c r="DXW349" s="50"/>
      <c r="DXX349" s="50"/>
      <c r="DXY349" s="50"/>
      <c r="DXZ349" s="50"/>
      <c r="DYA349" s="50"/>
      <c r="DYB349" s="50"/>
      <c r="DYC349" s="50"/>
      <c r="DYD349" s="50"/>
      <c r="DYE349" s="50"/>
      <c r="DYF349" s="50"/>
      <c r="DYG349" s="50"/>
      <c r="DYH349" s="50"/>
      <c r="DYI349" s="50"/>
      <c r="DYJ349" s="50"/>
      <c r="DYK349" s="50"/>
      <c r="DYL349" s="50"/>
      <c r="DYM349" s="50"/>
      <c r="DYN349" s="50"/>
      <c r="DYO349" s="50"/>
      <c r="DYP349" s="50"/>
      <c r="DYQ349" s="50"/>
      <c r="DYR349" s="50"/>
      <c r="DYS349" s="50"/>
      <c r="DYT349" s="50"/>
      <c r="DYU349" s="50"/>
      <c r="DYV349" s="50"/>
      <c r="DYW349" s="50"/>
      <c r="DYX349" s="50"/>
      <c r="DYY349" s="50"/>
      <c r="DYZ349" s="50"/>
      <c r="DZA349" s="50"/>
      <c r="DZB349" s="50"/>
      <c r="DZC349" s="50"/>
      <c r="DZD349" s="50"/>
      <c r="DZE349" s="50"/>
      <c r="DZF349" s="50"/>
      <c r="DZG349" s="50"/>
      <c r="DZH349" s="50"/>
      <c r="DZI349" s="50"/>
      <c r="DZJ349" s="50"/>
      <c r="DZK349" s="50"/>
      <c r="DZL349" s="50"/>
      <c r="DZM349" s="50"/>
      <c r="DZN349" s="50"/>
      <c r="DZO349" s="50"/>
      <c r="DZP349" s="50"/>
      <c r="DZQ349" s="50"/>
      <c r="DZR349" s="50"/>
      <c r="DZS349" s="50"/>
      <c r="DZT349" s="50"/>
      <c r="DZU349" s="50"/>
      <c r="DZV349" s="50"/>
      <c r="DZW349" s="50"/>
      <c r="DZX349" s="50"/>
      <c r="DZY349" s="50"/>
      <c r="DZZ349" s="50"/>
      <c r="EAA349" s="50"/>
      <c r="EAB349" s="50"/>
      <c r="EAC349" s="50"/>
      <c r="EAD349" s="50"/>
      <c r="EAE349" s="50"/>
      <c r="EAF349" s="50"/>
      <c r="EAG349" s="50"/>
      <c r="EAH349" s="50"/>
      <c r="EAI349" s="50"/>
      <c r="EAJ349" s="50"/>
      <c r="EAK349" s="50"/>
      <c r="EAL349" s="50"/>
      <c r="EAM349" s="50"/>
      <c r="EAN349" s="50"/>
      <c r="EAO349" s="50"/>
      <c r="EAP349" s="50"/>
      <c r="EAQ349" s="50"/>
      <c r="EAR349" s="50"/>
      <c r="EAS349" s="50"/>
      <c r="EAT349" s="50"/>
      <c r="EAU349" s="50"/>
      <c r="EAV349" s="50"/>
      <c r="EAW349" s="50"/>
      <c r="EAX349" s="50"/>
      <c r="EAY349" s="50"/>
      <c r="EAZ349" s="50"/>
      <c r="EBA349" s="50"/>
      <c r="EBB349" s="50"/>
      <c r="EBC349" s="50"/>
      <c r="EBD349" s="50"/>
      <c r="EBE349" s="50"/>
      <c r="EBF349" s="50"/>
      <c r="EBG349" s="50"/>
      <c r="EBH349" s="50"/>
      <c r="EBI349" s="50"/>
      <c r="EBJ349" s="50"/>
      <c r="EBK349" s="50"/>
      <c r="EBL349" s="50"/>
      <c r="EBM349" s="50"/>
      <c r="EBN349" s="50"/>
      <c r="EBO349" s="50"/>
      <c r="EBP349" s="50"/>
      <c r="EBQ349" s="50"/>
      <c r="EBR349" s="50"/>
      <c r="EBS349" s="50"/>
      <c r="EBT349" s="50"/>
      <c r="EBU349" s="50"/>
      <c r="EBV349" s="50"/>
      <c r="EBW349" s="50"/>
      <c r="EBX349" s="50"/>
      <c r="EBY349" s="50"/>
      <c r="EBZ349" s="50"/>
      <c r="ECA349" s="50"/>
      <c r="ECB349" s="50"/>
      <c r="ECC349" s="50"/>
      <c r="ECD349" s="50"/>
      <c r="ECE349" s="50"/>
      <c r="ECF349" s="50"/>
      <c r="ECG349" s="50"/>
      <c r="ECH349" s="50"/>
      <c r="ECI349" s="50"/>
      <c r="ECJ349" s="50"/>
      <c r="ECK349" s="50"/>
      <c r="ECL349" s="50"/>
      <c r="ECM349" s="50"/>
      <c r="ECN349" s="50"/>
      <c r="ECO349" s="50"/>
      <c r="ECP349" s="50"/>
      <c r="ECQ349" s="50"/>
      <c r="ECR349" s="50"/>
      <c r="ECS349" s="50"/>
      <c r="ECT349" s="50"/>
      <c r="ECU349" s="50"/>
      <c r="ECV349" s="50"/>
      <c r="ECW349" s="50"/>
      <c r="ECX349" s="50"/>
      <c r="ECY349" s="50"/>
      <c r="ECZ349" s="50"/>
      <c r="EDA349" s="50"/>
      <c r="EDB349" s="50"/>
      <c r="EDC349" s="50"/>
      <c r="EDD349" s="50"/>
      <c r="EDE349" s="50"/>
      <c r="EDF349" s="50"/>
      <c r="EDG349" s="50"/>
      <c r="EDH349" s="50"/>
      <c r="EDI349" s="50"/>
      <c r="EDJ349" s="50"/>
      <c r="EDK349" s="50"/>
      <c r="EDL349" s="50"/>
      <c r="EDM349" s="50"/>
      <c r="EDN349" s="50"/>
      <c r="EDO349" s="50"/>
      <c r="EDP349" s="50"/>
      <c r="EDQ349" s="50"/>
      <c r="EDR349" s="50"/>
      <c r="EDS349" s="50"/>
      <c r="EDT349" s="50"/>
      <c r="EDU349" s="50"/>
      <c r="EDV349" s="50"/>
      <c r="EDW349" s="50"/>
      <c r="EDX349" s="50"/>
      <c r="EDY349" s="50"/>
      <c r="EDZ349" s="50"/>
      <c r="EEA349" s="50"/>
      <c r="EEB349" s="50"/>
      <c r="EEC349" s="50"/>
      <c r="EED349" s="50"/>
      <c r="EEE349" s="50"/>
      <c r="EEF349" s="50"/>
      <c r="EEG349" s="50"/>
      <c r="EEH349" s="50"/>
      <c r="EEI349" s="50"/>
      <c r="EEJ349" s="50"/>
      <c r="EEK349" s="50"/>
      <c r="EEL349" s="50"/>
      <c r="EEM349" s="50"/>
      <c r="EEN349" s="50"/>
      <c r="EEO349" s="50"/>
      <c r="EEP349" s="50"/>
      <c r="EEQ349" s="50"/>
      <c r="EER349" s="50"/>
      <c r="EES349" s="50"/>
      <c r="EET349" s="50"/>
      <c r="EEU349" s="50"/>
      <c r="EEV349" s="50"/>
      <c r="EEW349" s="50"/>
      <c r="EEX349" s="50"/>
      <c r="EEY349" s="50"/>
      <c r="EEZ349" s="50"/>
      <c r="EFA349" s="50"/>
      <c r="EFB349" s="50"/>
      <c r="EFC349" s="50"/>
      <c r="EFD349" s="50"/>
      <c r="EFE349" s="50"/>
      <c r="EFF349" s="50"/>
      <c r="EFG349" s="50"/>
      <c r="EFH349" s="50"/>
      <c r="EFI349" s="50"/>
      <c r="EFJ349" s="50"/>
      <c r="EFK349" s="50"/>
      <c r="EFL349" s="50"/>
      <c r="EFM349" s="50"/>
      <c r="EFN349" s="50"/>
      <c r="EFO349" s="50"/>
      <c r="EFP349" s="50"/>
      <c r="EFQ349" s="50"/>
      <c r="EFR349" s="50"/>
      <c r="EFS349" s="50"/>
      <c r="EFT349" s="50"/>
      <c r="EFU349" s="50"/>
      <c r="EFV349" s="50"/>
      <c r="EFW349" s="50"/>
      <c r="EFX349" s="50"/>
      <c r="EFY349" s="50"/>
      <c r="EFZ349" s="50"/>
      <c r="EGA349" s="50"/>
      <c r="EGB349" s="50"/>
      <c r="EGC349" s="50"/>
      <c r="EGD349" s="50"/>
      <c r="EGE349" s="50"/>
      <c r="EGF349" s="50"/>
      <c r="EGG349" s="50"/>
      <c r="EGH349" s="50"/>
      <c r="EGI349" s="50"/>
      <c r="EGJ349" s="50"/>
      <c r="EGK349" s="50"/>
      <c r="EGL349" s="50"/>
      <c r="EGM349" s="50"/>
      <c r="EGN349" s="50"/>
      <c r="EGO349" s="50"/>
      <c r="EGP349" s="50"/>
      <c r="EGQ349" s="50"/>
      <c r="EGR349" s="50"/>
      <c r="EGS349" s="50"/>
      <c r="EGT349" s="50"/>
      <c r="EGU349" s="50"/>
      <c r="EGV349" s="50"/>
      <c r="EGW349" s="50"/>
      <c r="EGX349" s="50"/>
      <c r="EGY349" s="50"/>
      <c r="EGZ349" s="50"/>
      <c r="EHA349" s="50"/>
      <c r="EHB349" s="50"/>
      <c r="EHC349" s="50"/>
      <c r="EHD349" s="50"/>
      <c r="EHE349" s="50"/>
      <c r="EHF349" s="50"/>
      <c r="EHG349" s="50"/>
      <c r="EHH349" s="50"/>
      <c r="EHI349" s="50"/>
      <c r="EHJ349" s="50"/>
      <c r="EHK349" s="50"/>
      <c r="EHL349" s="50"/>
      <c r="EHM349" s="50"/>
      <c r="EHN349" s="50"/>
      <c r="EHO349" s="50"/>
      <c r="EHP349" s="50"/>
      <c r="EHQ349" s="50"/>
      <c r="EHR349" s="50"/>
      <c r="EHS349" s="50"/>
      <c r="EHT349" s="50"/>
      <c r="EHU349" s="50"/>
      <c r="EHV349" s="50"/>
      <c r="EHW349" s="50"/>
      <c r="EHX349" s="50"/>
      <c r="EHY349" s="50"/>
      <c r="EHZ349" s="50"/>
      <c r="EIA349" s="50"/>
      <c r="EIB349" s="50"/>
      <c r="EIC349" s="50"/>
      <c r="EID349" s="50"/>
      <c r="EIE349" s="50"/>
      <c r="EIF349" s="50"/>
      <c r="EIG349" s="50"/>
      <c r="EIH349" s="50"/>
      <c r="EII349" s="50"/>
      <c r="EIJ349" s="50"/>
      <c r="EIK349" s="50"/>
      <c r="EIL349" s="50"/>
      <c r="EIM349" s="50"/>
      <c r="EIN349" s="50"/>
      <c r="EIO349" s="50"/>
      <c r="EIP349" s="50"/>
      <c r="EIQ349" s="50"/>
      <c r="EIR349" s="50"/>
      <c r="EIS349" s="50"/>
      <c r="EIT349" s="50"/>
      <c r="EIU349" s="50"/>
      <c r="EIV349" s="50"/>
      <c r="EIW349" s="50"/>
      <c r="EIX349" s="50"/>
      <c r="EIY349" s="50"/>
      <c r="EIZ349" s="50"/>
      <c r="EJA349" s="50"/>
      <c r="EJB349" s="50"/>
      <c r="EJC349" s="50"/>
      <c r="EJD349" s="50"/>
      <c r="EJE349" s="50"/>
      <c r="EJF349" s="50"/>
      <c r="EJG349" s="50"/>
      <c r="EJH349" s="50"/>
      <c r="EJI349" s="50"/>
      <c r="EJJ349" s="50"/>
      <c r="EJK349" s="50"/>
      <c r="EJL349" s="50"/>
      <c r="EJM349" s="50"/>
      <c r="EJN349" s="50"/>
      <c r="EJO349" s="50"/>
      <c r="EJP349" s="50"/>
      <c r="EJQ349" s="50"/>
      <c r="EJR349" s="50"/>
      <c r="EJS349" s="50"/>
      <c r="EJT349" s="50"/>
      <c r="EJU349" s="50"/>
      <c r="EJV349" s="50"/>
      <c r="EJW349" s="50"/>
      <c r="EJX349" s="50"/>
      <c r="EJY349" s="50"/>
      <c r="EJZ349" s="50"/>
      <c r="EKA349" s="50"/>
      <c r="EKB349" s="50"/>
      <c r="EKC349" s="50"/>
      <c r="EKD349" s="50"/>
      <c r="EKE349" s="50"/>
      <c r="EKF349" s="50"/>
      <c r="EKG349" s="50"/>
      <c r="EKH349" s="50"/>
      <c r="EKI349" s="50"/>
      <c r="EKJ349" s="50"/>
      <c r="EKK349" s="50"/>
      <c r="EKL349" s="50"/>
      <c r="EKM349" s="50"/>
      <c r="EKN349" s="50"/>
      <c r="EKO349" s="50"/>
      <c r="EKP349" s="50"/>
      <c r="EKQ349" s="50"/>
      <c r="EKR349" s="50"/>
      <c r="EKS349" s="50"/>
      <c r="EKT349" s="50"/>
      <c r="EKU349" s="50"/>
      <c r="EKV349" s="50"/>
      <c r="EKW349" s="50"/>
      <c r="EKX349" s="50"/>
      <c r="EKY349" s="50"/>
      <c r="EKZ349" s="50"/>
      <c r="ELA349" s="50"/>
      <c r="ELB349" s="50"/>
      <c r="ELC349" s="50"/>
      <c r="ELD349" s="50"/>
      <c r="ELE349" s="50"/>
      <c r="ELF349" s="50"/>
      <c r="ELG349" s="50"/>
      <c r="ELH349" s="50"/>
      <c r="ELI349" s="50"/>
      <c r="ELJ349" s="50"/>
      <c r="ELK349" s="50"/>
      <c r="ELL349" s="50"/>
      <c r="ELM349" s="50"/>
      <c r="ELN349" s="50"/>
      <c r="ELO349" s="50"/>
      <c r="ELP349" s="50"/>
      <c r="ELQ349" s="50"/>
      <c r="ELR349" s="50"/>
      <c r="ELS349" s="50"/>
      <c r="ELT349" s="50"/>
      <c r="ELU349" s="50"/>
      <c r="ELV349" s="50"/>
      <c r="ELW349" s="50"/>
      <c r="ELX349" s="50"/>
      <c r="ELY349" s="50"/>
      <c r="ELZ349" s="50"/>
      <c r="EMA349" s="50"/>
      <c r="EMB349" s="50"/>
      <c r="EMC349" s="50"/>
      <c r="EMD349" s="50"/>
      <c r="EME349" s="50"/>
      <c r="EMF349" s="50"/>
      <c r="EMG349" s="50"/>
      <c r="EMH349" s="50"/>
      <c r="EMI349" s="50"/>
      <c r="EMJ349" s="50"/>
      <c r="EMK349" s="50"/>
      <c r="EML349" s="50"/>
      <c r="EMM349" s="50"/>
      <c r="EMN349" s="50"/>
      <c r="EMO349" s="50"/>
      <c r="EMP349" s="50"/>
      <c r="EMQ349" s="50"/>
      <c r="EMR349" s="50"/>
      <c r="EMS349" s="50"/>
      <c r="EMT349" s="50"/>
      <c r="EMU349" s="50"/>
      <c r="EMV349" s="50"/>
      <c r="EMW349" s="50"/>
      <c r="EMX349" s="50"/>
      <c r="EMY349" s="50"/>
      <c r="EMZ349" s="50"/>
      <c r="ENA349" s="50"/>
      <c r="ENB349" s="50"/>
      <c r="ENC349" s="50"/>
      <c r="END349" s="50"/>
      <c r="ENE349" s="50"/>
      <c r="ENF349" s="50"/>
      <c r="ENG349" s="50"/>
      <c r="ENH349" s="50"/>
      <c r="ENI349" s="50"/>
      <c r="ENJ349" s="50"/>
      <c r="ENK349" s="50"/>
      <c r="ENL349" s="50"/>
      <c r="ENM349" s="50"/>
      <c r="ENN349" s="50"/>
      <c r="ENO349" s="50"/>
      <c r="ENP349" s="50"/>
      <c r="ENQ349" s="50"/>
      <c r="ENR349" s="50"/>
      <c r="ENS349" s="50"/>
      <c r="ENT349" s="50"/>
      <c r="ENU349" s="50"/>
      <c r="ENV349" s="50"/>
      <c r="ENW349" s="50"/>
      <c r="ENX349" s="50"/>
      <c r="ENY349" s="50"/>
      <c r="ENZ349" s="50"/>
      <c r="EOA349" s="50"/>
      <c r="EOB349" s="50"/>
      <c r="EOC349" s="50"/>
      <c r="EOD349" s="50"/>
      <c r="EOE349" s="50"/>
      <c r="EOF349" s="50"/>
      <c r="EOG349" s="50"/>
      <c r="EOH349" s="50"/>
      <c r="EOI349" s="50"/>
      <c r="EOJ349" s="50"/>
      <c r="EOK349" s="50"/>
      <c r="EOL349" s="50"/>
      <c r="EOM349" s="50"/>
      <c r="EON349" s="50"/>
      <c r="EOO349" s="50"/>
      <c r="EOP349" s="50"/>
      <c r="EOQ349" s="50"/>
      <c r="EOR349" s="50"/>
      <c r="EOS349" s="50"/>
      <c r="EOT349" s="50"/>
      <c r="EOU349" s="50"/>
      <c r="EOV349" s="50"/>
      <c r="EOW349" s="50"/>
      <c r="EOX349" s="50"/>
      <c r="EOY349" s="50"/>
      <c r="EOZ349" s="50"/>
      <c r="EPA349" s="50"/>
      <c r="EPB349" s="50"/>
      <c r="EPC349" s="50"/>
      <c r="EPD349" s="50"/>
      <c r="EPE349" s="50"/>
      <c r="EPF349" s="50"/>
      <c r="EPG349" s="50"/>
      <c r="EPH349" s="50"/>
      <c r="EPI349" s="50"/>
      <c r="EPJ349" s="50"/>
      <c r="EPK349" s="50"/>
      <c r="EPL349" s="50"/>
      <c r="EPM349" s="50"/>
      <c r="EPN349" s="50"/>
      <c r="EPO349" s="50"/>
      <c r="EPP349" s="50"/>
      <c r="EPQ349" s="50"/>
      <c r="EPR349" s="50"/>
      <c r="EPS349" s="50"/>
      <c r="EPT349" s="50"/>
      <c r="EPU349" s="50"/>
      <c r="EPV349" s="50"/>
      <c r="EPW349" s="50"/>
      <c r="EPX349" s="50"/>
      <c r="EPY349" s="50"/>
      <c r="EPZ349" s="50"/>
      <c r="EQA349" s="50"/>
      <c r="EQB349" s="50"/>
      <c r="EQC349" s="50"/>
      <c r="EQD349" s="50"/>
      <c r="EQE349" s="50"/>
      <c r="EQF349" s="50"/>
      <c r="EQG349" s="50"/>
      <c r="EQH349" s="50"/>
      <c r="EQI349" s="50"/>
      <c r="EQJ349" s="50"/>
      <c r="EQK349" s="50"/>
      <c r="EQL349" s="50"/>
      <c r="EQM349" s="50"/>
      <c r="EQN349" s="50"/>
      <c r="EQO349" s="50"/>
      <c r="EQP349" s="50"/>
      <c r="EQQ349" s="50"/>
      <c r="EQR349" s="50"/>
      <c r="EQS349" s="50"/>
      <c r="EQT349" s="50"/>
      <c r="EQU349" s="50"/>
      <c r="EQV349" s="50"/>
      <c r="EQW349" s="50"/>
      <c r="EQX349" s="50"/>
      <c r="EQY349" s="50"/>
      <c r="EQZ349" s="50"/>
      <c r="ERA349" s="50"/>
      <c r="ERB349" s="50"/>
      <c r="ERC349" s="50"/>
      <c r="ERD349" s="50"/>
      <c r="ERE349" s="50"/>
      <c r="ERF349" s="50"/>
      <c r="ERG349" s="50"/>
      <c r="ERH349" s="50"/>
      <c r="ERI349" s="50"/>
      <c r="ERJ349" s="50"/>
      <c r="ERK349" s="50"/>
      <c r="ERL349" s="50"/>
      <c r="ERM349" s="50"/>
      <c r="ERN349" s="50"/>
      <c r="ERO349" s="50"/>
      <c r="ERP349" s="50"/>
      <c r="ERQ349" s="50"/>
      <c r="ERR349" s="50"/>
      <c r="ERS349" s="50"/>
      <c r="ERT349" s="50"/>
      <c r="ERU349" s="50"/>
      <c r="ERV349" s="50"/>
      <c r="ERW349" s="50"/>
      <c r="ERX349" s="50"/>
      <c r="ERY349" s="50"/>
      <c r="ERZ349" s="50"/>
      <c r="ESA349" s="50"/>
      <c r="ESB349" s="50"/>
      <c r="ESC349" s="50"/>
      <c r="ESD349" s="50"/>
      <c r="ESE349" s="50"/>
      <c r="ESF349" s="50"/>
      <c r="ESG349" s="50"/>
      <c r="ESH349" s="50"/>
      <c r="ESI349" s="50"/>
      <c r="ESJ349" s="50"/>
      <c r="ESK349" s="50"/>
      <c r="ESL349" s="50"/>
      <c r="ESM349" s="50"/>
      <c r="ESN349" s="50"/>
      <c r="ESO349" s="50"/>
      <c r="ESP349" s="50"/>
      <c r="ESQ349" s="50"/>
      <c r="ESR349" s="50"/>
      <c r="ESS349" s="50"/>
      <c r="EST349" s="50"/>
      <c r="ESU349" s="50"/>
      <c r="ESV349" s="50"/>
      <c r="ESW349" s="50"/>
      <c r="ESX349" s="50"/>
      <c r="ESY349" s="50"/>
      <c r="ESZ349" s="50"/>
      <c r="ETA349" s="50"/>
      <c r="ETB349" s="50"/>
      <c r="ETC349" s="50"/>
      <c r="ETD349" s="50"/>
      <c r="ETE349" s="50"/>
      <c r="ETF349" s="50"/>
      <c r="ETG349" s="50"/>
      <c r="ETH349" s="50"/>
      <c r="ETI349" s="50"/>
      <c r="ETJ349" s="50"/>
      <c r="ETK349" s="50"/>
      <c r="ETL349" s="50"/>
      <c r="ETM349" s="50"/>
      <c r="ETN349" s="50"/>
      <c r="ETO349" s="50"/>
      <c r="ETP349" s="50"/>
      <c r="ETQ349" s="50"/>
      <c r="ETR349" s="50"/>
      <c r="ETS349" s="50"/>
      <c r="ETT349" s="50"/>
      <c r="ETU349" s="50"/>
      <c r="ETV349" s="50"/>
      <c r="ETW349" s="50"/>
      <c r="ETX349" s="50"/>
      <c r="ETY349" s="50"/>
      <c r="ETZ349" s="50"/>
      <c r="EUA349" s="50"/>
      <c r="EUB349" s="50"/>
      <c r="EUC349" s="50"/>
      <c r="EUD349" s="50"/>
      <c r="EUE349" s="50"/>
      <c r="EUF349" s="50"/>
      <c r="EUG349" s="50"/>
      <c r="EUH349" s="50"/>
      <c r="EUI349" s="50"/>
      <c r="EUJ349" s="50"/>
      <c r="EUK349" s="50"/>
      <c r="EUL349" s="50"/>
      <c r="EUM349" s="50"/>
      <c r="EUN349" s="50"/>
      <c r="EUO349" s="50"/>
      <c r="EUP349" s="50"/>
      <c r="EUQ349" s="50"/>
      <c r="EUR349" s="50"/>
      <c r="EUS349" s="50"/>
      <c r="EUT349" s="50"/>
      <c r="EUU349" s="50"/>
      <c r="EUV349" s="50"/>
      <c r="EUW349" s="50"/>
      <c r="EUX349" s="50"/>
      <c r="EUY349" s="50"/>
      <c r="EUZ349" s="50"/>
      <c r="EVA349" s="50"/>
      <c r="EVB349" s="50"/>
      <c r="EVC349" s="50"/>
      <c r="EVD349" s="50"/>
      <c r="EVE349" s="50"/>
      <c r="EVF349" s="50"/>
      <c r="EVG349" s="50"/>
      <c r="EVH349" s="50"/>
      <c r="EVI349" s="50"/>
      <c r="EVJ349" s="50"/>
      <c r="EVK349" s="50"/>
      <c r="EVL349" s="50"/>
      <c r="EVM349" s="50"/>
      <c r="EVN349" s="50"/>
      <c r="EVO349" s="50"/>
      <c r="EVP349" s="50"/>
      <c r="EVQ349" s="50"/>
      <c r="EVR349" s="50"/>
      <c r="EVS349" s="50"/>
      <c r="EVT349" s="50"/>
      <c r="EVU349" s="50"/>
      <c r="EVV349" s="50"/>
      <c r="EVW349" s="50"/>
      <c r="EVX349" s="50"/>
      <c r="EVY349" s="50"/>
      <c r="EVZ349" s="50"/>
      <c r="EWA349" s="50"/>
      <c r="EWB349" s="50"/>
      <c r="EWC349" s="50"/>
      <c r="EWD349" s="50"/>
      <c r="EWE349" s="50"/>
      <c r="EWF349" s="50"/>
      <c r="EWG349" s="50"/>
      <c r="EWH349" s="50"/>
      <c r="EWI349" s="50"/>
      <c r="EWJ349" s="50"/>
      <c r="EWK349" s="50"/>
      <c r="EWL349" s="50"/>
      <c r="EWM349" s="50"/>
      <c r="EWN349" s="50"/>
      <c r="EWO349" s="50"/>
      <c r="EWP349" s="50"/>
      <c r="EWQ349" s="50"/>
      <c r="EWR349" s="50"/>
      <c r="EWS349" s="50"/>
      <c r="EWT349" s="50"/>
      <c r="EWU349" s="50"/>
      <c r="EWV349" s="50"/>
      <c r="EWW349" s="50"/>
      <c r="EWX349" s="50"/>
      <c r="EWY349" s="50"/>
      <c r="EWZ349" s="50"/>
      <c r="EXA349" s="50"/>
      <c r="EXB349" s="50"/>
      <c r="EXC349" s="50"/>
      <c r="EXD349" s="50"/>
      <c r="EXE349" s="50"/>
      <c r="EXF349" s="50"/>
      <c r="EXG349" s="50"/>
      <c r="EXH349" s="50"/>
      <c r="EXI349" s="50"/>
      <c r="EXJ349" s="50"/>
      <c r="EXK349" s="50"/>
      <c r="EXL349" s="50"/>
      <c r="EXM349" s="50"/>
      <c r="EXN349" s="50"/>
      <c r="EXO349" s="50"/>
      <c r="EXP349" s="50"/>
      <c r="EXQ349" s="50"/>
      <c r="EXR349" s="50"/>
      <c r="EXS349" s="50"/>
      <c r="EXT349" s="50"/>
      <c r="EXU349" s="50"/>
      <c r="EXV349" s="50"/>
      <c r="EXW349" s="50"/>
      <c r="EXX349" s="50"/>
      <c r="EXY349" s="50"/>
      <c r="EXZ349" s="50"/>
      <c r="EYA349" s="50"/>
      <c r="EYB349" s="50"/>
      <c r="EYC349" s="50"/>
      <c r="EYD349" s="50"/>
      <c r="EYE349" s="50"/>
      <c r="EYF349" s="50"/>
      <c r="EYG349" s="50"/>
      <c r="EYH349" s="50"/>
      <c r="EYI349" s="50"/>
      <c r="EYJ349" s="50"/>
      <c r="EYK349" s="50"/>
      <c r="EYL349" s="50"/>
      <c r="EYM349" s="50"/>
      <c r="EYN349" s="50"/>
      <c r="EYO349" s="50"/>
      <c r="EYP349" s="50"/>
      <c r="EYQ349" s="50"/>
      <c r="EYR349" s="50"/>
      <c r="EYS349" s="50"/>
      <c r="EYT349" s="50"/>
      <c r="EYU349" s="50"/>
      <c r="EYV349" s="50"/>
      <c r="EYW349" s="50"/>
      <c r="EYX349" s="50"/>
      <c r="EYY349" s="50"/>
      <c r="EYZ349" s="50"/>
      <c r="EZA349" s="50"/>
      <c r="EZB349" s="50"/>
      <c r="EZC349" s="50"/>
      <c r="EZD349" s="50"/>
      <c r="EZE349" s="50"/>
      <c r="EZF349" s="50"/>
      <c r="EZG349" s="50"/>
      <c r="EZH349" s="50"/>
      <c r="EZI349" s="50"/>
      <c r="EZJ349" s="50"/>
      <c r="EZK349" s="50"/>
      <c r="EZL349" s="50"/>
      <c r="EZM349" s="50"/>
      <c r="EZN349" s="50"/>
      <c r="EZO349" s="50"/>
      <c r="EZP349" s="50"/>
      <c r="EZQ349" s="50"/>
      <c r="EZR349" s="50"/>
      <c r="EZS349" s="50"/>
      <c r="EZT349" s="50"/>
      <c r="EZU349" s="50"/>
      <c r="EZV349" s="50"/>
      <c r="EZW349" s="50"/>
      <c r="EZX349" s="50"/>
      <c r="EZY349" s="50"/>
      <c r="EZZ349" s="50"/>
      <c r="FAA349" s="50"/>
      <c r="FAB349" s="50"/>
      <c r="FAC349" s="50"/>
      <c r="FAD349" s="50"/>
      <c r="FAE349" s="50"/>
      <c r="FAF349" s="50"/>
      <c r="FAG349" s="50"/>
      <c r="FAH349" s="50"/>
      <c r="FAI349" s="50"/>
      <c r="FAJ349" s="50"/>
      <c r="FAK349" s="50"/>
      <c r="FAL349" s="50"/>
      <c r="FAM349" s="50"/>
      <c r="FAN349" s="50"/>
      <c r="FAO349" s="50"/>
      <c r="FAP349" s="50"/>
      <c r="FAQ349" s="50"/>
      <c r="FAR349" s="50"/>
      <c r="FAS349" s="50"/>
      <c r="FAT349" s="50"/>
      <c r="FAU349" s="50"/>
      <c r="FAV349" s="50"/>
      <c r="FAW349" s="50"/>
      <c r="FAX349" s="50"/>
      <c r="FAY349" s="50"/>
      <c r="FAZ349" s="50"/>
      <c r="FBA349" s="50"/>
      <c r="FBB349" s="50"/>
      <c r="FBC349" s="50"/>
      <c r="FBD349" s="50"/>
      <c r="FBE349" s="50"/>
      <c r="FBF349" s="50"/>
      <c r="FBG349" s="50"/>
      <c r="FBH349" s="50"/>
      <c r="FBI349" s="50"/>
      <c r="FBJ349" s="50"/>
      <c r="FBK349" s="50"/>
      <c r="FBL349" s="50"/>
      <c r="FBM349" s="50"/>
      <c r="FBN349" s="50"/>
      <c r="FBO349" s="50"/>
      <c r="FBP349" s="50"/>
      <c r="FBQ349" s="50"/>
      <c r="FBR349" s="50"/>
      <c r="FBS349" s="50"/>
      <c r="FBT349" s="50"/>
      <c r="FBU349" s="50"/>
      <c r="FBV349" s="50"/>
      <c r="FBW349" s="50"/>
      <c r="FBX349" s="50"/>
      <c r="FBY349" s="50"/>
      <c r="FBZ349" s="50"/>
      <c r="FCA349" s="50"/>
      <c r="FCB349" s="50"/>
      <c r="FCC349" s="50"/>
      <c r="FCD349" s="50"/>
      <c r="FCE349" s="50"/>
      <c r="FCF349" s="50"/>
      <c r="FCG349" s="50"/>
      <c r="FCH349" s="50"/>
      <c r="FCI349" s="50"/>
      <c r="FCJ349" s="50"/>
      <c r="FCK349" s="50"/>
      <c r="FCL349" s="50"/>
      <c r="FCM349" s="50"/>
      <c r="FCN349" s="50"/>
      <c r="FCO349" s="50"/>
      <c r="FCP349" s="50"/>
      <c r="FCQ349" s="50"/>
      <c r="FCR349" s="50"/>
      <c r="FCS349" s="50"/>
      <c r="FCT349" s="50"/>
      <c r="FCU349" s="50"/>
      <c r="FCV349" s="50"/>
      <c r="FCW349" s="50"/>
      <c r="FCX349" s="50"/>
      <c r="FCY349" s="50"/>
      <c r="FCZ349" s="50"/>
      <c r="FDA349" s="50"/>
      <c r="FDB349" s="50"/>
      <c r="FDC349" s="50"/>
      <c r="FDD349" s="50"/>
      <c r="FDE349" s="50"/>
      <c r="FDF349" s="50"/>
      <c r="FDG349" s="50"/>
      <c r="FDH349" s="50"/>
      <c r="FDI349" s="50"/>
      <c r="FDJ349" s="50"/>
      <c r="FDK349" s="50"/>
      <c r="FDL349" s="50"/>
      <c r="FDM349" s="50"/>
      <c r="FDN349" s="50"/>
      <c r="FDO349" s="50"/>
      <c r="FDP349" s="50"/>
      <c r="FDQ349" s="50"/>
      <c r="FDR349" s="50"/>
      <c r="FDS349" s="50"/>
      <c r="FDT349" s="50"/>
      <c r="FDU349" s="50"/>
      <c r="FDV349" s="50"/>
      <c r="FDW349" s="50"/>
      <c r="FDX349" s="50"/>
      <c r="FDY349" s="50"/>
      <c r="FDZ349" s="50"/>
      <c r="FEA349" s="50"/>
      <c r="FEB349" s="50"/>
      <c r="FEC349" s="50"/>
      <c r="FED349" s="50"/>
      <c r="FEE349" s="50"/>
      <c r="FEF349" s="50"/>
      <c r="FEG349" s="50"/>
      <c r="FEH349" s="50"/>
      <c r="FEI349" s="50"/>
      <c r="FEJ349" s="50"/>
      <c r="FEK349" s="50"/>
      <c r="FEL349" s="50"/>
      <c r="FEM349" s="50"/>
      <c r="FEN349" s="50"/>
      <c r="FEO349" s="50"/>
      <c r="FEP349" s="50"/>
      <c r="FEQ349" s="50"/>
      <c r="FER349" s="50"/>
      <c r="FES349" s="50"/>
      <c r="FET349" s="50"/>
      <c r="FEU349" s="50"/>
      <c r="FEV349" s="50"/>
      <c r="FEW349" s="50"/>
      <c r="FEX349" s="50"/>
      <c r="FEY349" s="50"/>
      <c r="FEZ349" s="50"/>
      <c r="FFA349" s="50"/>
      <c r="FFB349" s="50"/>
      <c r="FFC349" s="50"/>
      <c r="FFD349" s="50"/>
      <c r="FFE349" s="50"/>
      <c r="FFF349" s="50"/>
      <c r="FFG349" s="50"/>
      <c r="FFH349" s="50"/>
      <c r="FFI349" s="50"/>
      <c r="FFJ349" s="50"/>
      <c r="FFK349" s="50"/>
      <c r="FFL349" s="50"/>
      <c r="FFM349" s="50"/>
      <c r="FFN349" s="50"/>
      <c r="FFO349" s="50"/>
      <c r="FFP349" s="50"/>
      <c r="FFQ349" s="50"/>
      <c r="FFR349" s="50"/>
      <c r="FFS349" s="50"/>
      <c r="FFT349" s="50"/>
      <c r="FFU349" s="50"/>
      <c r="FFV349" s="50"/>
      <c r="FFW349" s="50"/>
      <c r="FFX349" s="50"/>
      <c r="FFY349" s="50"/>
      <c r="FFZ349" s="50"/>
      <c r="FGA349" s="50"/>
      <c r="FGB349" s="50"/>
      <c r="FGC349" s="50"/>
      <c r="FGD349" s="50"/>
      <c r="FGE349" s="50"/>
      <c r="FGF349" s="50"/>
      <c r="FGG349" s="50"/>
      <c r="FGH349" s="50"/>
      <c r="FGI349" s="50"/>
      <c r="FGJ349" s="50"/>
      <c r="FGK349" s="50"/>
      <c r="FGL349" s="50"/>
      <c r="FGM349" s="50"/>
      <c r="FGN349" s="50"/>
      <c r="FGO349" s="50"/>
      <c r="FGP349" s="50"/>
      <c r="FGQ349" s="50"/>
      <c r="FGR349" s="50"/>
      <c r="FGS349" s="50"/>
      <c r="FGT349" s="50"/>
      <c r="FGU349" s="50"/>
      <c r="FGV349" s="50"/>
      <c r="FGW349" s="50"/>
      <c r="FGX349" s="50"/>
      <c r="FGY349" s="50"/>
      <c r="FGZ349" s="50"/>
      <c r="FHA349" s="50"/>
      <c r="FHB349" s="50"/>
      <c r="FHC349" s="50"/>
      <c r="FHD349" s="50"/>
      <c r="FHE349" s="50"/>
      <c r="FHF349" s="50"/>
      <c r="FHG349" s="50"/>
      <c r="FHH349" s="50"/>
      <c r="FHI349" s="50"/>
      <c r="FHJ349" s="50"/>
      <c r="FHK349" s="50"/>
      <c r="FHL349" s="50"/>
      <c r="FHM349" s="50"/>
      <c r="FHN349" s="50"/>
      <c r="FHO349" s="50"/>
      <c r="FHP349" s="50"/>
      <c r="FHQ349" s="50"/>
      <c r="FHR349" s="50"/>
      <c r="FHS349" s="50"/>
      <c r="FHT349" s="50"/>
      <c r="FHU349" s="50"/>
      <c r="FHV349" s="50"/>
      <c r="FHW349" s="50"/>
      <c r="FHX349" s="50"/>
      <c r="FHY349" s="50"/>
      <c r="FHZ349" s="50"/>
      <c r="FIA349" s="50"/>
      <c r="FIB349" s="50"/>
      <c r="FIC349" s="50"/>
      <c r="FID349" s="50"/>
      <c r="FIE349" s="50"/>
      <c r="FIF349" s="50"/>
      <c r="FIG349" s="50"/>
      <c r="FIH349" s="50"/>
      <c r="FII349" s="50"/>
      <c r="FIJ349" s="50"/>
      <c r="FIK349" s="50"/>
      <c r="FIL349" s="50"/>
      <c r="FIM349" s="50"/>
      <c r="FIN349" s="50"/>
      <c r="FIO349" s="50"/>
      <c r="FIP349" s="50"/>
      <c r="FIQ349" s="50"/>
      <c r="FIR349" s="50"/>
      <c r="FIS349" s="50"/>
      <c r="FIT349" s="50"/>
      <c r="FIU349" s="50"/>
      <c r="FIV349" s="50"/>
      <c r="FIW349" s="50"/>
      <c r="FIX349" s="50"/>
      <c r="FIY349" s="50"/>
      <c r="FIZ349" s="50"/>
      <c r="FJA349" s="50"/>
      <c r="FJB349" s="50"/>
      <c r="FJC349" s="50"/>
      <c r="FJD349" s="50"/>
      <c r="FJE349" s="50"/>
      <c r="FJF349" s="50"/>
      <c r="FJG349" s="50"/>
      <c r="FJH349" s="50"/>
      <c r="FJI349" s="50"/>
      <c r="FJJ349" s="50"/>
      <c r="FJK349" s="50"/>
      <c r="FJL349" s="50"/>
      <c r="FJM349" s="50"/>
      <c r="FJN349" s="50"/>
      <c r="FJO349" s="50"/>
      <c r="FJP349" s="50"/>
      <c r="FJQ349" s="50"/>
      <c r="FJR349" s="50"/>
      <c r="FJS349" s="50"/>
      <c r="FJT349" s="50"/>
      <c r="FJU349" s="50"/>
      <c r="FJV349" s="50"/>
      <c r="FJW349" s="50"/>
      <c r="FJX349" s="50"/>
      <c r="FJY349" s="50"/>
      <c r="FJZ349" s="50"/>
      <c r="FKA349" s="50"/>
      <c r="FKB349" s="50"/>
      <c r="FKC349" s="50"/>
      <c r="FKD349" s="50"/>
      <c r="FKE349" s="50"/>
      <c r="FKF349" s="50"/>
      <c r="FKG349" s="50"/>
      <c r="FKH349" s="50"/>
      <c r="FKI349" s="50"/>
      <c r="FKJ349" s="50"/>
      <c r="FKK349" s="50"/>
      <c r="FKL349" s="50"/>
      <c r="FKM349" s="50"/>
      <c r="FKN349" s="50"/>
      <c r="FKO349" s="50"/>
      <c r="FKP349" s="50"/>
      <c r="FKQ349" s="50"/>
      <c r="FKR349" s="50"/>
      <c r="FKS349" s="50"/>
      <c r="FKT349" s="50"/>
      <c r="FKU349" s="50"/>
      <c r="FKV349" s="50"/>
      <c r="FKW349" s="50"/>
      <c r="FKX349" s="50"/>
      <c r="FKY349" s="50"/>
      <c r="FKZ349" s="50"/>
      <c r="FLA349" s="50"/>
      <c r="FLB349" s="50"/>
      <c r="FLC349" s="50"/>
      <c r="FLD349" s="50"/>
      <c r="FLE349" s="50"/>
      <c r="FLF349" s="50"/>
      <c r="FLG349" s="50"/>
      <c r="FLH349" s="50"/>
      <c r="FLI349" s="50"/>
      <c r="FLJ349" s="50"/>
      <c r="FLK349" s="50"/>
      <c r="FLL349" s="50"/>
      <c r="FLM349" s="50"/>
      <c r="FLN349" s="50"/>
      <c r="FLO349" s="50"/>
      <c r="FLP349" s="50"/>
      <c r="FLQ349" s="50"/>
      <c r="FLR349" s="50"/>
      <c r="FLS349" s="50"/>
      <c r="FLT349" s="50"/>
      <c r="FLU349" s="50"/>
      <c r="FLV349" s="50"/>
      <c r="FLW349" s="50"/>
      <c r="FLX349" s="50"/>
      <c r="FLY349" s="50"/>
      <c r="FLZ349" s="50"/>
      <c r="FMA349" s="50"/>
      <c r="FMB349" s="50"/>
      <c r="FMC349" s="50"/>
      <c r="FMD349" s="50"/>
      <c r="FME349" s="50"/>
      <c r="FMF349" s="50"/>
      <c r="FMG349" s="50"/>
      <c r="FMH349" s="50"/>
      <c r="FMI349" s="50"/>
      <c r="FMJ349" s="50"/>
      <c r="FMK349" s="50"/>
      <c r="FML349" s="50"/>
      <c r="FMM349" s="50"/>
      <c r="FMN349" s="50"/>
      <c r="FMO349" s="50"/>
      <c r="FMP349" s="50"/>
      <c r="FMQ349" s="50"/>
      <c r="FMR349" s="50"/>
      <c r="FMS349" s="50"/>
      <c r="FMT349" s="50"/>
      <c r="FMU349" s="50"/>
      <c r="FMV349" s="50"/>
      <c r="FMW349" s="50"/>
      <c r="FMX349" s="50"/>
      <c r="FMY349" s="50"/>
      <c r="FMZ349" s="50"/>
      <c r="FNA349" s="50"/>
      <c r="FNB349" s="50"/>
      <c r="FNC349" s="50"/>
      <c r="FND349" s="50"/>
      <c r="FNE349" s="50"/>
      <c r="FNF349" s="50"/>
      <c r="FNG349" s="50"/>
      <c r="FNH349" s="50"/>
      <c r="FNI349" s="50"/>
      <c r="FNJ349" s="50"/>
      <c r="FNK349" s="50"/>
      <c r="FNL349" s="50"/>
      <c r="FNM349" s="50"/>
      <c r="FNN349" s="50"/>
      <c r="FNO349" s="50"/>
      <c r="FNP349" s="50"/>
      <c r="FNQ349" s="50"/>
      <c r="FNR349" s="50"/>
      <c r="FNS349" s="50"/>
      <c r="FNT349" s="50"/>
      <c r="FNU349" s="50"/>
      <c r="FNV349" s="50"/>
      <c r="FNW349" s="50"/>
      <c r="FNX349" s="50"/>
      <c r="FNY349" s="50"/>
      <c r="FNZ349" s="50"/>
      <c r="FOA349" s="50"/>
      <c r="FOB349" s="50"/>
      <c r="FOC349" s="50"/>
      <c r="FOD349" s="50"/>
      <c r="FOE349" s="50"/>
      <c r="FOF349" s="50"/>
      <c r="FOG349" s="50"/>
      <c r="FOH349" s="50"/>
      <c r="FOI349" s="50"/>
      <c r="FOJ349" s="50"/>
      <c r="FOK349" s="50"/>
      <c r="FOL349" s="50"/>
      <c r="FOM349" s="50"/>
      <c r="FON349" s="50"/>
      <c r="FOO349" s="50"/>
      <c r="FOP349" s="50"/>
      <c r="FOQ349" s="50"/>
      <c r="FOR349" s="50"/>
      <c r="FOS349" s="50"/>
      <c r="FOT349" s="50"/>
      <c r="FOU349" s="50"/>
      <c r="FOV349" s="50"/>
      <c r="FOW349" s="50"/>
      <c r="FOX349" s="50"/>
      <c r="FOY349" s="50"/>
      <c r="FOZ349" s="50"/>
      <c r="FPA349" s="50"/>
      <c r="FPB349" s="50"/>
      <c r="FPC349" s="50"/>
      <c r="FPD349" s="50"/>
      <c r="FPE349" s="50"/>
      <c r="FPF349" s="50"/>
      <c r="FPG349" s="50"/>
      <c r="FPH349" s="50"/>
      <c r="FPI349" s="50"/>
      <c r="FPJ349" s="50"/>
      <c r="FPK349" s="50"/>
      <c r="FPL349" s="50"/>
      <c r="FPM349" s="50"/>
      <c r="FPN349" s="50"/>
      <c r="FPO349" s="50"/>
      <c r="FPP349" s="50"/>
      <c r="FPQ349" s="50"/>
      <c r="FPR349" s="50"/>
      <c r="FPS349" s="50"/>
      <c r="FPT349" s="50"/>
      <c r="FPU349" s="50"/>
      <c r="FPV349" s="50"/>
      <c r="FPW349" s="50"/>
      <c r="FPX349" s="50"/>
      <c r="FPY349" s="50"/>
      <c r="FPZ349" s="50"/>
      <c r="FQA349" s="50"/>
      <c r="FQB349" s="50"/>
      <c r="FQC349" s="50"/>
      <c r="FQD349" s="50"/>
      <c r="FQE349" s="50"/>
      <c r="FQF349" s="50"/>
      <c r="FQG349" s="50"/>
      <c r="FQH349" s="50"/>
      <c r="FQI349" s="50"/>
      <c r="FQJ349" s="50"/>
      <c r="FQK349" s="50"/>
      <c r="FQL349" s="50"/>
      <c r="FQM349" s="50"/>
      <c r="FQN349" s="50"/>
      <c r="FQO349" s="50"/>
      <c r="FQP349" s="50"/>
      <c r="FQQ349" s="50"/>
      <c r="FQR349" s="50"/>
      <c r="FQS349" s="50"/>
      <c r="FQT349" s="50"/>
      <c r="FQU349" s="50"/>
      <c r="FQV349" s="50"/>
      <c r="FQW349" s="50"/>
      <c r="FQX349" s="50"/>
      <c r="FQY349" s="50"/>
      <c r="FQZ349" s="50"/>
      <c r="FRA349" s="50"/>
      <c r="FRB349" s="50"/>
      <c r="FRC349" s="50"/>
      <c r="FRD349" s="50"/>
      <c r="FRE349" s="50"/>
      <c r="FRF349" s="50"/>
      <c r="FRG349" s="50"/>
      <c r="FRH349" s="50"/>
      <c r="FRI349" s="50"/>
      <c r="FRJ349" s="50"/>
      <c r="FRK349" s="50"/>
      <c r="FRL349" s="50"/>
      <c r="FRM349" s="50"/>
      <c r="FRN349" s="50"/>
      <c r="FRO349" s="50"/>
      <c r="FRP349" s="50"/>
      <c r="FRQ349" s="50"/>
      <c r="FRR349" s="50"/>
      <c r="FRS349" s="50"/>
      <c r="FRT349" s="50"/>
      <c r="FRU349" s="50"/>
      <c r="FRV349" s="50"/>
      <c r="FRW349" s="50"/>
      <c r="FRX349" s="50"/>
      <c r="FRY349" s="50"/>
      <c r="FRZ349" s="50"/>
      <c r="FSA349" s="50"/>
      <c r="FSB349" s="50"/>
      <c r="FSC349" s="50"/>
      <c r="FSD349" s="50"/>
      <c r="FSE349" s="50"/>
      <c r="FSF349" s="50"/>
      <c r="FSG349" s="50"/>
      <c r="FSH349" s="50"/>
      <c r="FSI349" s="50"/>
      <c r="FSJ349" s="50"/>
      <c r="FSK349" s="50"/>
      <c r="FSL349" s="50"/>
      <c r="FSM349" s="50"/>
      <c r="FSN349" s="50"/>
      <c r="FSO349" s="50"/>
      <c r="FSP349" s="50"/>
      <c r="FSQ349" s="50"/>
      <c r="FSR349" s="50"/>
      <c r="FSS349" s="50"/>
      <c r="FST349" s="50"/>
      <c r="FSU349" s="50"/>
      <c r="FSV349" s="50"/>
      <c r="FSW349" s="50"/>
      <c r="FSX349" s="50"/>
      <c r="FSY349" s="50"/>
      <c r="FSZ349" s="50"/>
      <c r="FTA349" s="50"/>
      <c r="FTB349" s="50"/>
      <c r="FTC349" s="50"/>
      <c r="FTD349" s="50"/>
      <c r="FTE349" s="50"/>
      <c r="FTF349" s="50"/>
      <c r="FTG349" s="50"/>
      <c r="FTH349" s="50"/>
      <c r="FTI349" s="50"/>
      <c r="FTJ349" s="50"/>
      <c r="FTK349" s="50"/>
      <c r="FTL349" s="50"/>
      <c r="FTM349" s="50"/>
      <c r="FTN349" s="50"/>
      <c r="FTO349" s="50"/>
      <c r="FTP349" s="50"/>
      <c r="FTQ349" s="50"/>
      <c r="FTR349" s="50"/>
      <c r="FTS349" s="50"/>
      <c r="FTT349" s="50"/>
      <c r="FTU349" s="50"/>
      <c r="FTV349" s="50"/>
      <c r="FTW349" s="50"/>
      <c r="FTX349" s="50"/>
      <c r="FTY349" s="50"/>
      <c r="FTZ349" s="50"/>
      <c r="FUA349" s="50"/>
      <c r="FUB349" s="50"/>
      <c r="FUC349" s="50"/>
      <c r="FUD349" s="50"/>
      <c r="FUE349" s="50"/>
      <c r="FUF349" s="50"/>
      <c r="FUG349" s="50"/>
      <c r="FUH349" s="50"/>
      <c r="FUI349" s="50"/>
      <c r="FUJ349" s="50"/>
      <c r="FUK349" s="50"/>
      <c r="FUL349" s="50"/>
      <c r="FUM349" s="50"/>
      <c r="FUN349" s="50"/>
      <c r="FUO349" s="50"/>
      <c r="FUP349" s="50"/>
      <c r="FUQ349" s="50"/>
      <c r="FUR349" s="50"/>
      <c r="FUS349" s="50"/>
      <c r="FUT349" s="50"/>
      <c r="FUU349" s="50"/>
      <c r="FUV349" s="50"/>
      <c r="FUW349" s="50"/>
      <c r="FUX349" s="50"/>
      <c r="FUY349" s="50"/>
      <c r="FUZ349" s="50"/>
      <c r="FVA349" s="50"/>
      <c r="FVB349" s="50"/>
      <c r="FVC349" s="50"/>
      <c r="FVD349" s="50"/>
      <c r="FVE349" s="50"/>
      <c r="FVF349" s="50"/>
      <c r="FVG349" s="50"/>
      <c r="FVH349" s="50"/>
      <c r="FVI349" s="50"/>
      <c r="FVJ349" s="50"/>
      <c r="FVK349" s="50"/>
      <c r="FVL349" s="50"/>
      <c r="FVM349" s="50"/>
      <c r="FVN349" s="50"/>
      <c r="FVO349" s="50"/>
      <c r="FVP349" s="50"/>
      <c r="FVQ349" s="50"/>
      <c r="FVR349" s="50"/>
      <c r="FVS349" s="50"/>
      <c r="FVT349" s="50"/>
      <c r="FVU349" s="50"/>
      <c r="FVV349" s="50"/>
      <c r="FVW349" s="50"/>
      <c r="FVX349" s="50"/>
      <c r="FVY349" s="50"/>
      <c r="FVZ349" s="50"/>
      <c r="FWA349" s="50"/>
      <c r="FWB349" s="50"/>
      <c r="FWC349" s="50"/>
      <c r="FWD349" s="50"/>
      <c r="FWE349" s="50"/>
      <c r="FWF349" s="50"/>
      <c r="FWG349" s="50"/>
      <c r="FWH349" s="50"/>
      <c r="FWI349" s="50"/>
      <c r="FWJ349" s="50"/>
      <c r="FWK349" s="50"/>
      <c r="FWL349" s="50"/>
      <c r="FWM349" s="50"/>
      <c r="FWN349" s="50"/>
      <c r="FWO349" s="50"/>
      <c r="FWP349" s="50"/>
      <c r="FWQ349" s="50"/>
      <c r="FWR349" s="50"/>
      <c r="FWS349" s="50"/>
      <c r="FWT349" s="50"/>
      <c r="FWU349" s="50"/>
      <c r="FWV349" s="50"/>
      <c r="FWW349" s="50"/>
      <c r="FWX349" s="50"/>
      <c r="FWY349" s="50"/>
      <c r="FWZ349" s="50"/>
      <c r="FXA349" s="50"/>
      <c r="FXB349" s="50"/>
      <c r="FXC349" s="50"/>
      <c r="FXD349" s="50"/>
      <c r="FXE349" s="50"/>
      <c r="FXF349" s="50"/>
      <c r="FXG349" s="50"/>
      <c r="FXH349" s="50"/>
      <c r="FXI349" s="50"/>
      <c r="FXJ349" s="50"/>
      <c r="FXK349" s="50"/>
      <c r="FXL349" s="50"/>
      <c r="FXM349" s="50"/>
      <c r="FXN349" s="50"/>
      <c r="FXO349" s="50"/>
      <c r="FXP349" s="50"/>
      <c r="FXQ349" s="50"/>
      <c r="FXR349" s="50"/>
      <c r="FXS349" s="50"/>
      <c r="FXT349" s="50"/>
      <c r="FXU349" s="50"/>
      <c r="FXV349" s="50"/>
      <c r="FXW349" s="50"/>
      <c r="FXX349" s="50"/>
      <c r="FXY349" s="50"/>
      <c r="FXZ349" s="50"/>
      <c r="FYA349" s="50"/>
      <c r="FYB349" s="50"/>
      <c r="FYC349" s="50"/>
      <c r="FYD349" s="50"/>
      <c r="FYE349" s="50"/>
      <c r="FYF349" s="50"/>
      <c r="FYG349" s="50"/>
      <c r="FYH349" s="50"/>
      <c r="FYI349" s="50"/>
      <c r="FYJ349" s="50"/>
      <c r="FYK349" s="50"/>
      <c r="FYL349" s="50"/>
      <c r="FYM349" s="50"/>
      <c r="FYN349" s="50"/>
      <c r="FYO349" s="50"/>
      <c r="FYP349" s="50"/>
      <c r="FYQ349" s="50"/>
      <c r="FYR349" s="50"/>
      <c r="FYS349" s="50"/>
      <c r="FYT349" s="50"/>
      <c r="FYU349" s="50"/>
      <c r="FYV349" s="50"/>
      <c r="FYW349" s="50"/>
      <c r="FYX349" s="50"/>
      <c r="FYY349" s="50"/>
      <c r="FYZ349" s="50"/>
      <c r="FZA349" s="50"/>
      <c r="FZB349" s="50"/>
      <c r="FZC349" s="50"/>
      <c r="FZD349" s="50"/>
      <c r="FZE349" s="50"/>
      <c r="FZF349" s="50"/>
      <c r="FZG349" s="50"/>
      <c r="FZH349" s="50"/>
      <c r="FZI349" s="50"/>
      <c r="FZJ349" s="50"/>
      <c r="FZK349" s="50"/>
      <c r="FZL349" s="50"/>
      <c r="FZM349" s="50"/>
      <c r="FZN349" s="50"/>
      <c r="FZO349" s="50"/>
      <c r="FZP349" s="50"/>
      <c r="FZQ349" s="50"/>
      <c r="FZR349" s="50"/>
      <c r="FZS349" s="50"/>
      <c r="FZT349" s="50"/>
      <c r="FZU349" s="50"/>
      <c r="FZV349" s="50"/>
      <c r="FZW349" s="50"/>
      <c r="FZX349" s="50"/>
      <c r="FZY349" s="50"/>
      <c r="FZZ349" s="50"/>
      <c r="GAA349" s="50"/>
      <c r="GAB349" s="50"/>
      <c r="GAC349" s="50"/>
      <c r="GAD349" s="50"/>
      <c r="GAE349" s="50"/>
      <c r="GAF349" s="50"/>
      <c r="GAG349" s="50"/>
      <c r="GAH349" s="50"/>
      <c r="GAI349" s="50"/>
      <c r="GAJ349" s="50"/>
      <c r="GAK349" s="50"/>
      <c r="GAL349" s="50"/>
      <c r="GAM349" s="50"/>
      <c r="GAN349" s="50"/>
      <c r="GAO349" s="50"/>
      <c r="GAP349" s="50"/>
      <c r="GAQ349" s="50"/>
      <c r="GAR349" s="50"/>
      <c r="GAS349" s="50"/>
      <c r="GAT349" s="50"/>
      <c r="GAU349" s="50"/>
      <c r="GAV349" s="50"/>
      <c r="GAW349" s="50"/>
      <c r="GAX349" s="50"/>
      <c r="GAY349" s="50"/>
      <c r="GAZ349" s="50"/>
      <c r="GBA349" s="50"/>
      <c r="GBB349" s="50"/>
      <c r="GBC349" s="50"/>
      <c r="GBD349" s="50"/>
      <c r="GBE349" s="50"/>
      <c r="GBF349" s="50"/>
      <c r="GBG349" s="50"/>
      <c r="GBH349" s="50"/>
      <c r="GBI349" s="50"/>
      <c r="GBJ349" s="50"/>
      <c r="GBK349" s="50"/>
      <c r="GBL349" s="50"/>
      <c r="GBM349" s="50"/>
      <c r="GBN349" s="50"/>
      <c r="GBO349" s="50"/>
      <c r="GBP349" s="50"/>
      <c r="GBQ349" s="50"/>
      <c r="GBR349" s="50"/>
      <c r="GBS349" s="50"/>
      <c r="GBT349" s="50"/>
      <c r="GBU349" s="50"/>
      <c r="GBV349" s="50"/>
      <c r="GBW349" s="50"/>
      <c r="GBX349" s="50"/>
      <c r="GBY349" s="50"/>
      <c r="GBZ349" s="50"/>
      <c r="GCA349" s="50"/>
      <c r="GCB349" s="50"/>
      <c r="GCC349" s="50"/>
      <c r="GCD349" s="50"/>
      <c r="GCE349" s="50"/>
      <c r="GCF349" s="50"/>
      <c r="GCG349" s="50"/>
      <c r="GCH349" s="50"/>
      <c r="GCI349" s="50"/>
      <c r="GCJ349" s="50"/>
      <c r="GCK349" s="50"/>
      <c r="GCL349" s="50"/>
      <c r="GCM349" s="50"/>
      <c r="GCN349" s="50"/>
      <c r="GCO349" s="50"/>
      <c r="GCP349" s="50"/>
      <c r="GCQ349" s="50"/>
      <c r="GCR349" s="50"/>
      <c r="GCS349" s="50"/>
      <c r="GCT349" s="50"/>
      <c r="GCU349" s="50"/>
      <c r="GCV349" s="50"/>
      <c r="GCW349" s="50"/>
      <c r="GCX349" s="50"/>
      <c r="GCY349" s="50"/>
      <c r="GCZ349" s="50"/>
      <c r="GDA349" s="50"/>
      <c r="GDB349" s="50"/>
      <c r="GDC349" s="50"/>
      <c r="GDD349" s="50"/>
      <c r="GDE349" s="50"/>
      <c r="GDF349" s="50"/>
      <c r="GDG349" s="50"/>
      <c r="GDH349" s="50"/>
      <c r="GDI349" s="50"/>
      <c r="GDJ349" s="50"/>
      <c r="GDK349" s="50"/>
      <c r="GDL349" s="50"/>
      <c r="GDM349" s="50"/>
      <c r="GDN349" s="50"/>
      <c r="GDO349" s="50"/>
      <c r="GDP349" s="50"/>
      <c r="GDQ349" s="50"/>
      <c r="GDR349" s="50"/>
      <c r="GDS349" s="50"/>
      <c r="GDT349" s="50"/>
      <c r="GDU349" s="50"/>
      <c r="GDV349" s="50"/>
      <c r="GDW349" s="50"/>
      <c r="GDX349" s="50"/>
      <c r="GDY349" s="50"/>
      <c r="GDZ349" s="50"/>
      <c r="GEA349" s="50"/>
      <c r="GEB349" s="50"/>
      <c r="GEC349" s="50"/>
      <c r="GED349" s="50"/>
      <c r="GEE349" s="50"/>
      <c r="GEF349" s="50"/>
      <c r="GEG349" s="50"/>
      <c r="GEH349" s="50"/>
      <c r="GEI349" s="50"/>
      <c r="GEJ349" s="50"/>
      <c r="GEK349" s="50"/>
      <c r="GEL349" s="50"/>
      <c r="GEM349" s="50"/>
      <c r="GEN349" s="50"/>
      <c r="GEO349" s="50"/>
      <c r="GEP349" s="50"/>
      <c r="GEQ349" s="50"/>
      <c r="GER349" s="50"/>
      <c r="GES349" s="50"/>
      <c r="GET349" s="50"/>
      <c r="GEU349" s="50"/>
      <c r="GEV349" s="50"/>
      <c r="GEW349" s="50"/>
      <c r="GEX349" s="50"/>
      <c r="GEY349" s="50"/>
      <c r="GEZ349" s="50"/>
      <c r="GFA349" s="50"/>
      <c r="GFB349" s="50"/>
      <c r="GFC349" s="50"/>
      <c r="GFD349" s="50"/>
      <c r="GFE349" s="50"/>
      <c r="GFF349" s="50"/>
      <c r="GFG349" s="50"/>
      <c r="GFH349" s="50"/>
      <c r="GFI349" s="50"/>
      <c r="GFJ349" s="50"/>
      <c r="GFK349" s="50"/>
      <c r="GFL349" s="50"/>
      <c r="GFM349" s="50"/>
      <c r="GFN349" s="50"/>
      <c r="GFO349" s="50"/>
      <c r="GFP349" s="50"/>
      <c r="GFQ349" s="50"/>
      <c r="GFR349" s="50"/>
      <c r="GFS349" s="50"/>
      <c r="GFT349" s="50"/>
      <c r="GFU349" s="50"/>
      <c r="GFV349" s="50"/>
      <c r="GFW349" s="50"/>
      <c r="GFX349" s="50"/>
      <c r="GFY349" s="50"/>
      <c r="GFZ349" s="50"/>
      <c r="GGA349" s="50"/>
      <c r="GGB349" s="50"/>
      <c r="GGC349" s="50"/>
      <c r="GGD349" s="50"/>
      <c r="GGE349" s="50"/>
      <c r="GGF349" s="50"/>
      <c r="GGG349" s="50"/>
      <c r="GGH349" s="50"/>
      <c r="GGI349" s="50"/>
      <c r="GGJ349" s="50"/>
      <c r="GGK349" s="50"/>
      <c r="GGL349" s="50"/>
      <c r="GGM349" s="50"/>
      <c r="GGN349" s="50"/>
      <c r="GGO349" s="50"/>
      <c r="GGP349" s="50"/>
      <c r="GGQ349" s="50"/>
      <c r="GGR349" s="50"/>
      <c r="GGS349" s="50"/>
      <c r="GGT349" s="50"/>
      <c r="GGU349" s="50"/>
      <c r="GGV349" s="50"/>
      <c r="GGW349" s="50"/>
      <c r="GGX349" s="50"/>
      <c r="GGY349" s="50"/>
      <c r="GGZ349" s="50"/>
      <c r="GHA349" s="50"/>
      <c r="GHB349" s="50"/>
      <c r="GHC349" s="50"/>
      <c r="GHD349" s="50"/>
      <c r="GHE349" s="50"/>
      <c r="GHF349" s="50"/>
      <c r="GHG349" s="50"/>
      <c r="GHH349" s="50"/>
      <c r="GHI349" s="50"/>
      <c r="GHJ349" s="50"/>
      <c r="GHK349" s="50"/>
      <c r="GHL349" s="50"/>
      <c r="GHM349" s="50"/>
      <c r="GHN349" s="50"/>
      <c r="GHO349" s="50"/>
      <c r="GHP349" s="50"/>
      <c r="GHQ349" s="50"/>
      <c r="GHR349" s="50"/>
      <c r="GHS349" s="50"/>
      <c r="GHT349" s="50"/>
      <c r="GHU349" s="50"/>
      <c r="GHV349" s="50"/>
      <c r="GHW349" s="50"/>
      <c r="GHX349" s="50"/>
      <c r="GHY349" s="50"/>
      <c r="GHZ349" s="50"/>
      <c r="GIA349" s="50"/>
      <c r="GIB349" s="50"/>
      <c r="GIC349" s="50"/>
      <c r="GID349" s="50"/>
      <c r="GIE349" s="50"/>
      <c r="GIF349" s="50"/>
      <c r="GIG349" s="50"/>
      <c r="GIH349" s="50"/>
      <c r="GII349" s="50"/>
      <c r="GIJ349" s="50"/>
      <c r="GIK349" s="50"/>
      <c r="GIL349" s="50"/>
      <c r="GIM349" s="50"/>
      <c r="GIN349" s="50"/>
      <c r="GIO349" s="50"/>
      <c r="GIP349" s="50"/>
      <c r="GIQ349" s="50"/>
      <c r="GIR349" s="50"/>
      <c r="GIS349" s="50"/>
      <c r="GIT349" s="50"/>
      <c r="GIU349" s="50"/>
      <c r="GIV349" s="50"/>
      <c r="GIW349" s="50"/>
      <c r="GIX349" s="50"/>
      <c r="GIY349" s="50"/>
      <c r="GIZ349" s="50"/>
      <c r="GJA349" s="50"/>
      <c r="GJB349" s="50"/>
      <c r="GJC349" s="50"/>
      <c r="GJD349" s="50"/>
      <c r="GJE349" s="50"/>
      <c r="GJF349" s="50"/>
      <c r="GJG349" s="50"/>
      <c r="GJH349" s="50"/>
      <c r="GJI349" s="50"/>
      <c r="GJJ349" s="50"/>
      <c r="GJK349" s="50"/>
      <c r="GJL349" s="50"/>
      <c r="GJM349" s="50"/>
      <c r="GJN349" s="50"/>
      <c r="GJO349" s="50"/>
      <c r="GJP349" s="50"/>
      <c r="GJQ349" s="50"/>
      <c r="GJR349" s="50"/>
      <c r="GJS349" s="50"/>
      <c r="GJT349" s="50"/>
      <c r="GJU349" s="50"/>
      <c r="GJV349" s="50"/>
      <c r="GJW349" s="50"/>
      <c r="GJX349" s="50"/>
      <c r="GJY349" s="50"/>
      <c r="GJZ349" s="50"/>
      <c r="GKA349" s="50"/>
      <c r="GKB349" s="50"/>
      <c r="GKC349" s="50"/>
      <c r="GKD349" s="50"/>
      <c r="GKE349" s="50"/>
      <c r="GKF349" s="50"/>
      <c r="GKG349" s="50"/>
      <c r="GKH349" s="50"/>
      <c r="GKI349" s="50"/>
      <c r="GKJ349" s="50"/>
      <c r="GKK349" s="50"/>
      <c r="GKL349" s="50"/>
      <c r="GKM349" s="50"/>
      <c r="GKN349" s="50"/>
      <c r="GKO349" s="50"/>
      <c r="GKP349" s="50"/>
      <c r="GKQ349" s="50"/>
      <c r="GKR349" s="50"/>
      <c r="GKS349" s="50"/>
      <c r="GKT349" s="50"/>
      <c r="GKU349" s="50"/>
      <c r="GKV349" s="50"/>
      <c r="GKW349" s="50"/>
      <c r="GKX349" s="50"/>
      <c r="GKY349" s="50"/>
      <c r="GKZ349" s="50"/>
      <c r="GLA349" s="50"/>
      <c r="GLB349" s="50"/>
      <c r="GLC349" s="50"/>
      <c r="GLD349" s="50"/>
      <c r="GLE349" s="50"/>
      <c r="GLF349" s="50"/>
      <c r="GLG349" s="50"/>
      <c r="GLH349" s="50"/>
      <c r="GLI349" s="50"/>
      <c r="GLJ349" s="50"/>
      <c r="GLK349" s="50"/>
      <c r="GLL349" s="50"/>
      <c r="GLM349" s="50"/>
      <c r="GLN349" s="50"/>
      <c r="GLO349" s="50"/>
      <c r="GLP349" s="50"/>
      <c r="GLQ349" s="50"/>
      <c r="GLR349" s="50"/>
      <c r="GLS349" s="50"/>
      <c r="GLT349" s="50"/>
      <c r="GLU349" s="50"/>
      <c r="GLV349" s="50"/>
      <c r="GLW349" s="50"/>
      <c r="GLX349" s="50"/>
      <c r="GLY349" s="50"/>
      <c r="GLZ349" s="50"/>
      <c r="GMA349" s="50"/>
      <c r="GMB349" s="50"/>
      <c r="GMC349" s="50"/>
      <c r="GMD349" s="50"/>
      <c r="GME349" s="50"/>
      <c r="GMF349" s="50"/>
      <c r="GMG349" s="50"/>
      <c r="GMH349" s="50"/>
      <c r="GMI349" s="50"/>
      <c r="GMJ349" s="50"/>
      <c r="GMK349" s="50"/>
      <c r="GML349" s="50"/>
      <c r="GMM349" s="50"/>
      <c r="GMN349" s="50"/>
      <c r="GMO349" s="50"/>
      <c r="GMP349" s="50"/>
      <c r="GMQ349" s="50"/>
      <c r="GMR349" s="50"/>
      <c r="GMS349" s="50"/>
      <c r="GMT349" s="50"/>
      <c r="GMU349" s="50"/>
      <c r="GMV349" s="50"/>
      <c r="GMW349" s="50"/>
      <c r="GMX349" s="50"/>
      <c r="GMY349" s="50"/>
      <c r="GMZ349" s="50"/>
      <c r="GNA349" s="50"/>
      <c r="GNB349" s="50"/>
      <c r="GNC349" s="50"/>
      <c r="GND349" s="50"/>
      <c r="GNE349" s="50"/>
      <c r="GNF349" s="50"/>
      <c r="GNG349" s="50"/>
      <c r="GNH349" s="50"/>
      <c r="GNI349" s="50"/>
      <c r="GNJ349" s="50"/>
      <c r="GNK349" s="50"/>
      <c r="GNL349" s="50"/>
      <c r="GNM349" s="50"/>
      <c r="GNN349" s="50"/>
      <c r="GNO349" s="50"/>
      <c r="GNP349" s="50"/>
      <c r="GNQ349" s="50"/>
      <c r="GNR349" s="50"/>
      <c r="GNS349" s="50"/>
      <c r="GNT349" s="50"/>
      <c r="GNU349" s="50"/>
      <c r="GNV349" s="50"/>
      <c r="GNW349" s="50"/>
      <c r="GNX349" s="50"/>
      <c r="GNY349" s="50"/>
      <c r="GNZ349" s="50"/>
      <c r="GOA349" s="50"/>
      <c r="GOB349" s="50"/>
      <c r="GOC349" s="50"/>
      <c r="GOD349" s="50"/>
      <c r="GOE349" s="50"/>
      <c r="GOF349" s="50"/>
      <c r="GOG349" s="50"/>
      <c r="GOH349" s="50"/>
      <c r="GOI349" s="50"/>
      <c r="GOJ349" s="50"/>
      <c r="GOK349" s="50"/>
      <c r="GOL349" s="50"/>
      <c r="GOM349" s="50"/>
      <c r="GON349" s="50"/>
      <c r="GOO349" s="50"/>
      <c r="GOP349" s="50"/>
      <c r="GOQ349" s="50"/>
      <c r="GOR349" s="50"/>
      <c r="GOS349" s="50"/>
      <c r="GOT349" s="50"/>
      <c r="GOU349" s="50"/>
      <c r="GOV349" s="50"/>
      <c r="GOW349" s="50"/>
      <c r="GOX349" s="50"/>
      <c r="GOY349" s="50"/>
      <c r="GOZ349" s="50"/>
      <c r="GPA349" s="50"/>
      <c r="GPB349" s="50"/>
      <c r="GPC349" s="50"/>
      <c r="GPD349" s="50"/>
      <c r="GPE349" s="50"/>
      <c r="GPF349" s="50"/>
      <c r="GPG349" s="50"/>
      <c r="GPH349" s="50"/>
      <c r="GPI349" s="50"/>
      <c r="GPJ349" s="50"/>
      <c r="GPK349" s="50"/>
      <c r="GPL349" s="50"/>
      <c r="GPM349" s="50"/>
      <c r="GPN349" s="50"/>
      <c r="GPO349" s="50"/>
      <c r="GPP349" s="50"/>
      <c r="GPQ349" s="50"/>
      <c r="GPR349" s="50"/>
      <c r="GPS349" s="50"/>
      <c r="GPT349" s="50"/>
      <c r="GPU349" s="50"/>
      <c r="GPV349" s="50"/>
      <c r="GPW349" s="50"/>
      <c r="GPX349" s="50"/>
      <c r="GPY349" s="50"/>
      <c r="GPZ349" s="50"/>
      <c r="GQA349" s="50"/>
      <c r="GQB349" s="50"/>
      <c r="GQC349" s="50"/>
      <c r="GQD349" s="50"/>
      <c r="GQE349" s="50"/>
      <c r="GQF349" s="50"/>
      <c r="GQG349" s="50"/>
      <c r="GQH349" s="50"/>
      <c r="GQI349" s="50"/>
      <c r="GQJ349" s="50"/>
      <c r="GQK349" s="50"/>
      <c r="GQL349" s="50"/>
      <c r="GQM349" s="50"/>
      <c r="GQN349" s="50"/>
      <c r="GQO349" s="50"/>
      <c r="GQP349" s="50"/>
      <c r="GQQ349" s="50"/>
      <c r="GQR349" s="50"/>
      <c r="GQS349" s="50"/>
      <c r="GQT349" s="50"/>
      <c r="GQU349" s="50"/>
      <c r="GQV349" s="50"/>
      <c r="GQW349" s="50"/>
      <c r="GQX349" s="50"/>
      <c r="GQY349" s="50"/>
      <c r="GQZ349" s="50"/>
      <c r="GRA349" s="50"/>
      <c r="GRB349" s="50"/>
      <c r="GRC349" s="50"/>
      <c r="GRD349" s="50"/>
      <c r="GRE349" s="50"/>
      <c r="GRF349" s="50"/>
      <c r="GRG349" s="50"/>
      <c r="GRH349" s="50"/>
      <c r="GRI349" s="50"/>
      <c r="GRJ349" s="50"/>
      <c r="GRK349" s="50"/>
      <c r="GRL349" s="50"/>
      <c r="GRM349" s="50"/>
      <c r="GRN349" s="50"/>
      <c r="GRO349" s="50"/>
      <c r="GRP349" s="50"/>
      <c r="GRQ349" s="50"/>
      <c r="GRR349" s="50"/>
      <c r="GRS349" s="50"/>
      <c r="GRT349" s="50"/>
      <c r="GRU349" s="50"/>
      <c r="GRV349" s="50"/>
      <c r="GRW349" s="50"/>
      <c r="GRX349" s="50"/>
      <c r="GRY349" s="50"/>
      <c r="GRZ349" s="50"/>
      <c r="GSA349" s="50"/>
      <c r="GSB349" s="50"/>
      <c r="GSC349" s="50"/>
      <c r="GSD349" s="50"/>
      <c r="GSE349" s="50"/>
      <c r="GSF349" s="50"/>
      <c r="GSG349" s="50"/>
      <c r="GSH349" s="50"/>
      <c r="GSI349" s="50"/>
      <c r="GSJ349" s="50"/>
      <c r="GSK349" s="50"/>
      <c r="GSL349" s="50"/>
      <c r="GSM349" s="50"/>
      <c r="GSN349" s="50"/>
      <c r="GSO349" s="50"/>
      <c r="GSP349" s="50"/>
      <c r="GSQ349" s="50"/>
      <c r="GSR349" s="50"/>
      <c r="GSS349" s="50"/>
      <c r="GST349" s="50"/>
      <c r="GSU349" s="50"/>
      <c r="GSV349" s="50"/>
      <c r="GSW349" s="50"/>
      <c r="GSX349" s="50"/>
      <c r="GSY349" s="50"/>
      <c r="GSZ349" s="50"/>
      <c r="GTA349" s="50"/>
      <c r="GTB349" s="50"/>
      <c r="GTC349" s="50"/>
      <c r="GTD349" s="50"/>
      <c r="GTE349" s="50"/>
      <c r="GTF349" s="50"/>
      <c r="GTG349" s="50"/>
      <c r="GTH349" s="50"/>
      <c r="GTI349" s="50"/>
      <c r="GTJ349" s="50"/>
      <c r="GTK349" s="50"/>
      <c r="GTL349" s="50"/>
      <c r="GTM349" s="50"/>
      <c r="GTN349" s="50"/>
      <c r="GTO349" s="50"/>
      <c r="GTP349" s="50"/>
      <c r="GTQ349" s="50"/>
      <c r="GTR349" s="50"/>
      <c r="GTS349" s="50"/>
      <c r="GTT349" s="50"/>
      <c r="GTU349" s="50"/>
      <c r="GTV349" s="50"/>
      <c r="GTW349" s="50"/>
      <c r="GTX349" s="50"/>
      <c r="GTY349" s="50"/>
      <c r="GTZ349" s="50"/>
      <c r="GUA349" s="50"/>
      <c r="GUB349" s="50"/>
      <c r="GUC349" s="50"/>
      <c r="GUD349" s="50"/>
      <c r="GUE349" s="50"/>
      <c r="GUF349" s="50"/>
      <c r="GUG349" s="50"/>
      <c r="GUH349" s="50"/>
      <c r="GUI349" s="50"/>
      <c r="GUJ349" s="50"/>
      <c r="GUK349" s="50"/>
      <c r="GUL349" s="50"/>
      <c r="GUM349" s="50"/>
      <c r="GUN349" s="50"/>
      <c r="GUO349" s="50"/>
      <c r="GUP349" s="50"/>
      <c r="GUQ349" s="50"/>
      <c r="GUR349" s="50"/>
      <c r="GUS349" s="50"/>
      <c r="GUT349" s="50"/>
      <c r="GUU349" s="50"/>
      <c r="GUV349" s="50"/>
      <c r="GUW349" s="50"/>
      <c r="GUX349" s="50"/>
      <c r="GUY349" s="50"/>
      <c r="GUZ349" s="50"/>
      <c r="GVA349" s="50"/>
      <c r="GVB349" s="50"/>
      <c r="GVC349" s="50"/>
      <c r="GVD349" s="50"/>
      <c r="GVE349" s="50"/>
      <c r="GVF349" s="50"/>
      <c r="GVG349" s="50"/>
      <c r="GVH349" s="50"/>
      <c r="GVI349" s="50"/>
      <c r="GVJ349" s="50"/>
      <c r="GVK349" s="50"/>
      <c r="GVL349" s="50"/>
      <c r="GVM349" s="50"/>
      <c r="GVN349" s="50"/>
      <c r="GVO349" s="50"/>
      <c r="GVP349" s="50"/>
      <c r="GVQ349" s="50"/>
      <c r="GVR349" s="50"/>
      <c r="GVS349" s="50"/>
      <c r="GVT349" s="50"/>
      <c r="GVU349" s="50"/>
      <c r="GVV349" s="50"/>
      <c r="GVW349" s="50"/>
      <c r="GVX349" s="50"/>
      <c r="GVY349" s="50"/>
      <c r="GVZ349" s="50"/>
      <c r="GWA349" s="50"/>
      <c r="GWB349" s="50"/>
      <c r="GWC349" s="50"/>
      <c r="GWD349" s="50"/>
      <c r="GWE349" s="50"/>
      <c r="GWF349" s="50"/>
      <c r="GWG349" s="50"/>
      <c r="GWH349" s="50"/>
      <c r="GWI349" s="50"/>
      <c r="GWJ349" s="50"/>
      <c r="GWK349" s="50"/>
      <c r="GWL349" s="50"/>
      <c r="GWM349" s="50"/>
      <c r="GWN349" s="50"/>
      <c r="GWO349" s="50"/>
      <c r="GWP349" s="50"/>
      <c r="GWQ349" s="50"/>
      <c r="GWR349" s="50"/>
      <c r="GWS349" s="50"/>
      <c r="GWT349" s="50"/>
      <c r="GWU349" s="50"/>
      <c r="GWV349" s="50"/>
      <c r="GWW349" s="50"/>
      <c r="GWX349" s="50"/>
      <c r="GWY349" s="50"/>
      <c r="GWZ349" s="50"/>
      <c r="GXA349" s="50"/>
      <c r="GXB349" s="50"/>
      <c r="GXC349" s="50"/>
      <c r="GXD349" s="50"/>
      <c r="GXE349" s="50"/>
      <c r="GXF349" s="50"/>
      <c r="GXG349" s="50"/>
      <c r="GXH349" s="50"/>
      <c r="GXI349" s="50"/>
      <c r="GXJ349" s="50"/>
      <c r="GXK349" s="50"/>
      <c r="GXL349" s="50"/>
      <c r="GXM349" s="50"/>
      <c r="GXN349" s="50"/>
      <c r="GXO349" s="50"/>
      <c r="GXP349" s="50"/>
      <c r="GXQ349" s="50"/>
      <c r="GXR349" s="50"/>
      <c r="GXS349" s="50"/>
      <c r="GXT349" s="50"/>
      <c r="GXU349" s="50"/>
      <c r="GXV349" s="50"/>
      <c r="GXW349" s="50"/>
      <c r="GXX349" s="50"/>
      <c r="GXY349" s="50"/>
      <c r="GXZ349" s="50"/>
      <c r="GYA349" s="50"/>
      <c r="GYB349" s="50"/>
      <c r="GYC349" s="50"/>
      <c r="GYD349" s="50"/>
      <c r="GYE349" s="50"/>
      <c r="GYF349" s="50"/>
      <c r="GYG349" s="50"/>
      <c r="GYH349" s="50"/>
      <c r="GYI349" s="50"/>
      <c r="GYJ349" s="50"/>
      <c r="GYK349" s="50"/>
      <c r="GYL349" s="50"/>
      <c r="GYM349" s="50"/>
      <c r="GYN349" s="50"/>
      <c r="GYO349" s="50"/>
      <c r="GYP349" s="50"/>
      <c r="GYQ349" s="50"/>
      <c r="GYR349" s="50"/>
      <c r="GYS349" s="50"/>
      <c r="GYT349" s="50"/>
      <c r="GYU349" s="50"/>
      <c r="GYV349" s="50"/>
      <c r="GYW349" s="50"/>
      <c r="GYX349" s="50"/>
      <c r="GYY349" s="50"/>
      <c r="GYZ349" s="50"/>
      <c r="GZA349" s="50"/>
      <c r="GZB349" s="50"/>
      <c r="GZC349" s="50"/>
      <c r="GZD349" s="50"/>
      <c r="GZE349" s="50"/>
      <c r="GZF349" s="50"/>
      <c r="GZG349" s="50"/>
      <c r="GZH349" s="50"/>
      <c r="GZI349" s="50"/>
      <c r="GZJ349" s="50"/>
      <c r="GZK349" s="50"/>
      <c r="GZL349" s="50"/>
      <c r="GZM349" s="50"/>
      <c r="GZN349" s="50"/>
      <c r="GZO349" s="50"/>
      <c r="GZP349" s="50"/>
      <c r="GZQ349" s="50"/>
      <c r="GZR349" s="50"/>
      <c r="GZS349" s="50"/>
      <c r="GZT349" s="50"/>
      <c r="GZU349" s="50"/>
      <c r="GZV349" s="50"/>
      <c r="GZW349" s="50"/>
      <c r="GZX349" s="50"/>
      <c r="GZY349" s="50"/>
      <c r="GZZ349" s="50"/>
      <c r="HAA349" s="50"/>
      <c r="HAB349" s="50"/>
      <c r="HAC349" s="50"/>
      <c r="HAD349" s="50"/>
      <c r="HAE349" s="50"/>
      <c r="HAF349" s="50"/>
      <c r="HAG349" s="50"/>
      <c r="HAH349" s="50"/>
      <c r="HAI349" s="50"/>
      <c r="HAJ349" s="50"/>
      <c r="HAK349" s="50"/>
      <c r="HAL349" s="50"/>
      <c r="HAM349" s="50"/>
      <c r="HAN349" s="50"/>
      <c r="HAO349" s="50"/>
      <c r="HAP349" s="50"/>
      <c r="HAQ349" s="50"/>
      <c r="HAR349" s="50"/>
      <c r="HAS349" s="50"/>
      <c r="HAT349" s="50"/>
      <c r="HAU349" s="50"/>
      <c r="HAV349" s="50"/>
      <c r="HAW349" s="50"/>
      <c r="HAX349" s="50"/>
      <c r="HAY349" s="50"/>
      <c r="HAZ349" s="50"/>
      <c r="HBA349" s="50"/>
      <c r="HBB349" s="50"/>
      <c r="HBC349" s="50"/>
      <c r="HBD349" s="50"/>
      <c r="HBE349" s="50"/>
      <c r="HBF349" s="50"/>
      <c r="HBG349" s="50"/>
      <c r="HBH349" s="50"/>
      <c r="HBI349" s="50"/>
      <c r="HBJ349" s="50"/>
      <c r="HBK349" s="50"/>
      <c r="HBL349" s="50"/>
      <c r="HBM349" s="50"/>
      <c r="HBN349" s="50"/>
      <c r="HBO349" s="50"/>
      <c r="HBP349" s="50"/>
      <c r="HBQ349" s="50"/>
      <c r="HBR349" s="50"/>
      <c r="HBS349" s="50"/>
      <c r="HBT349" s="50"/>
      <c r="HBU349" s="50"/>
      <c r="HBV349" s="50"/>
      <c r="HBW349" s="50"/>
      <c r="HBX349" s="50"/>
      <c r="HBY349" s="50"/>
      <c r="HBZ349" s="50"/>
      <c r="HCA349" s="50"/>
      <c r="HCB349" s="50"/>
      <c r="HCC349" s="50"/>
      <c r="HCD349" s="50"/>
      <c r="HCE349" s="50"/>
      <c r="HCF349" s="50"/>
      <c r="HCG349" s="50"/>
      <c r="HCH349" s="50"/>
      <c r="HCI349" s="50"/>
      <c r="HCJ349" s="50"/>
      <c r="HCK349" s="50"/>
      <c r="HCL349" s="50"/>
      <c r="HCM349" s="50"/>
      <c r="HCN349" s="50"/>
      <c r="HCO349" s="50"/>
      <c r="HCP349" s="50"/>
      <c r="HCQ349" s="50"/>
      <c r="HCR349" s="50"/>
      <c r="HCS349" s="50"/>
      <c r="HCT349" s="50"/>
      <c r="HCU349" s="50"/>
      <c r="HCV349" s="50"/>
      <c r="HCW349" s="50"/>
      <c r="HCX349" s="50"/>
      <c r="HCY349" s="50"/>
      <c r="HCZ349" s="50"/>
      <c r="HDA349" s="50"/>
      <c r="HDB349" s="50"/>
      <c r="HDC349" s="50"/>
      <c r="HDD349" s="50"/>
      <c r="HDE349" s="50"/>
      <c r="HDF349" s="50"/>
      <c r="HDG349" s="50"/>
      <c r="HDH349" s="50"/>
      <c r="HDI349" s="50"/>
      <c r="HDJ349" s="50"/>
      <c r="HDK349" s="50"/>
      <c r="HDL349" s="50"/>
      <c r="HDM349" s="50"/>
      <c r="HDN349" s="50"/>
      <c r="HDO349" s="50"/>
      <c r="HDP349" s="50"/>
      <c r="HDQ349" s="50"/>
      <c r="HDR349" s="50"/>
      <c r="HDS349" s="50"/>
      <c r="HDT349" s="50"/>
      <c r="HDU349" s="50"/>
      <c r="HDV349" s="50"/>
      <c r="HDW349" s="50"/>
      <c r="HDX349" s="50"/>
      <c r="HDY349" s="50"/>
      <c r="HDZ349" s="50"/>
      <c r="HEA349" s="50"/>
      <c r="HEB349" s="50"/>
      <c r="HEC349" s="50"/>
      <c r="HED349" s="50"/>
      <c r="HEE349" s="50"/>
      <c r="HEF349" s="50"/>
      <c r="HEG349" s="50"/>
      <c r="HEH349" s="50"/>
      <c r="HEI349" s="50"/>
      <c r="HEJ349" s="50"/>
      <c r="HEK349" s="50"/>
      <c r="HEL349" s="50"/>
      <c r="HEM349" s="50"/>
      <c r="HEN349" s="50"/>
      <c r="HEO349" s="50"/>
      <c r="HEP349" s="50"/>
      <c r="HEQ349" s="50"/>
      <c r="HER349" s="50"/>
      <c r="HES349" s="50"/>
      <c r="HET349" s="50"/>
      <c r="HEU349" s="50"/>
      <c r="HEV349" s="50"/>
      <c r="HEW349" s="50"/>
      <c r="HEX349" s="50"/>
      <c r="HEY349" s="50"/>
      <c r="HEZ349" s="50"/>
      <c r="HFA349" s="50"/>
      <c r="HFB349" s="50"/>
      <c r="HFC349" s="50"/>
      <c r="HFD349" s="50"/>
      <c r="HFE349" s="50"/>
      <c r="HFF349" s="50"/>
      <c r="HFG349" s="50"/>
      <c r="HFH349" s="50"/>
      <c r="HFI349" s="50"/>
      <c r="HFJ349" s="50"/>
      <c r="HFK349" s="50"/>
      <c r="HFL349" s="50"/>
      <c r="HFM349" s="50"/>
      <c r="HFN349" s="50"/>
      <c r="HFO349" s="50"/>
      <c r="HFP349" s="50"/>
      <c r="HFQ349" s="50"/>
      <c r="HFR349" s="50"/>
      <c r="HFS349" s="50"/>
      <c r="HFT349" s="50"/>
      <c r="HFU349" s="50"/>
      <c r="HFV349" s="50"/>
      <c r="HFW349" s="50"/>
      <c r="HFX349" s="50"/>
      <c r="HFY349" s="50"/>
      <c r="HFZ349" s="50"/>
      <c r="HGA349" s="50"/>
      <c r="HGB349" s="50"/>
      <c r="HGC349" s="50"/>
      <c r="HGD349" s="50"/>
      <c r="HGE349" s="50"/>
      <c r="HGF349" s="50"/>
      <c r="HGG349" s="50"/>
      <c r="HGH349" s="50"/>
      <c r="HGI349" s="50"/>
      <c r="HGJ349" s="50"/>
      <c r="HGK349" s="50"/>
      <c r="HGL349" s="50"/>
      <c r="HGM349" s="50"/>
      <c r="HGN349" s="50"/>
      <c r="HGO349" s="50"/>
      <c r="HGP349" s="50"/>
      <c r="HGQ349" s="50"/>
      <c r="HGR349" s="50"/>
      <c r="HGS349" s="50"/>
      <c r="HGT349" s="50"/>
      <c r="HGU349" s="50"/>
      <c r="HGV349" s="50"/>
      <c r="HGW349" s="50"/>
      <c r="HGX349" s="50"/>
      <c r="HGY349" s="50"/>
      <c r="HGZ349" s="50"/>
      <c r="HHA349" s="50"/>
      <c r="HHB349" s="50"/>
      <c r="HHC349" s="50"/>
      <c r="HHD349" s="50"/>
      <c r="HHE349" s="50"/>
      <c r="HHF349" s="50"/>
      <c r="HHG349" s="50"/>
      <c r="HHH349" s="50"/>
      <c r="HHI349" s="50"/>
      <c r="HHJ349" s="50"/>
      <c r="HHK349" s="50"/>
      <c r="HHL349" s="50"/>
      <c r="HHM349" s="50"/>
      <c r="HHN349" s="50"/>
      <c r="HHO349" s="50"/>
      <c r="HHP349" s="50"/>
      <c r="HHQ349" s="50"/>
      <c r="HHR349" s="50"/>
      <c r="HHS349" s="50"/>
      <c r="HHT349" s="50"/>
      <c r="HHU349" s="50"/>
      <c r="HHV349" s="50"/>
      <c r="HHW349" s="50"/>
      <c r="HHX349" s="50"/>
      <c r="HHY349" s="50"/>
      <c r="HHZ349" s="50"/>
      <c r="HIA349" s="50"/>
      <c r="HIB349" s="50"/>
      <c r="HIC349" s="50"/>
      <c r="HID349" s="50"/>
      <c r="HIE349" s="50"/>
      <c r="HIF349" s="50"/>
      <c r="HIG349" s="50"/>
      <c r="HIH349" s="50"/>
      <c r="HII349" s="50"/>
      <c r="HIJ349" s="50"/>
      <c r="HIK349" s="50"/>
      <c r="HIL349" s="50"/>
      <c r="HIM349" s="50"/>
      <c r="HIN349" s="50"/>
      <c r="HIO349" s="50"/>
      <c r="HIP349" s="50"/>
      <c r="HIQ349" s="50"/>
      <c r="HIR349" s="50"/>
      <c r="HIS349" s="50"/>
      <c r="HIT349" s="50"/>
      <c r="HIU349" s="50"/>
      <c r="HIV349" s="50"/>
      <c r="HIW349" s="50"/>
      <c r="HIX349" s="50"/>
      <c r="HIY349" s="50"/>
      <c r="HIZ349" s="50"/>
      <c r="HJA349" s="50"/>
      <c r="HJB349" s="50"/>
      <c r="HJC349" s="50"/>
      <c r="HJD349" s="50"/>
      <c r="HJE349" s="50"/>
      <c r="HJF349" s="50"/>
      <c r="HJG349" s="50"/>
      <c r="HJH349" s="50"/>
      <c r="HJI349" s="50"/>
      <c r="HJJ349" s="50"/>
      <c r="HJK349" s="50"/>
      <c r="HJL349" s="50"/>
      <c r="HJM349" s="50"/>
      <c r="HJN349" s="50"/>
      <c r="HJO349" s="50"/>
      <c r="HJP349" s="50"/>
      <c r="HJQ349" s="50"/>
      <c r="HJR349" s="50"/>
      <c r="HJS349" s="50"/>
      <c r="HJT349" s="50"/>
      <c r="HJU349" s="50"/>
      <c r="HJV349" s="50"/>
      <c r="HJW349" s="50"/>
      <c r="HJX349" s="50"/>
      <c r="HJY349" s="50"/>
      <c r="HJZ349" s="50"/>
      <c r="HKA349" s="50"/>
      <c r="HKB349" s="50"/>
      <c r="HKC349" s="50"/>
      <c r="HKD349" s="50"/>
      <c r="HKE349" s="50"/>
      <c r="HKF349" s="50"/>
      <c r="HKG349" s="50"/>
      <c r="HKH349" s="50"/>
      <c r="HKI349" s="50"/>
      <c r="HKJ349" s="50"/>
      <c r="HKK349" s="50"/>
      <c r="HKL349" s="50"/>
      <c r="HKM349" s="50"/>
      <c r="HKN349" s="50"/>
      <c r="HKO349" s="50"/>
      <c r="HKP349" s="50"/>
      <c r="HKQ349" s="50"/>
      <c r="HKR349" s="50"/>
      <c r="HKS349" s="50"/>
      <c r="HKT349" s="50"/>
      <c r="HKU349" s="50"/>
      <c r="HKV349" s="50"/>
      <c r="HKW349" s="50"/>
      <c r="HKX349" s="50"/>
      <c r="HKY349" s="50"/>
      <c r="HKZ349" s="50"/>
      <c r="HLA349" s="50"/>
      <c r="HLB349" s="50"/>
      <c r="HLC349" s="50"/>
      <c r="HLD349" s="50"/>
      <c r="HLE349" s="50"/>
      <c r="HLF349" s="50"/>
      <c r="HLG349" s="50"/>
      <c r="HLH349" s="50"/>
      <c r="HLI349" s="50"/>
      <c r="HLJ349" s="50"/>
      <c r="HLK349" s="50"/>
      <c r="HLL349" s="50"/>
      <c r="HLM349" s="50"/>
      <c r="HLN349" s="50"/>
      <c r="HLO349" s="50"/>
      <c r="HLP349" s="50"/>
      <c r="HLQ349" s="50"/>
      <c r="HLR349" s="50"/>
      <c r="HLS349" s="50"/>
      <c r="HLT349" s="50"/>
      <c r="HLU349" s="50"/>
      <c r="HLV349" s="50"/>
      <c r="HLW349" s="50"/>
      <c r="HLX349" s="50"/>
      <c r="HLY349" s="50"/>
      <c r="HLZ349" s="50"/>
      <c r="HMA349" s="50"/>
      <c r="HMB349" s="50"/>
      <c r="HMC349" s="50"/>
      <c r="HMD349" s="50"/>
      <c r="HME349" s="50"/>
      <c r="HMF349" s="50"/>
      <c r="HMG349" s="50"/>
      <c r="HMH349" s="50"/>
      <c r="HMI349" s="50"/>
      <c r="HMJ349" s="50"/>
      <c r="HMK349" s="50"/>
      <c r="HML349" s="50"/>
      <c r="HMM349" s="50"/>
      <c r="HMN349" s="50"/>
      <c r="HMO349" s="50"/>
      <c r="HMP349" s="50"/>
      <c r="HMQ349" s="50"/>
      <c r="HMR349" s="50"/>
      <c r="HMS349" s="50"/>
      <c r="HMT349" s="50"/>
      <c r="HMU349" s="50"/>
      <c r="HMV349" s="50"/>
      <c r="HMW349" s="50"/>
      <c r="HMX349" s="50"/>
      <c r="HMY349" s="50"/>
      <c r="HMZ349" s="50"/>
      <c r="HNA349" s="50"/>
      <c r="HNB349" s="50"/>
      <c r="HNC349" s="50"/>
      <c r="HND349" s="50"/>
      <c r="HNE349" s="50"/>
      <c r="HNF349" s="50"/>
      <c r="HNG349" s="50"/>
      <c r="HNH349" s="50"/>
      <c r="HNI349" s="50"/>
      <c r="HNJ349" s="50"/>
      <c r="HNK349" s="50"/>
      <c r="HNL349" s="50"/>
      <c r="HNM349" s="50"/>
      <c r="HNN349" s="50"/>
      <c r="HNO349" s="50"/>
      <c r="HNP349" s="50"/>
      <c r="HNQ349" s="50"/>
      <c r="HNR349" s="50"/>
      <c r="HNS349" s="50"/>
      <c r="HNT349" s="50"/>
      <c r="HNU349" s="50"/>
      <c r="HNV349" s="50"/>
      <c r="HNW349" s="50"/>
      <c r="HNX349" s="50"/>
      <c r="HNY349" s="50"/>
      <c r="HNZ349" s="50"/>
      <c r="HOA349" s="50"/>
      <c r="HOB349" s="50"/>
      <c r="HOC349" s="50"/>
      <c r="HOD349" s="50"/>
      <c r="HOE349" s="50"/>
      <c r="HOF349" s="50"/>
      <c r="HOG349" s="50"/>
      <c r="HOH349" s="50"/>
      <c r="HOI349" s="50"/>
      <c r="HOJ349" s="50"/>
      <c r="HOK349" s="50"/>
      <c r="HOL349" s="50"/>
      <c r="HOM349" s="50"/>
      <c r="HON349" s="50"/>
      <c r="HOO349" s="50"/>
      <c r="HOP349" s="50"/>
      <c r="HOQ349" s="50"/>
      <c r="HOR349" s="50"/>
      <c r="HOS349" s="50"/>
      <c r="HOT349" s="50"/>
      <c r="HOU349" s="50"/>
      <c r="HOV349" s="50"/>
      <c r="HOW349" s="50"/>
      <c r="HOX349" s="50"/>
      <c r="HOY349" s="50"/>
      <c r="HOZ349" s="50"/>
      <c r="HPA349" s="50"/>
      <c r="HPB349" s="50"/>
      <c r="HPC349" s="50"/>
      <c r="HPD349" s="50"/>
      <c r="HPE349" s="50"/>
      <c r="HPF349" s="50"/>
      <c r="HPG349" s="50"/>
      <c r="HPH349" s="50"/>
      <c r="HPI349" s="50"/>
      <c r="HPJ349" s="50"/>
      <c r="HPK349" s="50"/>
      <c r="HPL349" s="50"/>
      <c r="HPM349" s="50"/>
      <c r="HPN349" s="50"/>
      <c r="HPO349" s="50"/>
      <c r="HPP349" s="50"/>
      <c r="HPQ349" s="50"/>
      <c r="HPR349" s="50"/>
      <c r="HPS349" s="50"/>
      <c r="HPT349" s="50"/>
      <c r="HPU349" s="50"/>
      <c r="HPV349" s="50"/>
      <c r="HPW349" s="50"/>
      <c r="HPX349" s="50"/>
      <c r="HPY349" s="50"/>
      <c r="HPZ349" s="50"/>
      <c r="HQA349" s="50"/>
      <c r="HQB349" s="50"/>
      <c r="HQC349" s="50"/>
      <c r="HQD349" s="50"/>
      <c r="HQE349" s="50"/>
      <c r="HQF349" s="50"/>
      <c r="HQG349" s="50"/>
      <c r="HQH349" s="50"/>
      <c r="HQI349" s="50"/>
      <c r="HQJ349" s="50"/>
      <c r="HQK349" s="50"/>
      <c r="HQL349" s="50"/>
      <c r="HQM349" s="50"/>
      <c r="HQN349" s="50"/>
      <c r="HQO349" s="50"/>
      <c r="HQP349" s="50"/>
      <c r="HQQ349" s="50"/>
      <c r="HQR349" s="50"/>
      <c r="HQS349" s="50"/>
      <c r="HQT349" s="50"/>
      <c r="HQU349" s="50"/>
      <c r="HQV349" s="50"/>
      <c r="HQW349" s="50"/>
      <c r="HQX349" s="50"/>
      <c r="HQY349" s="50"/>
      <c r="HQZ349" s="50"/>
      <c r="HRA349" s="50"/>
      <c r="HRB349" s="50"/>
      <c r="HRC349" s="50"/>
      <c r="HRD349" s="50"/>
      <c r="HRE349" s="50"/>
      <c r="HRF349" s="50"/>
      <c r="HRG349" s="50"/>
      <c r="HRH349" s="50"/>
      <c r="HRI349" s="50"/>
      <c r="HRJ349" s="50"/>
      <c r="HRK349" s="50"/>
      <c r="HRL349" s="50"/>
      <c r="HRM349" s="50"/>
      <c r="HRN349" s="50"/>
      <c r="HRO349" s="50"/>
      <c r="HRP349" s="50"/>
      <c r="HRQ349" s="50"/>
      <c r="HRR349" s="50"/>
      <c r="HRS349" s="50"/>
      <c r="HRT349" s="50"/>
      <c r="HRU349" s="50"/>
      <c r="HRV349" s="50"/>
      <c r="HRW349" s="50"/>
      <c r="HRX349" s="50"/>
      <c r="HRY349" s="50"/>
      <c r="HRZ349" s="50"/>
      <c r="HSA349" s="50"/>
      <c r="HSB349" s="50"/>
      <c r="HSC349" s="50"/>
      <c r="HSD349" s="50"/>
      <c r="HSE349" s="50"/>
      <c r="HSF349" s="50"/>
      <c r="HSG349" s="50"/>
      <c r="HSH349" s="50"/>
      <c r="HSI349" s="50"/>
      <c r="HSJ349" s="50"/>
      <c r="HSK349" s="50"/>
      <c r="HSL349" s="50"/>
      <c r="HSM349" s="50"/>
      <c r="HSN349" s="50"/>
      <c r="HSO349" s="50"/>
      <c r="HSP349" s="50"/>
      <c r="HSQ349" s="50"/>
      <c r="HSR349" s="50"/>
      <c r="HSS349" s="50"/>
      <c r="HST349" s="50"/>
      <c r="HSU349" s="50"/>
      <c r="HSV349" s="50"/>
      <c r="HSW349" s="50"/>
      <c r="HSX349" s="50"/>
      <c r="HSY349" s="50"/>
      <c r="HSZ349" s="50"/>
      <c r="HTA349" s="50"/>
      <c r="HTB349" s="50"/>
      <c r="HTC349" s="50"/>
      <c r="HTD349" s="50"/>
      <c r="HTE349" s="50"/>
      <c r="HTF349" s="50"/>
      <c r="HTG349" s="50"/>
      <c r="HTH349" s="50"/>
      <c r="HTI349" s="50"/>
      <c r="HTJ349" s="50"/>
      <c r="HTK349" s="50"/>
      <c r="HTL349" s="50"/>
      <c r="HTM349" s="50"/>
      <c r="HTN349" s="50"/>
      <c r="HTO349" s="50"/>
      <c r="HTP349" s="50"/>
      <c r="HTQ349" s="50"/>
      <c r="HTR349" s="50"/>
      <c r="HTS349" s="50"/>
      <c r="HTT349" s="50"/>
      <c r="HTU349" s="50"/>
      <c r="HTV349" s="50"/>
      <c r="HTW349" s="50"/>
      <c r="HTX349" s="50"/>
      <c r="HTY349" s="50"/>
      <c r="HTZ349" s="50"/>
      <c r="HUA349" s="50"/>
      <c r="HUB349" s="50"/>
      <c r="HUC349" s="50"/>
      <c r="HUD349" s="50"/>
      <c r="HUE349" s="50"/>
      <c r="HUF349" s="50"/>
      <c r="HUG349" s="50"/>
      <c r="HUH349" s="50"/>
      <c r="HUI349" s="50"/>
      <c r="HUJ349" s="50"/>
      <c r="HUK349" s="50"/>
      <c r="HUL349" s="50"/>
      <c r="HUM349" s="50"/>
      <c r="HUN349" s="50"/>
      <c r="HUO349" s="50"/>
      <c r="HUP349" s="50"/>
      <c r="HUQ349" s="50"/>
      <c r="HUR349" s="50"/>
      <c r="HUS349" s="50"/>
      <c r="HUT349" s="50"/>
      <c r="HUU349" s="50"/>
      <c r="HUV349" s="50"/>
      <c r="HUW349" s="50"/>
      <c r="HUX349" s="50"/>
      <c r="HUY349" s="50"/>
      <c r="HUZ349" s="50"/>
      <c r="HVA349" s="50"/>
      <c r="HVB349" s="50"/>
      <c r="HVC349" s="50"/>
      <c r="HVD349" s="50"/>
      <c r="HVE349" s="50"/>
      <c r="HVF349" s="50"/>
      <c r="HVG349" s="50"/>
      <c r="HVH349" s="50"/>
      <c r="HVI349" s="50"/>
      <c r="HVJ349" s="50"/>
      <c r="HVK349" s="50"/>
      <c r="HVL349" s="50"/>
      <c r="HVM349" s="50"/>
      <c r="HVN349" s="50"/>
      <c r="HVO349" s="50"/>
      <c r="HVP349" s="50"/>
      <c r="HVQ349" s="50"/>
      <c r="HVR349" s="50"/>
      <c r="HVS349" s="50"/>
      <c r="HVT349" s="50"/>
      <c r="HVU349" s="50"/>
      <c r="HVV349" s="50"/>
      <c r="HVW349" s="50"/>
      <c r="HVX349" s="50"/>
      <c r="HVY349" s="50"/>
      <c r="HVZ349" s="50"/>
      <c r="HWA349" s="50"/>
      <c r="HWB349" s="50"/>
      <c r="HWC349" s="50"/>
      <c r="HWD349" s="50"/>
      <c r="HWE349" s="50"/>
      <c r="HWF349" s="50"/>
      <c r="HWG349" s="50"/>
      <c r="HWH349" s="50"/>
      <c r="HWI349" s="50"/>
      <c r="HWJ349" s="50"/>
      <c r="HWK349" s="50"/>
      <c r="HWL349" s="50"/>
      <c r="HWM349" s="50"/>
      <c r="HWN349" s="50"/>
      <c r="HWO349" s="50"/>
      <c r="HWP349" s="50"/>
      <c r="HWQ349" s="50"/>
      <c r="HWR349" s="50"/>
      <c r="HWS349" s="50"/>
      <c r="HWT349" s="50"/>
      <c r="HWU349" s="50"/>
      <c r="HWV349" s="50"/>
      <c r="HWW349" s="50"/>
      <c r="HWX349" s="50"/>
      <c r="HWY349" s="50"/>
      <c r="HWZ349" s="50"/>
      <c r="HXA349" s="50"/>
      <c r="HXB349" s="50"/>
      <c r="HXC349" s="50"/>
      <c r="HXD349" s="50"/>
      <c r="HXE349" s="50"/>
      <c r="HXF349" s="50"/>
      <c r="HXG349" s="50"/>
      <c r="HXH349" s="50"/>
      <c r="HXI349" s="50"/>
      <c r="HXJ349" s="50"/>
      <c r="HXK349" s="50"/>
      <c r="HXL349" s="50"/>
      <c r="HXM349" s="50"/>
      <c r="HXN349" s="50"/>
      <c r="HXO349" s="50"/>
      <c r="HXP349" s="50"/>
      <c r="HXQ349" s="50"/>
      <c r="HXR349" s="50"/>
      <c r="HXS349" s="50"/>
      <c r="HXT349" s="50"/>
      <c r="HXU349" s="50"/>
      <c r="HXV349" s="50"/>
      <c r="HXW349" s="50"/>
      <c r="HXX349" s="50"/>
      <c r="HXY349" s="50"/>
      <c r="HXZ349" s="50"/>
      <c r="HYA349" s="50"/>
      <c r="HYB349" s="50"/>
      <c r="HYC349" s="50"/>
      <c r="HYD349" s="50"/>
      <c r="HYE349" s="50"/>
      <c r="HYF349" s="50"/>
      <c r="HYG349" s="50"/>
      <c r="HYH349" s="50"/>
      <c r="HYI349" s="50"/>
      <c r="HYJ349" s="50"/>
      <c r="HYK349" s="50"/>
      <c r="HYL349" s="50"/>
      <c r="HYM349" s="50"/>
      <c r="HYN349" s="50"/>
      <c r="HYO349" s="50"/>
      <c r="HYP349" s="50"/>
      <c r="HYQ349" s="50"/>
      <c r="HYR349" s="50"/>
      <c r="HYS349" s="50"/>
      <c r="HYT349" s="50"/>
      <c r="HYU349" s="50"/>
      <c r="HYV349" s="50"/>
      <c r="HYW349" s="50"/>
      <c r="HYX349" s="50"/>
      <c r="HYY349" s="50"/>
      <c r="HYZ349" s="50"/>
      <c r="HZA349" s="50"/>
      <c r="HZB349" s="50"/>
      <c r="HZC349" s="50"/>
      <c r="HZD349" s="50"/>
      <c r="HZE349" s="50"/>
      <c r="HZF349" s="50"/>
      <c r="HZG349" s="50"/>
      <c r="HZH349" s="50"/>
      <c r="HZI349" s="50"/>
      <c r="HZJ349" s="50"/>
      <c r="HZK349" s="50"/>
      <c r="HZL349" s="50"/>
      <c r="HZM349" s="50"/>
      <c r="HZN349" s="50"/>
      <c r="HZO349" s="50"/>
      <c r="HZP349" s="50"/>
      <c r="HZQ349" s="50"/>
      <c r="HZR349" s="50"/>
      <c r="HZS349" s="50"/>
      <c r="HZT349" s="50"/>
      <c r="HZU349" s="50"/>
      <c r="HZV349" s="50"/>
      <c r="HZW349" s="50"/>
      <c r="HZX349" s="50"/>
      <c r="HZY349" s="50"/>
      <c r="HZZ349" s="50"/>
      <c r="IAA349" s="50"/>
      <c r="IAB349" s="50"/>
      <c r="IAC349" s="50"/>
      <c r="IAD349" s="50"/>
      <c r="IAE349" s="50"/>
      <c r="IAF349" s="50"/>
      <c r="IAG349" s="50"/>
      <c r="IAH349" s="50"/>
      <c r="IAI349" s="50"/>
      <c r="IAJ349" s="50"/>
      <c r="IAK349" s="50"/>
      <c r="IAL349" s="50"/>
      <c r="IAM349" s="50"/>
      <c r="IAN349" s="50"/>
      <c r="IAO349" s="50"/>
      <c r="IAP349" s="50"/>
      <c r="IAQ349" s="50"/>
      <c r="IAR349" s="50"/>
      <c r="IAS349" s="50"/>
      <c r="IAT349" s="50"/>
      <c r="IAU349" s="50"/>
      <c r="IAV349" s="50"/>
      <c r="IAW349" s="50"/>
      <c r="IAX349" s="50"/>
      <c r="IAY349" s="50"/>
      <c r="IAZ349" s="50"/>
      <c r="IBA349" s="50"/>
      <c r="IBB349" s="50"/>
      <c r="IBC349" s="50"/>
      <c r="IBD349" s="50"/>
      <c r="IBE349" s="50"/>
      <c r="IBF349" s="50"/>
      <c r="IBG349" s="50"/>
      <c r="IBH349" s="50"/>
      <c r="IBI349" s="50"/>
      <c r="IBJ349" s="50"/>
      <c r="IBK349" s="50"/>
      <c r="IBL349" s="50"/>
      <c r="IBM349" s="50"/>
      <c r="IBN349" s="50"/>
      <c r="IBO349" s="50"/>
      <c r="IBP349" s="50"/>
      <c r="IBQ349" s="50"/>
      <c r="IBR349" s="50"/>
      <c r="IBS349" s="50"/>
      <c r="IBT349" s="50"/>
      <c r="IBU349" s="50"/>
      <c r="IBV349" s="50"/>
      <c r="IBW349" s="50"/>
      <c r="IBX349" s="50"/>
      <c r="IBY349" s="50"/>
      <c r="IBZ349" s="50"/>
      <c r="ICA349" s="50"/>
      <c r="ICB349" s="50"/>
      <c r="ICC349" s="50"/>
      <c r="ICD349" s="50"/>
      <c r="ICE349" s="50"/>
      <c r="ICF349" s="50"/>
      <c r="ICG349" s="50"/>
      <c r="ICH349" s="50"/>
      <c r="ICI349" s="50"/>
      <c r="ICJ349" s="50"/>
      <c r="ICK349" s="50"/>
      <c r="ICL349" s="50"/>
      <c r="ICM349" s="50"/>
      <c r="ICN349" s="50"/>
      <c r="ICO349" s="50"/>
      <c r="ICP349" s="50"/>
      <c r="ICQ349" s="50"/>
      <c r="ICR349" s="50"/>
      <c r="ICS349" s="50"/>
      <c r="ICT349" s="50"/>
      <c r="ICU349" s="50"/>
      <c r="ICV349" s="50"/>
      <c r="ICW349" s="50"/>
      <c r="ICX349" s="50"/>
      <c r="ICY349" s="50"/>
      <c r="ICZ349" s="50"/>
      <c r="IDA349" s="50"/>
      <c r="IDB349" s="50"/>
      <c r="IDC349" s="50"/>
      <c r="IDD349" s="50"/>
      <c r="IDE349" s="50"/>
      <c r="IDF349" s="50"/>
      <c r="IDG349" s="50"/>
      <c r="IDH349" s="50"/>
      <c r="IDI349" s="50"/>
      <c r="IDJ349" s="50"/>
      <c r="IDK349" s="50"/>
      <c r="IDL349" s="50"/>
      <c r="IDM349" s="50"/>
      <c r="IDN349" s="50"/>
      <c r="IDO349" s="50"/>
      <c r="IDP349" s="50"/>
      <c r="IDQ349" s="50"/>
      <c r="IDR349" s="50"/>
      <c r="IDS349" s="50"/>
      <c r="IDT349" s="50"/>
      <c r="IDU349" s="50"/>
      <c r="IDV349" s="50"/>
      <c r="IDW349" s="50"/>
      <c r="IDX349" s="50"/>
      <c r="IDY349" s="50"/>
      <c r="IDZ349" s="50"/>
      <c r="IEA349" s="50"/>
      <c r="IEB349" s="50"/>
      <c r="IEC349" s="50"/>
      <c r="IED349" s="50"/>
      <c r="IEE349" s="50"/>
      <c r="IEF349" s="50"/>
      <c r="IEG349" s="50"/>
      <c r="IEH349" s="50"/>
      <c r="IEI349" s="50"/>
      <c r="IEJ349" s="50"/>
      <c r="IEK349" s="50"/>
      <c r="IEL349" s="50"/>
      <c r="IEM349" s="50"/>
      <c r="IEN349" s="50"/>
      <c r="IEO349" s="50"/>
      <c r="IEP349" s="50"/>
      <c r="IEQ349" s="50"/>
      <c r="IER349" s="50"/>
      <c r="IES349" s="50"/>
      <c r="IET349" s="50"/>
      <c r="IEU349" s="50"/>
      <c r="IEV349" s="50"/>
      <c r="IEW349" s="50"/>
      <c r="IEX349" s="50"/>
      <c r="IEY349" s="50"/>
      <c r="IEZ349" s="50"/>
      <c r="IFA349" s="50"/>
      <c r="IFB349" s="50"/>
      <c r="IFC349" s="50"/>
      <c r="IFD349" s="50"/>
      <c r="IFE349" s="50"/>
      <c r="IFF349" s="50"/>
      <c r="IFG349" s="50"/>
      <c r="IFH349" s="50"/>
      <c r="IFI349" s="50"/>
      <c r="IFJ349" s="50"/>
      <c r="IFK349" s="50"/>
      <c r="IFL349" s="50"/>
      <c r="IFM349" s="50"/>
      <c r="IFN349" s="50"/>
      <c r="IFO349" s="50"/>
      <c r="IFP349" s="50"/>
      <c r="IFQ349" s="50"/>
      <c r="IFR349" s="50"/>
      <c r="IFS349" s="50"/>
      <c r="IFT349" s="50"/>
      <c r="IFU349" s="50"/>
      <c r="IFV349" s="50"/>
      <c r="IFW349" s="50"/>
      <c r="IFX349" s="50"/>
      <c r="IFY349" s="50"/>
      <c r="IFZ349" s="50"/>
      <c r="IGA349" s="50"/>
      <c r="IGB349" s="50"/>
      <c r="IGC349" s="50"/>
      <c r="IGD349" s="50"/>
      <c r="IGE349" s="50"/>
      <c r="IGF349" s="50"/>
      <c r="IGG349" s="50"/>
      <c r="IGH349" s="50"/>
      <c r="IGI349" s="50"/>
      <c r="IGJ349" s="50"/>
      <c r="IGK349" s="50"/>
      <c r="IGL349" s="50"/>
      <c r="IGM349" s="50"/>
      <c r="IGN349" s="50"/>
      <c r="IGO349" s="50"/>
      <c r="IGP349" s="50"/>
      <c r="IGQ349" s="50"/>
      <c r="IGR349" s="50"/>
      <c r="IGS349" s="50"/>
      <c r="IGT349" s="50"/>
      <c r="IGU349" s="50"/>
      <c r="IGV349" s="50"/>
      <c r="IGW349" s="50"/>
      <c r="IGX349" s="50"/>
      <c r="IGY349" s="50"/>
      <c r="IGZ349" s="50"/>
      <c r="IHA349" s="50"/>
      <c r="IHB349" s="50"/>
      <c r="IHC349" s="50"/>
      <c r="IHD349" s="50"/>
      <c r="IHE349" s="50"/>
      <c r="IHF349" s="50"/>
      <c r="IHG349" s="50"/>
      <c r="IHH349" s="50"/>
      <c r="IHI349" s="50"/>
      <c r="IHJ349" s="50"/>
      <c r="IHK349" s="50"/>
      <c r="IHL349" s="50"/>
      <c r="IHM349" s="50"/>
      <c r="IHN349" s="50"/>
      <c r="IHO349" s="50"/>
      <c r="IHP349" s="50"/>
      <c r="IHQ349" s="50"/>
      <c r="IHR349" s="50"/>
      <c r="IHS349" s="50"/>
      <c r="IHT349" s="50"/>
      <c r="IHU349" s="50"/>
      <c r="IHV349" s="50"/>
      <c r="IHW349" s="50"/>
      <c r="IHX349" s="50"/>
      <c r="IHY349" s="50"/>
      <c r="IHZ349" s="50"/>
      <c r="IIA349" s="50"/>
      <c r="IIB349" s="50"/>
      <c r="IIC349" s="50"/>
      <c r="IID349" s="50"/>
      <c r="IIE349" s="50"/>
      <c r="IIF349" s="50"/>
      <c r="IIG349" s="50"/>
      <c r="IIH349" s="50"/>
      <c r="III349" s="50"/>
      <c r="IIJ349" s="50"/>
      <c r="IIK349" s="50"/>
      <c r="IIL349" s="50"/>
      <c r="IIM349" s="50"/>
      <c r="IIN349" s="50"/>
      <c r="IIO349" s="50"/>
      <c r="IIP349" s="50"/>
      <c r="IIQ349" s="50"/>
      <c r="IIR349" s="50"/>
      <c r="IIS349" s="50"/>
      <c r="IIT349" s="50"/>
      <c r="IIU349" s="50"/>
      <c r="IIV349" s="50"/>
      <c r="IIW349" s="50"/>
      <c r="IIX349" s="50"/>
      <c r="IIY349" s="50"/>
      <c r="IIZ349" s="50"/>
      <c r="IJA349" s="50"/>
      <c r="IJB349" s="50"/>
      <c r="IJC349" s="50"/>
      <c r="IJD349" s="50"/>
      <c r="IJE349" s="50"/>
      <c r="IJF349" s="50"/>
      <c r="IJG349" s="50"/>
      <c r="IJH349" s="50"/>
      <c r="IJI349" s="50"/>
      <c r="IJJ349" s="50"/>
      <c r="IJK349" s="50"/>
      <c r="IJL349" s="50"/>
      <c r="IJM349" s="50"/>
      <c r="IJN349" s="50"/>
      <c r="IJO349" s="50"/>
      <c r="IJP349" s="50"/>
      <c r="IJQ349" s="50"/>
      <c r="IJR349" s="50"/>
      <c r="IJS349" s="50"/>
      <c r="IJT349" s="50"/>
      <c r="IJU349" s="50"/>
      <c r="IJV349" s="50"/>
      <c r="IJW349" s="50"/>
      <c r="IJX349" s="50"/>
      <c r="IJY349" s="50"/>
      <c r="IJZ349" s="50"/>
      <c r="IKA349" s="50"/>
      <c r="IKB349" s="50"/>
      <c r="IKC349" s="50"/>
      <c r="IKD349" s="50"/>
      <c r="IKE349" s="50"/>
      <c r="IKF349" s="50"/>
      <c r="IKG349" s="50"/>
      <c r="IKH349" s="50"/>
      <c r="IKI349" s="50"/>
      <c r="IKJ349" s="50"/>
      <c r="IKK349" s="50"/>
      <c r="IKL349" s="50"/>
      <c r="IKM349" s="50"/>
      <c r="IKN349" s="50"/>
      <c r="IKO349" s="50"/>
      <c r="IKP349" s="50"/>
      <c r="IKQ349" s="50"/>
      <c r="IKR349" s="50"/>
      <c r="IKS349" s="50"/>
      <c r="IKT349" s="50"/>
      <c r="IKU349" s="50"/>
      <c r="IKV349" s="50"/>
      <c r="IKW349" s="50"/>
      <c r="IKX349" s="50"/>
      <c r="IKY349" s="50"/>
      <c r="IKZ349" s="50"/>
      <c r="ILA349" s="50"/>
      <c r="ILB349" s="50"/>
      <c r="ILC349" s="50"/>
      <c r="ILD349" s="50"/>
      <c r="ILE349" s="50"/>
      <c r="ILF349" s="50"/>
      <c r="ILG349" s="50"/>
      <c r="ILH349" s="50"/>
      <c r="ILI349" s="50"/>
      <c r="ILJ349" s="50"/>
      <c r="ILK349" s="50"/>
      <c r="ILL349" s="50"/>
      <c r="ILM349" s="50"/>
      <c r="ILN349" s="50"/>
      <c r="ILO349" s="50"/>
      <c r="ILP349" s="50"/>
      <c r="ILQ349" s="50"/>
      <c r="ILR349" s="50"/>
      <c r="ILS349" s="50"/>
      <c r="ILT349" s="50"/>
      <c r="ILU349" s="50"/>
      <c r="ILV349" s="50"/>
      <c r="ILW349" s="50"/>
      <c r="ILX349" s="50"/>
      <c r="ILY349" s="50"/>
      <c r="ILZ349" s="50"/>
      <c r="IMA349" s="50"/>
      <c r="IMB349" s="50"/>
      <c r="IMC349" s="50"/>
      <c r="IMD349" s="50"/>
      <c r="IME349" s="50"/>
      <c r="IMF349" s="50"/>
      <c r="IMG349" s="50"/>
      <c r="IMH349" s="50"/>
      <c r="IMI349" s="50"/>
      <c r="IMJ349" s="50"/>
      <c r="IMK349" s="50"/>
      <c r="IML349" s="50"/>
      <c r="IMM349" s="50"/>
      <c r="IMN349" s="50"/>
      <c r="IMO349" s="50"/>
      <c r="IMP349" s="50"/>
      <c r="IMQ349" s="50"/>
      <c r="IMR349" s="50"/>
      <c r="IMS349" s="50"/>
      <c r="IMT349" s="50"/>
      <c r="IMU349" s="50"/>
      <c r="IMV349" s="50"/>
      <c r="IMW349" s="50"/>
      <c r="IMX349" s="50"/>
      <c r="IMY349" s="50"/>
      <c r="IMZ349" s="50"/>
      <c r="INA349" s="50"/>
      <c r="INB349" s="50"/>
      <c r="INC349" s="50"/>
      <c r="IND349" s="50"/>
      <c r="INE349" s="50"/>
      <c r="INF349" s="50"/>
      <c r="ING349" s="50"/>
      <c r="INH349" s="50"/>
      <c r="INI349" s="50"/>
      <c r="INJ349" s="50"/>
      <c r="INK349" s="50"/>
      <c r="INL349" s="50"/>
      <c r="INM349" s="50"/>
      <c r="INN349" s="50"/>
      <c r="INO349" s="50"/>
      <c r="INP349" s="50"/>
      <c r="INQ349" s="50"/>
      <c r="INR349" s="50"/>
      <c r="INS349" s="50"/>
      <c r="INT349" s="50"/>
      <c r="INU349" s="50"/>
      <c r="INV349" s="50"/>
      <c r="INW349" s="50"/>
      <c r="INX349" s="50"/>
      <c r="INY349" s="50"/>
      <c r="INZ349" s="50"/>
      <c r="IOA349" s="50"/>
      <c r="IOB349" s="50"/>
      <c r="IOC349" s="50"/>
      <c r="IOD349" s="50"/>
      <c r="IOE349" s="50"/>
      <c r="IOF349" s="50"/>
      <c r="IOG349" s="50"/>
      <c r="IOH349" s="50"/>
      <c r="IOI349" s="50"/>
      <c r="IOJ349" s="50"/>
      <c r="IOK349" s="50"/>
      <c r="IOL349" s="50"/>
      <c r="IOM349" s="50"/>
      <c r="ION349" s="50"/>
      <c r="IOO349" s="50"/>
      <c r="IOP349" s="50"/>
      <c r="IOQ349" s="50"/>
      <c r="IOR349" s="50"/>
      <c r="IOS349" s="50"/>
      <c r="IOT349" s="50"/>
      <c r="IOU349" s="50"/>
      <c r="IOV349" s="50"/>
      <c r="IOW349" s="50"/>
      <c r="IOX349" s="50"/>
      <c r="IOY349" s="50"/>
      <c r="IOZ349" s="50"/>
      <c r="IPA349" s="50"/>
      <c r="IPB349" s="50"/>
      <c r="IPC349" s="50"/>
      <c r="IPD349" s="50"/>
      <c r="IPE349" s="50"/>
      <c r="IPF349" s="50"/>
      <c r="IPG349" s="50"/>
      <c r="IPH349" s="50"/>
      <c r="IPI349" s="50"/>
      <c r="IPJ349" s="50"/>
      <c r="IPK349" s="50"/>
      <c r="IPL349" s="50"/>
      <c r="IPM349" s="50"/>
      <c r="IPN349" s="50"/>
      <c r="IPO349" s="50"/>
      <c r="IPP349" s="50"/>
      <c r="IPQ349" s="50"/>
      <c r="IPR349" s="50"/>
      <c r="IPS349" s="50"/>
      <c r="IPT349" s="50"/>
      <c r="IPU349" s="50"/>
      <c r="IPV349" s="50"/>
      <c r="IPW349" s="50"/>
      <c r="IPX349" s="50"/>
      <c r="IPY349" s="50"/>
      <c r="IPZ349" s="50"/>
      <c r="IQA349" s="50"/>
      <c r="IQB349" s="50"/>
      <c r="IQC349" s="50"/>
      <c r="IQD349" s="50"/>
      <c r="IQE349" s="50"/>
      <c r="IQF349" s="50"/>
      <c r="IQG349" s="50"/>
      <c r="IQH349" s="50"/>
      <c r="IQI349" s="50"/>
      <c r="IQJ349" s="50"/>
      <c r="IQK349" s="50"/>
      <c r="IQL349" s="50"/>
      <c r="IQM349" s="50"/>
      <c r="IQN349" s="50"/>
      <c r="IQO349" s="50"/>
      <c r="IQP349" s="50"/>
      <c r="IQQ349" s="50"/>
      <c r="IQR349" s="50"/>
      <c r="IQS349" s="50"/>
      <c r="IQT349" s="50"/>
      <c r="IQU349" s="50"/>
      <c r="IQV349" s="50"/>
      <c r="IQW349" s="50"/>
      <c r="IQX349" s="50"/>
      <c r="IQY349" s="50"/>
      <c r="IQZ349" s="50"/>
      <c r="IRA349" s="50"/>
      <c r="IRB349" s="50"/>
      <c r="IRC349" s="50"/>
      <c r="IRD349" s="50"/>
      <c r="IRE349" s="50"/>
      <c r="IRF349" s="50"/>
      <c r="IRG349" s="50"/>
      <c r="IRH349" s="50"/>
      <c r="IRI349" s="50"/>
      <c r="IRJ349" s="50"/>
      <c r="IRK349" s="50"/>
      <c r="IRL349" s="50"/>
      <c r="IRM349" s="50"/>
      <c r="IRN349" s="50"/>
      <c r="IRO349" s="50"/>
      <c r="IRP349" s="50"/>
      <c r="IRQ349" s="50"/>
      <c r="IRR349" s="50"/>
      <c r="IRS349" s="50"/>
      <c r="IRT349" s="50"/>
      <c r="IRU349" s="50"/>
      <c r="IRV349" s="50"/>
      <c r="IRW349" s="50"/>
      <c r="IRX349" s="50"/>
      <c r="IRY349" s="50"/>
      <c r="IRZ349" s="50"/>
      <c r="ISA349" s="50"/>
      <c r="ISB349" s="50"/>
      <c r="ISC349" s="50"/>
      <c r="ISD349" s="50"/>
      <c r="ISE349" s="50"/>
      <c r="ISF349" s="50"/>
      <c r="ISG349" s="50"/>
      <c r="ISH349" s="50"/>
      <c r="ISI349" s="50"/>
      <c r="ISJ349" s="50"/>
      <c r="ISK349" s="50"/>
      <c r="ISL349" s="50"/>
      <c r="ISM349" s="50"/>
      <c r="ISN349" s="50"/>
      <c r="ISO349" s="50"/>
      <c r="ISP349" s="50"/>
      <c r="ISQ349" s="50"/>
      <c r="ISR349" s="50"/>
      <c r="ISS349" s="50"/>
      <c r="IST349" s="50"/>
      <c r="ISU349" s="50"/>
      <c r="ISV349" s="50"/>
      <c r="ISW349" s="50"/>
      <c r="ISX349" s="50"/>
      <c r="ISY349" s="50"/>
      <c r="ISZ349" s="50"/>
      <c r="ITA349" s="50"/>
      <c r="ITB349" s="50"/>
      <c r="ITC349" s="50"/>
      <c r="ITD349" s="50"/>
      <c r="ITE349" s="50"/>
      <c r="ITF349" s="50"/>
      <c r="ITG349" s="50"/>
      <c r="ITH349" s="50"/>
      <c r="ITI349" s="50"/>
      <c r="ITJ349" s="50"/>
      <c r="ITK349" s="50"/>
      <c r="ITL349" s="50"/>
      <c r="ITM349" s="50"/>
      <c r="ITN349" s="50"/>
      <c r="ITO349" s="50"/>
      <c r="ITP349" s="50"/>
      <c r="ITQ349" s="50"/>
      <c r="ITR349" s="50"/>
      <c r="ITS349" s="50"/>
      <c r="ITT349" s="50"/>
      <c r="ITU349" s="50"/>
      <c r="ITV349" s="50"/>
      <c r="ITW349" s="50"/>
      <c r="ITX349" s="50"/>
      <c r="ITY349" s="50"/>
      <c r="ITZ349" s="50"/>
      <c r="IUA349" s="50"/>
      <c r="IUB349" s="50"/>
      <c r="IUC349" s="50"/>
      <c r="IUD349" s="50"/>
      <c r="IUE349" s="50"/>
      <c r="IUF349" s="50"/>
      <c r="IUG349" s="50"/>
      <c r="IUH349" s="50"/>
      <c r="IUI349" s="50"/>
      <c r="IUJ349" s="50"/>
      <c r="IUK349" s="50"/>
      <c r="IUL349" s="50"/>
      <c r="IUM349" s="50"/>
      <c r="IUN349" s="50"/>
      <c r="IUO349" s="50"/>
      <c r="IUP349" s="50"/>
      <c r="IUQ349" s="50"/>
      <c r="IUR349" s="50"/>
      <c r="IUS349" s="50"/>
      <c r="IUT349" s="50"/>
      <c r="IUU349" s="50"/>
      <c r="IUV349" s="50"/>
      <c r="IUW349" s="50"/>
      <c r="IUX349" s="50"/>
      <c r="IUY349" s="50"/>
      <c r="IUZ349" s="50"/>
      <c r="IVA349" s="50"/>
      <c r="IVB349" s="50"/>
      <c r="IVC349" s="50"/>
      <c r="IVD349" s="50"/>
      <c r="IVE349" s="50"/>
      <c r="IVF349" s="50"/>
      <c r="IVG349" s="50"/>
      <c r="IVH349" s="50"/>
      <c r="IVI349" s="50"/>
      <c r="IVJ349" s="50"/>
      <c r="IVK349" s="50"/>
      <c r="IVL349" s="50"/>
      <c r="IVM349" s="50"/>
      <c r="IVN349" s="50"/>
      <c r="IVO349" s="50"/>
      <c r="IVP349" s="50"/>
      <c r="IVQ349" s="50"/>
      <c r="IVR349" s="50"/>
      <c r="IVS349" s="50"/>
      <c r="IVT349" s="50"/>
      <c r="IVU349" s="50"/>
      <c r="IVV349" s="50"/>
      <c r="IVW349" s="50"/>
      <c r="IVX349" s="50"/>
      <c r="IVY349" s="50"/>
      <c r="IVZ349" s="50"/>
      <c r="IWA349" s="50"/>
      <c r="IWB349" s="50"/>
      <c r="IWC349" s="50"/>
      <c r="IWD349" s="50"/>
      <c r="IWE349" s="50"/>
      <c r="IWF349" s="50"/>
      <c r="IWG349" s="50"/>
      <c r="IWH349" s="50"/>
      <c r="IWI349" s="50"/>
      <c r="IWJ349" s="50"/>
      <c r="IWK349" s="50"/>
      <c r="IWL349" s="50"/>
      <c r="IWM349" s="50"/>
      <c r="IWN349" s="50"/>
      <c r="IWO349" s="50"/>
      <c r="IWP349" s="50"/>
      <c r="IWQ349" s="50"/>
      <c r="IWR349" s="50"/>
      <c r="IWS349" s="50"/>
      <c r="IWT349" s="50"/>
      <c r="IWU349" s="50"/>
      <c r="IWV349" s="50"/>
      <c r="IWW349" s="50"/>
      <c r="IWX349" s="50"/>
      <c r="IWY349" s="50"/>
      <c r="IWZ349" s="50"/>
      <c r="IXA349" s="50"/>
      <c r="IXB349" s="50"/>
      <c r="IXC349" s="50"/>
      <c r="IXD349" s="50"/>
      <c r="IXE349" s="50"/>
      <c r="IXF349" s="50"/>
      <c r="IXG349" s="50"/>
      <c r="IXH349" s="50"/>
      <c r="IXI349" s="50"/>
      <c r="IXJ349" s="50"/>
      <c r="IXK349" s="50"/>
      <c r="IXL349" s="50"/>
      <c r="IXM349" s="50"/>
      <c r="IXN349" s="50"/>
      <c r="IXO349" s="50"/>
      <c r="IXP349" s="50"/>
      <c r="IXQ349" s="50"/>
      <c r="IXR349" s="50"/>
      <c r="IXS349" s="50"/>
      <c r="IXT349" s="50"/>
      <c r="IXU349" s="50"/>
      <c r="IXV349" s="50"/>
      <c r="IXW349" s="50"/>
      <c r="IXX349" s="50"/>
      <c r="IXY349" s="50"/>
      <c r="IXZ349" s="50"/>
      <c r="IYA349" s="50"/>
      <c r="IYB349" s="50"/>
      <c r="IYC349" s="50"/>
      <c r="IYD349" s="50"/>
      <c r="IYE349" s="50"/>
      <c r="IYF349" s="50"/>
      <c r="IYG349" s="50"/>
      <c r="IYH349" s="50"/>
      <c r="IYI349" s="50"/>
      <c r="IYJ349" s="50"/>
      <c r="IYK349" s="50"/>
      <c r="IYL349" s="50"/>
      <c r="IYM349" s="50"/>
      <c r="IYN349" s="50"/>
      <c r="IYO349" s="50"/>
      <c r="IYP349" s="50"/>
      <c r="IYQ349" s="50"/>
      <c r="IYR349" s="50"/>
      <c r="IYS349" s="50"/>
      <c r="IYT349" s="50"/>
      <c r="IYU349" s="50"/>
      <c r="IYV349" s="50"/>
      <c r="IYW349" s="50"/>
      <c r="IYX349" s="50"/>
      <c r="IYY349" s="50"/>
      <c r="IYZ349" s="50"/>
      <c r="IZA349" s="50"/>
      <c r="IZB349" s="50"/>
      <c r="IZC349" s="50"/>
      <c r="IZD349" s="50"/>
      <c r="IZE349" s="50"/>
      <c r="IZF349" s="50"/>
      <c r="IZG349" s="50"/>
      <c r="IZH349" s="50"/>
      <c r="IZI349" s="50"/>
      <c r="IZJ349" s="50"/>
      <c r="IZK349" s="50"/>
      <c r="IZL349" s="50"/>
      <c r="IZM349" s="50"/>
      <c r="IZN349" s="50"/>
      <c r="IZO349" s="50"/>
      <c r="IZP349" s="50"/>
      <c r="IZQ349" s="50"/>
      <c r="IZR349" s="50"/>
      <c r="IZS349" s="50"/>
      <c r="IZT349" s="50"/>
      <c r="IZU349" s="50"/>
      <c r="IZV349" s="50"/>
      <c r="IZW349" s="50"/>
      <c r="IZX349" s="50"/>
      <c r="IZY349" s="50"/>
      <c r="IZZ349" s="50"/>
      <c r="JAA349" s="50"/>
      <c r="JAB349" s="50"/>
      <c r="JAC349" s="50"/>
      <c r="JAD349" s="50"/>
      <c r="JAE349" s="50"/>
      <c r="JAF349" s="50"/>
      <c r="JAG349" s="50"/>
      <c r="JAH349" s="50"/>
      <c r="JAI349" s="50"/>
      <c r="JAJ349" s="50"/>
      <c r="JAK349" s="50"/>
      <c r="JAL349" s="50"/>
      <c r="JAM349" s="50"/>
      <c r="JAN349" s="50"/>
      <c r="JAO349" s="50"/>
      <c r="JAP349" s="50"/>
      <c r="JAQ349" s="50"/>
      <c r="JAR349" s="50"/>
      <c r="JAS349" s="50"/>
      <c r="JAT349" s="50"/>
      <c r="JAU349" s="50"/>
      <c r="JAV349" s="50"/>
      <c r="JAW349" s="50"/>
      <c r="JAX349" s="50"/>
      <c r="JAY349" s="50"/>
      <c r="JAZ349" s="50"/>
      <c r="JBA349" s="50"/>
      <c r="JBB349" s="50"/>
      <c r="JBC349" s="50"/>
      <c r="JBD349" s="50"/>
      <c r="JBE349" s="50"/>
      <c r="JBF349" s="50"/>
      <c r="JBG349" s="50"/>
      <c r="JBH349" s="50"/>
      <c r="JBI349" s="50"/>
      <c r="JBJ349" s="50"/>
      <c r="JBK349" s="50"/>
      <c r="JBL349" s="50"/>
      <c r="JBM349" s="50"/>
      <c r="JBN349" s="50"/>
      <c r="JBO349" s="50"/>
      <c r="JBP349" s="50"/>
      <c r="JBQ349" s="50"/>
      <c r="JBR349" s="50"/>
      <c r="JBS349" s="50"/>
      <c r="JBT349" s="50"/>
      <c r="JBU349" s="50"/>
      <c r="JBV349" s="50"/>
      <c r="JBW349" s="50"/>
      <c r="JBX349" s="50"/>
      <c r="JBY349" s="50"/>
      <c r="JBZ349" s="50"/>
      <c r="JCA349" s="50"/>
      <c r="JCB349" s="50"/>
      <c r="JCC349" s="50"/>
      <c r="JCD349" s="50"/>
      <c r="JCE349" s="50"/>
      <c r="JCF349" s="50"/>
      <c r="JCG349" s="50"/>
      <c r="JCH349" s="50"/>
      <c r="JCI349" s="50"/>
      <c r="JCJ349" s="50"/>
      <c r="JCK349" s="50"/>
      <c r="JCL349" s="50"/>
      <c r="JCM349" s="50"/>
      <c r="JCN349" s="50"/>
      <c r="JCO349" s="50"/>
      <c r="JCP349" s="50"/>
      <c r="JCQ349" s="50"/>
      <c r="JCR349" s="50"/>
      <c r="JCS349" s="50"/>
      <c r="JCT349" s="50"/>
      <c r="JCU349" s="50"/>
      <c r="JCV349" s="50"/>
      <c r="JCW349" s="50"/>
      <c r="JCX349" s="50"/>
      <c r="JCY349" s="50"/>
      <c r="JCZ349" s="50"/>
      <c r="JDA349" s="50"/>
      <c r="JDB349" s="50"/>
      <c r="JDC349" s="50"/>
      <c r="JDD349" s="50"/>
      <c r="JDE349" s="50"/>
      <c r="JDF349" s="50"/>
      <c r="JDG349" s="50"/>
      <c r="JDH349" s="50"/>
      <c r="JDI349" s="50"/>
      <c r="JDJ349" s="50"/>
      <c r="JDK349" s="50"/>
      <c r="JDL349" s="50"/>
      <c r="JDM349" s="50"/>
      <c r="JDN349" s="50"/>
      <c r="JDO349" s="50"/>
      <c r="JDP349" s="50"/>
      <c r="JDQ349" s="50"/>
      <c r="JDR349" s="50"/>
      <c r="JDS349" s="50"/>
      <c r="JDT349" s="50"/>
      <c r="JDU349" s="50"/>
      <c r="JDV349" s="50"/>
      <c r="JDW349" s="50"/>
      <c r="JDX349" s="50"/>
      <c r="JDY349" s="50"/>
      <c r="JDZ349" s="50"/>
      <c r="JEA349" s="50"/>
      <c r="JEB349" s="50"/>
      <c r="JEC349" s="50"/>
      <c r="JED349" s="50"/>
      <c r="JEE349" s="50"/>
      <c r="JEF349" s="50"/>
      <c r="JEG349" s="50"/>
      <c r="JEH349" s="50"/>
      <c r="JEI349" s="50"/>
      <c r="JEJ349" s="50"/>
      <c r="JEK349" s="50"/>
      <c r="JEL349" s="50"/>
      <c r="JEM349" s="50"/>
      <c r="JEN349" s="50"/>
      <c r="JEO349" s="50"/>
      <c r="JEP349" s="50"/>
      <c r="JEQ349" s="50"/>
      <c r="JER349" s="50"/>
      <c r="JES349" s="50"/>
      <c r="JET349" s="50"/>
      <c r="JEU349" s="50"/>
      <c r="JEV349" s="50"/>
      <c r="JEW349" s="50"/>
      <c r="JEX349" s="50"/>
      <c r="JEY349" s="50"/>
      <c r="JEZ349" s="50"/>
      <c r="JFA349" s="50"/>
      <c r="JFB349" s="50"/>
      <c r="JFC349" s="50"/>
      <c r="JFD349" s="50"/>
      <c r="JFE349" s="50"/>
      <c r="JFF349" s="50"/>
      <c r="JFG349" s="50"/>
      <c r="JFH349" s="50"/>
      <c r="JFI349" s="50"/>
      <c r="JFJ349" s="50"/>
      <c r="JFK349" s="50"/>
      <c r="JFL349" s="50"/>
      <c r="JFM349" s="50"/>
      <c r="JFN349" s="50"/>
      <c r="JFO349" s="50"/>
      <c r="JFP349" s="50"/>
      <c r="JFQ349" s="50"/>
      <c r="JFR349" s="50"/>
      <c r="JFS349" s="50"/>
      <c r="JFT349" s="50"/>
      <c r="JFU349" s="50"/>
      <c r="JFV349" s="50"/>
      <c r="JFW349" s="50"/>
      <c r="JFX349" s="50"/>
      <c r="JFY349" s="50"/>
      <c r="JFZ349" s="50"/>
      <c r="JGA349" s="50"/>
      <c r="JGB349" s="50"/>
      <c r="JGC349" s="50"/>
      <c r="JGD349" s="50"/>
      <c r="JGE349" s="50"/>
      <c r="JGF349" s="50"/>
      <c r="JGG349" s="50"/>
      <c r="JGH349" s="50"/>
      <c r="JGI349" s="50"/>
      <c r="JGJ349" s="50"/>
      <c r="JGK349" s="50"/>
      <c r="JGL349" s="50"/>
      <c r="JGM349" s="50"/>
      <c r="JGN349" s="50"/>
      <c r="JGO349" s="50"/>
      <c r="JGP349" s="50"/>
      <c r="JGQ349" s="50"/>
      <c r="JGR349" s="50"/>
      <c r="JGS349" s="50"/>
      <c r="JGT349" s="50"/>
      <c r="JGU349" s="50"/>
      <c r="JGV349" s="50"/>
      <c r="JGW349" s="50"/>
      <c r="JGX349" s="50"/>
      <c r="JGY349" s="50"/>
      <c r="JGZ349" s="50"/>
      <c r="JHA349" s="50"/>
      <c r="JHB349" s="50"/>
      <c r="JHC349" s="50"/>
      <c r="JHD349" s="50"/>
      <c r="JHE349" s="50"/>
      <c r="JHF349" s="50"/>
      <c r="JHG349" s="50"/>
      <c r="JHH349" s="50"/>
      <c r="JHI349" s="50"/>
      <c r="JHJ349" s="50"/>
      <c r="JHK349" s="50"/>
      <c r="JHL349" s="50"/>
      <c r="JHM349" s="50"/>
      <c r="JHN349" s="50"/>
      <c r="JHO349" s="50"/>
      <c r="JHP349" s="50"/>
      <c r="JHQ349" s="50"/>
      <c r="JHR349" s="50"/>
      <c r="JHS349" s="50"/>
      <c r="JHT349" s="50"/>
      <c r="JHU349" s="50"/>
      <c r="JHV349" s="50"/>
      <c r="JHW349" s="50"/>
      <c r="JHX349" s="50"/>
      <c r="JHY349" s="50"/>
      <c r="JHZ349" s="50"/>
      <c r="JIA349" s="50"/>
      <c r="JIB349" s="50"/>
      <c r="JIC349" s="50"/>
      <c r="JID349" s="50"/>
      <c r="JIE349" s="50"/>
      <c r="JIF349" s="50"/>
      <c r="JIG349" s="50"/>
      <c r="JIH349" s="50"/>
      <c r="JII349" s="50"/>
      <c r="JIJ349" s="50"/>
      <c r="JIK349" s="50"/>
      <c r="JIL349" s="50"/>
      <c r="JIM349" s="50"/>
      <c r="JIN349" s="50"/>
      <c r="JIO349" s="50"/>
      <c r="JIP349" s="50"/>
      <c r="JIQ349" s="50"/>
      <c r="JIR349" s="50"/>
      <c r="JIS349" s="50"/>
      <c r="JIT349" s="50"/>
      <c r="JIU349" s="50"/>
      <c r="JIV349" s="50"/>
      <c r="JIW349" s="50"/>
      <c r="JIX349" s="50"/>
      <c r="JIY349" s="50"/>
      <c r="JIZ349" s="50"/>
      <c r="JJA349" s="50"/>
      <c r="JJB349" s="50"/>
      <c r="JJC349" s="50"/>
      <c r="JJD349" s="50"/>
      <c r="JJE349" s="50"/>
      <c r="JJF349" s="50"/>
      <c r="JJG349" s="50"/>
      <c r="JJH349" s="50"/>
      <c r="JJI349" s="50"/>
      <c r="JJJ349" s="50"/>
      <c r="JJK349" s="50"/>
      <c r="JJL349" s="50"/>
      <c r="JJM349" s="50"/>
      <c r="JJN349" s="50"/>
      <c r="JJO349" s="50"/>
      <c r="JJP349" s="50"/>
      <c r="JJQ349" s="50"/>
      <c r="JJR349" s="50"/>
      <c r="JJS349" s="50"/>
      <c r="JJT349" s="50"/>
      <c r="JJU349" s="50"/>
      <c r="JJV349" s="50"/>
      <c r="JJW349" s="50"/>
      <c r="JJX349" s="50"/>
      <c r="JJY349" s="50"/>
      <c r="JJZ349" s="50"/>
      <c r="JKA349" s="50"/>
      <c r="JKB349" s="50"/>
      <c r="JKC349" s="50"/>
      <c r="JKD349" s="50"/>
      <c r="JKE349" s="50"/>
      <c r="JKF349" s="50"/>
      <c r="JKG349" s="50"/>
      <c r="JKH349" s="50"/>
      <c r="JKI349" s="50"/>
      <c r="JKJ349" s="50"/>
      <c r="JKK349" s="50"/>
      <c r="JKL349" s="50"/>
      <c r="JKM349" s="50"/>
      <c r="JKN349" s="50"/>
      <c r="JKO349" s="50"/>
      <c r="JKP349" s="50"/>
      <c r="JKQ349" s="50"/>
      <c r="JKR349" s="50"/>
      <c r="JKS349" s="50"/>
      <c r="JKT349" s="50"/>
      <c r="JKU349" s="50"/>
      <c r="JKV349" s="50"/>
      <c r="JKW349" s="50"/>
      <c r="JKX349" s="50"/>
      <c r="JKY349" s="50"/>
      <c r="JKZ349" s="50"/>
      <c r="JLA349" s="50"/>
      <c r="JLB349" s="50"/>
      <c r="JLC349" s="50"/>
      <c r="JLD349" s="50"/>
      <c r="JLE349" s="50"/>
      <c r="JLF349" s="50"/>
      <c r="JLG349" s="50"/>
      <c r="JLH349" s="50"/>
      <c r="JLI349" s="50"/>
      <c r="JLJ349" s="50"/>
      <c r="JLK349" s="50"/>
      <c r="JLL349" s="50"/>
      <c r="JLM349" s="50"/>
      <c r="JLN349" s="50"/>
      <c r="JLO349" s="50"/>
      <c r="JLP349" s="50"/>
      <c r="JLQ349" s="50"/>
      <c r="JLR349" s="50"/>
      <c r="JLS349" s="50"/>
      <c r="JLT349" s="50"/>
      <c r="JLU349" s="50"/>
      <c r="JLV349" s="50"/>
      <c r="JLW349" s="50"/>
      <c r="JLX349" s="50"/>
      <c r="JLY349" s="50"/>
      <c r="JLZ349" s="50"/>
      <c r="JMA349" s="50"/>
      <c r="JMB349" s="50"/>
      <c r="JMC349" s="50"/>
      <c r="JMD349" s="50"/>
      <c r="JME349" s="50"/>
      <c r="JMF349" s="50"/>
      <c r="JMG349" s="50"/>
      <c r="JMH349" s="50"/>
      <c r="JMI349" s="50"/>
      <c r="JMJ349" s="50"/>
      <c r="JMK349" s="50"/>
      <c r="JML349" s="50"/>
      <c r="JMM349" s="50"/>
      <c r="JMN349" s="50"/>
      <c r="JMO349" s="50"/>
      <c r="JMP349" s="50"/>
      <c r="JMQ349" s="50"/>
      <c r="JMR349" s="50"/>
      <c r="JMS349" s="50"/>
      <c r="JMT349" s="50"/>
      <c r="JMU349" s="50"/>
      <c r="JMV349" s="50"/>
      <c r="JMW349" s="50"/>
      <c r="JMX349" s="50"/>
      <c r="JMY349" s="50"/>
      <c r="JMZ349" s="50"/>
      <c r="JNA349" s="50"/>
      <c r="JNB349" s="50"/>
      <c r="JNC349" s="50"/>
      <c r="JND349" s="50"/>
      <c r="JNE349" s="50"/>
      <c r="JNF349" s="50"/>
      <c r="JNG349" s="50"/>
      <c r="JNH349" s="50"/>
      <c r="JNI349" s="50"/>
      <c r="JNJ349" s="50"/>
      <c r="JNK349" s="50"/>
      <c r="JNL349" s="50"/>
      <c r="JNM349" s="50"/>
      <c r="JNN349" s="50"/>
      <c r="JNO349" s="50"/>
      <c r="JNP349" s="50"/>
      <c r="JNQ349" s="50"/>
      <c r="JNR349" s="50"/>
      <c r="JNS349" s="50"/>
      <c r="JNT349" s="50"/>
      <c r="JNU349" s="50"/>
      <c r="JNV349" s="50"/>
      <c r="JNW349" s="50"/>
      <c r="JNX349" s="50"/>
      <c r="JNY349" s="50"/>
      <c r="JNZ349" s="50"/>
      <c r="JOA349" s="50"/>
      <c r="JOB349" s="50"/>
      <c r="JOC349" s="50"/>
      <c r="JOD349" s="50"/>
      <c r="JOE349" s="50"/>
      <c r="JOF349" s="50"/>
      <c r="JOG349" s="50"/>
      <c r="JOH349" s="50"/>
      <c r="JOI349" s="50"/>
      <c r="JOJ349" s="50"/>
      <c r="JOK349" s="50"/>
      <c r="JOL349" s="50"/>
      <c r="JOM349" s="50"/>
      <c r="JON349" s="50"/>
      <c r="JOO349" s="50"/>
      <c r="JOP349" s="50"/>
      <c r="JOQ349" s="50"/>
      <c r="JOR349" s="50"/>
      <c r="JOS349" s="50"/>
      <c r="JOT349" s="50"/>
      <c r="JOU349" s="50"/>
      <c r="JOV349" s="50"/>
      <c r="JOW349" s="50"/>
      <c r="JOX349" s="50"/>
      <c r="JOY349" s="50"/>
      <c r="JOZ349" s="50"/>
      <c r="JPA349" s="50"/>
      <c r="JPB349" s="50"/>
      <c r="JPC349" s="50"/>
      <c r="JPD349" s="50"/>
      <c r="JPE349" s="50"/>
      <c r="JPF349" s="50"/>
      <c r="JPG349" s="50"/>
      <c r="JPH349" s="50"/>
      <c r="JPI349" s="50"/>
      <c r="JPJ349" s="50"/>
      <c r="JPK349" s="50"/>
      <c r="JPL349" s="50"/>
      <c r="JPM349" s="50"/>
      <c r="JPN349" s="50"/>
      <c r="JPO349" s="50"/>
      <c r="JPP349" s="50"/>
      <c r="JPQ349" s="50"/>
      <c r="JPR349" s="50"/>
      <c r="JPS349" s="50"/>
      <c r="JPT349" s="50"/>
      <c r="JPU349" s="50"/>
      <c r="JPV349" s="50"/>
      <c r="JPW349" s="50"/>
      <c r="JPX349" s="50"/>
      <c r="JPY349" s="50"/>
      <c r="JPZ349" s="50"/>
      <c r="JQA349" s="50"/>
      <c r="JQB349" s="50"/>
      <c r="JQC349" s="50"/>
      <c r="JQD349" s="50"/>
      <c r="JQE349" s="50"/>
      <c r="JQF349" s="50"/>
      <c r="JQG349" s="50"/>
      <c r="JQH349" s="50"/>
      <c r="JQI349" s="50"/>
      <c r="JQJ349" s="50"/>
      <c r="JQK349" s="50"/>
      <c r="JQL349" s="50"/>
      <c r="JQM349" s="50"/>
      <c r="JQN349" s="50"/>
      <c r="JQO349" s="50"/>
      <c r="JQP349" s="50"/>
      <c r="JQQ349" s="50"/>
      <c r="JQR349" s="50"/>
      <c r="JQS349" s="50"/>
      <c r="JQT349" s="50"/>
      <c r="JQU349" s="50"/>
      <c r="JQV349" s="50"/>
      <c r="JQW349" s="50"/>
      <c r="JQX349" s="50"/>
      <c r="JQY349" s="50"/>
      <c r="JQZ349" s="50"/>
      <c r="JRA349" s="50"/>
      <c r="JRB349" s="50"/>
      <c r="JRC349" s="50"/>
      <c r="JRD349" s="50"/>
      <c r="JRE349" s="50"/>
      <c r="JRF349" s="50"/>
      <c r="JRG349" s="50"/>
      <c r="JRH349" s="50"/>
      <c r="JRI349" s="50"/>
      <c r="JRJ349" s="50"/>
      <c r="JRK349" s="50"/>
      <c r="JRL349" s="50"/>
      <c r="JRM349" s="50"/>
      <c r="JRN349" s="50"/>
      <c r="JRO349" s="50"/>
      <c r="JRP349" s="50"/>
      <c r="JRQ349" s="50"/>
      <c r="JRR349" s="50"/>
      <c r="JRS349" s="50"/>
      <c r="JRT349" s="50"/>
      <c r="JRU349" s="50"/>
      <c r="JRV349" s="50"/>
      <c r="JRW349" s="50"/>
      <c r="JRX349" s="50"/>
      <c r="JRY349" s="50"/>
      <c r="JRZ349" s="50"/>
      <c r="JSA349" s="50"/>
      <c r="JSB349" s="50"/>
      <c r="JSC349" s="50"/>
      <c r="JSD349" s="50"/>
      <c r="JSE349" s="50"/>
      <c r="JSF349" s="50"/>
      <c r="JSG349" s="50"/>
      <c r="JSH349" s="50"/>
      <c r="JSI349" s="50"/>
      <c r="JSJ349" s="50"/>
      <c r="JSK349" s="50"/>
      <c r="JSL349" s="50"/>
      <c r="JSM349" s="50"/>
      <c r="JSN349" s="50"/>
      <c r="JSO349" s="50"/>
      <c r="JSP349" s="50"/>
      <c r="JSQ349" s="50"/>
      <c r="JSR349" s="50"/>
      <c r="JSS349" s="50"/>
      <c r="JST349" s="50"/>
      <c r="JSU349" s="50"/>
      <c r="JSV349" s="50"/>
      <c r="JSW349" s="50"/>
      <c r="JSX349" s="50"/>
      <c r="JSY349" s="50"/>
      <c r="JSZ349" s="50"/>
      <c r="JTA349" s="50"/>
      <c r="JTB349" s="50"/>
      <c r="JTC349" s="50"/>
      <c r="JTD349" s="50"/>
      <c r="JTE349" s="50"/>
      <c r="JTF349" s="50"/>
      <c r="JTG349" s="50"/>
      <c r="JTH349" s="50"/>
      <c r="JTI349" s="50"/>
      <c r="JTJ349" s="50"/>
      <c r="JTK349" s="50"/>
      <c r="JTL349" s="50"/>
      <c r="JTM349" s="50"/>
      <c r="JTN349" s="50"/>
      <c r="JTO349" s="50"/>
      <c r="JTP349" s="50"/>
      <c r="JTQ349" s="50"/>
      <c r="JTR349" s="50"/>
      <c r="JTS349" s="50"/>
      <c r="JTT349" s="50"/>
      <c r="JTU349" s="50"/>
      <c r="JTV349" s="50"/>
      <c r="JTW349" s="50"/>
      <c r="JTX349" s="50"/>
      <c r="JTY349" s="50"/>
      <c r="JTZ349" s="50"/>
      <c r="JUA349" s="50"/>
      <c r="JUB349" s="50"/>
      <c r="JUC349" s="50"/>
      <c r="JUD349" s="50"/>
      <c r="JUE349" s="50"/>
      <c r="JUF349" s="50"/>
      <c r="JUG349" s="50"/>
      <c r="JUH349" s="50"/>
      <c r="JUI349" s="50"/>
      <c r="JUJ349" s="50"/>
      <c r="JUK349" s="50"/>
      <c r="JUL349" s="50"/>
      <c r="JUM349" s="50"/>
      <c r="JUN349" s="50"/>
      <c r="JUO349" s="50"/>
      <c r="JUP349" s="50"/>
      <c r="JUQ349" s="50"/>
      <c r="JUR349" s="50"/>
      <c r="JUS349" s="50"/>
      <c r="JUT349" s="50"/>
      <c r="JUU349" s="50"/>
      <c r="JUV349" s="50"/>
      <c r="JUW349" s="50"/>
      <c r="JUX349" s="50"/>
      <c r="JUY349" s="50"/>
      <c r="JUZ349" s="50"/>
      <c r="JVA349" s="50"/>
      <c r="JVB349" s="50"/>
      <c r="JVC349" s="50"/>
      <c r="JVD349" s="50"/>
      <c r="JVE349" s="50"/>
      <c r="JVF349" s="50"/>
      <c r="JVG349" s="50"/>
      <c r="JVH349" s="50"/>
      <c r="JVI349" s="50"/>
      <c r="JVJ349" s="50"/>
      <c r="JVK349" s="50"/>
      <c r="JVL349" s="50"/>
      <c r="JVM349" s="50"/>
      <c r="JVN349" s="50"/>
      <c r="JVO349" s="50"/>
      <c r="JVP349" s="50"/>
      <c r="JVQ349" s="50"/>
      <c r="JVR349" s="50"/>
      <c r="JVS349" s="50"/>
      <c r="JVT349" s="50"/>
      <c r="JVU349" s="50"/>
      <c r="JVV349" s="50"/>
      <c r="JVW349" s="50"/>
      <c r="JVX349" s="50"/>
      <c r="JVY349" s="50"/>
      <c r="JVZ349" s="50"/>
      <c r="JWA349" s="50"/>
      <c r="JWB349" s="50"/>
      <c r="JWC349" s="50"/>
      <c r="JWD349" s="50"/>
      <c r="JWE349" s="50"/>
      <c r="JWF349" s="50"/>
      <c r="JWG349" s="50"/>
      <c r="JWH349" s="50"/>
      <c r="JWI349" s="50"/>
      <c r="JWJ349" s="50"/>
      <c r="JWK349" s="50"/>
      <c r="JWL349" s="50"/>
      <c r="JWM349" s="50"/>
      <c r="JWN349" s="50"/>
      <c r="JWO349" s="50"/>
      <c r="JWP349" s="50"/>
      <c r="JWQ349" s="50"/>
      <c r="JWR349" s="50"/>
      <c r="JWS349" s="50"/>
      <c r="JWT349" s="50"/>
      <c r="JWU349" s="50"/>
      <c r="JWV349" s="50"/>
      <c r="JWW349" s="50"/>
      <c r="JWX349" s="50"/>
      <c r="JWY349" s="50"/>
      <c r="JWZ349" s="50"/>
      <c r="JXA349" s="50"/>
      <c r="JXB349" s="50"/>
      <c r="JXC349" s="50"/>
      <c r="JXD349" s="50"/>
      <c r="JXE349" s="50"/>
      <c r="JXF349" s="50"/>
      <c r="JXG349" s="50"/>
      <c r="JXH349" s="50"/>
      <c r="JXI349" s="50"/>
      <c r="JXJ349" s="50"/>
      <c r="JXK349" s="50"/>
      <c r="JXL349" s="50"/>
      <c r="JXM349" s="50"/>
      <c r="JXN349" s="50"/>
      <c r="JXO349" s="50"/>
      <c r="JXP349" s="50"/>
      <c r="JXQ349" s="50"/>
      <c r="JXR349" s="50"/>
      <c r="JXS349" s="50"/>
      <c r="JXT349" s="50"/>
      <c r="JXU349" s="50"/>
      <c r="JXV349" s="50"/>
      <c r="JXW349" s="50"/>
      <c r="JXX349" s="50"/>
      <c r="JXY349" s="50"/>
      <c r="JXZ349" s="50"/>
      <c r="JYA349" s="50"/>
      <c r="JYB349" s="50"/>
      <c r="JYC349" s="50"/>
      <c r="JYD349" s="50"/>
      <c r="JYE349" s="50"/>
      <c r="JYF349" s="50"/>
      <c r="JYG349" s="50"/>
      <c r="JYH349" s="50"/>
      <c r="JYI349" s="50"/>
      <c r="JYJ349" s="50"/>
      <c r="JYK349" s="50"/>
      <c r="JYL349" s="50"/>
      <c r="JYM349" s="50"/>
      <c r="JYN349" s="50"/>
      <c r="JYO349" s="50"/>
      <c r="JYP349" s="50"/>
      <c r="JYQ349" s="50"/>
      <c r="JYR349" s="50"/>
      <c r="JYS349" s="50"/>
      <c r="JYT349" s="50"/>
      <c r="JYU349" s="50"/>
      <c r="JYV349" s="50"/>
      <c r="JYW349" s="50"/>
      <c r="JYX349" s="50"/>
      <c r="JYY349" s="50"/>
      <c r="JYZ349" s="50"/>
      <c r="JZA349" s="50"/>
      <c r="JZB349" s="50"/>
      <c r="JZC349" s="50"/>
      <c r="JZD349" s="50"/>
      <c r="JZE349" s="50"/>
      <c r="JZF349" s="50"/>
      <c r="JZG349" s="50"/>
      <c r="JZH349" s="50"/>
      <c r="JZI349" s="50"/>
      <c r="JZJ349" s="50"/>
      <c r="JZK349" s="50"/>
      <c r="JZL349" s="50"/>
      <c r="JZM349" s="50"/>
      <c r="JZN349" s="50"/>
      <c r="JZO349" s="50"/>
      <c r="JZP349" s="50"/>
      <c r="JZQ349" s="50"/>
      <c r="JZR349" s="50"/>
      <c r="JZS349" s="50"/>
      <c r="JZT349" s="50"/>
      <c r="JZU349" s="50"/>
      <c r="JZV349" s="50"/>
      <c r="JZW349" s="50"/>
      <c r="JZX349" s="50"/>
      <c r="JZY349" s="50"/>
      <c r="JZZ349" s="50"/>
      <c r="KAA349" s="50"/>
      <c r="KAB349" s="50"/>
      <c r="KAC349" s="50"/>
      <c r="KAD349" s="50"/>
      <c r="KAE349" s="50"/>
      <c r="KAF349" s="50"/>
      <c r="KAG349" s="50"/>
      <c r="KAH349" s="50"/>
      <c r="KAI349" s="50"/>
      <c r="KAJ349" s="50"/>
      <c r="KAK349" s="50"/>
      <c r="KAL349" s="50"/>
      <c r="KAM349" s="50"/>
      <c r="KAN349" s="50"/>
      <c r="KAO349" s="50"/>
      <c r="KAP349" s="50"/>
      <c r="KAQ349" s="50"/>
      <c r="KAR349" s="50"/>
      <c r="KAS349" s="50"/>
      <c r="KAT349" s="50"/>
      <c r="KAU349" s="50"/>
      <c r="KAV349" s="50"/>
      <c r="KAW349" s="50"/>
      <c r="KAX349" s="50"/>
      <c r="KAY349" s="50"/>
      <c r="KAZ349" s="50"/>
      <c r="KBA349" s="50"/>
      <c r="KBB349" s="50"/>
      <c r="KBC349" s="50"/>
      <c r="KBD349" s="50"/>
      <c r="KBE349" s="50"/>
      <c r="KBF349" s="50"/>
      <c r="KBG349" s="50"/>
      <c r="KBH349" s="50"/>
      <c r="KBI349" s="50"/>
      <c r="KBJ349" s="50"/>
      <c r="KBK349" s="50"/>
      <c r="KBL349" s="50"/>
      <c r="KBM349" s="50"/>
      <c r="KBN349" s="50"/>
      <c r="KBO349" s="50"/>
      <c r="KBP349" s="50"/>
      <c r="KBQ349" s="50"/>
      <c r="KBR349" s="50"/>
      <c r="KBS349" s="50"/>
      <c r="KBT349" s="50"/>
      <c r="KBU349" s="50"/>
      <c r="KBV349" s="50"/>
      <c r="KBW349" s="50"/>
      <c r="KBX349" s="50"/>
      <c r="KBY349" s="50"/>
      <c r="KBZ349" s="50"/>
      <c r="KCA349" s="50"/>
      <c r="KCB349" s="50"/>
      <c r="KCC349" s="50"/>
      <c r="KCD349" s="50"/>
      <c r="KCE349" s="50"/>
      <c r="KCF349" s="50"/>
      <c r="KCG349" s="50"/>
      <c r="KCH349" s="50"/>
      <c r="KCI349" s="50"/>
      <c r="KCJ349" s="50"/>
      <c r="KCK349" s="50"/>
      <c r="KCL349" s="50"/>
      <c r="KCM349" s="50"/>
      <c r="KCN349" s="50"/>
      <c r="KCO349" s="50"/>
      <c r="KCP349" s="50"/>
      <c r="KCQ349" s="50"/>
      <c r="KCR349" s="50"/>
      <c r="KCS349" s="50"/>
      <c r="KCT349" s="50"/>
      <c r="KCU349" s="50"/>
      <c r="KCV349" s="50"/>
      <c r="KCW349" s="50"/>
      <c r="KCX349" s="50"/>
      <c r="KCY349" s="50"/>
      <c r="KCZ349" s="50"/>
      <c r="KDA349" s="50"/>
      <c r="KDB349" s="50"/>
      <c r="KDC349" s="50"/>
      <c r="KDD349" s="50"/>
      <c r="KDE349" s="50"/>
      <c r="KDF349" s="50"/>
      <c r="KDG349" s="50"/>
      <c r="KDH349" s="50"/>
      <c r="KDI349" s="50"/>
      <c r="KDJ349" s="50"/>
      <c r="KDK349" s="50"/>
      <c r="KDL349" s="50"/>
      <c r="KDM349" s="50"/>
      <c r="KDN349" s="50"/>
      <c r="KDO349" s="50"/>
      <c r="KDP349" s="50"/>
      <c r="KDQ349" s="50"/>
      <c r="KDR349" s="50"/>
      <c r="KDS349" s="50"/>
      <c r="KDT349" s="50"/>
      <c r="KDU349" s="50"/>
      <c r="KDV349" s="50"/>
      <c r="KDW349" s="50"/>
      <c r="KDX349" s="50"/>
      <c r="KDY349" s="50"/>
      <c r="KDZ349" s="50"/>
      <c r="KEA349" s="50"/>
      <c r="KEB349" s="50"/>
      <c r="KEC349" s="50"/>
      <c r="KED349" s="50"/>
      <c r="KEE349" s="50"/>
      <c r="KEF349" s="50"/>
      <c r="KEG349" s="50"/>
      <c r="KEH349" s="50"/>
      <c r="KEI349" s="50"/>
      <c r="KEJ349" s="50"/>
      <c r="KEK349" s="50"/>
      <c r="KEL349" s="50"/>
      <c r="KEM349" s="50"/>
      <c r="KEN349" s="50"/>
      <c r="KEO349" s="50"/>
      <c r="KEP349" s="50"/>
      <c r="KEQ349" s="50"/>
      <c r="KER349" s="50"/>
      <c r="KES349" s="50"/>
      <c r="KET349" s="50"/>
      <c r="KEU349" s="50"/>
      <c r="KEV349" s="50"/>
      <c r="KEW349" s="50"/>
      <c r="KEX349" s="50"/>
      <c r="KEY349" s="50"/>
      <c r="KEZ349" s="50"/>
      <c r="KFA349" s="50"/>
      <c r="KFB349" s="50"/>
      <c r="KFC349" s="50"/>
      <c r="KFD349" s="50"/>
      <c r="KFE349" s="50"/>
      <c r="KFF349" s="50"/>
      <c r="KFG349" s="50"/>
      <c r="KFH349" s="50"/>
      <c r="KFI349" s="50"/>
      <c r="KFJ349" s="50"/>
      <c r="KFK349" s="50"/>
      <c r="KFL349" s="50"/>
      <c r="KFM349" s="50"/>
      <c r="KFN349" s="50"/>
      <c r="KFO349" s="50"/>
      <c r="KFP349" s="50"/>
      <c r="KFQ349" s="50"/>
      <c r="KFR349" s="50"/>
      <c r="KFS349" s="50"/>
      <c r="KFT349" s="50"/>
      <c r="KFU349" s="50"/>
      <c r="KFV349" s="50"/>
      <c r="KFW349" s="50"/>
      <c r="KFX349" s="50"/>
      <c r="KFY349" s="50"/>
      <c r="KFZ349" s="50"/>
      <c r="KGA349" s="50"/>
      <c r="KGB349" s="50"/>
      <c r="KGC349" s="50"/>
      <c r="KGD349" s="50"/>
      <c r="KGE349" s="50"/>
      <c r="KGF349" s="50"/>
      <c r="KGG349" s="50"/>
      <c r="KGH349" s="50"/>
      <c r="KGI349" s="50"/>
      <c r="KGJ349" s="50"/>
      <c r="KGK349" s="50"/>
      <c r="KGL349" s="50"/>
      <c r="KGM349" s="50"/>
      <c r="KGN349" s="50"/>
      <c r="KGO349" s="50"/>
      <c r="KGP349" s="50"/>
      <c r="KGQ349" s="50"/>
      <c r="KGR349" s="50"/>
      <c r="KGS349" s="50"/>
      <c r="KGT349" s="50"/>
      <c r="KGU349" s="50"/>
      <c r="KGV349" s="50"/>
      <c r="KGW349" s="50"/>
      <c r="KGX349" s="50"/>
      <c r="KGY349" s="50"/>
      <c r="KGZ349" s="50"/>
      <c r="KHA349" s="50"/>
      <c r="KHB349" s="50"/>
      <c r="KHC349" s="50"/>
      <c r="KHD349" s="50"/>
      <c r="KHE349" s="50"/>
      <c r="KHF349" s="50"/>
      <c r="KHG349" s="50"/>
      <c r="KHH349" s="50"/>
      <c r="KHI349" s="50"/>
      <c r="KHJ349" s="50"/>
      <c r="KHK349" s="50"/>
      <c r="KHL349" s="50"/>
      <c r="KHM349" s="50"/>
      <c r="KHN349" s="50"/>
      <c r="KHO349" s="50"/>
      <c r="KHP349" s="50"/>
      <c r="KHQ349" s="50"/>
      <c r="KHR349" s="50"/>
      <c r="KHS349" s="50"/>
      <c r="KHT349" s="50"/>
      <c r="KHU349" s="50"/>
      <c r="KHV349" s="50"/>
      <c r="KHW349" s="50"/>
      <c r="KHX349" s="50"/>
      <c r="KHY349" s="50"/>
      <c r="KHZ349" s="50"/>
      <c r="KIA349" s="50"/>
      <c r="KIB349" s="50"/>
      <c r="KIC349" s="50"/>
      <c r="KID349" s="50"/>
      <c r="KIE349" s="50"/>
      <c r="KIF349" s="50"/>
      <c r="KIG349" s="50"/>
      <c r="KIH349" s="50"/>
      <c r="KII349" s="50"/>
      <c r="KIJ349" s="50"/>
      <c r="KIK349" s="50"/>
      <c r="KIL349" s="50"/>
      <c r="KIM349" s="50"/>
      <c r="KIN349" s="50"/>
      <c r="KIO349" s="50"/>
      <c r="KIP349" s="50"/>
      <c r="KIQ349" s="50"/>
      <c r="KIR349" s="50"/>
      <c r="KIS349" s="50"/>
      <c r="KIT349" s="50"/>
      <c r="KIU349" s="50"/>
      <c r="KIV349" s="50"/>
      <c r="KIW349" s="50"/>
      <c r="KIX349" s="50"/>
      <c r="KIY349" s="50"/>
      <c r="KIZ349" s="50"/>
      <c r="KJA349" s="50"/>
      <c r="KJB349" s="50"/>
      <c r="KJC349" s="50"/>
      <c r="KJD349" s="50"/>
      <c r="KJE349" s="50"/>
      <c r="KJF349" s="50"/>
      <c r="KJG349" s="50"/>
      <c r="KJH349" s="50"/>
      <c r="KJI349" s="50"/>
      <c r="KJJ349" s="50"/>
      <c r="KJK349" s="50"/>
      <c r="KJL349" s="50"/>
      <c r="KJM349" s="50"/>
      <c r="KJN349" s="50"/>
      <c r="KJO349" s="50"/>
      <c r="KJP349" s="50"/>
      <c r="KJQ349" s="50"/>
      <c r="KJR349" s="50"/>
      <c r="KJS349" s="50"/>
      <c r="KJT349" s="50"/>
      <c r="KJU349" s="50"/>
      <c r="KJV349" s="50"/>
      <c r="KJW349" s="50"/>
      <c r="KJX349" s="50"/>
      <c r="KJY349" s="50"/>
      <c r="KJZ349" s="50"/>
      <c r="KKA349" s="50"/>
      <c r="KKB349" s="50"/>
      <c r="KKC349" s="50"/>
      <c r="KKD349" s="50"/>
      <c r="KKE349" s="50"/>
      <c r="KKF349" s="50"/>
      <c r="KKG349" s="50"/>
      <c r="KKH349" s="50"/>
      <c r="KKI349" s="50"/>
      <c r="KKJ349" s="50"/>
      <c r="KKK349" s="50"/>
      <c r="KKL349" s="50"/>
      <c r="KKM349" s="50"/>
      <c r="KKN349" s="50"/>
      <c r="KKO349" s="50"/>
      <c r="KKP349" s="50"/>
      <c r="KKQ349" s="50"/>
      <c r="KKR349" s="50"/>
      <c r="KKS349" s="50"/>
      <c r="KKT349" s="50"/>
      <c r="KKU349" s="50"/>
      <c r="KKV349" s="50"/>
      <c r="KKW349" s="50"/>
      <c r="KKX349" s="50"/>
      <c r="KKY349" s="50"/>
      <c r="KKZ349" s="50"/>
      <c r="KLA349" s="50"/>
      <c r="KLB349" s="50"/>
      <c r="KLC349" s="50"/>
      <c r="KLD349" s="50"/>
      <c r="KLE349" s="50"/>
      <c r="KLF349" s="50"/>
      <c r="KLG349" s="50"/>
      <c r="KLH349" s="50"/>
      <c r="KLI349" s="50"/>
      <c r="KLJ349" s="50"/>
      <c r="KLK349" s="50"/>
      <c r="KLL349" s="50"/>
      <c r="KLM349" s="50"/>
      <c r="KLN349" s="50"/>
      <c r="KLO349" s="50"/>
      <c r="KLP349" s="50"/>
      <c r="KLQ349" s="50"/>
      <c r="KLR349" s="50"/>
      <c r="KLS349" s="50"/>
      <c r="KLT349" s="50"/>
      <c r="KLU349" s="50"/>
      <c r="KLV349" s="50"/>
      <c r="KLW349" s="50"/>
      <c r="KLX349" s="50"/>
      <c r="KLY349" s="50"/>
      <c r="KLZ349" s="50"/>
      <c r="KMA349" s="50"/>
      <c r="KMB349" s="50"/>
      <c r="KMC349" s="50"/>
      <c r="KMD349" s="50"/>
      <c r="KME349" s="50"/>
      <c r="KMF349" s="50"/>
      <c r="KMG349" s="50"/>
      <c r="KMH349" s="50"/>
      <c r="KMI349" s="50"/>
      <c r="KMJ349" s="50"/>
      <c r="KMK349" s="50"/>
      <c r="KML349" s="50"/>
      <c r="KMM349" s="50"/>
      <c r="KMN349" s="50"/>
      <c r="KMO349" s="50"/>
      <c r="KMP349" s="50"/>
      <c r="KMQ349" s="50"/>
      <c r="KMR349" s="50"/>
      <c r="KMS349" s="50"/>
      <c r="KMT349" s="50"/>
      <c r="KMU349" s="50"/>
      <c r="KMV349" s="50"/>
      <c r="KMW349" s="50"/>
      <c r="KMX349" s="50"/>
      <c r="KMY349" s="50"/>
      <c r="KMZ349" s="50"/>
      <c r="KNA349" s="50"/>
      <c r="KNB349" s="50"/>
      <c r="KNC349" s="50"/>
      <c r="KND349" s="50"/>
      <c r="KNE349" s="50"/>
      <c r="KNF349" s="50"/>
      <c r="KNG349" s="50"/>
      <c r="KNH349" s="50"/>
      <c r="KNI349" s="50"/>
      <c r="KNJ349" s="50"/>
      <c r="KNK349" s="50"/>
      <c r="KNL349" s="50"/>
      <c r="KNM349" s="50"/>
      <c r="KNN349" s="50"/>
      <c r="KNO349" s="50"/>
      <c r="KNP349" s="50"/>
      <c r="KNQ349" s="50"/>
      <c r="KNR349" s="50"/>
      <c r="KNS349" s="50"/>
      <c r="KNT349" s="50"/>
      <c r="KNU349" s="50"/>
      <c r="KNV349" s="50"/>
      <c r="KNW349" s="50"/>
      <c r="KNX349" s="50"/>
      <c r="KNY349" s="50"/>
      <c r="KNZ349" s="50"/>
      <c r="KOA349" s="50"/>
      <c r="KOB349" s="50"/>
      <c r="KOC349" s="50"/>
      <c r="KOD349" s="50"/>
      <c r="KOE349" s="50"/>
      <c r="KOF349" s="50"/>
      <c r="KOG349" s="50"/>
      <c r="KOH349" s="50"/>
      <c r="KOI349" s="50"/>
      <c r="KOJ349" s="50"/>
      <c r="KOK349" s="50"/>
      <c r="KOL349" s="50"/>
      <c r="KOM349" s="50"/>
      <c r="KON349" s="50"/>
      <c r="KOO349" s="50"/>
      <c r="KOP349" s="50"/>
      <c r="KOQ349" s="50"/>
      <c r="KOR349" s="50"/>
      <c r="KOS349" s="50"/>
      <c r="KOT349" s="50"/>
      <c r="KOU349" s="50"/>
      <c r="KOV349" s="50"/>
      <c r="KOW349" s="50"/>
      <c r="KOX349" s="50"/>
      <c r="KOY349" s="50"/>
      <c r="KOZ349" s="50"/>
      <c r="KPA349" s="50"/>
      <c r="KPB349" s="50"/>
      <c r="KPC349" s="50"/>
      <c r="KPD349" s="50"/>
      <c r="KPE349" s="50"/>
      <c r="KPF349" s="50"/>
      <c r="KPG349" s="50"/>
      <c r="KPH349" s="50"/>
      <c r="KPI349" s="50"/>
      <c r="KPJ349" s="50"/>
      <c r="KPK349" s="50"/>
      <c r="KPL349" s="50"/>
      <c r="KPM349" s="50"/>
      <c r="KPN349" s="50"/>
      <c r="KPO349" s="50"/>
      <c r="KPP349" s="50"/>
      <c r="KPQ349" s="50"/>
      <c r="KPR349" s="50"/>
      <c r="KPS349" s="50"/>
      <c r="KPT349" s="50"/>
      <c r="KPU349" s="50"/>
      <c r="KPV349" s="50"/>
      <c r="KPW349" s="50"/>
      <c r="KPX349" s="50"/>
      <c r="KPY349" s="50"/>
      <c r="KPZ349" s="50"/>
      <c r="KQA349" s="50"/>
      <c r="KQB349" s="50"/>
      <c r="KQC349" s="50"/>
      <c r="KQD349" s="50"/>
      <c r="KQE349" s="50"/>
      <c r="KQF349" s="50"/>
      <c r="KQG349" s="50"/>
      <c r="KQH349" s="50"/>
      <c r="KQI349" s="50"/>
      <c r="KQJ349" s="50"/>
      <c r="KQK349" s="50"/>
      <c r="KQL349" s="50"/>
      <c r="KQM349" s="50"/>
      <c r="KQN349" s="50"/>
      <c r="KQO349" s="50"/>
      <c r="KQP349" s="50"/>
      <c r="KQQ349" s="50"/>
      <c r="KQR349" s="50"/>
      <c r="KQS349" s="50"/>
      <c r="KQT349" s="50"/>
      <c r="KQU349" s="50"/>
      <c r="KQV349" s="50"/>
      <c r="KQW349" s="50"/>
      <c r="KQX349" s="50"/>
      <c r="KQY349" s="50"/>
      <c r="KQZ349" s="50"/>
      <c r="KRA349" s="50"/>
      <c r="KRB349" s="50"/>
      <c r="KRC349" s="50"/>
      <c r="KRD349" s="50"/>
      <c r="KRE349" s="50"/>
      <c r="KRF349" s="50"/>
      <c r="KRG349" s="50"/>
      <c r="KRH349" s="50"/>
      <c r="KRI349" s="50"/>
      <c r="KRJ349" s="50"/>
      <c r="KRK349" s="50"/>
      <c r="KRL349" s="50"/>
      <c r="KRM349" s="50"/>
      <c r="KRN349" s="50"/>
      <c r="KRO349" s="50"/>
      <c r="KRP349" s="50"/>
      <c r="KRQ349" s="50"/>
      <c r="KRR349" s="50"/>
      <c r="KRS349" s="50"/>
      <c r="KRT349" s="50"/>
      <c r="KRU349" s="50"/>
      <c r="KRV349" s="50"/>
      <c r="KRW349" s="50"/>
      <c r="KRX349" s="50"/>
      <c r="KRY349" s="50"/>
      <c r="KRZ349" s="50"/>
      <c r="KSA349" s="50"/>
      <c r="KSB349" s="50"/>
      <c r="KSC349" s="50"/>
      <c r="KSD349" s="50"/>
      <c r="KSE349" s="50"/>
      <c r="KSF349" s="50"/>
      <c r="KSG349" s="50"/>
      <c r="KSH349" s="50"/>
      <c r="KSI349" s="50"/>
      <c r="KSJ349" s="50"/>
      <c r="KSK349" s="50"/>
      <c r="KSL349" s="50"/>
      <c r="KSM349" s="50"/>
      <c r="KSN349" s="50"/>
      <c r="KSO349" s="50"/>
      <c r="KSP349" s="50"/>
      <c r="KSQ349" s="50"/>
      <c r="KSR349" s="50"/>
      <c r="KSS349" s="50"/>
      <c r="KST349" s="50"/>
      <c r="KSU349" s="50"/>
      <c r="KSV349" s="50"/>
      <c r="KSW349" s="50"/>
      <c r="KSX349" s="50"/>
      <c r="KSY349" s="50"/>
      <c r="KSZ349" s="50"/>
      <c r="KTA349" s="50"/>
      <c r="KTB349" s="50"/>
      <c r="KTC349" s="50"/>
      <c r="KTD349" s="50"/>
      <c r="KTE349" s="50"/>
      <c r="KTF349" s="50"/>
      <c r="KTG349" s="50"/>
      <c r="KTH349" s="50"/>
      <c r="KTI349" s="50"/>
      <c r="KTJ349" s="50"/>
      <c r="KTK349" s="50"/>
      <c r="KTL349" s="50"/>
      <c r="KTM349" s="50"/>
      <c r="KTN349" s="50"/>
      <c r="KTO349" s="50"/>
      <c r="KTP349" s="50"/>
      <c r="KTQ349" s="50"/>
      <c r="KTR349" s="50"/>
      <c r="KTS349" s="50"/>
      <c r="KTT349" s="50"/>
      <c r="KTU349" s="50"/>
      <c r="KTV349" s="50"/>
      <c r="KTW349" s="50"/>
      <c r="KTX349" s="50"/>
      <c r="KTY349" s="50"/>
      <c r="KTZ349" s="50"/>
      <c r="KUA349" s="50"/>
      <c r="KUB349" s="50"/>
      <c r="KUC349" s="50"/>
      <c r="KUD349" s="50"/>
      <c r="KUE349" s="50"/>
      <c r="KUF349" s="50"/>
      <c r="KUG349" s="50"/>
      <c r="KUH349" s="50"/>
      <c r="KUI349" s="50"/>
      <c r="KUJ349" s="50"/>
      <c r="KUK349" s="50"/>
      <c r="KUL349" s="50"/>
      <c r="KUM349" s="50"/>
      <c r="KUN349" s="50"/>
      <c r="KUO349" s="50"/>
      <c r="KUP349" s="50"/>
      <c r="KUQ349" s="50"/>
      <c r="KUR349" s="50"/>
      <c r="KUS349" s="50"/>
      <c r="KUT349" s="50"/>
      <c r="KUU349" s="50"/>
      <c r="KUV349" s="50"/>
      <c r="KUW349" s="50"/>
      <c r="KUX349" s="50"/>
      <c r="KUY349" s="50"/>
      <c r="KUZ349" s="50"/>
      <c r="KVA349" s="50"/>
      <c r="KVB349" s="50"/>
      <c r="KVC349" s="50"/>
      <c r="KVD349" s="50"/>
      <c r="KVE349" s="50"/>
      <c r="KVF349" s="50"/>
      <c r="KVG349" s="50"/>
      <c r="KVH349" s="50"/>
      <c r="KVI349" s="50"/>
      <c r="KVJ349" s="50"/>
      <c r="KVK349" s="50"/>
      <c r="KVL349" s="50"/>
      <c r="KVM349" s="50"/>
      <c r="KVN349" s="50"/>
      <c r="KVO349" s="50"/>
      <c r="KVP349" s="50"/>
      <c r="KVQ349" s="50"/>
      <c r="KVR349" s="50"/>
      <c r="KVS349" s="50"/>
      <c r="KVT349" s="50"/>
      <c r="KVU349" s="50"/>
      <c r="KVV349" s="50"/>
      <c r="KVW349" s="50"/>
      <c r="KVX349" s="50"/>
      <c r="KVY349" s="50"/>
      <c r="KVZ349" s="50"/>
      <c r="KWA349" s="50"/>
      <c r="KWB349" s="50"/>
      <c r="KWC349" s="50"/>
      <c r="KWD349" s="50"/>
      <c r="KWE349" s="50"/>
      <c r="KWF349" s="50"/>
      <c r="KWG349" s="50"/>
      <c r="KWH349" s="50"/>
      <c r="KWI349" s="50"/>
      <c r="KWJ349" s="50"/>
      <c r="KWK349" s="50"/>
      <c r="KWL349" s="50"/>
      <c r="KWM349" s="50"/>
      <c r="KWN349" s="50"/>
      <c r="KWO349" s="50"/>
      <c r="KWP349" s="50"/>
      <c r="KWQ349" s="50"/>
      <c r="KWR349" s="50"/>
      <c r="KWS349" s="50"/>
      <c r="KWT349" s="50"/>
      <c r="KWU349" s="50"/>
      <c r="KWV349" s="50"/>
      <c r="KWW349" s="50"/>
      <c r="KWX349" s="50"/>
      <c r="KWY349" s="50"/>
      <c r="KWZ349" s="50"/>
      <c r="KXA349" s="50"/>
      <c r="KXB349" s="50"/>
      <c r="KXC349" s="50"/>
      <c r="KXD349" s="50"/>
      <c r="KXE349" s="50"/>
      <c r="KXF349" s="50"/>
      <c r="KXG349" s="50"/>
      <c r="KXH349" s="50"/>
      <c r="KXI349" s="50"/>
      <c r="KXJ349" s="50"/>
      <c r="KXK349" s="50"/>
      <c r="KXL349" s="50"/>
      <c r="KXM349" s="50"/>
      <c r="KXN349" s="50"/>
      <c r="KXO349" s="50"/>
      <c r="KXP349" s="50"/>
      <c r="KXQ349" s="50"/>
      <c r="KXR349" s="50"/>
      <c r="KXS349" s="50"/>
      <c r="KXT349" s="50"/>
      <c r="KXU349" s="50"/>
      <c r="KXV349" s="50"/>
      <c r="KXW349" s="50"/>
      <c r="KXX349" s="50"/>
      <c r="KXY349" s="50"/>
      <c r="KXZ349" s="50"/>
      <c r="KYA349" s="50"/>
      <c r="KYB349" s="50"/>
      <c r="KYC349" s="50"/>
      <c r="KYD349" s="50"/>
      <c r="KYE349" s="50"/>
      <c r="KYF349" s="50"/>
      <c r="KYG349" s="50"/>
      <c r="KYH349" s="50"/>
      <c r="KYI349" s="50"/>
      <c r="KYJ349" s="50"/>
      <c r="KYK349" s="50"/>
      <c r="KYL349" s="50"/>
      <c r="KYM349" s="50"/>
      <c r="KYN349" s="50"/>
      <c r="KYO349" s="50"/>
      <c r="KYP349" s="50"/>
      <c r="KYQ349" s="50"/>
      <c r="KYR349" s="50"/>
      <c r="KYS349" s="50"/>
      <c r="KYT349" s="50"/>
      <c r="KYU349" s="50"/>
      <c r="KYV349" s="50"/>
      <c r="KYW349" s="50"/>
      <c r="KYX349" s="50"/>
      <c r="KYY349" s="50"/>
      <c r="KYZ349" s="50"/>
      <c r="KZA349" s="50"/>
      <c r="KZB349" s="50"/>
      <c r="KZC349" s="50"/>
      <c r="KZD349" s="50"/>
      <c r="KZE349" s="50"/>
      <c r="KZF349" s="50"/>
      <c r="KZG349" s="50"/>
      <c r="KZH349" s="50"/>
      <c r="KZI349" s="50"/>
      <c r="KZJ349" s="50"/>
      <c r="KZK349" s="50"/>
      <c r="KZL349" s="50"/>
      <c r="KZM349" s="50"/>
      <c r="KZN349" s="50"/>
      <c r="KZO349" s="50"/>
      <c r="KZP349" s="50"/>
      <c r="KZQ349" s="50"/>
      <c r="KZR349" s="50"/>
      <c r="KZS349" s="50"/>
      <c r="KZT349" s="50"/>
      <c r="KZU349" s="50"/>
      <c r="KZV349" s="50"/>
      <c r="KZW349" s="50"/>
      <c r="KZX349" s="50"/>
      <c r="KZY349" s="50"/>
      <c r="KZZ349" s="50"/>
      <c r="LAA349" s="50"/>
      <c r="LAB349" s="50"/>
      <c r="LAC349" s="50"/>
      <c r="LAD349" s="50"/>
      <c r="LAE349" s="50"/>
      <c r="LAF349" s="50"/>
      <c r="LAG349" s="50"/>
      <c r="LAH349" s="50"/>
      <c r="LAI349" s="50"/>
      <c r="LAJ349" s="50"/>
      <c r="LAK349" s="50"/>
      <c r="LAL349" s="50"/>
      <c r="LAM349" s="50"/>
      <c r="LAN349" s="50"/>
      <c r="LAO349" s="50"/>
      <c r="LAP349" s="50"/>
      <c r="LAQ349" s="50"/>
      <c r="LAR349" s="50"/>
      <c r="LAS349" s="50"/>
      <c r="LAT349" s="50"/>
      <c r="LAU349" s="50"/>
      <c r="LAV349" s="50"/>
      <c r="LAW349" s="50"/>
      <c r="LAX349" s="50"/>
      <c r="LAY349" s="50"/>
      <c r="LAZ349" s="50"/>
      <c r="LBA349" s="50"/>
      <c r="LBB349" s="50"/>
      <c r="LBC349" s="50"/>
      <c r="LBD349" s="50"/>
      <c r="LBE349" s="50"/>
      <c r="LBF349" s="50"/>
      <c r="LBG349" s="50"/>
      <c r="LBH349" s="50"/>
      <c r="LBI349" s="50"/>
      <c r="LBJ349" s="50"/>
      <c r="LBK349" s="50"/>
      <c r="LBL349" s="50"/>
      <c r="LBM349" s="50"/>
      <c r="LBN349" s="50"/>
      <c r="LBO349" s="50"/>
      <c r="LBP349" s="50"/>
      <c r="LBQ349" s="50"/>
      <c r="LBR349" s="50"/>
      <c r="LBS349" s="50"/>
      <c r="LBT349" s="50"/>
      <c r="LBU349" s="50"/>
      <c r="LBV349" s="50"/>
      <c r="LBW349" s="50"/>
      <c r="LBX349" s="50"/>
      <c r="LBY349" s="50"/>
      <c r="LBZ349" s="50"/>
      <c r="LCA349" s="50"/>
      <c r="LCB349" s="50"/>
      <c r="LCC349" s="50"/>
      <c r="LCD349" s="50"/>
      <c r="LCE349" s="50"/>
      <c r="LCF349" s="50"/>
      <c r="LCG349" s="50"/>
      <c r="LCH349" s="50"/>
      <c r="LCI349" s="50"/>
      <c r="LCJ349" s="50"/>
      <c r="LCK349" s="50"/>
      <c r="LCL349" s="50"/>
      <c r="LCM349" s="50"/>
      <c r="LCN349" s="50"/>
      <c r="LCO349" s="50"/>
      <c r="LCP349" s="50"/>
      <c r="LCQ349" s="50"/>
      <c r="LCR349" s="50"/>
      <c r="LCS349" s="50"/>
      <c r="LCT349" s="50"/>
      <c r="LCU349" s="50"/>
      <c r="LCV349" s="50"/>
      <c r="LCW349" s="50"/>
      <c r="LCX349" s="50"/>
      <c r="LCY349" s="50"/>
      <c r="LCZ349" s="50"/>
      <c r="LDA349" s="50"/>
      <c r="LDB349" s="50"/>
      <c r="LDC349" s="50"/>
      <c r="LDD349" s="50"/>
      <c r="LDE349" s="50"/>
      <c r="LDF349" s="50"/>
      <c r="LDG349" s="50"/>
      <c r="LDH349" s="50"/>
      <c r="LDI349" s="50"/>
      <c r="LDJ349" s="50"/>
      <c r="LDK349" s="50"/>
      <c r="LDL349" s="50"/>
      <c r="LDM349" s="50"/>
      <c r="LDN349" s="50"/>
      <c r="LDO349" s="50"/>
      <c r="LDP349" s="50"/>
      <c r="LDQ349" s="50"/>
      <c r="LDR349" s="50"/>
      <c r="LDS349" s="50"/>
      <c r="LDT349" s="50"/>
      <c r="LDU349" s="50"/>
      <c r="LDV349" s="50"/>
      <c r="LDW349" s="50"/>
      <c r="LDX349" s="50"/>
      <c r="LDY349" s="50"/>
      <c r="LDZ349" s="50"/>
      <c r="LEA349" s="50"/>
      <c r="LEB349" s="50"/>
      <c r="LEC349" s="50"/>
      <c r="LED349" s="50"/>
      <c r="LEE349" s="50"/>
      <c r="LEF349" s="50"/>
      <c r="LEG349" s="50"/>
      <c r="LEH349" s="50"/>
      <c r="LEI349" s="50"/>
      <c r="LEJ349" s="50"/>
      <c r="LEK349" s="50"/>
      <c r="LEL349" s="50"/>
      <c r="LEM349" s="50"/>
      <c r="LEN349" s="50"/>
      <c r="LEO349" s="50"/>
      <c r="LEP349" s="50"/>
      <c r="LEQ349" s="50"/>
      <c r="LER349" s="50"/>
      <c r="LES349" s="50"/>
      <c r="LET349" s="50"/>
      <c r="LEU349" s="50"/>
      <c r="LEV349" s="50"/>
      <c r="LEW349" s="50"/>
      <c r="LEX349" s="50"/>
      <c r="LEY349" s="50"/>
      <c r="LEZ349" s="50"/>
      <c r="LFA349" s="50"/>
      <c r="LFB349" s="50"/>
      <c r="LFC349" s="50"/>
      <c r="LFD349" s="50"/>
      <c r="LFE349" s="50"/>
      <c r="LFF349" s="50"/>
      <c r="LFG349" s="50"/>
      <c r="LFH349" s="50"/>
      <c r="LFI349" s="50"/>
      <c r="LFJ349" s="50"/>
      <c r="LFK349" s="50"/>
      <c r="LFL349" s="50"/>
      <c r="LFM349" s="50"/>
      <c r="LFN349" s="50"/>
      <c r="LFO349" s="50"/>
      <c r="LFP349" s="50"/>
      <c r="LFQ349" s="50"/>
      <c r="LFR349" s="50"/>
      <c r="LFS349" s="50"/>
      <c r="LFT349" s="50"/>
      <c r="LFU349" s="50"/>
      <c r="LFV349" s="50"/>
      <c r="LFW349" s="50"/>
      <c r="LFX349" s="50"/>
      <c r="LFY349" s="50"/>
      <c r="LFZ349" s="50"/>
      <c r="LGA349" s="50"/>
      <c r="LGB349" s="50"/>
      <c r="LGC349" s="50"/>
      <c r="LGD349" s="50"/>
      <c r="LGE349" s="50"/>
      <c r="LGF349" s="50"/>
      <c r="LGG349" s="50"/>
      <c r="LGH349" s="50"/>
      <c r="LGI349" s="50"/>
      <c r="LGJ349" s="50"/>
      <c r="LGK349" s="50"/>
      <c r="LGL349" s="50"/>
      <c r="LGM349" s="50"/>
      <c r="LGN349" s="50"/>
      <c r="LGO349" s="50"/>
      <c r="LGP349" s="50"/>
      <c r="LGQ349" s="50"/>
      <c r="LGR349" s="50"/>
      <c r="LGS349" s="50"/>
      <c r="LGT349" s="50"/>
      <c r="LGU349" s="50"/>
      <c r="LGV349" s="50"/>
      <c r="LGW349" s="50"/>
      <c r="LGX349" s="50"/>
      <c r="LGY349" s="50"/>
      <c r="LGZ349" s="50"/>
      <c r="LHA349" s="50"/>
      <c r="LHB349" s="50"/>
      <c r="LHC349" s="50"/>
      <c r="LHD349" s="50"/>
      <c r="LHE349" s="50"/>
      <c r="LHF349" s="50"/>
      <c r="LHG349" s="50"/>
      <c r="LHH349" s="50"/>
      <c r="LHI349" s="50"/>
      <c r="LHJ349" s="50"/>
      <c r="LHK349" s="50"/>
      <c r="LHL349" s="50"/>
      <c r="LHM349" s="50"/>
      <c r="LHN349" s="50"/>
      <c r="LHO349" s="50"/>
      <c r="LHP349" s="50"/>
      <c r="LHQ349" s="50"/>
      <c r="LHR349" s="50"/>
      <c r="LHS349" s="50"/>
      <c r="LHT349" s="50"/>
      <c r="LHU349" s="50"/>
      <c r="LHV349" s="50"/>
      <c r="LHW349" s="50"/>
      <c r="LHX349" s="50"/>
      <c r="LHY349" s="50"/>
      <c r="LHZ349" s="50"/>
      <c r="LIA349" s="50"/>
      <c r="LIB349" s="50"/>
      <c r="LIC349" s="50"/>
      <c r="LID349" s="50"/>
      <c r="LIE349" s="50"/>
      <c r="LIF349" s="50"/>
      <c r="LIG349" s="50"/>
      <c r="LIH349" s="50"/>
      <c r="LII349" s="50"/>
      <c r="LIJ349" s="50"/>
      <c r="LIK349" s="50"/>
      <c r="LIL349" s="50"/>
      <c r="LIM349" s="50"/>
      <c r="LIN349" s="50"/>
      <c r="LIO349" s="50"/>
      <c r="LIP349" s="50"/>
      <c r="LIQ349" s="50"/>
      <c r="LIR349" s="50"/>
      <c r="LIS349" s="50"/>
      <c r="LIT349" s="50"/>
      <c r="LIU349" s="50"/>
      <c r="LIV349" s="50"/>
      <c r="LIW349" s="50"/>
      <c r="LIX349" s="50"/>
      <c r="LIY349" s="50"/>
      <c r="LIZ349" s="50"/>
      <c r="LJA349" s="50"/>
      <c r="LJB349" s="50"/>
      <c r="LJC349" s="50"/>
      <c r="LJD349" s="50"/>
      <c r="LJE349" s="50"/>
      <c r="LJF349" s="50"/>
      <c r="LJG349" s="50"/>
      <c r="LJH349" s="50"/>
      <c r="LJI349" s="50"/>
      <c r="LJJ349" s="50"/>
      <c r="LJK349" s="50"/>
      <c r="LJL349" s="50"/>
      <c r="LJM349" s="50"/>
      <c r="LJN349" s="50"/>
      <c r="LJO349" s="50"/>
      <c r="LJP349" s="50"/>
      <c r="LJQ349" s="50"/>
      <c r="LJR349" s="50"/>
      <c r="LJS349" s="50"/>
      <c r="LJT349" s="50"/>
      <c r="LJU349" s="50"/>
      <c r="LJV349" s="50"/>
      <c r="LJW349" s="50"/>
      <c r="LJX349" s="50"/>
      <c r="LJY349" s="50"/>
      <c r="LJZ349" s="50"/>
      <c r="LKA349" s="50"/>
      <c r="LKB349" s="50"/>
      <c r="LKC349" s="50"/>
      <c r="LKD349" s="50"/>
      <c r="LKE349" s="50"/>
      <c r="LKF349" s="50"/>
      <c r="LKG349" s="50"/>
      <c r="LKH349" s="50"/>
      <c r="LKI349" s="50"/>
      <c r="LKJ349" s="50"/>
      <c r="LKK349" s="50"/>
      <c r="LKL349" s="50"/>
      <c r="LKM349" s="50"/>
      <c r="LKN349" s="50"/>
      <c r="LKO349" s="50"/>
      <c r="LKP349" s="50"/>
      <c r="LKQ349" s="50"/>
      <c r="LKR349" s="50"/>
      <c r="LKS349" s="50"/>
      <c r="LKT349" s="50"/>
      <c r="LKU349" s="50"/>
      <c r="LKV349" s="50"/>
      <c r="LKW349" s="50"/>
      <c r="LKX349" s="50"/>
      <c r="LKY349" s="50"/>
      <c r="LKZ349" s="50"/>
      <c r="LLA349" s="50"/>
      <c r="LLB349" s="50"/>
      <c r="LLC349" s="50"/>
      <c r="LLD349" s="50"/>
      <c r="LLE349" s="50"/>
      <c r="LLF349" s="50"/>
      <c r="LLG349" s="50"/>
      <c r="LLH349" s="50"/>
      <c r="LLI349" s="50"/>
      <c r="LLJ349" s="50"/>
      <c r="LLK349" s="50"/>
      <c r="LLL349" s="50"/>
      <c r="LLM349" s="50"/>
      <c r="LLN349" s="50"/>
      <c r="LLO349" s="50"/>
      <c r="LLP349" s="50"/>
      <c r="LLQ349" s="50"/>
      <c r="LLR349" s="50"/>
      <c r="LLS349" s="50"/>
      <c r="LLT349" s="50"/>
      <c r="LLU349" s="50"/>
      <c r="LLV349" s="50"/>
      <c r="LLW349" s="50"/>
      <c r="LLX349" s="50"/>
      <c r="LLY349" s="50"/>
      <c r="LLZ349" s="50"/>
      <c r="LMA349" s="50"/>
      <c r="LMB349" s="50"/>
      <c r="LMC349" s="50"/>
      <c r="LMD349" s="50"/>
      <c r="LME349" s="50"/>
      <c r="LMF349" s="50"/>
      <c r="LMG349" s="50"/>
      <c r="LMH349" s="50"/>
      <c r="LMI349" s="50"/>
      <c r="LMJ349" s="50"/>
      <c r="LMK349" s="50"/>
      <c r="LML349" s="50"/>
      <c r="LMM349" s="50"/>
      <c r="LMN349" s="50"/>
      <c r="LMO349" s="50"/>
      <c r="LMP349" s="50"/>
      <c r="LMQ349" s="50"/>
      <c r="LMR349" s="50"/>
      <c r="LMS349" s="50"/>
      <c r="LMT349" s="50"/>
      <c r="LMU349" s="50"/>
      <c r="LMV349" s="50"/>
      <c r="LMW349" s="50"/>
      <c r="LMX349" s="50"/>
      <c r="LMY349" s="50"/>
      <c r="LMZ349" s="50"/>
      <c r="LNA349" s="50"/>
      <c r="LNB349" s="50"/>
      <c r="LNC349" s="50"/>
      <c r="LND349" s="50"/>
      <c r="LNE349" s="50"/>
      <c r="LNF349" s="50"/>
      <c r="LNG349" s="50"/>
      <c r="LNH349" s="50"/>
      <c r="LNI349" s="50"/>
      <c r="LNJ349" s="50"/>
      <c r="LNK349" s="50"/>
      <c r="LNL349" s="50"/>
      <c r="LNM349" s="50"/>
      <c r="LNN349" s="50"/>
      <c r="LNO349" s="50"/>
      <c r="LNP349" s="50"/>
      <c r="LNQ349" s="50"/>
      <c r="LNR349" s="50"/>
      <c r="LNS349" s="50"/>
      <c r="LNT349" s="50"/>
      <c r="LNU349" s="50"/>
      <c r="LNV349" s="50"/>
      <c r="LNW349" s="50"/>
      <c r="LNX349" s="50"/>
      <c r="LNY349" s="50"/>
      <c r="LNZ349" s="50"/>
      <c r="LOA349" s="50"/>
      <c r="LOB349" s="50"/>
      <c r="LOC349" s="50"/>
      <c r="LOD349" s="50"/>
      <c r="LOE349" s="50"/>
      <c r="LOF349" s="50"/>
      <c r="LOG349" s="50"/>
      <c r="LOH349" s="50"/>
      <c r="LOI349" s="50"/>
      <c r="LOJ349" s="50"/>
      <c r="LOK349" s="50"/>
      <c r="LOL349" s="50"/>
      <c r="LOM349" s="50"/>
      <c r="LON349" s="50"/>
      <c r="LOO349" s="50"/>
      <c r="LOP349" s="50"/>
      <c r="LOQ349" s="50"/>
      <c r="LOR349" s="50"/>
      <c r="LOS349" s="50"/>
      <c r="LOT349" s="50"/>
      <c r="LOU349" s="50"/>
      <c r="LOV349" s="50"/>
      <c r="LOW349" s="50"/>
      <c r="LOX349" s="50"/>
      <c r="LOY349" s="50"/>
      <c r="LOZ349" s="50"/>
      <c r="LPA349" s="50"/>
      <c r="LPB349" s="50"/>
      <c r="LPC349" s="50"/>
      <c r="LPD349" s="50"/>
      <c r="LPE349" s="50"/>
      <c r="LPF349" s="50"/>
      <c r="LPG349" s="50"/>
      <c r="LPH349" s="50"/>
      <c r="LPI349" s="50"/>
      <c r="LPJ349" s="50"/>
      <c r="LPK349" s="50"/>
      <c r="LPL349" s="50"/>
      <c r="LPM349" s="50"/>
      <c r="LPN349" s="50"/>
      <c r="LPO349" s="50"/>
      <c r="LPP349" s="50"/>
      <c r="LPQ349" s="50"/>
      <c r="LPR349" s="50"/>
      <c r="LPS349" s="50"/>
      <c r="LPT349" s="50"/>
      <c r="LPU349" s="50"/>
      <c r="LPV349" s="50"/>
      <c r="LPW349" s="50"/>
      <c r="LPX349" s="50"/>
      <c r="LPY349" s="50"/>
      <c r="LPZ349" s="50"/>
      <c r="LQA349" s="50"/>
      <c r="LQB349" s="50"/>
      <c r="LQC349" s="50"/>
      <c r="LQD349" s="50"/>
      <c r="LQE349" s="50"/>
      <c r="LQF349" s="50"/>
      <c r="LQG349" s="50"/>
      <c r="LQH349" s="50"/>
      <c r="LQI349" s="50"/>
      <c r="LQJ349" s="50"/>
      <c r="LQK349" s="50"/>
      <c r="LQL349" s="50"/>
      <c r="LQM349" s="50"/>
      <c r="LQN349" s="50"/>
      <c r="LQO349" s="50"/>
      <c r="LQP349" s="50"/>
      <c r="LQQ349" s="50"/>
      <c r="LQR349" s="50"/>
      <c r="LQS349" s="50"/>
      <c r="LQT349" s="50"/>
      <c r="LQU349" s="50"/>
      <c r="LQV349" s="50"/>
      <c r="LQW349" s="50"/>
      <c r="LQX349" s="50"/>
      <c r="LQY349" s="50"/>
      <c r="LQZ349" s="50"/>
      <c r="LRA349" s="50"/>
      <c r="LRB349" s="50"/>
      <c r="LRC349" s="50"/>
      <c r="LRD349" s="50"/>
      <c r="LRE349" s="50"/>
      <c r="LRF349" s="50"/>
      <c r="LRG349" s="50"/>
      <c r="LRH349" s="50"/>
      <c r="LRI349" s="50"/>
      <c r="LRJ349" s="50"/>
      <c r="LRK349" s="50"/>
      <c r="LRL349" s="50"/>
      <c r="LRM349" s="50"/>
      <c r="LRN349" s="50"/>
      <c r="LRO349" s="50"/>
      <c r="LRP349" s="50"/>
      <c r="LRQ349" s="50"/>
      <c r="LRR349" s="50"/>
      <c r="LRS349" s="50"/>
      <c r="LRT349" s="50"/>
      <c r="LRU349" s="50"/>
      <c r="LRV349" s="50"/>
      <c r="LRW349" s="50"/>
      <c r="LRX349" s="50"/>
      <c r="LRY349" s="50"/>
      <c r="LRZ349" s="50"/>
      <c r="LSA349" s="50"/>
      <c r="LSB349" s="50"/>
      <c r="LSC349" s="50"/>
      <c r="LSD349" s="50"/>
      <c r="LSE349" s="50"/>
      <c r="LSF349" s="50"/>
      <c r="LSG349" s="50"/>
      <c r="LSH349" s="50"/>
      <c r="LSI349" s="50"/>
      <c r="LSJ349" s="50"/>
      <c r="LSK349" s="50"/>
      <c r="LSL349" s="50"/>
      <c r="LSM349" s="50"/>
      <c r="LSN349" s="50"/>
      <c r="LSO349" s="50"/>
      <c r="LSP349" s="50"/>
      <c r="LSQ349" s="50"/>
      <c r="LSR349" s="50"/>
      <c r="LSS349" s="50"/>
      <c r="LST349" s="50"/>
      <c r="LSU349" s="50"/>
      <c r="LSV349" s="50"/>
      <c r="LSW349" s="50"/>
      <c r="LSX349" s="50"/>
      <c r="LSY349" s="50"/>
      <c r="LSZ349" s="50"/>
      <c r="LTA349" s="50"/>
      <c r="LTB349" s="50"/>
      <c r="LTC349" s="50"/>
      <c r="LTD349" s="50"/>
      <c r="LTE349" s="50"/>
      <c r="LTF349" s="50"/>
      <c r="LTG349" s="50"/>
      <c r="LTH349" s="50"/>
      <c r="LTI349" s="50"/>
      <c r="LTJ349" s="50"/>
      <c r="LTK349" s="50"/>
      <c r="LTL349" s="50"/>
      <c r="LTM349" s="50"/>
      <c r="LTN349" s="50"/>
      <c r="LTO349" s="50"/>
      <c r="LTP349" s="50"/>
      <c r="LTQ349" s="50"/>
      <c r="LTR349" s="50"/>
      <c r="LTS349" s="50"/>
      <c r="LTT349" s="50"/>
      <c r="LTU349" s="50"/>
      <c r="LTV349" s="50"/>
      <c r="LTW349" s="50"/>
      <c r="LTX349" s="50"/>
      <c r="LTY349" s="50"/>
      <c r="LTZ349" s="50"/>
      <c r="LUA349" s="50"/>
      <c r="LUB349" s="50"/>
      <c r="LUC349" s="50"/>
      <c r="LUD349" s="50"/>
      <c r="LUE349" s="50"/>
      <c r="LUF349" s="50"/>
      <c r="LUG349" s="50"/>
      <c r="LUH349" s="50"/>
      <c r="LUI349" s="50"/>
      <c r="LUJ349" s="50"/>
      <c r="LUK349" s="50"/>
      <c r="LUL349" s="50"/>
      <c r="LUM349" s="50"/>
      <c r="LUN349" s="50"/>
      <c r="LUO349" s="50"/>
      <c r="LUP349" s="50"/>
      <c r="LUQ349" s="50"/>
      <c r="LUR349" s="50"/>
      <c r="LUS349" s="50"/>
      <c r="LUT349" s="50"/>
      <c r="LUU349" s="50"/>
      <c r="LUV349" s="50"/>
      <c r="LUW349" s="50"/>
      <c r="LUX349" s="50"/>
      <c r="LUY349" s="50"/>
      <c r="LUZ349" s="50"/>
      <c r="LVA349" s="50"/>
      <c r="LVB349" s="50"/>
      <c r="LVC349" s="50"/>
      <c r="LVD349" s="50"/>
      <c r="LVE349" s="50"/>
      <c r="LVF349" s="50"/>
      <c r="LVG349" s="50"/>
      <c r="LVH349" s="50"/>
      <c r="LVI349" s="50"/>
      <c r="LVJ349" s="50"/>
      <c r="LVK349" s="50"/>
      <c r="LVL349" s="50"/>
      <c r="LVM349" s="50"/>
      <c r="LVN349" s="50"/>
      <c r="LVO349" s="50"/>
      <c r="LVP349" s="50"/>
      <c r="LVQ349" s="50"/>
      <c r="LVR349" s="50"/>
      <c r="LVS349" s="50"/>
      <c r="LVT349" s="50"/>
      <c r="LVU349" s="50"/>
      <c r="LVV349" s="50"/>
      <c r="LVW349" s="50"/>
      <c r="LVX349" s="50"/>
      <c r="LVY349" s="50"/>
      <c r="LVZ349" s="50"/>
      <c r="LWA349" s="50"/>
      <c r="LWB349" s="50"/>
      <c r="LWC349" s="50"/>
      <c r="LWD349" s="50"/>
      <c r="LWE349" s="50"/>
      <c r="LWF349" s="50"/>
      <c r="LWG349" s="50"/>
      <c r="LWH349" s="50"/>
      <c r="LWI349" s="50"/>
      <c r="LWJ349" s="50"/>
      <c r="LWK349" s="50"/>
      <c r="LWL349" s="50"/>
      <c r="LWM349" s="50"/>
      <c r="LWN349" s="50"/>
      <c r="LWO349" s="50"/>
      <c r="LWP349" s="50"/>
      <c r="LWQ349" s="50"/>
      <c r="LWR349" s="50"/>
      <c r="LWS349" s="50"/>
      <c r="LWT349" s="50"/>
      <c r="LWU349" s="50"/>
      <c r="LWV349" s="50"/>
      <c r="LWW349" s="50"/>
      <c r="LWX349" s="50"/>
      <c r="LWY349" s="50"/>
      <c r="LWZ349" s="50"/>
      <c r="LXA349" s="50"/>
      <c r="LXB349" s="50"/>
      <c r="LXC349" s="50"/>
      <c r="LXD349" s="50"/>
      <c r="LXE349" s="50"/>
      <c r="LXF349" s="50"/>
      <c r="LXG349" s="50"/>
      <c r="LXH349" s="50"/>
      <c r="LXI349" s="50"/>
      <c r="LXJ349" s="50"/>
      <c r="LXK349" s="50"/>
      <c r="LXL349" s="50"/>
      <c r="LXM349" s="50"/>
      <c r="LXN349" s="50"/>
      <c r="LXO349" s="50"/>
      <c r="LXP349" s="50"/>
      <c r="LXQ349" s="50"/>
      <c r="LXR349" s="50"/>
      <c r="LXS349" s="50"/>
      <c r="LXT349" s="50"/>
      <c r="LXU349" s="50"/>
      <c r="LXV349" s="50"/>
      <c r="LXW349" s="50"/>
      <c r="LXX349" s="50"/>
      <c r="LXY349" s="50"/>
      <c r="LXZ349" s="50"/>
      <c r="LYA349" s="50"/>
      <c r="LYB349" s="50"/>
      <c r="LYC349" s="50"/>
      <c r="LYD349" s="50"/>
      <c r="LYE349" s="50"/>
      <c r="LYF349" s="50"/>
      <c r="LYG349" s="50"/>
      <c r="LYH349" s="50"/>
      <c r="LYI349" s="50"/>
      <c r="LYJ349" s="50"/>
      <c r="LYK349" s="50"/>
      <c r="LYL349" s="50"/>
      <c r="LYM349" s="50"/>
      <c r="LYN349" s="50"/>
      <c r="LYO349" s="50"/>
      <c r="LYP349" s="50"/>
      <c r="LYQ349" s="50"/>
      <c r="LYR349" s="50"/>
      <c r="LYS349" s="50"/>
      <c r="LYT349" s="50"/>
      <c r="LYU349" s="50"/>
      <c r="LYV349" s="50"/>
      <c r="LYW349" s="50"/>
      <c r="LYX349" s="50"/>
      <c r="LYY349" s="50"/>
      <c r="LYZ349" s="50"/>
      <c r="LZA349" s="50"/>
      <c r="LZB349" s="50"/>
      <c r="LZC349" s="50"/>
      <c r="LZD349" s="50"/>
      <c r="LZE349" s="50"/>
      <c r="LZF349" s="50"/>
      <c r="LZG349" s="50"/>
      <c r="LZH349" s="50"/>
      <c r="LZI349" s="50"/>
      <c r="LZJ349" s="50"/>
      <c r="LZK349" s="50"/>
      <c r="LZL349" s="50"/>
      <c r="LZM349" s="50"/>
      <c r="LZN349" s="50"/>
      <c r="LZO349" s="50"/>
      <c r="LZP349" s="50"/>
      <c r="LZQ349" s="50"/>
      <c r="LZR349" s="50"/>
      <c r="LZS349" s="50"/>
      <c r="LZT349" s="50"/>
      <c r="LZU349" s="50"/>
      <c r="LZV349" s="50"/>
      <c r="LZW349" s="50"/>
      <c r="LZX349" s="50"/>
      <c r="LZY349" s="50"/>
      <c r="LZZ349" s="50"/>
      <c r="MAA349" s="50"/>
      <c r="MAB349" s="50"/>
      <c r="MAC349" s="50"/>
      <c r="MAD349" s="50"/>
      <c r="MAE349" s="50"/>
      <c r="MAF349" s="50"/>
      <c r="MAG349" s="50"/>
      <c r="MAH349" s="50"/>
      <c r="MAI349" s="50"/>
      <c r="MAJ349" s="50"/>
      <c r="MAK349" s="50"/>
      <c r="MAL349" s="50"/>
      <c r="MAM349" s="50"/>
      <c r="MAN349" s="50"/>
      <c r="MAO349" s="50"/>
      <c r="MAP349" s="50"/>
      <c r="MAQ349" s="50"/>
      <c r="MAR349" s="50"/>
      <c r="MAS349" s="50"/>
      <c r="MAT349" s="50"/>
      <c r="MAU349" s="50"/>
      <c r="MAV349" s="50"/>
      <c r="MAW349" s="50"/>
      <c r="MAX349" s="50"/>
      <c r="MAY349" s="50"/>
      <c r="MAZ349" s="50"/>
      <c r="MBA349" s="50"/>
      <c r="MBB349" s="50"/>
      <c r="MBC349" s="50"/>
      <c r="MBD349" s="50"/>
      <c r="MBE349" s="50"/>
      <c r="MBF349" s="50"/>
      <c r="MBG349" s="50"/>
      <c r="MBH349" s="50"/>
      <c r="MBI349" s="50"/>
      <c r="MBJ349" s="50"/>
      <c r="MBK349" s="50"/>
      <c r="MBL349" s="50"/>
      <c r="MBM349" s="50"/>
      <c r="MBN349" s="50"/>
      <c r="MBO349" s="50"/>
      <c r="MBP349" s="50"/>
      <c r="MBQ349" s="50"/>
      <c r="MBR349" s="50"/>
      <c r="MBS349" s="50"/>
      <c r="MBT349" s="50"/>
      <c r="MBU349" s="50"/>
      <c r="MBV349" s="50"/>
      <c r="MBW349" s="50"/>
      <c r="MBX349" s="50"/>
      <c r="MBY349" s="50"/>
      <c r="MBZ349" s="50"/>
      <c r="MCA349" s="50"/>
      <c r="MCB349" s="50"/>
      <c r="MCC349" s="50"/>
      <c r="MCD349" s="50"/>
      <c r="MCE349" s="50"/>
      <c r="MCF349" s="50"/>
      <c r="MCG349" s="50"/>
      <c r="MCH349" s="50"/>
      <c r="MCI349" s="50"/>
      <c r="MCJ349" s="50"/>
      <c r="MCK349" s="50"/>
      <c r="MCL349" s="50"/>
      <c r="MCM349" s="50"/>
      <c r="MCN349" s="50"/>
      <c r="MCO349" s="50"/>
      <c r="MCP349" s="50"/>
      <c r="MCQ349" s="50"/>
      <c r="MCR349" s="50"/>
      <c r="MCS349" s="50"/>
      <c r="MCT349" s="50"/>
      <c r="MCU349" s="50"/>
      <c r="MCV349" s="50"/>
      <c r="MCW349" s="50"/>
      <c r="MCX349" s="50"/>
      <c r="MCY349" s="50"/>
      <c r="MCZ349" s="50"/>
      <c r="MDA349" s="50"/>
      <c r="MDB349" s="50"/>
      <c r="MDC349" s="50"/>
      <c r="MDD349" s="50"/>
      <c r="MDE349" s="50"/>
      <c r="MDF349" s="50"/>
      <c r="MDG349" s="50"/>
      <c r="MDH349" s="50"/>
      <c r="MDI349" s="50"/>
      <c r="MDJ349" s="50"/>
      <c r="MDK349" s="50"/>
      <c r="MDL349" s="50"/>
      <c r="MDM349" s="50"/>
      <c r="MDN349" s="50"/>
      <c r="MDO349" s="50"/>
      <c r="MDP349" s="50"/>
      <c r="MDQ349" s="50"/>
      <c r="MDR349" s="50"/>
      <c r="MDS349" s="50"/>
      <c r="MDT349" s="50"/>
      <c r="MDU349" s="50"/>
      <c r="MDV349" s="50"/>
      <c r="MDW349" s="50"/>
      <c r="MDX349" s="50"/>
      <c r="MDY349" s="50"/>
      <c r="MDZ349" s="50"/>
      <c r="MEA349" s="50"/>
      <c r="MEB349" s="50"/>
      <c r="MEC349" s="50"/>
      <c r="MED349" s="50"/>
      <c r="MEE349" s="50"/>
      <c r="MEF349" s="50"/>
      <c r="MEG349" s="50"/>
      <c r="MEH349" s="50"/>
      <c r="MEI349" s="50"/>
      <c r="MEJ349" s="50"/>
      <c r="MEK349" s="50"/>
      <c r="MEL349" s="50"/>
      <c r="MEM349" s="50"/>
      <c r="MEN349" s="50"/>
      <c r="MEO349" s="50"/>
      <c r="MEP349" s="50"/>
      <c r="MEQ349" s="50"/>
      <c r="MER349" s="50"/>
      <c r="MES349" s="50"/>
      <c r="MET349" s="50"/>
      <c r="MEU349" s="50"/>
      <c r="MEV349" s="50"/>
      <c r="MEW349" s="50"/>
      <c r="MEX349" s="50"/>
      <c r="MEY349" s="50"/>
      <c r="MEZ349" s="50"/>
      <c r="MFA349" s="50"/>
      <c r="MFB349" s="50"/>
      <c r="MFC349" s="50"/>
      <c r="MFD349" s="50"/>
      <c r="MFE349" s="50"/>
      <c r="MFF349" s="50"/>
      <c r="MFG349" s="50"/>
      <c r="MFH349" s="50"/>
      <c r="MFI349" s="50"/>
      <c r="MFJ349" s="50"/>
      <c r="MFK349" s="50"/>
      <c r="MFL349" s="50"/>
      <c r="MFM349" s="50"/>
      <c r="MFN349" s="50"/>
      <c r="MFO349" s="50"/>
      <c r="MFP349" s="50"/>
      <c r="MFQ349" s="50"/>
      <c r="MFR349" s="50"/>
      <c r="MFS349" s="50"/>
      <c r="MFT349" s="50"/>
      <c r="MFU349" s="50"/>
      <c r="MFV349" s="50"/>
      <c r="MFW349" s="50"/>
      <c r="MFX349" s="50"/>
      <c r="MFY349" s="50"/>
      <c r="MFZ349" s="50"/>
      <c r="MGA349" s="50"/>
      <c r="MGB349" s="50"/>
      <c r="MGC349" s="50"/>
      <c r="MGD349" s="50"/>
      <c r="MGE349" s="50"/>
      <c r="MGF349" s="50"/>
      <c r="MGG349" s="50"/>
      <c r="MGH349" s="50"/>
      <c r="MGI349" s="50"/>
      <c r="MGJ349" s="50"/>
      <c r="MGK349" s="50"/>
      <c r="MGL349" s="50"/>
      <c r="MGM349" s="50"/>
      <c r="MGN349" s="50"/>
      <c r="MGO349" s="50"/>
      <c r="MGP349" s="50"/>
      <c r="MGQ349" s="50"/>
      <c r="MGR349" s="50"/>
      <c r="MGS349" s="50"/>
      <c r="MGT349" s="50"/>
      <c r="MGU349" s="50"/>
      <c r="MGV349" s="50"/>
      <c r="MGW349" s="50"/>
      <c r="MGX349" s="50"/>
      <c r="MGY349" s="50"/>
      <c r="MGZ349" s="50"/>
      <c r="MHA349" s="50"/>
      <c r="MHB349" s="50"/>
      <c r="MHC349" s="50"/>
      <c r="MHD349" s="50"/>
      <c r="MHE349" s="50"/>
      <c r="MHF349" s="50"/>
      <c r="MHG349" s="50"/>
      <c r="MHH349" s="50"/>
      <c r="MHI349" s="50"/>
      <c r="MHJ349" s="50"/>
      <c r="MHK349" s="50"/>
      <c r="MHL349" s="50"/>
      <c r="MHM349" s="50"/>
      <c r="MHN349" s="50"/>
      <c r="MHO349" s="50"/>
      <c r="MHP349" s="50"/>
      <c r="MHQ349" s="50"/>
      <c r="MHR349" s="50"/>
      <c r="MHS349" s="50"/>
      <c r="MHT349" s="50"/>
      <c r="MHU349" s="50"/>
      <c r="MHV349" s="50"/>
      <c r="MHW349" s="50"/>
      <c r="MHX349" s="50"/>
      <c r="MHY349" s="50"/>
      <c r="MHZ349" s="50"/>
      <c r="MIA349" s="50"/>
      <c r="MIB349" s="50"/>
      <c r="MIC349" s="50"/>
      <c r="MID349" s="50"/>
      <c r="MIE349" s="50"/>
      <c r="MIF349" s="50"/>
      <c r="MIG349" s="50"/>
      <c r="MIH349" s="50"/>
      <c r="MII349" s="50"/>
      <c r="MIJ349" s="50"/>
      <c r="MIK349" s="50"/>
      <c r="MIL349" s="50"/>
      <c r="MIM349" s="50"/>
      <c r="MIN349" s="50"/>
      <c r="MIO349" s="50"/>
      <c r="MIP349" s="50"/>
      <c r="MIQ349" s="50"/>
      <c r="MIR349" s="50"/>
      <c r="MIS349" s="50"/>
      <c r="MIT349" s="50"/>
      <c r="MIU349" s="50"/>
      <c r="MIV349" s="50"/>
      <c r="MIW349" s="50"/>
      <c r="MIX349" s="50"/>
      <c r="MIY349" s="50"/>
      <c r="MIZ349" s="50"/>
      <c r="MJA349" s="50"/>
      <c r="MJB349" s="50"/>
      <c r="MJC349" s="50"/>
      <c r="MJD349" s="50"/>
      <c r="MJE349" s="50"/>
      <c r="MJF349" s="50"/>
      <c r="MJG349" s="50"/>
      <c r="MJH349" s="50"/>
      <c r="MJI349" s="50"/>
      <c r="MJJ349" s="50"/>
      <c r="MJK349" s="50"/>
      <c r="MJL349" s="50"/>
      <c r="MJM349" s="50"/>
      <c r="MJN349" s="50"/>
      <c r="MJO349" s="50"/>
      <c r="MJP349" s="50"/>
      <c r="MJQ349" s="50"/>
      <c r="MJR349" s="50"/>
      <c r="MJS349" s="50"/>
      <c r="MJT349" s="50"/>
      <c r="MJU349" s="50"/>
      <c r="MJV349" s="50"/>
      <c r="MJW349" s="50"/>
      <c r="MJX349" s="50"/>
      <c r="MJY349" s="50"/>
      <c r="MJZ349" s="50"/>
      <c r="MKA349" s="50"/>
      <c r="MKB349" s="50"/>
      <c r="MKC349" s="50"/>
      <c r="MKD349" s="50"/>
      <c r="MKE349" s="50"/>
      <c r="MKF349" s="50"/>
      <c r="MKG349" s="50"/>
      <c r="MKH349" s="50"/>
      <c r="MKI349" s="50"/>
      <c r="MKJ349" s="50"/>
      <c r="MKK349" s="50"/>
      <c r="MKL349" s="50"/>
      <c r="MKM349" s="50"/>
      <c r="MKN349" s="50"/>
      <c r="MKO349" s="50"/>
      <c r="MKP349" s="50"/>
      <c r="MKQ349" s="50"/>
      <c r="MKR349" s="50"/>
      <c r="MKS349" s="50"/>
      <c r="MKT349" s="50"/>
      <c r="MKU349" s="50"/>
      <c r="MKV349" s="50"/>
      <c r="MKW349" s="50"/>
      <c r="MKX349" s="50"/>
      <c r="MKY349" s="50"/>
      <c r="MKZ349" s="50"/>
      <c r="MLA349" s="50"/>
      <c r="MLB349" s="50"/>
      <c r="MLC349" s="50"/>
      <c r="MLD349" s="50"/>
      <c r="MLE349" s="50"/>
      <c r="MLF349" s="50"/>
      <c r="MLG349" s="50"/>
      <c r="MLH349" s="50"/>
      <c r="MLI349" s="50"/>
      <c r="MLJ349" s="50"/>
      <c r="MLK349" s="50"/>
      <c r="MLL349" s="50"/>
      <c r="MLM349" s="50"/>
      <c r="MLN349" s="50"/>
      <c r="MLO349" s="50"/>
      <c r="MLP349" s="50"/>
      <c r="MLQ349" s="50"/>
      <c r="MLR349" s="50"/>
      <c r="MLS349" s="50"/>
      <c r="MLT349" s="50"/>
      <c r="MLU349" s="50"/>
      <c r="MLV349" s="50"/>
      <c r="MLW349" s="50"/>
      <c r="MLX349" s="50"/>
      <c r="MLY349" s="50"/>
      <c r="MLZ349" s="50"/>
      <c r="MMA349" s="50"/>
      <c r="MMB349" s="50"/>
      <c r="MMC349" s="50"/>
      <c r="MMD349" s="50"/>
      <c r="MME349" s="50"/>
      <c r="MMF349" s="50"/>
      <c r="MMG349" s="50"/>
      <c r="MMH349" s="50"/>
      <c r="MMI349" s="50"/>
      <c r="MMJ349" s="50"/>
      <c r="MMK349" s="50"/>
      <c r="MML349" s="50"/>
      <c r="MMM349" s="50"/>
      <c r="MMN349" s="50"/>
      <c r="MMO349" s="50"/>
      <c r="MMP349" s="50"/>
      <c r="MMQ349" s="50"/>
      <c r="MMR349" s="50"/>
      <c r="MMS349" s="50"/>
      <c r="MMT349" s="50"/>
      <c r="MMU349" s="50"/>
      <c r="MMV349" s="50"/>
      <c r="MMW349" s="50"/>
      <c r="MMX349" s="50"/>
      <c r="MMY349" s="50"/>
      <c r="MMZ349" s="50"/>
      <c r="MNA349" s="50"/>
      <c r="MNB349" s="50"/>
      <c r="MNC349" s="50"/>
      <c r="MND349" s="50"/>
      <c r="MNE349" s="50"/>
      <c r="MNF349" s="50"/>
      <c r="MNG349" s="50"/>
      <c r="MNH349" s="50"/>
      <c r="MNI349" s="50"/>
      <c r="MNJ349" s="50"/>
      <c r="MNK349" s="50"/>
      <c r="MNL349" s="50"/>
      <c r="MNM349" s="50"/>
      <c r="MNN349" s="50"/>
      <c r="MNO349" s="50"/>
      <c r="MNP349" s="50"/>
      <c r="MNQ349" s="50"/>
      <c r="MNR349" s="50"/>
      <c r="MNS349" s="50"/>
      <c r="MNT349" s="50"/>
      <c r="MNU349" s="50"/>
      <c r="MNV349" s="50"/>
      <c r="MNW349" s="50"/>
      <c r="MNX349" s="50"/>
      <c r="MNY349" s="50"/>
      <c r="MNZ349" s="50"/>
      <c r="MOA349" s="50"/>
      <c r="MOB349" s="50"/>
      <c r="MOC349" s="50"/>
      <c r="MOD349" s="50"/>
      <c r="MOE349" s="50"/>
      <c r="MOF349" s="50"/>
      <c r="MOG349" s="50"/>
      <c r="MOH349" s="50"/>
      <c r="MOI349" s="50"/>
      <c r="MOJ349" s="50"/>
      <c r="MOK349" s="50"/>
      <c r="MOL349" s="50"/>
      <c r="MOM349" s="50"/>
      <c r="MON349" s="50"/>
      <c r="MOO349" s="50"/>
      <c r="MOP349" s="50"/>
      <c r="MOQ349" s="50"/>
      <c r="MOR349" s="50"/>
      <c r="MOS349" s="50"/>
      <c r="MOT349" s="50"/>
      <c r="MOU349" s="50"/>
      <c r="MOV349" s="50"/>
      <c r="MOW349" s="50"/>
      <c r="MOX349" s="50"/>
      <c r="MOY349" s="50"/>
      <c r="MOZ349" s="50"/>
      <c r="MPA349" s="50"/>
      <c r="MPB349" s="50"/>
      <c r="MPC349" s="50"/>
      <c r="MPD349" s="50"/>
      <c r="MPE349" s="50"/>
      <c r="MPF349" s="50"/>
      <c r="MPG349" s="50"/>
      <c r="MPH349" s="50"/>
      <c r="MPI349" s="50"/>
      <c r="MPJ349" s="50"/>
      <c r="MPK349" s="50"/>
      <c r="MPL349" s="50"/>
      <c r="MPM349" s="50"/>
      <c r="MPN349" s="50"/>
      <c r="MPO349" s="50"/>
      <c r="MPP349" s="50"/>
      <c r="MPQ349" s="50"/>
      <c r="MPR349" s="50"/>
      <c r="MPS349" s="50"/>
      <c r="MPT349" s="50"/>
      <c r="MPU349" s="50"/>
      <c r="MPV349" s="50"/>
      <c r="MPW349" s="50"/>
      <c r="MPX349" s="50"/>
      <c r="MPY349" s="50"/>
      <c r="MPZ349" s="50"/>
      <c r="MQA349" s="50"/>
      <c r="MQB349" s="50"/>
      <c r="MQC349" s="50"/>
      <c r="MQD349" s="50"/>
      <c r="MQE349" s="50"/>
      <c r="MQF349" s="50"/>
      <c r="MQG349" s="50"/>
      <c r="MQH349" s="50"/>
      <c r="MQI349" s="50"/>
      <c r="MQJ349" s="50"/>
      <c r="MQK349" s="50"/>
      <c r="MQL349" s="50"/>
      <c r="MQM349" s="50"/>
      <c r="MQN349" s="50"/>
      <c r="MQO349" s="50"/>
      <c r="MQP349" s="50"/>
      <c r="MQQ349" s="50"/>
      <c r="MQR349" s="50"/>
      <c r="MQS349" s="50"/>
      <c r="MQT349" s="50"/>
      <c r="MQU349" s="50"/>
      <c r="MQV349" s="50"/>
      <c r="MQW349" s="50"/>
      <c r="MQX349" s="50"/>
      <c r="MQY349" s="50"/>
      <c r="MQZ349" s="50"/>
      <c r="MRA349" s="50"/>
      <c r="MRB349" s="50"/>
      <c r="MRC349" s="50"/>
      <c r="MRD349" s="50"/>
      <c r="MRE349" s="50"/>
      <c r="MRF349" s="50"/>
      <c r="MRG349" s="50"/>
      <c r="MRH349" s="50"/>
      <c r="MRI349" s="50"/>
      <c r="MRJ349" s="50"/>
      <c r="MRK349" s="50"/>
      <c r="MRL349" s="50"/>
      <c r="MRM349" s="50"/>
      <c r="MRN349" s="50"/>
      <c r="MRO349" s="50"/>
      <c r="MRP349" s="50"/>
      <c r="MRQ349" s="50"/>
      <c r="MRR349" s="50"/>
      <c r="MRS349" s="50"/>
      <c r="MRT349" s="50"/>
      <c r="MRU349" s="50"/>
      <c r="MRV349" s="50"/>
      <c r="MRW349" s="50"/>
      <c r="MRX349" s="50"/>
      <c r="MRY349" s="50"/>
      <c r="MRZ349" s="50"/>
      <c r="MSA349" s="50"/>
      <c r="MSB349" s="50"/>
      <c r="MSC349" s="50"/>
      <c r="MSD349" s="50"/>
      <c r="MSE349" s="50"/>
      <c r="MSF349" s="50"/>
      <c r="MSG349" s="50"/>
      <c r="MSH349" s="50"/>
      <c r="MSI349" s="50"/>
      <c r="MSJ349" s="50"/>
      <c r="MSK349" s="50"/>
      <c r="MSL349" s="50"/>
      <c r="MSM349" s="50"/>
      <c r="MSN349" s="50"/>
      <c r="MSO349" s="50"/>
      <c r="MSP349" s="50"/>
      <c r="MSQ349" s="50"/>
      <c r="MSR349" s="50"/>
      <c r="MSS349" s="50"/>
      <c r="MST349" s="50"/>
      <c r="MSU349" s="50"/>
      <c r="MSV349" s="50"/>
      <c r="MSW349" s="50"/>
      <c r="MSX349" s="50"/>
      <c r="MSY349" s="50"/>
      <c r="MSZ349" s="50"/>
      <c r="MTA349" s="50"/>
      <c r="MTB349" s="50"/>
      <c r="MTC349" s="50"/>
      <c r="MTD349" s="50"/>
      <c r="MTE349" s="50"/>
      <c r="MTF349" s="50"/>
      <c r="MTG349" s="50"/>
      <c r="MTH349" s="50"/>
      <c r="MTI349" s="50"/>
      <c r="MTJ349" s="50"/>
      <c r="MTK349" s="50"/>
      <c r="MTL349" s="50"/>
      <c r="MTM349" s="50"/>
      <c r="MTN349" s="50"/>
      <c r="MTO349" s="50"/>
      <c r="MTP349" s="50"/>
      <c r="MTQ349" s="50"/>
      <c r="MTR349" s="50"/>
      <c r="MTS349" s="50"/>
      <c r="MTT349" s="50"/>
      <c r="MTU349" s="50"/>
      <c r="MTV349" s="50"/>
      <c r="MTW349" s="50"/>
      <c r="MTX349" s="50"/>
      <c r="MTY349" s="50"/>
      <c r="MTZ349" s="50"/>
      <c r="MUA349" s="50"/>
      <c r="MUB349" s="50"/>
      <c r="MUC349" s="50"/>
      <c r="MUD349" s="50"/>
      <c r="MUE349" s="50"/>
      <c r="MUF349" s="50"/>
      <c r="MUG349" s="50"/>
      <c r="MUH349" s="50"/>
      <c r="MUI349" s="50"/>
      <c r="MUJ349" s="50"/>
      <c r="MUK349" s="50"/>
      <c r="MUL349" s="50"/>
      <c r="MUM349" s="50"/>
      <c r="MUN349" s="50"/>
      <c r="MUO349" s="50"/>
      <c r="MUP349" s="50"/>
      <c r="MUQ349" s="50"/>
      <c r="MUR349" s="50"/>
      <c r="MUS349" s="50"/>
      <c r="MUT349" s="50"/>
      <c r="MUU349" s="50"/>
      <c r="MUV349" s="50"/>
      <c r="MUW349" s="50"/>
      <c r="MUX349" s="50"/>
      <c r="MUY349" s="50"/>
      <c r="MUZ349" s="50"/>
      <c r="MVA349" s="50"/>
      <c r="MVB349" s="50"/>
      <c r="MVC349" s="50"/>
      <c r="MVD349" s="50"/>
      <c r="MVE349" s="50"/>
      <c r="MVF349" s="50"/>
      <c r="MVG349" s="50"/>
      <c r="MVH349" s="50"/>
      <c r="MVI349" s="50"/>
      <c r="MVJ349" s="50"/>
      <c r="MVK349" s="50"/>
      <c r="MVL349" s="50"/>
      <c r="MVM349" s="50"/>
      <c r="MVN349" s="50"/>
      <c r="MVO349" s="50"/>
      <c r="MVP349" s="50"/>
      <c r="MVQ349" s="50"/>
      <c r="MVR349" s="50"/>
      <c r="MVS349" s="50"/>
      <c r="MVT349" s="50"/>
      <c r="MVU349" s="50"/>
      <c r="MVV349" s="50"/>
      <c r="MVW349" s="50"/>
      <c r="MVX349" s="50"/>
      <c r="MVY349" s="50"/>
      <c r="MVZ349" s="50"/>
      <c r="MWA349" s="50"/>
      <c r="MWB349" s="50"/>
      <c r="MWC349" s="50"/>
      <c r="MWD349" s="50"/>
      <c r="MWE349" s="50"/>
      <c r="MWF349" s="50"/>
      <c r="MWG349" s="50"/>
      <c r="MWH349" s="50"/>
      <c r="MWI349" s="50"/>
      <c r="MWJ349" s="50"/>
      <c r="MWK349" s="50"/>
      <c r="MWL349" s="50"/>
      <c r="MWM349" s="50"/>
      <c r="MWN349" s="50"/>
      <c r="MWO349" s="50"/>
      <c r="MWP349" s="50"/>
      <c r="MWQ349" s="50"/>
      <c r="MWR349" s="50"/>
      <c r="MWS349" s="50"/>
      <c r="MWT349" s="50"/>
      <c r="MWU349" s="50"/>
      <c r="MWV349" s="50"/>
      <c r="MWW349" s="50"/>
      <c r="MWX349" s="50"/>
      <c r="MWY349" s="50"/>
      <c r="MWZ349" s="50"/>
      <c r="MXA349" s="50"/>
      <c r="MXB349" s="50"/>
      <c r="MXC349" s="50"/>
      <c r="MXD349" s="50"/>
      <c r="MXE349" s="50"/>
      <c r="MXF349" s="50"/>
      <c r="MXG349" s="50"/>
      <c r="MXH349" s="50"/>
      <c r="MXI349" s="50"/>
      <c r="MXJ349" s="50"/>
      <c r="MXK349" s="50"/>
      <c r="MXL349" s="50"/>
      <c r="MXM349" s="50"/>
      <c r="MXN349" s="50"/>
      <c r="MXO349" s="50"/>
      <c r="MXP349" s="50"/>
      <c r="MXQ349" s="50"/>
      <c r="MXR349" s="50"/>
      <c r="MXS349" s="50"/>
      <c r="MXT349" s="50"/>
      <c r="MXU349" s="50"/>
      <c r="MXV349" s="50"/>
      <c r="MXW349" s="50"/>
      <c r="MXX349" s="50"/>
      <c r="MXY349" s="50"/>
      <c r="MXZ349" s="50"/>
      <c r="MYA349" s="50"/>
      <c r="MYB349" s="50"/>
      <c r="MYC349" s="50"/>
      <c r="MYD349" s="50"/>
      <c r="MYE349" s="50"/>
      <c r="MYF349" s="50"/>
      <c r="MYG349" s="50"/>
      <c r="MYH349" s="50"/>
      <c r="MYI349" s="50"/>
      <c r="MYJ349" s="50"/>
      <c r="MYK349" s="50"/>
      <c r="MYL349" s="50"/>
      <c r="MYM349" s="50"/>
      <c r="MYN349" s="50"/>
      <c r="MYO349" s="50"/>
      <c r="MYP349" s="50"/>
      <c r="MYQ349" s="50"/>
      <c r="MYR349" s="50"/>
      <c r="MYS349" s="50"/>
      <c r="MYT349" s="50"/>
      <c r="MYU349" s="50"/>
      <c r="MYV349" s="50"/>
      <c r="MYW349" s="50"/>
      <c r="MYX349" s="50"/>
      <c r="MYY349" s="50"/>
      <c r="MYZ349" s="50"/>
      <c r="MZA349" s="50"/>
      <c r="MZB349" s="50"/>
      <c r="MZC349" s="50"/>
      <c r="MZD349" s="50"/>
      <c r="MZE349" s="50"/>
      <c r="MZF349" s="50"/>
      <c r="MZG349" s="50"/>
      <c r="MZH349" s="50"/>
      <c r="MZI349" s="50"/>
      <c r="MZJ349" s="50"/>
      <c r="MZK349" s="50"/>
      <c r="MZL349" s="50"/>
      <c r="MZM349" s="50"/>
      <c r="MZN349" s="50"/>
      <c r="MZO349" s="50"/>
      <c r="MZP349" s="50"/>
      <c r="MZQ349" s="50"/>
      <c r="MZR349" s="50"/>
      <c r="MZS349" s="50"/>
      <c r="MZT349" s="50"/>
      <c r="MZU349" s="50"/>
      <c r="MZV349" s="50"/>
      <c r="MZW349" s="50"/>
      <c r="MZX349" s="50"/>
      <c r="MZY349" s="50"/>
      <c r="MZZ349" s="50"/>
      <c r="NAA349" s="50"/>
      <c r="NAB349" s="50"/>
      <c r="NAC349" s="50"/>
      <c r="NAD349" s="50"/>
      <c r="NAE349" s="50"/>
      <c r="NAF349" s="50"/>
      <c r="NAG349" s="50"/>
      <c r="NAH349" s="50"/>
      <c r="NAI349" s="50"/>
      <c r="NAJ349" s="50"/>
      <c r="NAK349" s="50"/>
      <c r="NAL349" s="50"/>
      <c r="NAM349" s="50"/>
      <c r="NAN349" s="50"/>
      <c r="NAO349" s="50"/>
      <c r="NAP349" s="50"/>
      <c r="NAQ349" s="50"/>
      <c r="NAR349" s="50"/>
      <c r="NAS349" s="50"/>
      <c r="NAT349" s="50"/>
      <c r="NAU349" s="50"/>
      <c r="NAV349" s="50"/>
      <c r="NAW349" s="50"/>
      <c r="NAX349" s="50"/>
      <c r="NAY349" s="50"/>
      <c r="NAZ349" s="50"/>
      <c r="NBA349" s="50"/>
      <c r="NBB349" s="50"/>
      <c r="NBC349" s="50"/>
      <c r="NBD349" s="50"/>
      <c r="NBE349" s="50"/>
      <c r="NBF349" s="50"/>
      <c r="NBG349" s="50"/>
      <c r="NBH349" s="50"/>
      <c r="NBI349" s="50"/>
      <c r="NBJ349" s="50"/>
      <c r="NBK349" s="50"/>
      <c r="NBL349" s="50"/>
      <c r="NBM349" s="50"/>
      <c r="NBN349" s="50"/>
      <c r="NBO349" s="50"/>
      <c r="NBP349" s="50"/>
      <c r="NBQ349" s="50"/>
      <c r="NBR349" s="50"/>
      <c r="NBS349" s="50"/>
      <c r="NBT349" s="50"/>
      <c r="NBU349" s="50"/>
      <c r="NBV349" s="50"/>
      <c r="NBW349" s="50"/>
      <c r="NBX349" s="50"/>
      <c r="NBY349" s="50"/>
      <c r="NBZ349" s="50"/>
      <c r="NCA349" s="50"/>
      <c r="NCB349" s="50"/>
      <c r="NCC349" s="50"/>
      <c r="NCD349" s="50"/>
      <c r="NCE349" s="50"/>
      <c r="NCF349" s="50"/>
      <c r="NCG349" s="50"/>
      <c r="NCH349" s="50"/>
      <c r="NCI349" s="50"/>
      <c r="NCJ349" s="50"/>
      <c r="NCK349" s="50"/>
      <c r="NCL349" s="50"/>
      <c r="NCM349" s="50"/>
      <c r="NCN349" s="50"/>
      <c r="NCO349" s="50"/>
      <c r="NCP349" s="50"/>
      <c r="NCQ349" s="50"/>
      <c r="NCR349" s="50"/>
      <c r="NCS349" s="50"/>
      <c r="NCT349" s="50"/>
      <c r="NCU349" s="50"/>
      <c r="NCV349" s="50"/>
      <c r="NCW349" s="50"/>
      <c r="NCX349" s="50"/>
      <c r="NCY349" s="50"/>
      <c r="NCZ349" s="50"/>
      <c r="NDA349" s="50"/>
      <c r="NDB349" s="50"/>
      <c r="NDC349" s="50"/>
      <c r="NDD349" s="50"/>
      <c r="NDE349" s="50"/>
      <c r="NDF349" s="50"/>
      <c r="NDG349" s="50"/>
      <c r="NDH349" s="50"/>
      <c r="NDI349" s="50"/>
      <c r="NDJ349" s="50"/>
      <c r="NDK349" s="50"/>
      <c r="NDL349" s="50"/>
      <c r="NDM349" s="50"/>
      <c r="NDN349" s="50"/>
      <c r="NDO349" s="50"/>
      <c r="NDP349" s="50"/>
      <c r="NDQ349" s="50"/>
      <c r="NDR349" s="50"/>
      <c r="NDS349" s="50"/>
      <c r="NDT349" s="50"/>
      <c r="NDU349" s="50"/>
      <c r="NDV349" s="50"/>
      <c r="NDW349" s="50"/>
      <c r="NDX349" s="50"/>
      <c r="NDY349" s="50"/>
      <c r="NDZ349" s="50"/>
      <c r="NEA349" s="50"/>
      <c r="NEB349" s="50"/>
      <c r="NEC349" s="50"/>
      <c r="NED349" s="50"/>
      <c r="NEE349" s="50"/>
      <c r="NEF349" s="50"/>
      <c r="NEG349" s="50"/>
      <c r="NEH349" s="50"/>
      <c r="NEI349" s="50"/>
      <c r="NEJ349" s="50"/>
      <c r="NEK349" s="50"/>
      <c r="NEL349" s="50"/>
      <c r="NEM349" s="50"/>
      <c r="NEN349" s="50"/>
      <c r="NEO349" s="50"/>
      <c r="NEP349" s="50"/>
      <c r="NEQ349" s="50"/>
      <c r="NER349" s="50"/>
      <c r="NES349" s="50"/>
      <c r="NET349" s="50"/>
      <c r="NEU349" s="50"/>
      <c r="NEV349" s="50"/>
      <c r="NEW349" s="50"/>
      <c r="NEX349" s="50"/>
      <c r="NEY349" s="50"/>
      <c r="NEZ349" s="50"/>
      <c r="NFA349" s="50"/>
      <c r="NFB349" s="50"/>
      <c r="NFC349" s="50"/>
      <c r="NFD349" s="50"/>
      <c r="NFE349" s="50"/>
      <c r="NFF349" s="50"/>
      <c r="NFG349" s="50"/>
      <c r="NFH349" s="50"/>
      <c r="NFI349" s="50"/>
      <c r="NFJ349" s="50"/>
      <c r="NFK349" s="50"/>
      <c r="NFL349" s="50"/>
      <c r="NFM349" s="50"/>
      <c r="NFN349" s="50"/>
      <c r="NFO349" s="50"/>
      <c r="NFP349" s="50"/>
      <c r="NFQ349" s="50"/>
      <c r="NFR349" s="50"/>
      <c r="NFS349" s="50"/>
      <c r="NFT349" s="50"/>
      <c r="NFU349" s="50"/>
      <c r="NFV349" s="50"/>
      <c r="NFW349" s="50"/>
      <c r="NFX349" s="50"/>
      <c r="NFY349" s="50"/>
      <c r="NFZ349" s="50"/>
      <c r="NGA349" s="50"/>
      <c r="NGB349" s="50"/>
      <c r="NGC349" s="50"/>
      <c r="NGD349" s="50"/>
      <c r="NGE349" s="50"/>
      <c r="NGF349" s="50"/>
      <c r="NGG349" s="50"/>
      <c r="NGH349" s="50"/>
      <c r="NGI349" s="50"/>
      <c r="NGJ349" s="50"/>
      <c r="NGK349" s="50"/>
      <c r="NGL349" s="50"/>
      <c r="NGM349" s="50"/>
      <c r="NGN349" s="50"/>
      <c r="NGO349" s="50"/>
      <c r="NGP349" s="50"/>
      <c r="NGQ349" s="50"/>
      <c r="NGR349" s="50"/>
      <c r="NGS349" s="50"/>
      <c r="NGT349" s="50"/>
      <c r="NGU349" s="50"/>
      <c r="NGV349" s="50"/>
      <c r="NGW349" s="50"/>
      <c r="NGX349" s="50"/>
      <c r="NGY349" s="50"/>
      <c r="NGZ349" s="50"/>
      <c r="NHA349" s="50"/>
      <c r="NHB349" s="50"/>
      <c r="NHC349" s="50"/>
      <c r="NHD349" s="50"/>
      <c r="NHE349" s="50"/>
      <c r="NHF349" s="50"/>
      <c r="NHG349" s="50"/>
      <c r="NHH349" s="50"/>
      <c r="NHI349" s="50"/>
      <c r="NHJ349" s="50"/>
      <c r="NHK349" s="50"/>
      <c r="NHL349" s="50"/>
      <c r="NHM349" s="50"/>
      <c r="NHN349" s="50"/>
      <c r="NHO349" s="50"/>
      <c r="NHP349" s="50"/>
      <c r="NHQ349" s="50"/>
      <c r="NHR349" s="50"/>
      <c r="NHS349" s="50"/>
      <c r="NHT349" s="50"/>
      <c r="NHU349" s="50"/>
      <c r="NHV349" s="50"/>
      <c r="NHW349" s="50"/>
      <c r="NHX349" s="50"/>
      <c r="NHY349" s="50"/>
      <c r="NHZ349" s="50"/>
      <c r="NIA349" s="50"/>
      <c r="NIB349" s="50"/>
      <c r="NIC349" s="50"/>
      <c r="NID349" s="50"/>
      <c r="NIE349" s="50"/>
      <c r="NIF349" s="50"/>
      <c r="NIG349" s="50"/>
      <c r="NIH349" s="50"/>
      <c r="NII349" s="50"/>
      <c r="NIJ349" s="50"/>
      <c r="NIK349" s="50"/>
      <c r="NIL349" s="50"/>
      <c r="NIM349" s="50"/>
      <c r="NIN349" s="50"/>
      <c r="NIO349" s="50"/>
      <c r="NIP349" s="50"/>
      <c r="NIQ349" s="50"/>
      <c r="NIR349" s="50"/>
      <c r="NIS349" s="50"/>
      <c r="NIT349" s="50"/>
      <c r="NIU349" s="50"/>
      <c r="NIV349" s="50"/>
      <c r="NIW349" s="50"/>
      <c r="NIX349" s="50"/>
      <c r="NIY349" s="50"/>
      <c r="NIZ349" s="50"/>
      <c r="NJA349" s="50"/>
      <c r="NJB349" s="50"/>
      <c r="NJC349" s="50"/>
      <c r="NJD349" s="50"/>
      <c r="NJE349" s="50"/>
      <c r="NJF349" s="50"/>
      <c r="NJG349" s="50"/>
      <c r="NJH349" s="50"/>
      <c r="NJI349" s="50"/>
      <c r="NJJ349" s="50"/>
      <c r="NJK349" s="50"/>
      <c r="NJL349" s="50"/>
      <c r="NJM349" s="50"/>
      <c r="NJN349" s="50"/>
      <c r="NJO349" s="50"/>
      <c r="NJP349" s="50"/>
      <c r="NJQ349" s="50"/>
      <c r="NJR349" s="50"/>
      <c r="NJS349" s="50"/>
      <c r="NJT349" s="50"/>
      <c r="NJU349" s="50"/>
      <c r="NJV349" s="50"/>
      <c r="NJW349" s="50"/>
      <c r="NJX349" s="50"/>
      <c r="NJY349" s="50"/>
      <c r="NJZ349" s="50"/>
      <c r="NKA349" s="50"/>
      <c r="NKB349" s="50"/>
      <c r="NKC349" s="50"/>
      <c r="NKD349" s="50"/>
      <c r="NKE349" s="50"/>
      <c r="NKF349" s="50"/>
      <c r="NKG349" s="50"/>
      <c r="NKH349" s="50"/>
      <c r="NKI349" s="50"/>
      <c r="NKJ349" s="50"/>
      <c r="NKK349" s="50"/>
      <c r="NKL349" s="50"/>
      <c r="NKM349" s="50"/>
      <c r="NKN349" s="50"/>
      <c r="NKO349" s="50"/>
      <c r="NKP349" s="50"/>
      <c r="NKQ349" s="50"/>
      <c r="NKR349" s="50"/>
      <c r="NKS349" s="50"/>
      <c r="NKT349" s="50"/>
      <c r="NKU349" s="50"/>
      <c r="NKV349" s="50"/>
      <c r="NKW349" s="50"/>
      <c r="NKX349" s="50"/>
      <c r="NKY349" s="50"/>
      <c r="NKZ349" s="50"/>
      <c r="NLA349" s="50"/>
      <c r="NLB349" s="50"/>
      <c r="NLC349" s="50"/>
      <c r="NLD349" s="50"/>
      <c r="NLE349" s="50"/>
      <c r="NLF349" s="50"/>
      <c r="NLG349" s="50"/>
      <c r="NLH349" s="50"/>
      <c r="NLI349" s="50"/>
      <c r="NLJ349" s="50"/>
      <c r="NLK349" s="50"/>
      <c r="NLL349" s="50"/>
      <c r="NLM349" s="50"/>
      <c r="NLN349" s="50"/>
      <c r="NLO349" s="50"/>
      <c r="NLP349" s="50"/>
      <c r="NLQ349" s="50"/>
      <c r="NLR349" s="50"/>
      <c r="NLS349" s="50"/>
      <c r="NLT349" s="50"/>
      <c r="NLU349" s="50"/>
      <c r="NLV349" s="50"/>
      <c r="NLW349" s="50"/>
      <c r="NLX349" s="50"/>
      <c r="NLY349" s="50"/>
      <c r="NLZ349" s="50"/>
      <c r="NMA349" s="50"/>
      <c r="NMB349" s="50"/>
      <c r="NMC349" s="50"/>
      <c r="NMD349" s="50"/>
      <c r="NME349" s="50"/>
      <c r="NMF349" s="50"/>
      <c r="NMG349" s="50"/>
      <c r="NMH349" s="50"/>
      <c r="NMI349" s="50"/>
      <c r="NMJ349" s="50"/>
      <c r="NMK349" s="50"/>
      <c r="NML349" s="50"/>
      <c r="NMM349" s="50"/>
      <c r="NMN349" s="50"/>
      <c r="NMO349" s="50"/>
      <c r="NMP349" s="50"/>
      <c r="NMQ349" s="50"/>
      <c r="NMR349" s="50"/>
      <c r="NMS349" s="50"/>
      <c r="NMT349" s="50"/>
      <c r="NMU349" s="50"/>
      <c r="NMV349" s="50"/>
      <c r="NMW349" s="50"/>
      <c r="NMX349" s="50"/>
      <c r="NMY349" s="50"/>
      <c r="NMZ349" s="50"/>
      <c r="NNA349" s="50"/>
      <c r="NNB349" s="50"/>
      <c r="NNC349" s="50"/>
      <c r="NND349" s="50"/>
      <c r="NNE349" s="50"/>
      <c r="NNF349" s="50"/>
      <c r="NNG349" s="50"/>
      <c r="NNH349" s="50"/>
      <c r="NNI349" s="50"/>
      <c r="NNJ349" s="50"/>
      <c r="NNK349" s="50"/>
      <c r="NNL349" s="50"/>
      <c r="NNM349" s="50"/>
      <c r="NNN349" s="50"/>
      <c r="NNO349" s="50"/>
      <c r="NNP349" s="50"/>
      <c r="NNQ349" s="50"/>
      <c r="NNR349" s="50"/>
      <c r="NNS349" s="50"/>
      <c r="NNT349" s="50"/>
      <c r="NNU349" s="50"/>
      <c r="NNV349" s="50"/>
      <c r="NNW349" s="50"/>
      <c r="NNX349" s="50"/>
      <c r="NNY349" s="50"/>
      <c r="NNZ349" s="50"/>
      <c r="NOA349" s="50"/>
      <c r="NOB349" s="50"/>
      <c r="NOC349" s="50"/>
      <c r="NOD349" s="50"/>
      <c r="NOE349" s="50"/>
      <c r="NOF349" s="50"/>
      <c r="NOG349" s="50"/>
      <c r="NOH349" s="50"/>
      <c r="NOI349" s="50"/>
      <c r="NOJ349" s="50"/>
      <c r="NOK349" s="50"/>
      <c r="NOL349" s="50"/>
      <c r="NOM349" s="50"/>
      <c r="NON349" s="50"/>
      <c r="NOO349" s="50"/>
      <c r="NOP349" s="50"/>
      <c r="NOQ349" s="50"/>
      <c r="NOR349" s="50"/>
      <c r="NOS349" s="50"/>
      <c r="NOT349" s="50"/>
      <c r="NOU349" s="50"/>
      <c r="NOV349" s="50"/>
      <c r="NOW349" s="50"/>
      <c r="NOX349" s="50"/>
      <c r="NOY349" s="50"/>
      <c r="NOZ349" s="50"/>
      <c r="NPA349" s="50"/>
      <c r="NPB349" s="50"/>
      <c r="NPC349" s="50"/>
      <c r="NPD349" s="50"/>
      <c r="NPE349" s="50"/>
      <c r="NPF349" s="50"/>
      <c r="NPG349" s="50"/>
      <c r="NPH349" s="50"/>
      <c r="NPI349" s="50"/>
      <c r="NPJ349" s="50"/>
      <c r="NPK349" s="50"/>
      <c r="NPL349" s="50"/>
      <c r="NPM349" s="50"/>
      <c r="NPN349" s="50"/>
      <c r="NPO349" s="50"/>
      <c r="NPP349" s="50"/>
      <c r="NPQ349" s="50"/>
      <c r="NPR349" s="50"/>
      <c r="NPS349" s="50"/>
      <c r="NPT349" s="50"/>
      <c r="NPU349" s="50"/>
      <c r="NPV349" s="50"/>
      <c r="NPW349" s="50"/>
      <c r="NPX349" s="50"/>
      <c r="NPY349" s="50"/>
      <c r="NPZ349" s="50"/>
      <c r="NQA349" s="50"/>
      <c r="NQB349" s="50"/>
      <c r="NQC349" s="50"/>
      <c r="NQD349" s="50"/>
      <c r="NQE349" s="50"/>
      <c r="NQF349" s="50"/>
      <c r="NQG349" s="50"/>
      <c r="NQH349" s="50"/>
      <c r="NQI349" s="50"/>
      <c r="NQJ349" s="50"/>
      <c r="NQK349" s="50"/>
      <c r="NQL349" s="50"/>
      <c r="NQM349" s="50"/>
      <c r="NQN349" s="50"/>
      <c r="NQO349" s="50"/>
      <c r="NQP349" s="50"/>
      <c r="NQQ349" s="50"/>
      <c r="NQR349" s="50"/>
      <c r="NQS349" s="50"/>
      <c r="NQT349" s="50"/>
      <c r="NQU349" s="50"/>
      <c r="NQV349" s="50"/>
      <c r="NQW349" s="50"/>
      <c r="NQX349" s="50"/>
      <c r="NQY349" s="50"/>
      <c r="NQZ349" s="50"/>
      <c r="NRA349" s="50"/>
      <c r="NRB349" s="50"/>
      <c r="NRC349" s="50"/>
      <c r="NRD349" s="50"/>
      <c r="NRE349" s="50"/>
      <c r="NRF349" s="50"/>
      <c r="NRG349" s="50"/>
      <c r="NRH349" s="50"/>
      <c r="NRI349" s="50"/>
      <c r="NRJ349" s="50"/>
      <c r="NRK349" s="50"/>
      <c r="NRL349" s="50"/>
      <c r="NRM349" s="50"/>
      <c r="NRN349" s="50"/>
      <c r="NRO349" s="50"/>
      <c r="NRP349" s="50"/>
      <c r="NRQ349" s="50"/>
      <c r="NRR349" s="50"/>
      <c r="NRS349" s="50"/>
      <c r="NRT349" s="50"/>
      <c r="NRU349" s="50"/>
      <c r="NRV349" s="50"/>
      <c r="NRW349" s="50"/>
      <c r="NRX349" s="50"/>
      <c r="NRY349" s="50"/>
      <c r="NRZ349" s="50"/>
      <c r="NSA349" s="50"/>
      <c r="NSB349" s="50"/>
      <c r="NSC349" s="50"/>
      <c r="NSD349" s="50"/>
      <c r="NSE349" s="50"/>
      <c r="NSF349" s="50"/>
      <c r="NSG349" s="50"/>
      <c r="NSH349" s="50"/>
      <c r="NSI349" s="50"/>
      <c r="NSJ349" s="50"/>
      <c r="NSK349" s="50"/>
      <c r="NSL349" s="50"/>
      <c r="NSM349" s="50"/>
      <c r="NSN349" s="50"/>
      <c r="NSO349" s="50"/>
      <c r="NSP349" s="50"/>
      <c r="NSQ349" s="50"/>
      <c r="NSR349" s="50"/>
      <c r="NSS349" s="50"/>
      <c r="NST349" s="50"/>
      <c r="NSU349" s="50"/>
      <c r="NSV349" s="50"/>
      <c r="NSW349" s="50"/>
      <c r="NSX349" s="50"/>
      <c r="NSY349" s="50"/>
      <c r="NSZ349" s="50"/>
      <c r="NTA349" s="50"/>
      <c r="NTB349" s="50"/>
      <c r="NTC349" s="50"/>
      <c r="NTD349" s="50"/>
      <c r="NTE349" s="50"/>
      <c r="NTF349" s="50"/>
      <c r="NTG349" s="50"/>
      <c r="NTH349" s="50"/>
      <c r="NTI349" s="50"/>
      <c r="NTJ349" s="50"/>
      <c r="NTK349" s="50"/>
      <c r="NTL349" s="50"/>
      <c r="NTM349" s="50"/>
      <c r="NTN349" s="50"/>
      <c r="NTO349" s="50"/>
      <c r="NTP349" s="50"/>
      <c r="NTQ349" s="50"/>
      <c r="NTR349" s="50"/>
      <c r="NTS349" s="50"/>
      <c r="NTT349" s="50"/>
      <c r="NTU349" s="50"/>
      <c r="NTV349" s="50"/>
      <c r="NTW349" s="50"/>
      <c r="NTX349" s="50"/>
      <c r="NTY349" s="50"/>
      <c r="NTZ349" s="50"/>
      <c r="NUA349" s="50"/>
      <c r="NUB349" s="50"/>
      <c r="NUC349" s="50"/>
      <c r="NUD349" s="50"/>
      <c r="NUE349" s="50"/>
      <c r="NUF349" s="50"/>
      <c r="NUG349" s="50"/>
      <c r="NUH349" s="50"/>
      <c r="NUI349" s="50"/>
      <c r="NUJ349" s="50"/>
      <c r="NUK349" s="50"/>
      <c r="NUL349" s="50"/>
      <c r="NUM349" s="50"/>
      <c r="NUN349" s="50"/>
      <c r="NUO349" s="50"/>
      <c r="NUP349" s="50"/>
      <c r="NUQ349" s="50"/>
      <c r="NUR349" s="50"/>
      <c r="NUS349" s="50"/>
      <c r="NUT349" s="50"/>
      <c r="NUU349" s="50"/>
      <c r="NUV349" s="50"/>
      <c r="NUW349" s="50"/>
      <c r="NUX349" s="50"/>
      <c r="NUY349" s="50"/>
      <c r="NUZ349" s="50"/>
      <c r="NVA349" s="50"/>
      <c r="NVB349" s="50"/>
      <c r="NVC349" s="50"/>
      <c r="NVD349" s="50"/>
      <c r="NVE349" s="50"/>
      <c r="NVF349" s="50"/>
      <c r="NVG349" s="50"/>
      <c r="NVH349" s="50"/>
      <c r="NVI349" s="50"/>
      <c r="NVJ349" s="50"/>
      <c r="NVK349" s="50"/>
      <c r="NVL349" s="50"/>
      <c r="NVM349" s="50"/>
      <c r="NVN349" s="50"/>
      <c r="NVO349" s="50"/>
      <c r="NVP349" s="50"/>
      <c r="NVQ349" s="50"/>
      <c r="NVR349" s="50"/>
      <c r="NVS349" s="50"/>
      <c r="NVT349" s="50"/>
      <c r="NVU349" s="50"/>
      <c r="NVV349" s="50"/>
      <c r="NVW349" s="50"/>
      <c r="NVX349" s="50"/>
      <c r="NVY349" s="50"/>
      <c r="NVZ349" s="50"/>
      <c r="NWA349" s="50"/>
      <c r="NWB349" s="50"/>
      <c r="NWC349" s="50"/>
      <c r="NWD349" s="50"/>
      <c r="NWE349" s="50"/>
      <c r="NWF349" s="50"/>
      <c r="NWG349" s="50"/>
      <c r="NWH349" s="50"/>
      <c r="NWI349" s="50"/>
      <c r="NWJ349" s="50"/>
      <c r="NWK349" s="50"/>
      <c r="NWL349" s="50"/>
      <c r="NWM349" s="50"/>
      <c r="NWN349" s="50"/>
      <c r="NWO349" s="50"/>
      <c r="NWP349" s="50"/>
      <c r="NWQ349" s="50"/>
      <c r="NWR349" s="50"/>
      <c r="NWS349" s="50"/>
      <c r="NWT349" s="50"/>
      <c r="NWU349" s="50"/>
      <c r="NWV349" s="50"/>
      <c r="NWW349" s="50"/>
      <c r="NWX349" s="50"/>
      <c r="NWY349" s="50"/>
      <c r="NWZ349" s="50"/>
      <c r="NXA349" s="50"/>
      <c r="NXB349" s="50"/>
      <c r="NXC349" s="50"/>
      <c r="NXD349" s="50"/>
      <c r="NXE349" s="50"/>
      <c r="NXF349" s="50"/>
      <c r="NXG349" s="50"/>
      <c r="NXH349" s="50"/>
      <c r="NXI349" s="50"/>
      <c r="NXJ349" s="50"/>
      <c r="NXK349" s="50"/>
      <c r="NXL349" s="50"/>
      <c r="NXM349" s="50"/>
      <c r="NXN349" s="50"/>
      <c r="NXO349" s="50"/>
      <c r="NXP349" s="50"/>
      <c r="NXQ349" s="50"/>
      <c r="NXR349" s="50"/>
      <c r="NXS349" s="50"/>
      <c r="NXT349" s="50"/>
      <c r="NXU349" s="50"/>
      <c r="NXV349" s="50"/>
      <c r="NXW349" s="50"/>
      <c r="NXX349" s="50"/>
      <c r="NXY349" s="50"/>
      <c r="NXZ349" s="50"/>
      <c r="NYA349" s="50"/>
      <c r="NYB349" s="50"/>
      <c r="NYC349" s="50"/>
      <c r="NYD349" s="50"/>
      <c r="NYE349" s="50"/>
      <c r="NYF349" s="50"/>
      <c r="NYG349" s="50"/>
      <c r="NYH349" s="50"/>
      <c r="NYI349" s="50"/>
      <c r="NYJ349" s="50"/>
      <c r="NYK349" s="50"/>
      <c r="NYL349" s="50"/>
      <c r="NYM349" s="50"/>
      <c r="NYN349" s="50"/>
      <c r="NYO349" s="50"/>
      <c r="NYP349" s="50"/>
      <c r="NYQ349" s="50"/>
      <c r="NYR349" s="50"/>
      <c r="NYS349" s="50"/>
      <c r="NYT349" s="50"/>
      <c r="NYU349" s="50"/>
      <c r="NYV349" s="50"/>
      <c r="NYW349" s="50"/>
      <c r="NYX349" s="50"/>
      <c r="NYY349" s="50"/>
      <c r="NYZ349" s="50"/>
      <c r="NZA349" s="50"/>
      <c r="NZB349" s="50"/>
      <c r="NZC349" s="50"/>
      <c r="NZD349" s="50"/>
      <c r="NZE349" s="50"/>
      <c r="NZF349" s="50"/>
      <c r="NZG349" s="50"/>
      <c r="NZH349" s="50"/>
      <c r="NZI349" s="50"/>
      <c r="NZJ349" s="50"/>
      <c r="NZK349" s="50"/>
      <c r="NZL349" s="50"/>
      <c r="NZM349" s="50"/>
      <c r="NZN349" s="50"/>
      <c r="NZO349" s="50"/>
      <c r="NZP349" s="50"/>
      <c r="NZQ349" s="50"/>
      <c r="NZR349" s="50"/>
      <c r="NZS349" s="50"/>
      <c r="NZT349" s="50"/>
      <c r="NZU349" s="50"/>
      <c r="NZV349" s="50"/>
      <c r="NZW349" s="50"/>
      <c r="NZX349" s="50"/>
      <c r="NZY349" s="50"/>
      <c r="NZZ349" s="50"/>
      <c r="OAA349" s="50"/>
      <c r="OAB349" s="50"/>
      <c r="OAC349" s="50"/>
      <c r="OAD349" s="50"/>
      <c r="OAE349" s="50"/>
      <c r="OAF349" s="50"/>
      <c r="OAG349" s="50"/>
      <c r="OAH349" s="50"/>
      <c r="OAI349" s="50"/>
      <c r="OAJ349" s="50"/>
      <c r="OAK349" s="50"/>
      <c r="OAL349" s="50"/>
      <c r="OAM349" s="50"/>
      <c r="OAN349" s="50"/>
      <c r="OAO349" s="50"/>
      <c r="OAP349" s="50"/>
      <c r="OAQ349" s="50"/>
      <c r="OAR349" s="50"/>
      <c r="OAS349" s="50"/>
      <c r="OAT349" s="50"/>
      <c r="OAU349" s="50"/>
      <c r="OAV349" s="50"/>
      <c r="OAW349" s="50"/>
      <c r="OAX349" s="50"/>
      <c r="OAY349" s="50"/>
      <c r="OAZ349" s="50"/>
      <c r="OBA349" s="50"/>
      <c r="OBB349" s="50"/>
      <c r="OBC349" s="50"/>
      <c r="OBD349" s="50"/>
      <c r="OBE349" s="50"/>
      <c r="OBF349" s="50"/>
      <c r="OBG349" s="50"/>
      <c r="OBH349" s="50"/>
      <c r="OBI349" s="50"/>
      <c r="OBJ349" s="50"/>
      <c r="OBK349" s="50"/>
      <c r="OBL349" s="50"/>
      <c r="OBM349" s="50"/>
      <c r="OBN349" s="50"/>
      <c r="OBO349" s="50"/>
      <c r="OBP349" s="50"/>
      <c r="OBQ349" s="50"/>
      <c r="OBR349" s="50"/>
      <c r="OBS349" s="50"/>
      <c r="OBT349" s="50"/>
      <c r="OBU349" s="50"/>
      <c r="OBV349" s="50"/>
      <c r="OBW349" s="50"/>
      <c r="OBX349" s="50"/>
      <c r="OBY349" s="50"/>
      <c r="OBZ349" s="50"/>
      <c r="OCA349" s="50"/>
      <c r="OCB349" s="50"/>
      <c r="OCC349" s="50"/>
      <c r="OCD349" s="50"/>
      <c r="OCE349" s="50"/>
      <c r="OCF349" s="50"/>
      <c r="OCG349" s="50"/>
      <c r="OCH349" s="50"/>
      <c r="OCI349" s="50"/>
      <c r="OCJ349" s="50"/>
      <c r="OCK349" s="50"/>
      <c r="OCL349" s="50"/>
      <c r="OCM349" s="50"/>
      <c r="OCN349" s="50"/>
      <c r="OCO349" s="50"/>
      <c r="OCP349" s="50"/>
      <c r="OCQ349" s="50"/>
      <c r="OCR349" s="50"/>
      <c r="OCS349" s="50"/>
      <c r="OCT349" s="50"/>
      <c r="OCU349" s="50"/>
      <c r="OCV349" s="50"/>
      <c r="OCW349" s="50"/>
      <c r="OCX349" s="50"/>
      <c r="OCY349" s="50"/>
      <c r="OCZ349" s="50"/>
      <c r="ODA349" s="50"/>
      <c r="ODB349" s="50"/>
      <c r="ODC349" s="50"/>
      <c r="ODD349" s="50"/>
      <c r="ODE349" s="50"/>
      <c r="ODF349" s="50"/>
      <c r="ODG349" s="50"/>
      <c r="ODH349" s="50"/>
      <c r="ODI349" s="50"/>
      <c r="ODJ349" s="50"/>
      <c r="ODK349" s="50"/>
      <c r="ODL349" s="50"/>
      <c r="ODM349" s="50"/>
      <c r="ODN349" s="50"/>
      <c r="ODO349" s="50"/>
      <c r="ODP349" s="50"/>
      <c r="ODQ349" s="50"/>
      <c r="ODR349" s="50"/>
      <c r="ODS349" s="50"/>
      <c r="ODT349" s="50"/>
      <c r="ODU349" s="50"/>
      <c r="ODV349" s="50"/>
      <c r="ODW349" s="50"/>
      <c r="ODX349" s="50"/>
      <c r="ODY349" s="50"/>
      <c r="ODZ349" s="50"/>
      <c r="OEA349" s="50"/>
      <c r="OEB349" s="50"/>
      <c r="OEC349" s="50"/>
      <c r="OED349" s="50"/>
      <c r="OEE349" s="50"/>
      <c r="OEF349" s="50"/>
      <c r="OEG349" s="50"/>
      <c r="OEH349" s="50"/>
      <c r="OEI349" s="50"/>
      <c r="OEJ349" s="50"/>
      <c r="OEK349" s="50"/>
      <c r="OEL349" s="50"/>
      <c r="OEM349" s="50"/>
      <c r="OEN349" s="50"/>
      <c r="OEO349" s="50"/>
      <c r="OEP349" s="50"/>
      <c r="OEQ349" s="50"/>
      <c r="OER349" s="50"/>
      <c r="OES349" s="50"/>
      <c r="OET349" s="50"/>
      <c r="OEU349" s="50"/>
      <c r="OEV349" s="50"/>
      <c r="OEW349" s="50"/>
      <c r="OEX349" s="50"/>
      <c r="OEY349" s="50"/>
      <c r="OEZ349" s="50"/>
      <c r="OFA349" s="50"/>
      <c r="OFB349" s="50"/>
      <c r="OFC349" s="50"/>
      <c r="OFD349" s="50"/>
      <c r="OFE349" s="50"/>
      <c r="OFF349" s="50"/>
      <c r="OFG349" s="50"/>
      <c r="OFH349" s="50"/>
      <c r="OFI349" s="50"/>
      <c r="OFJ349" s="50"/>
      <c r="OFK349" s="50"/>
      <c r="OFL349" s="50"/>
      <c r="OFM349" s="50"/>
      <c r="OFN349" s="50"/>
      <c r="OFO349" s="50"/>
      <c r="OFP349" s="50"/>
      <c r="OFQ349" s="50"/>
      <c r="OFR349" s="50"/>
      <c r="OFS349" s="50"/>
      <c r="OFT349" s="50"/>
      <c r="OFU349" s="50"/>
      <c r="OFV349" s="50"/>
      <c r="OFW349" s="50"/>
      <c r="OFX349" s="50"/>
      <c r="OFY349" s="50"/>
      <c r="OFZ349" s="50"/>
      <c r="OGA349" s="50"/>
      <c r="OGB349" s="50"/>
      <c r="OGC349" s="50"/>
      <c r="OGD349" s="50"/>
      <c r="OGE349" s="50"/>
      <c r="OGF349" s="50"/>
      <c r="OGG349" s="50"/>
      <c r="OGH349" s="50"/>
      <c r="OGI349" s="50"/>
      <c r="OGJ349" s="50"/>
      <c r="OGK349" s="50"/>
      <c r="OGL349" s="50"/>
      <c r="OGM349" s="50"/>
      <c r="OGN349" s="50"/>
      <c r="OGO349" s="50"/>
      <c r="OGP349" s="50"/>
      <c r="OGQ349" s="50"/>
      <c r="OGR349" s="50"/>
      <c r="OGS349" s="50"/>
      <c r="OGT349" s="50"/>
      <c r="OGU349" s="50"/>
      <c r="OGV349" s="50"/>
      <c r="OGW349" s="50"/>
      <c r="OGX349" s="50"/>
      <c r="OGY349" s="50"/>
      <c r="OGZ349" s="50"/>
      <c r="OHA349" s="50"/>
      <c r="OHB349" s="50"/>
      <c r="OHC349" s="50"/>
      <c r="OHD349" s="50"/>
      <c r="OHE349" s="50"/>
      <c r="OHF349" s="50"/>
      <c r="OHG349" s="50"/>
      <c r="OHH349" s="50"/>
      <c r="OHI349" s="50"/>
      <c r="OHJ349" s="50"/>
      <c r="OHK349" s="50"/>
      <c r="OHL349" s="50"/>
      <c r="OHM349" s="50"/>
      <c r="OHN349" s="50"/>
      <c r="OHO349" s="50"/>
      <c r="OHP349" s="50"/>
      <c r="OHQ349" s="50"/>
      <c r="OHR349" s="50"/>
      <c r="OHS349" s="50"/>
      <c r="OHT349" s="50"/>
      <c r="OHU349" s="50"/>
      <c r="OHV349" s="50"/>
      <c r="OHW349" s="50"/>
      <c r="OHX349" s="50"/>
      <c r="OHY349" s="50"/>
      <c r="OHZ349" s="50"/>
      <c r="OIA349" s="50"/>
      <c r="OIB349" s="50"/>
      <c r="OIC349" s="50"/>
      <c r="OID349" s="50"/>
      <c r="OIE349" s="50"/>
      <c r="OIF349" s="50"/>
      <c r="OIG349" s="50"/>
      <c r="OIH349" s="50"/>
      <c r="OII349" s="50"/>
      <c r="OIJ349" s="50"/>
      <c r="OIK349" s="50"/>
      <c r="OIL349" s="50"/>
      <c r="OIM349" s="50"/>
      <c r="OIN349" s="50"/>
      <c r="OIO349" s="50"/>
      <c r="OIP349" s="50"/>
      <c r="OIQ349" s="50"/>
      <c r="OIR349" s="50"/>
      <c r="OIS349" s="50"/>
      <c r="OIT349" s="50"/>
      <c r="OIU349" s="50"/>
      <c r="OIV349" s="50"/>
      <c r="OIW349" s="50"/>
      <c r="OIX349" s="50"/>
      <c r="OIY349" s="50"/>
      <c r="OIZ349" s="50"/>
      <c r="OJA349" s="50"/>
      <c r="OJB349" s="50"/>
      <c r="OJC349" s="50"/>
      <c r="OJD349" s="50"/>
      <c r="OJE349" s="50"/>
      <c r="OJF349" s="50"/>
      <c r="OJG349" s="50"/>
      <c r="OJH349" s="50"/>
      <c r="OJI349" s="50"/>
      <c r="OJJ349" s="50"/>
      <c r="OJK349" s="50"/>
      <c r="OJL349" s="50"/>
      <c r="OJM349" s="50"/>
      <c r="OJN349" s="50"/>
      <c r="OJO349" s="50"/>
      <c r="OJP349" s="50"/>
      <c r="OJQ349" s="50"/>
      <c r="OJR349" s="50"/>
      <c r="OJS349" s="50"/>
      <c r="OJT349" s="50"/>
      <c r="OJU349" s="50"/>
      <c r="OJV349" s="50"/>
      <c r="OJW349" s="50"/>
      <c r="OJX349" s="50"/>
      <c r="OJY349" s="50"/>
      <c r="OJZ349" s="50"/>
      <c r="OKA349" s="50"/>
      <c r="OKB349" s="50"/>
      <c r="OKC349" s="50"/>
      <c r="OKD349" s="50"/>
      <c r="OKE349" s="50"/>
      <c r="OKF349" s="50"/>
      <c r="OKG349" s="50"/>
      <c r="OKH349" s="50"/>
      <c r="OKI349" s="50"/>
      <c r="OKJ349" s="50"/>
      <c r="OKK349" s="50"/>
      <c r="OKL349" s="50"/>
      <c r="OKM349" s="50"/>
      <c r="OKN349" s="50"/>
      <c r="OKO349" s="50"/>
      <c r="OKP349" s="50"/>
      <c r="OKQ349" s="50"/>
      <c r="OKR349" s="50"/>
      <c r="OKS349" s="50"/>
      <c r="OKT349" s="50"/>
      <c r="OKU349" s="50"/>
      <c r="OKV349" s="50"/>
      <c r="OKW349" s="50"/>
      <c r="OKX349" s="50"/>
      <c r="OKY349" s="50"/>
      <c r="OKZ349" s="50"/>
      <c r="OLA349" s="50"/>
      <c r="OLB349" s="50"/>
      <c r="OLC349" s="50"/>
      <c r="OLD349" s="50"/>
      <c r="OLE349" s="50"/>
      <c r="OLF349" s="50"/>
      <c r="OLG349" s="50"/>
      <c r="OLH349" s="50"/>
      <c r="OLI349" s="50"/>
      <c r="OLJ349" s="50"/>
      <c r="OLK349" s="50"/>
      <c r="OLL349" s="50"/>
      <c r="OLM349" s="50"/>
      <c r="OLN349" s="50"/>
      <c r="OLO349" s="50"/>
      <c r="OLP349" s="50"/>
      <c r="OLQ349" s="50"/>
      <c r="OLR349" s="50"/>
      <c r="OLS349" s="50"/>
      <c r="OLT349" s="50"/>
      <c r="OLU349" s="50"/>
      <c r="OLV349" s="50"/>
      <c r="OLW349" s="50"/>
      <c r="OLX349" s="50"/>
      <c r="OLY349" s="50"/>
      <c r="OLZ349" s="50"/>
      <c r="OMA349" s="50"/>
      <c r="OMB349" s="50"/>
      <c r="OMC349" s="50"/>
      <c r="OMD349" s="50"/>
      <c r="OME349" s="50"/>
      <c r="OMF349" s="50"/>
      <c r="OMG349" s="50"/>
      <c r="OMH349" s="50"/>
      <c r="OMI349" s="50"/>
      <c r="OMJ349" s="50"/>
      <c r="OMK349" s="50"/>
      <c r="OML349" s="50"/>
      <c r="OMM349" s="50"/>
      <c r="OMN349" s="50"/>
      <c r="OMO349" s="50"/>
      <c r="OMP349" s="50"/>
      <c r="OMQ349" s="50"/>
      <c r="OMR349" s="50"/>
      <c r="OMS349" s="50"/>
      <c r="OMT349" s="50"/>
      <c r="OMU349" s="50"/>
      <c r="OMV349" s="50"/>
      <c r="OMW349" s="50"/>
      <c r="OMX349" s="50"/>
      <c r="OMY349" s="50"/>
      <c r="OMZ349" s="50"/>
      <c r="ONA349" s="50"/>
      <c r="ONB349" s="50"/>
      <c r="ONC349" s="50"/>
      <c r="OND349" s="50"/>
      <c r="ONE349" s="50"/>
      <c r="ONF349" s="50"/>
      <c r="ONG349" s="50"/>
      <c r="ONH349" s="50"/>
      <c r="ONI349" s="50"/>
      <c r="ONJ349" s="50"/>
      <c r="ONK349" s="50"/>
      <c r="ONL349" s="50"/>
      <c r="ONM349" s="50"/>
      <c r="ONN349" s="50"/>
      <c r="ONO349" s="50"/>
      <c r="ONP349" s="50"/>
      <c r="ONQ349" s="50"/>
      <c r="ONR349" s="50"/>
      <c r="ONS349" s="50"/>
      <c r="ONT349" s="50"/>
      <c r="ONU349" s="50"/>
      <c r="ONV349" s="50"/>
      <c r="ONW349" s="50"/>
      <c r="ONX349" s="50"/>
      <c r="ONY349" s="50"/>
      <c r="ONZ349" s="50"/>
      <c r="OOA349" s="50"/>
      <c r="OOB349" s="50"/>
      <c r="OOC349" s="50"/>
      <c r="OOD349" s="50"/>
      <c r="OOE349" s="50"/>
      <c r="OOF349" s="50"/>
      <c r="OOG349" s="50"/>
      <c r="OOH349" s="50"/>
      <c r="OOI349" s="50"/>
      <c r="OOJ349" s="50"/>
      <c r="OOK349" s="50"/>
      <c r="OOL349" s="50"/>
      <c r="OOM349" s="50"/>
      <c r="OON349" s="50"/>
      <c r="OOO349" s="50"/>
      <c r="OOP349" s="50"/>
      <c r="OOQ349" s="50"/>
      <c r="OOR349" s="50"/>
      <c r="OOS349" s="50"/>
      <c r="OOT349" s="50"/>
      <c r="OOU349" s="50"/>
      <c r="OOV349" s="50"/>
      <c r="OOW349" s="50"/>
      <c r="OOX349" s="50"/>
      <c r="OOY349" s="50"/>
      <c r="OOZ349" s="50"/>
      <c r="OPA349" s="50"/>
      <c r="OPB349" s="50"/>
      <c r="OPC349" s="50"/>
      <c r="OPD349" s="50"/>
      <c r="OPE349" s="50"/>
      <c r="OPF349" s="50"/>
      <c r="OPG349" s="50"/>
      <c r="OPH349" s="50"/>
      <c r="OPI349" s="50"/>
      <c r="OPJ349" s="50"/>
      <c r="OPK349" s="50"/>
      <c r="OPL349" s="50"/>
      <c r="OPM349" s="50"/>
      <c r="OPN349" s="50"/>
      <c r="OPO349" s="50"/>
      <c r="OPP349" s="50"/>
      <c r="OPQ349" s="50"/>
      <c r="OPR349" s="50"/>
      <c r="OPS349" s="50"/>
      <c r="OPT349" s="50"/>
      <c r="OPU349" s="50"/>
      <c r="OPV349" s="50"/>
      <c r="OPW349" s="50"/>
      <c r="OPX349" s="50"/>
      <c r="OPY349" s="50"/>
      <c r="OPZ349" s="50"/>
      <c r="OQA349" s="50"/>
      <c r="OQB349" s="50"/>
      <c r="OQC349" s="50"/>
      <c r="OQD349" s="50"/>
      <c r="OQE349" s="50"/>
      <c r="OQF349" s="50"/>
      <c r="OQG349" s="50"/>
      <c r="OQH349" s="50"/>
      <c r="OQI349" s="50"/>
      <c r="OQJ349" s="50"/>
      <c r="OQK349" s="50"/>
      <c r="OQL349" s="50"/>
      <c r="OQM349" s="50"/>
      <c r="OQN349" s="50"/>
      <c r="OQO349" s="50"/>
      <c r="OQP349" s="50"/>
      <c r="OQQ349" s="50"/>
      <c r="OQR349" s="50"/>
      <c r="OQS349" s="50"/>
      <c r="OQT349" s="50"/>
      <c r="OQU349" s="50"/>
      <c r="OQV349" s="50"/>
      <c r="OQW349" s="50"/>
      <c r="OQX349" s="50"/>
      <c r="OQY349" s="50"/>
      <c r="OQZ349" s="50"/>
      <c r="ORA349" s="50"/>
      <c r="ORB349" s="50"/>
      <c r="ORC349" s="50"/>
      <c r="ORD349" s="50"/>
      <c r="ORE349" s="50"/>
      <c r="ORF349" s="50"/>
      <c r="ORG349" s="50"/>
      <c r="ORH349" s="50"/>
      <c r="ORI349" s="50"/>
      <c r="ORJ349" s="50"/>
      <c r="ORK349" s="50"/>
      <c r="ORL349" s="50"/>
      <c r="ORM349" s="50"/>
      <c r="ORN349" s="50"/>
      <c r="ORO349" s="50"/>
      <c r="ORP349" s="50"/>
      <c r="ORQ349" s="50"/>
      <c r="ORR349" s="50"/>
      <c r="ORS349" s="50"/>
      <c r="ORT349" s="50"/>
      <c r="ORU349" s="50"/>
      <c r="ORV349" s="50"/>
      <c r="ORW349" s="50"/>
      <c r="ORX349" s="50"/>
      <c r="ORY349" s="50"/>
      <c r="ORZ349" s="50"/>
      <c r="OSA349" s="50"/>
      <c r="OSB349" s="50"/>
      <c r="OSC349" s="50"/>
      <c r="OSD349" s="50"/>
      <c r="OSE349" s="50"/>
      <c r="OSF349" s="50"/>
      <c r="OSG349" s="50"/>
      <c r="OSH349" s="50"/>
      <c r="OSI349" s="50"/>
      <c r="OSJ349" s="50"/>
      <c r="OSK349" s="50"/>
      <c r="OSL349" s="50"/>
      <c r="OSM349" s="50"/>
      <c r="OSN349" s="50"/>
      <c r="OSO349" s="50"/>
      <c r="OSP349" s="50"/>
      <c r="OSQ349" s="50"/>
      <c r="OSR349" s="50"/>
      <c r="OSS349" s="50"/>
      <c r="OST349" s="50"/>
      <c r="OSU349" s="50"/>
      <c r="OSV349" s="50"/>
      <c r="OSW349" s="50"/>
      <c r="OSX349" s="50"/>
      <c r="OSY349" s="50"/>
      <c r="OSZ349" s="50"/>
      <c r="OTA349" s="50"/>
      <c r="OTB349" s="50"/>
      <c r="OTC349" s="50"/>
      <c r="OTD349" s="50"/>
      <c r="OTE349" s="50"/>
      <c r="OTF349" s="50"/>
      <c r="OTG349" s="50"/>
      <c r="OTH349" s="50"/>
      <c r="OTI349" s="50"/>
      <c r="OTJ349" s="50"/>
      <c r="OTK349" s="50"/>
      <c r="OTL349" s="50"/>
      <c r="OTM349" s="50"/>
      <c r="OTN349" s="50"/>
      <c r="OTO349" s="50"/>
      <c r="OTP349" s="50"/>
      <c r="OTQ349" s="50"/>
      <c r="OTR349" s="50"/>
      <c r="OTS349" s="50"/>
      <c r="OTT349" s="50"/>
      <c r="OTU349" s="50"/>
      <c r="OTV349" s="50"/>
      <c r="OTW349" s="50"/>
      <c r="OTX349" s="50"/>
      <c r="OTY349" s="50"/>
      <c r="OTZ349" s="50"/>
      <c r="OUA349" s="50"/>
      <c r="OUB349" s="50"/>
      <c r="OUC349" s="50"/>
      <c r="OUD349" s="50"/>
      <c r="OUE349" s="50"/>
      <c r="OUF349" s="50"/>
      <c r="OUG349" s="50"/>
      <c r="OUH349" s="50"/>
      <c r="OUI349" s="50"/>
      <c r="OUJ349" s="50"/>
      <c r="OUK349" s="50"/>
      <c r="OUL349" s="50"/>
      <c r="OUM349" s="50"/>
      <c r="OUN349" s="50"/>
      <c r="OUO349" s="50"/>
      <c r="OUP349" s="50"/>
      <c r="OUQ349" s="50"/>
      <c r="OUR349" s="50"/>
      <c r="OUS349" s="50"/>
      <c r="OUT349" s="50"/>
      <c r="OUU349" s="50"/>
      <c r="OUV349" s="50"/>
      <c r="OUW349" s="50"/>
      <c r="OUX349" s="50"/>
      <c r="OUY349" s="50"/>
      <c r="OUZ349" s="50"/>
      <c r="OVA349" s="50"/>
      <c r="OVB349" s="50"/>
      <c r="OVC349" s="50"/>
      <c r="OVD349" s="50"/>
      <c r="OVE349" s="50"/>
      <c r="OVF349" s="50"/>
      <c r="OVG349" s="50"/>
      <c r="OVH349" s="50"/>
      <c r="OVI349" s="50"/>
      <c r="OVJ349" s="50"/>
      <c r="OVK349" s="50"/>
      <c r="OVL349" s="50"/>
      <c r="OVM349" s="50"/>
      <c r="OVN349" s="50"/>
      <c r="OVO349" s="50"/>
      <c r="OVP349" s="50"/>
      <c r="OVQ349" s="50"/>
      <c r="OVR349" s="50"/>
      <c r="OVS349" s="50"/>
      <c r="OVT349" s="50"/>
      <c r="OVU349" s="50"/>
      <c r="OVV349" s="50"/>
      <c r="OVW349" s="50"/>
      <c r="OVX349" s="50"/>
      <c r="OVY349" s="50"/>
      <c r="OVZ349" s="50"/>
      <c r="OWA349" s="50"/>
      <c r="OWB349" s="50"/>
      <c r="OWC349" s="50"/>
      <c r="OWD349" s="50"/>
      <c r="OWE349" s="50"/>
      <c r="OWF349" s="50"/>
      <c r="OWG349" s="50"/>
      <c r="OWH349" s="50"/>
      <c r="OWI349" s="50"/>
      <c r="OWJ349" s="50"/>
      <c r="OWK349" s="50"/>
      <c r="OWL349" s="50"/>
      <c r="OWM349" s="50"/>
      <c r="OWN349" s="50"/>
      <c r="OWO349" s="50"/>
      <c r="OWP349" s="50"/>
      <c r="OWQ349" s="50"/>
      <c r="OWR349" s="50"/>
      <c r="OWS349" s="50"/>
      <c r="OWT349" s="50"/>
      <c r="OWU349" s="50"/>
      <c r="OWV349" s="50"/>
      <c r="OWW349" s="50"/>
      <c r="OWX349" s="50"/>
      <c r="OWY349" s="50"/>
      <c r="OWZ349" s="50"/>
      <c r="OXA349" s="50"/>
      <c r="OXB349" s="50"/>
      <c r="OXC349" s="50"/>
      <c r="OXD349" s="50"/>
      <c r="OXE349" s="50"/>
      <c r="OXF349" s="50"/>
      <c r="OXG349" s="50"/>
      <c r="OXH349" s="50"/>
      <c r="OXI349" s="50"/>
      <c r="OXJ349" s="50"/>
      <c r="OXK349" s="50"/>
      <c r="OXL349" s="50"/>
      <c r="OXM349" s="50"/>
      <c r="OXN349" s="50"/>
      <c r="OXO349" s="50"/>
      <c r="OXP349" s="50"/>
      <c r="OXQ349" s="50"/>
      <c r="OXR349" s="50"/>
      <c r="OXS349" s="50"/>
      <c r="OXT349" s="50"/>
      <c r="OXU349" s="50"/>
      <c r="OXV349" s="50"/>
      <c r="OXW349" s="50"/>
      <c r="OXX349" s="50"/>
      <c r="OXY349" s="50"/>
      <c r="OXZ349" s="50"/>
      <c r="OYA349" s="50"/>
      <c r="OYB349" s="50"/>
      <c r="OYC349" s="50"/>
      <c r="OYD349" s="50"/>
      <c r="OYE349" s="50"/>
      <c r="OYF349" s="50"/>
      <c r="OYG349" s="50"/>
      <c r="OYH349" s="50"/>
      <c r="OYI349" s="50"/>
      <c r="OYJ349" s="50"/>
      <c r="OYK349" s="50"/>
      <c r="OYL349" s="50"/>
      <c r="OYM349" s="50"/>
      <c r="OYN349" s="50"/>
      <c r="OYO349" s="50"/>
      <c r="OYP349" s="50"/>
      <c r="OYQ349" s="50"/>
      <c r="OYR349" s="50"/>
      <c r="OYS349" s="50"/>
      <c r="OYT349" s="50"/>
      <c r="OYU349" s="50"/>
      <c r="OYV349" s="50"/>
      <c r="OYW349" s="50"/>
      <c r="OYX349" s="50"/>
      <c r="OYY349" s="50"/>
      <c r="OYZ349" s="50"/>
      <c r="OZA349" s="50"/>
      <c r="OZB349" s="50"/>
      <c r="OZC349" s="50"/>
      <c r="OZD349" s="50"/>
      <c r="OZE349" s="50"/>
      <c r="OZF349" s="50"/>
      <c r="OZG349" s="50"/>
      <c r="OZH349" s="50"/>
      <c r="OZI349" s="50"/>
      <c r="OZJ349" s="50"/>
      <c r="OZK349" s="50"/>
      <c r="OZL349" s="50"/>
      <c r="OZM349" s="50"/>
      <c r="OZN349" s="50"/>
      <c r="OZO349" s="50"/>
      <c r="OZP349" s="50"/>
      <c r="OZQ349" s="50"/>
      <c r="OZR349" s="50"/>
      <c r="OZS349" s="50"/>
      <c r="OZT349" s="50"/>
      <c r="OZU349" s="50"/>
      <c r="OZV349" s="50"/>
      <c r="OZW349" s="50"/>
      <c r="OZX349" s="50"/>
      <c r="OZY349" s="50"/>
      <c r="OZZ349" s="50"/>
      <c r="PAA349" s="50"/>
      <c r="PAB349" s="50"/>
      <c r="PAC349" s="50"/>
      <c r="PAD349" s="50"/>
      <c r="PAE349" s="50"/>
      <c r="PAF349" s="50"/>
      <c r="PAG349" s="50"/>
      <c r="PAH349" s="50"/>
      <c r="PAI349" s="50"/>
      <c r="PAJ349" s="50"/>
      <c r="PAK349" s="50"/>
      <c r="PAL349" s="50"/>
      <c r="PAM349" s="50"/>
      <c r="PAN349" s="50"/>
      <c r="PAO349" s="50"/>
      <c r="PAP349" s="50"/>
      <c r="PAQ349" s="50"/>
      <c r="PAR349" s="50"/>
      <c r="PAS349" s="50"/>
      <c r="PAT349" s="50"/>
      <c r="PAU349" s="50"/>
      <c r="PAV349" s="50"/>
      <c r="PAW349" s="50"/>
      <c r="PAX349" s="50"/>
      <c r="PAY349" s="50"/>
      <c r="PAZ349" s="50"/>
      <c r="PBA349" s="50"/>
      <c r="PBB349" s="50"/>
      <c r="PBC349" s="50"/>
      <c r="PBD349" s="50"/>
      <c r="PBE349" s="50"/>
      <c r="PBF349" s="50"/>
      <c r="PBG349" s="50"/>
      <c r="PBH349" s="50"/>
      <c r="PBI349" s="50"/>
      <c r="PBJ349" s="50"/>
      <c r="PBK349" s="50"/>
      <c r="PBL349" s="50"/>
      <c r="PBM349" s="50"/>
      <c r="PBN349" s="50"/>
      <c r="PBO349" s="50"/>
      <c r="PBP349" s="50"/>
      <c r="PBQ349" s="50"/>
      <c r="PBR349" s="50"/>
      <c r="PBS349" s="50"/>
      <c r="PBT349" s="50"/>
      <c r="PBU349" s="50"/>
      <c r="PBV349" s="50"/>
      <c r="PBW349" s="50"/>
      <c r="PBX349" s="50"/>
      <c r="PBY349" s="50"/>
      <c r="PBZ349" s="50"/>
      <c r="PCA349" s="50"/>
      <c r="PCB349" s="50"/>
      <c r="PCC349" s="50"/>
      <c r="PCD349" s="50"/>
      <c r="PCE349" s="50"/>
      <c r="PCF349" s="50"/>
      <c r="PCG349" s="50"/>
      <c r="PCH349" s="50"/>
      <c r="PCI349" s="50"/>
      <c r="PCJ349" s="50"/>
      <c r="PCK349" s="50"/>
      <c r="PCL349" s="50"/>
      <c r="PCM349" s="50"/>
      <c r="PCN349" s="50"/>
      <c r="PCO349" s="50"/>
      <c r="PCP349" s="50"/>
      <c r="PCQ349" s="50"/>
      <c r="PCR349" s="50"/>
      <c r="PCS349" s="50"/>
      <c r="PCT349" s="50"/>
      <c r="PCU349" s="50"/>
      <c r="PCV349" s="50"/>
      <c r="PCW349" s="50"/>
      <c r="PCX349" s="50"/>
      <c r="PCY349" s="50"/>
      <c r="PCZ349" s="50"/>
      <c r="PDA349" s="50"/>
      <c r="PDB349" s="50"/>
      <c r="PDC349" s="50"/>
      <c r="PDD349" s="50"/>
      <c r="PDE349" s="50"/>
      <c r="PDF349" s="50"/>
      <c r="PDG349" s="50"/>
      <c r="PDH349" s="50"/>
      <c r="PDI349" s="50"/>
      <c r="PDJ349" s="50"/>
      <c r="PDK349" s="50"/>
      <c r="PDL349" s="50"/>
      <c r="PDM349" s="50"/>
      <c r="PDN349" s="50"/>
      <c r="PDO349" s="50"/>
      <c r="PDP349" s="50"/>
      <c r="PDQ349" s="50"/>
      <c r="PDR349" s="50"/>
      <c r="PDS349" s="50"/>
      <c r="PDT349" s="50"/>
      <c r="PDU349" s="50"/>
      <c r="PDV349" s="50"/>
      <c r="PDW349" s="50"/>
      <c r="PDX349" s="50"/>
      <c r="PDY349" s="50"/>
      <c r="PDZ349" s="50"/>
      <c r="PEA349" s="50"/>
      <c r="PEB349" s="50"/>
      <c r="PEC349" s="50"/>
      <c r="PED349" s="50"/>
      <c r="PEE349" s="50"/>
      <c r="PEF349" s="50"/>
      <c r="PEG349" s="50"/>
      <c r="PEH349" s="50"/>
      <c r="PEI349" s="50"/>
      <c r="PEJ349" s="50"/>
      <c r="PEK349" s="50"/>
      <c r="PEL349" s="50"/>
      <c r="PEM349" s="50"/>
      <c r="PEN349" s="50"/>
      <c r="PEO349" s="50"/>
      <c r="PEP349" s="50"/>
      <c r="PEQ349" s="50"/>
      <c r="PER349" s="50"/>
      <c r="PES349" s="50"/>
      <c r="PET349" s="50"/>
      <c r="PEU349" s="50"/>
      <c r="PEV349" s="50"/>
      <c r="PEW349" s="50"/>
      <c r="PEX349" s="50"/>
      <c r="PEY349" s="50"/>
      <c r="PEZ349" s="50"/>
      <c r="PFA349" s="50"/>
      <c r="PFB349" s="50"/>
      <c r="PFC349" s="50"/>
      <c r="PFD349" s="50"/>
      <c r="PFE349" s="50"/>
      <c r="PFF349" s="50"/>
      <c r="PFG349" s="50"/>
      <c r="PFH349" s="50"/>
      <c r="PFI349" s="50"/>
      <c r="PFJ349" s="50"/>
      <c r="PFK349" s="50"/>
      <c r="PFL349" s="50"/>
      <c r="PFM349" s="50"/>
      <c r="PFN349" s="50"/>
      <c r="PFO349" s="50"/>
      <c r="PFP349" s="50"/>
      <c r="PFQ349" s="50"/>
      <c r="PFR349" s="50"/>
      <c r="PFS349" s="50"/>
      <c r="PFT349" s="50"/>
      <c r="PFU349" s="50"/>
      <c r="PFV349" s="50"/>
      <c r="PFW349" s="50"/>
      <c r="PFX349" s="50"/>
      <c r="PFY349" s="50"/>
      <c r="PFZ349" s="50"/>
      <c r="PGA349" s="50"/>
      <c r="PGB349" s="50"/>
      <c r="PGC349" s="50"/>
      <c r="PGD349" s="50"/>
      <c r="PGE349" s="50"/>
      <c r="PGF349" s="50"/>
      <c r="PGG349" s="50"/>
      <c r="PGH349" s="50"/>
      <c r="PGI349" s="50"/>
      <c r="PGJ349" s="50"/>
      <c r="PGK349" s="50"/>
      <c r="PGL349" s="50"/>
      <c r="PGM349" s="50"/>
      <c r="PGN349" s="50"/>
      <c r="PGO349" s="50"/>
      <c r="PGP349" s="50"/>
      <c r="PGQ349" s="50"/>
      <c r="PGR349" s="50"/>
      <c r="PGS349" s="50"/>
      <c r="PGT349" s="50"/>
      <c r="PGU349" s="50"/>
      <c r="PGV349" s="50"/>
      <c r="PGW349" s="50"/>
      <c r="PGX349" s="50"/>
      <c r="PGY349" s="50"/>
      <c r="PGZ349" s="50"/>
      <c r="PHA349" s="50"/>
      <c r="PHB349" s="50"/>
      <c r="PHC349" s="50"/>
      <c r="PHD349" s="50"/>
      <c r="PHE349" s="50"/>
      <c r="PHF349" s="50"/>
      <c r="PHG349" s="50"/>
      <c r="PHH349" s="50"/>
      <c r="PHI349" s="50"/>
      <c r="PHJ349" s="50"/>
      <c r="PHK349" s="50"/>
      <c r="PHL349" s="50"/>
      <c r="PHM349" s="50"/>
      <c r="PHN349" s="50"/>
      <c r="PHO349" s="50"/>
      <c r="PHP349" s="50"/>
      <c r="PHQ349" s="50"/>
      <c r="PHR349" s="50"/>
      <c r="PHS349" s="50"/>
      <c r="PHT349" s="50"/>
      <c r="PHU349" s="50"/>
      <c r="PHV349" s="50"/>
      <c r="PHW349" s="50"/>
      <c r="PHX349" s="50"/>
      <c r="PHY349" s="50"/>
      <c r="PHZ349" s="50"/>
      <c r="PIA349" s="50"/>
      <c r="PIB349" s="50"/>
      <c r="PIC349" s="50"/>
      <c r="PID349" s="50"/>
      <c r="PIE349" s="50"/>
      <c r="PIF349" s="50"/>
      <c r="PIG349" s="50"/>
      <c r="PIH349" s="50"/>
      <c r="PII349" s="50"/>
      <c r="PIJ349" s="50"/>
      <c r="PIK349" s="50"/>
      <c r="PIL349" s="50"/>
      <c r="PIM349" s="50"/>
      <c r="PIN349" s="50"/>
      <c r="PIO349" s="50"/>
      <c r="PIP349" s="50"/>
      <c r="PIQ349" s="50"/>
      <c r="PIR349" s="50"/>
      <c r="PIS349" s="50"/>
      <c r="PIT349" s="50"/>
      <c r="PIU349" s="50"/>
      <c r="PIV349" s="50"/>
      <c r="PIW349" s="50"/>
      <c r="PIX349" s="50"/>
      <c r="PIY349" s="50"/>
      <c r="PIZ349" s="50"/>
      <c r="PJA349" s="50"/>
      <c r="PJB349" s="50"/>
      <c r="PJC349" s="50"/>
      <c r="PJD349" s="50"/>
      <c r="PJE349" s="50"/>
      <c r="PJF349" s="50"/>
      <c r="PJG349" s="50"/>
      <c r="PJH349" s="50"/>
      <c r="PJI349" s="50"/>
      <c r="PJJ349" s="50"/>
      <c r="PJK349" s="50"/>
      <c r="PJL349" s="50"/>
      <c r="PJM349" s="50"/>
      <c r="PJN349" s="50"/>
      <c r="PJO349" s="50"/>
      <c r="PJP349" s="50"/>
      <c r="PJQ349" s="50"/>
      <c r="PJR349" s="50"/>
      <c r="PJS349" s="50"/>
      <c r="PJT349" s="50"/>
      <c r="PJU349" s="50"/>
      <c r="PJV349" s="50"/>
      <c r="PJW349" s="50"/>
      <c r="PJX349" s="50"/>
      <c r="PJY349" s="50"/>
      <c r="PJZ349" s="50"/>
      <c r="PKA349" s="50"/>
      <c r="PKB349" s="50"/>
      <c r="PKC349" s="50"/>
      <c r="PKD349" s="50"/>
      <c r="PKE349" s="50"/>
      <c r="PKF349" s="50"/>
      <c r="PKG349" s="50"/>
      <c r="PKH349" s="50"/>
      <c r="PKI349" s="50"/>
      <c r="PKJ349" s="50"/>
      <c r="PKK349" s="50"/>
      <c r="PKL349" s="50"/>
      <c r="PKM349" s="50"/>
      <c r="PKN349" s="50"/>
      <c r="PKO349" s="50"/>
      <c r="PKP349" s="50"/>
      <c r="PKQ349" s="50"/>
      <c r="PKR349" s="50"/>
      <c r="PKS349" s="50"/>
      <c r="PKT349" s="50"/>
      <c r="PKU349" s="50"/>
      <c r="PKV349" s="50"/>
      <c r="PKW349" s="50"/>
      <c r="PKX349" s="50"/>
      <c r="PKY349" s="50"/>
      <c r="PKZ349" s="50"/>
      <c r="PLA349" s="50"/>
      <c r="PLB349" s="50"/>
      <c r="PLC349" s="50"/>
      <c r="PLD349" s="50"/>
      <c r="PLE349" s="50"/>
      <c r="PLF349" s="50"/>
      <c r="PLG349" s="50"/>
      <c r="PLH349" s="50"/>
      <c r="PLI349" s="50"/>
      <c r="PLJ349" s="50"/>
      <c r="PLK349" s="50"/>
      <c r="PLL349" s="50"/>
      <c r="PLM349" s="50"/>
      <c r="PLN349" s="50"/>
      <c r="PLO349" s="50"/>
      <c r="PLP349" s="50"/>
      <c r="PLQ349" s="50"/>
      <c r="PLR349" s="50"/>
      <c r="PLS349" s="50"/>
      <c r="PLT349" s="50"/>
      <c r="PLU349" s="50"/>
      <c r="PLV349" s="50"/>
      <c r="PLW349" s="50"/>
      <c r="PLX349" s="50"/>
      <c r="PLY349" s="50"/>
      <c r="PLZ349" s="50"/>
      <c r="PMA349" s="50"/>
      <c r="PMB349" s="50"/>
      <c r="PMC349" s="50"/>
      <c r="PMD349" s="50"/>
      <c r="PME349" s="50"/>
      <c r="PMF349" s="50"/>
      <c r="PMG349" s="50"/>
      <c r="PMH349" s="50"/>
      <c r="PMI349" s="50"/>
      <c r="PMJ349" s="50"/>
      <c r="PMK349" s="50"/>
      <c r="PML349" s="50"/>
      <c r="PMM349" s="50"/>
      <c r="PMN349" s="50"/>
      <c r="PMO349" s="50"/>
      <c r="PMP349" s="50"/>
      <c r="PMQ349" s="50"/>
      <c r="PMR349" s="50"/>
      <c r="PMS349" s="50"/>
      <c r="PMT349" s="50"/>
      <c r="PMU349" s="50"/>
      <c r="PMV349" s="50"/>
      <c r="PMW349" s="50"/>
      <c r="PMX349" s="50"/>
      <c r="PMY349" s="50"/>
      <c r="PMZ349" s="50"/>
      <c r="PNA349" s="50"/>
      <c r="PNB349" s="50"/>
      <c r="PNC349" s="50"/>
      <c r="PND349" s="50"/>
      <c r="PNE349" s="50"/>
      <c r="PNF349" s="50"/>
      <c r="PNG349" s="50"/>
      <c r="PNH349" s="50"/>
      <c r="PNI349" s="50"/>
      <c r="PNJ349" s="50"/>
      <c r="PNK349" s="50"/>
      <c r="PNL349" s="50"/>
      <c r="PNM349" s="50"/>
      <c r="PNN349" s="50"/>
      <c r="PNO349" s="50"/>
      <c r="PNP349" s="50"/>
      <c r="PNQ349" s="50"/>
      <c r="PNR349" s="50"/>
      <c r="PNS349" s="50"/>
      <c r="PNT349" s="50"/>
      <c r="PNU349" s="50"/>
      <c r="PNV349" s="50"/>
      <c r="PNW349" s="50"/>
      <c r="PNX349" s="50"/>
      <c r="PNY349" s="50"/>
      <c r="PNZ349" s="50"/>
      <c r="POA349" s="50"/>
      <c r="POB349" s="50"/>
      <c r="POC349" s="50"/>
      <c r="POD349" s="50"/>
      <c r="POE349" s="50"/>
      <c r="POF349" s="50"/>
      <c r="POG349" s="50"/>
      <c r="POH349" s="50"/>
      <c r="POI349" s="50"/>
      <c r="POJ349" s="50"/>
      <c r="POK349" s="50"/>
      <c r="POL349" s="50"/>
      <c r="POM349" s="50"/>
      <c r="PON349" s="50"/>
      <c r="POO349" s="50"/>
      <c r="POP349" s="50"/>
      <c r="POQ349" s="50"/>
      <c r="POR349" s="50"/>
      <c r="POS349" s="50"/>
      <c r="POT349" s="50"/>
      <c r="POU349" s="50"/>
      <c r="POV349" s="50"/>
      <c r="POW349" s="50"/>
      <c r="POX349" s="50"/>
      <c r="POY349" s="50"/>
      <c r="POZ349" s="50"/>
      <c r="PPA349" s="50"/>
      <c r="PPB349" s="50"/>
      <c r="PPC349" s="50"/>
      <c r="PPD349" s="50"/>
      <c r="PPE349" s="50"/>
      <c r="PPF349" s="50"/>
      <c r="PPG349" s="50"/>
      <c r="PPH349" s="50"/>
      <c r="PPI349" s="50"/>
      <c r="PPJ349" s="50"/>
      <c r="PPK349" s="50"/>
      <c r="PPL349" s="50"/>
      <c r="PPM349" s="50"/>
      <c r="PPN349" s="50"/>
      <c r="PPO349" s="50"/>
      <c r="PPP349" s="50"/>
      <c r="PPQ349" s="50"/>
      <c r="PPR349" s="50"/>
      <c r="PPS349" s="50"/>
      <c r="PPT349" s="50"/>
      <c r="PPU349" s="50"/>
      <c r="PPV349" s="50"/>
      <c r="PPW349" s="50"/>
      <c r="PPX349" s="50"/>
      <c r="PPY349" s="50"/>
      <c r="PPZ349" s="50"/>
      <c r="PQA349" s="50"/>
      <c r="PQB349" s="50"/>
      <c r="PQC349" s="50"/>
      <c r="PQD349" s="50"/>
      <c r="PQE349" s="50"/>
      <c r="PQF349" s="50"/>
      <c r="PQG349" s="50"/>
      <c r="PQH349" s="50"/>
      <c r="PQI349" s="50"/>
      <c r="PQJ349" s="50"/>
      <c r="PQK349" s="50"/>
      <c r="PQL349" s="50"/>
      <c r="PQM349" s="50"/>
      <c r="PQN349" s="50"/>
      <c r="PQO349" s="50"/>
      <c r="PQP349" s="50"/>
      <c r="PQQ349" s="50"/>
      <c r="PQR349" s="50"/>
      <c r="PQS349" s="50"/>
      <c r="PQT349" s="50"/>
      <c r="PQU349" s="50"/>
      <c r="PQV349" s="50"/>
      <c r="PQW349" s="50"/>
      <c r="PQX349" s="50"/>
      <c r="PQY349" s="50"/>
      <c r="PQZ349" s="50"/>
      <c r="PRA349" s="50"/>
      <c r="PRB349" s="50"/>
      <c r="PRC349" s="50"/>
      <c r="PRD349" s="50"/>
      <c r="PRE349" s="50"/>
      <c r="PRF349" s="50"/>
      <c r="PRG349" s="50"/>
      <c r="PRH349" s="50"/>
      <c r="PRI349" s="50"/>
      <c r="PRJ349" s="50"/>
      <c r="PRK349" s="50"/>
      <c r="PRL349" s="50"/>
      <c r="PRM349" s="50"/>
      <c r="PRN349" s="50"/>
      <c r="PRO349" s="50"/>
      <c r="PRP349" s="50"/>
      <c r="PRQ349" s="50"/>
      <c r="PRR349" s="50"/>
      <c r="PRS349" s="50"/>
      <c r="PRT349" s="50"/>
      <c r="PRU349" s="50"/>
      <c r="PRV349" s="50"/>
      <c r="PRW349" s="50"/>
      <c r="PRX349" s="50"/>
      <c r="PRY349" s="50"/>
      <c r="PRZ349" s="50"/>
      <c r="PSA349" s="50"/>
      <c r="PSB349" s="50"/>
      <c r="PSC349" s="50"/>
      <c r="PSD349" s="50"/>
      <c r="PSE349" s="50"/>
      <c r="PSF349" s="50"/>
      <c r="PSG349" s="50"/>
      <c r="PSH349" s="50"/>
      <c r="PSI349" s="50"/>
      <c r="PSJ349" s="50"/>
      <c r="PSK349" s="50"/>
      <c r="PSL349" s="50"/>
      <c r="PSM349" s="50"/>
      <c r="PSN349" s="50"/>
      <c r="PSO349" s="50"/>
      <c r="PSP349" s="50"/>
      <c r="PSQ349" s="50"/>
      <c r="PSR349" s="50"/>
      <c r="PSS349" s="50"/>
      <c r="PST349" s="50"/>
      <c r="PSU349" s="50"/>
      <c r="PSV349" s="50"/>
      <c r="PSW349" s="50"/>
      <c r="PSX349" s="50"/>
      <c r="PSY349" s="50"/>
      <c r="PSZ349" s="50"/>
      <c r="PTA349" s="50"/>
      <c r="PTB349" s="50"/>
      <c r="PTC349" s="50"/>
      <c r="PTD349" s="50"/>
      <c r="PTE349" s="50"/>
      <c r="PTF349" s="50"/>
      <c r="PTG349" s="50"/>
      <c r="PTH349" s="50"/>
      <c r="PTI349" s="50"/>
      <c r="PTJ349" s="50"/>
      <c r="PTK349" s="50"/>
      <c r="PTL349" s="50"/>
      <c r="PTM349" s="50"/>
      <c r="PTN349" s="50"/>
      <c r="PTO349" s="50"/>
      <c r="PTP349" s="50"/>
      <c r="PTQ349" s="50"/>
      <c r="PTR349" s="50"/>
      <c r="PTS349" s="50"/>
      <c r="PTT349" s="50"/>
      <c r="PTU349" s="50"/>
      <c r="PTV349" s="50"/>
      <c r="PTW349" s="50"/>
      <c r="PTX349" s="50"/>
      <c r="PTY349" s="50"/>
      <c r="PTZ349" s="50"/>
      <c r="PUA349" s="50"/>
      <c r="PUB349" s="50"/>
      <c r="PUC349" s="50"/>
      <c r="PUD349" s="50"/>
      <c r="PUE349" s="50"/>
      <c r="PUF349" s="50"/>
      <c r="PUG349" s="50"/>
      <c r="PUH349" s="50"/>
      <c r="PUI349" s="50"/>
      <c r="PUJ349" s="50"/>
      <c r="PUK349" s="50"/>
      <c r="PUL349" s="50"/>
      <c r="PUM349" s="50"/>
      <c r="PUN349" s="50"/>
      <c r="PUO349" s="50"/>
      <c r="PUP349" s="50"/>
      <c r="PUQ349" s="50"/>
      <c r="PUR349" s="50"/>
      <c r="PUS349" s="50"/>
      <c r="PUT349" s="50"/>
      <c r="PUU349" s="50"/>
      <c r="PUV349" s="50"/>
      <c r="PUW349" s="50"/>
      <c r="PUX349" s="50"/>
      <c r="PUY349" s="50"/>
      <c r="PUZ349" s="50"/>
      <c r="PVA349" s="50"/>
      <c r="PVB349" s="50"/>
      <c r="PVC349" s="50"/>
      <c r="PVD349" s="50"/>
      <c r="PVE349" s="50"/>
      <c r="PVF349" s="50"/>
      <c r="PVG349" s="50"/>
      <c r="PVH349" s="50"/>
      <c r="PVI349" s="50"/>
      <c r="PVJ349" s="50"/>
      <c r="PVK349" s="50"/>
      <c r="PVL349" s="50"/>
      <c r="PVM349" s="50"/>
      <c r="PVN349" s="50"/>
      <c r="PVO349" s="50"/>
      <c r="PVP349" s="50"/>
      <c r="PVQ349" s="50"/>
      <c r="PVR349" s="50"/>
      <c r="PVS349" s="50"/>
      <c r="PVT349" s="50"/>
      <c r="PVU349" s="50"/>
      <c r="PVV349" s="50"/>
      <c r="PVW349" s="50"/>
      <c r="PVX349" s="50"/>
      <c r="PVY349" s="50"/>
      <c r="PVZ349" s="50"/>
      <c r="PWA349" s="50"/>
      <c r="PWB349" s="50"/>
      <c r="PWC349" s="50"/>
      <c r="PWD349" s="50"/>
      <c r="PWE349" s="50"/>
      <c r="PWF349" s="50"/>
      <c r="PWG349" s="50"/>
      <c r="PWH349" s="50"/>
      <c r="PWI349" s="50"/>
      <c r="PWJ349" s="50"/>
      <c r="PWK349" s="50"/>
      <c r="PWL349" s="50"/>
      <c r="PWM349" s="50"/>
      <c r="PWN349" s="50"/>
      <c r="PWO349" s="50"/>
      <c r="PWP349" s="50"/>
      <c r="PWQ349" s="50"/>
      <c r="PWR349" s="50"/>
      <c r="PWS349" s="50"/>
      <c r="PWT349" s="50"/>
      <c r="PWU349" s="50"/>
      <c r="PWV349" s="50"/>
      <c r="PWW349" s="50"/>
      <c r="PWX349" s="50"/>
      <c r="PWY349" s="50"/>
      <c r="PWZ349" s="50"/>
      <c r="PXA349" s="50"/>
      <c r="PXB349" s="50"/>
      <c r="PXC349" s="50"/>
      <c r="PXD349" s="50"/>
      <c r="PXE349" s="50"/>
      <c r="PXF349" s="50"/>
      <c r="PXG349" s="50"/>
      <c r="PXH349" s="50"/>
      <c r="PXI349" s="50"/>
      <c r="PXJ349" s="50"/>
      <c r="PXK349" s="50"/>
      <c r="PXL349" s="50"/>
      <c r="PXM349" s="50"/>
      <c r="PXN349" s="50"/>
      <c r="PXO349" s="50"/>
      <c r="PXP349" s="50"/>
      <c r="PXQ349" s="50"/>
      <c r="PXR349" s="50"/>
      <c r="PXS349" s="50"/>
      <c r="PXT349" s="50"/>
      <c r="PXU349" s="50"/>
      <c r="PXV349" s="50"/>
      <c r="PXW349" s="50"/>
      <c r="PXX349" s="50"/>
      <c r="PXY349" s="50"/>
      <c r="PXZ349" s="50"/>
      <c r="PYA349" s="50"/>
      <c r="PYB349" s="50"/>
      <c r="PYC349" s="50"/>
      <c r="PYD349" s="50"/>
      <c r="PYE349" s="50"/>
      <c r="PYF349" s="50"/>
      <c r="PYG349" s="50"/>
      <c r="PYH349" s="50"/>
      <c r="PYI349" s="50"/>
      <c r="PYJ349" s="50"/>
      <c r="PYK349" s="50"/>
      <c r="PYL349" s="50"/>
      <c r="PYM349" s="50"/>
      <c r="PYN349" s="50"/>
      <c r="PYO349" s="50"/>
      <c r="PYP349" s="50"/>
      <c r="PYQ349" s="50"/>
      <c r="PYR349" s="50"/>
      <c r="PYS349" s="50"/>
      <c r="PYT349" s="50"/>
      <c r="PYU349" s="50"/>
      <c r="PYV349" s="50"/>
      <c r="PYW349" s="50"/>
      <c r="PYX349" s="50"/>
      <c r="PYY349" s="50"/>
      <c r="PYZ349" s="50"/>
      <c r="PZA349" s="50"/>
      <c r="PZB349" s="50"/>
      <c r="PZC349" s="50"/>
      <c r="PZD349" s="50"/>
      <c r="PZE349" s="50"/>
      <c r="PZF349" s="50"/>
      <c r="PZG349" s="50"/>
      <c r="PZH349" s="50"/>
      <c r="PZI349" s="50"/>
      <c r="PZJ349" s="50"/>
      <c r="PZK349" s="50"/>
      <c r="PZL349" s="50"/>
      <c r="PZM349" s="50"/>
      <c r="PZN349" s="50"/>
      <c r="PZO349" s="50"/>
      <c r="PZP349" s="50"/>
      <c r="PZQ349" s="50"/>
      <c r="PZR349" s="50"/>
      <c r="PZS349" s="50"/>
      <c r="PZT349" s="50"/>
      <c r="PZU349" s="50"/>
      <c r="PZV349" s="50"/>
      <c r="PZW349" s="50"/>
      <c r="PZX349" s="50"/>
      <c r="PZY349" s="50"/>
      <c r="PZZ349" s="50"/>
      <c r="QAA349" s="50"/>
      <c r="QAB349" s="50"/>
      <c r="QAC349" s="50"/>
      <c r="QAD349" s="50"/>
      <c r="QAE349" s="50"/>
      <c r="QAF349" s="50"/>
      <c r="QAG349" s="50"/>
      <c r="QAH349" s="50"/>
      <c r="QAI349" s="50"/>
      <c r="QAJ349" s="50"/>
      <c r="QAK349" s="50"/>
      <c r="QAL349" s="50"/>
      <c r="QAM349" s="50"/>
      <c r="QAN349" s="50"/>
      <c r="QAO349" s="50"/>
      <c r="QAP349" s="50"/>
      <c r="QAQ349" s="50"/>
      <c r="QAR349" s="50"/>
      <c r="QAS349" s="50"/>
      <c r="QAT349" s="50"/>
      <c r="QAU349" s="50"/>
      <c r="QAV349" s="50"/>
      <c r="QAW349" s="50"/>
      <c r="QAX349" s="50"/>
      <c r="QAY349" s="50"/>
      <c r="QAZ349" s="50"/>
      <c r="QBA349" s="50"/>
      <c r="QBB349" s="50"/>
      <c r="QBC349" s="50"/>
      <c r="QBD349" s="50"/>
      <c r="QBE349" s="50"/>
      <c r="QBF349" s="50"/>
      <c r="QBG349" s="50"/>
      <c r="QBH349" s="50"/>
      <c r="QBI349" s="50"/>
      <c r="QBJ349" s="50"/>
      <c r="QBK349" s="50"/>
      <c r="QBL349" s="50"/>
      <c r="QBM349" s="50"/>
      <c r="QBN349" s="50"/>
      <c r="QBO349" s="50"/>
      <c r="QBP349" s="50"/>
      <c r="QBQ349" s="50"/>
      <c r="QBR349" s="50"/>
      <c r="QBS349" s="50"/>
      <c r="QBT349" s="50"/>
      <c r="QBU349" s="50"/>
      <c r="QBV349" s="50"/>
      <c r="QBW349" s="50"/>
      <c r="QBX349" s="50"/>
      <c r="QBY349" s="50"/>
      <c r="QBZ349" s="50"/>
      <c r="QCA349" s="50"/>
      <c r="QCB349" s="50"/>
      <c r="QCC349" s="50"/>
      <c r="QCD349" s="50"/>
      <c r="QCE349" s="50"/>
      <c r="QCF349" s="50"/>
      <c r="QCG349" s="50"/>
      <c r="QCH349" s="50"/>
      <c r="QCI349" s="50"/>
      <c r="QCJ349" s="50"/>
      <c r="QCK349" s="50"/>
      <c r="QCL349" s="50"/>
      <c r="QCM349" s="50"/>
      <c r="QCN349" s="50"/>
      <c r="QCO349" s="50"/>
      <c r="QCP349" s="50"/>
      <c r="QCQ349" s="50"/>
      <c r="QCR349" s="50"/>
      <c r="QCS349" s="50"/>
      <c r="QCT349" s="50"/>
      <c r="QCU349" s="50"/>
      <c r="QCV349" s="50"/>
      <c r="QCW349" s="50"/>
      <c r="QCX349" s="50"/>
      <c r="QCY349" s="50"/>
      <c r="QCZ349" s="50"/>
      <c r="QDA349" s="50"/>
      <c r="QDB349" s="50"/>
      <c r="QDC349" s="50"/>
      <c r="QDD349" s="50"/>
      <c r="QDE349" s="50"/>
      <c r="QDF349" s="50"/>
      <c r="QDG349" s="50"/>
      <c r="QDH349" s="50"/>
      <c r="QDI349" s="50"/>
      <c r="QDJ349" s="50"/>
      <c r="QDK349" s="50"/>
      <c r="QDL349" s="50"/>
      <c r="QDM349" s="50"/>
      <c r="QDN349" s="50"/>
      <c r="QDO349" s="50"/>
      <c r="QDP349" s="50"/>
      <c r="QDQ349" s="50"/>
      <c r="QDR349" s="50"/>
      <c r="QDS349" s="50"/>
      <c r="QDT349" s="50"/>
      <c r="QDU349" s="50"/>
      <c r="QDV349" s="50"/>
      <c r="QDW349" s="50"/>
      <c r="QDX349" s="50"/>
      <c r="QDY349" s="50"/>
      <c r="QDZ349" s="50"/>
      <c r="QEA349" s="50"/>
      <c r="QEB349" s="50"/>
      <c r="QEC349" s="50"/>
      <c r="QED349" s="50"/>
      <c r="QEE349" s="50"/>
      <c r="QEF349" s="50"/>
      <c r="QEG349" s="50"/>
      <c r="QEH349" s="50"/>
      <c r="QEI349" s="50"/>
      <c r="QEJ349" s="50"/>
      <c r="QEK349" s="50"/>
      <c r="QEL349" s="50"/>
      <c r="QEM349" s="50"/>
      <c r="QEN349" s="50"/>
      <c r="QEO349" s="50"/>
      <c r="QEP349" s="50"/>
      <c r="QEQ349" s="50"/>
      <c r="QER349" s="50"/>
      <c r="QES349" s="50"/>
      <c r="QET349" s="50"/>
      <c r="QEU349" s="50"/>
      <c r="QEV349" s="50"/>
      <c r="QEW349" s="50"/>
      <c r="QEX349" s="50"/>
      <c r="QEY349" s="50"/>
      <c r="QEZ349" s="50"/>
      <c r="QFA349" s="50"/>
      <c r="QFB349" s="50"/>
      <c r="QFC349" s="50"/>
      <c r="QFD349" s="50"/>
      <c r="QFE349" s="50"/>
      <c r="QFF349" s="50"/>
      <c r="QFG349" s="50"/>
      <c r="QFH349" s="50"/>
      <c r="QFI349" s="50"/>
      <c r="QFJ349" s="50"/>
      <c r="QFK349" s="50"/>
      <c r="QFL349" s="50"/>
      <c r="QFM349" s="50"/>
      <c r="QFN349" s="50"/>
      <c r="QFO349" s="50"/>
      <c r="QFP349" s="50"/>
      <c r="QFQ349" s="50"/>
      <c r="QFR349" s="50"/>
      <c r="QFS349" s="50"/>
      <c r="QFT349" s="50"/>
      <c r="QFU349" s="50"/>
      <c r="QFV349" s="50"/>
      <c r="QFW349" s="50"/>
      <c r="QFX349" s="50"/>
      <c r="QFY349" s="50"/>
      <c r="QFZ349" s="50"/>
      <c r="QGA349" s="50"/>
      <c r="QGB349" s="50"/>
      <c r="QGC349" s="50"/>
      <c r="QGD349" s="50"/>
      <c r="QGE349" s="50"/>
      <c r="QGF349" s="50"/>
      <c r="QGG349" s="50"/>
      <c r="QGH349" s="50"/>
      <c r="QGI349" s="50"/>
      <c r="QGJ349" s="50"/>
      <c r="QGK349" s="50"/>
      <c r="QGL349" s="50"/>
      <c r="QGM349" s="50"/>
      <c r="QGN349" s="50"/>
      <c r="QGO349" s="50"/>
      <c r="QGP349" s="50"/>
      <c r="QGQ349" s="50"/>
      <c r="QGR349" s="50"/>
      <c r="QGS349" s="50"/>
      <c r="QGT349" s="50"/>
      <c r="QGU349" s="50"/>
      <c r="QGV349" s="50"/>
      <c r="QGW349" s="50"/>
      <c r="QGX349" s="50"/>
      <c r="QGY349" s="50"/>
      <c r="QGZ349" s="50"/>
      <c r="QHA349" s="50"/>
      <c r="QHB349" s="50"/>
      <c r="QHC349" s="50"/>
      <c r="QHD349" s="50"/>
      <c r="QHE349" s="50"/>
      <c r="QHF349" s="50"/>
      <c r="QHG349" s="50"/>
      <c r="QHH349" s="50"/>
      <c r="QHI349" s="50"/>
      <c r="QHJ349" s="50"/>
      <c r="QHK349" s="50"/>
      <c r="QHL349" s="50"/>
      <c r="QHM349" s="50"/>
      <c r="QHN349" s="50"/>
      <c r="QHO349" s="50"/>
      <c r="QHP349" s="50"/>
      <c r="QHQ349" s="50"/>
      <c r="QHR349" s="50"/>
      <c r="QHS349" s="50"/>
      <c r="QHT349" s="50"/>
      <c r="QHU349" s="50"/>
      <c r="QHV349" s="50"/>
      <c r="QHW349" s="50"/>
      <c r="QHX349" s="50"/>
      <c r="QHY349" s="50"/>
      <c r="QHZ349" s="50"/>
      <c r="QIA349" s="50"/>
      <c r="QIB349" s="50"/>
      <c r="QIC349" s="50"/>
      <c r="QID349" s="50"/>
      <c r="QIE349" s="50"/>
      <c r="QIF349" s="50"/>
      <c r="QIG349" s="50"/>
      <c r="QIH349" s="50"/>
      <c r="QII349" s="50"/>
      <c r="QIJ349" s="50"/>
      <c r="QIK349" s="50"/>
      <c r="QIL349" s="50"/>
      <c r="QIM349" s="50"/>
      <c r="QIN349" s="50"/>
      <c r="QIO349" s="50"/>
      <c r="QIP349" s="50"/>
      <c r="QIQ349" s="50"/>
      <c r="QIR349" s="50"/>
      <c r="QIS349" s="50"/>
      <c r="QIT349" s="50"/>
      <c r="QIU349" s="50"/>
      <c r="QIV349" s="50"/>
      <c r="QIW349" s="50"/>
      <c r="QIX349" s="50"/>
      <c r="QIY349" s="50"/>
      <c r="QIZ349" s="50"/>
      <c r="QJA349" s="50"/>
      <c r="QJB349" s="50"/>
      <c r="QJC349" s="50"/>
      <c r="QJD349" s="50"/>
      <c r="QJE349" s="50"/>
      <c r="QJF349" s="50"/>
      <c r="QJG349" s="50"/>
      <c r="QJH349" s="50"/>
      <c r="QJI349" s="50"/>
      <c r="QJJ349" s="50"/>
      <c r="QJK349" s="50"/>
      <c r="QJL349" s="50"/>
      <c r="QJM349" s="50"/>
      <c r="QJN349" s="50"/>
      <c r="QJO349" s="50"/>
      <c r="QJP349" s="50"/>
      <c r="QJQ349" s="50"/>
      <c r="QJR349" s="50"/>
      <c r="QJS349" s="50"/>
      <c r="QJT349" s="50"/>
      <c r="QJU349" s="50"/>
      <c r="QJV349" s="50"/>
      <c r="QJW349" s="50"/>
      <c r="QJX349" s="50"/>
      <c r="QJY349" s="50"/>
      <c r="QJZ349" s="50"/>
      <c r="QKA349" s="50"/>
      <c r="QKB349" s="50"/>
      <c r="QKC349" s="50"/>
      <c r="QKD349" s="50"/>
      <c r="QKE349" s="50"/>
      <c r="QKF349" s="50"/>
      <c r="QKG349" s="50"/>
      <c r="QKH349" s="50"/>
      <c r="QKI349" s="50"/>
      <c r="QKJ349" s="50"/>
      <c r="QKK349" s="50"/>
      <c r="QKL349" s="50"/>
      <c r="QKM349" s="50"/>
      <c r="QKN349" s="50"/>
      <c r="QKO349" s="50"/>
      <c r="QKP349" s="50"/>
      <c r="QKQ349" s="50"/>
      <c r="QKR349" s="50"/>
      <c r="QKS349" s="50"/>
      <c r="QKT349" s="50"/>
      <c r="QKU349" s="50"/>
      <c r="QKV349" s="50"/>
      <c r="QKW349" s="50"/>
      <c r="QKX349" s="50"/>
      <c r="QKY349" s="50"/>
      <c r="QKZ349" s="50"/>
      <c r="QLA349" s="50"/>
      <c r="QLB349" s="50"/>
      <c r="QLC349" s="50"/>
      <c r="QLD349" s="50"/>
      <c r="QLE349" s="50"/>
      <c r="QLF349" s="50"/>
      <c r="QLG349" s="50"/>
      <c r="QLH349" s="50"/>
      <c r="QLI349" s="50"/>
      <c r="QLJ349" s="50"/>
      <c r="QLK349" s="50"/>
      <c r="QLL349" s="50"/>
      <c r="QLM349" s="50"/>
      <c r="QLN349" s="50"/>
      <c r="QLO349" s="50"/>
      <c r="QLP349" s="50"/>
      <c r="QLQ349" s="50"/>
      <c r="QLR349" s="50"/>
      <c r="QLS349" s="50"/>
      <c r="QLT349" s="50"/>
      <c r="QLU349" s="50"/>
      <c r="QLV349" s="50"/>
      <c r="QLW349" s="50"/>
      <c r="QLX349" s="50"/>
      <c r="QLY349" s="50"/>
      <c r="QLZ349" s="50"/>
      <c r="QMA349" s="50"/>
      <c r="QMB349" s="50"/>
      <c r="QMC349" s="50"/>
      <c r="QMD349" s="50"/>
      <c r="QME349" s="50"/>
      <c r="QMF349" s="50"/>
      <c r="QMG349" s="50"/>
      <c r="QMH349" s="50"/>
      <c r="QMI349" s="50"/>
      <c r="QMJ349" s="50"/>
      <c r="QMK349" s="50"/>
      <c r="QML349" s="50"/>
      <c r="QMM349" s="50"/>
      <c r="QMN349" s="50"/>
      <c r="QMO349" s="50"/>
      <c r="QMP349" s="50"/>
      <c r="QMQ349" s="50"/>
      <c r="QMR349" s="50"/>
      <c r="QMS349" s="50"/>
      <c r="QMT349" s="50"/>
      <c r="QMU349" s="50"/>
      <c r="QMV349" s="50"/>
      <c r="QMW349" s="50"/>
      <c r="QMX349" s="50"/>
      <c r="QMY349" s="50"/>
      <c r="QMZ349" s="50"/>
      <c r="QNA349" s="50"/>
      <c r="QNB349" s="50"/>
      <c r="QNC349" s="50"/>
      <c r="QND349" s="50"/>
      <c r="QNE349" s="50"/>
      <c r="QNF349" s="50"/>
      <c r="QNG349" s="50"/>
      <c r="QNH349" s="50"/>
      <c r="QNI349" s="50"/>
      <c r="QNJ349" s="50"/>
      <c r="QNK349" s="50"/>
      <c r="QNL349" s="50"/>
      <c r="QNM349" s="50"/>
      <c r="QNN349" s="50"/>
      <c r="QNO349" s="50"/>
      <c r="QNP349" s="50"/>
      <c r="QNQ349" s="50"/>
      <c r="QNR349" s="50"/>
      <c r="QNS349" s="50"/>
      <c r="QNT349" s="50"/>
      <c r="QNU349" s="50"/>
      <c r="QNV349" s="50"/>
      <c r="QNW349" s="50"/>
      <c r="QNX349" s="50"/>
      <c r="QNY349" s="50"/>
      <c r="QNZ349" s="50"/>
      <c r="QOA349" s="50"/>
      <c r="QOB349" s="50"/>
      <c r="QOC349" s="50"/>
      <c r="QOD349" s="50"/>
      <c r="QOE349" s="50"/>
      <c r="QOF349" s="50"/>
      <c r="QOG349" s="50"/>
      <c r="QOH349" s="50"/>
      <c r="QOI349" s="50"/>
      <c r="QOJ349" s="50"/>
      <c r="QOK349" s="50"/>
      <c r="QOL349" s="50"/>
      <c r="QOM349" s="50"/>
      <c r="QON349" s="50"/>
      <c r="QOO349" s="50"/>
      <c r="QOP349" s="50"/>
      <c r="QOQ349" s="50"/>
      <c r="QOR349" s="50"/>
      <c r="QOS349" s="50"/>
      <c r="QOT349" s="50"/>
      <c r="QOU349" s="50"/>
      <c r="QOV349" s="50"/>
      <c r="QOW349" s="50"/>
      <c r="QOX349" s="50"/>
      <c r="QOY349" s="50"/>
      <c r="QOZ349" s="50"/>
      <c r="QPA349" s="50"/>
      <c r="QPB349" s="50"/>
      <c r="QPC349" s="50"/>
      <c r="QPD349" s="50"/>
      <c r="QPE349" s="50"/>
      <c r="QPF349" s="50"/>
      <c r="QPG349" s="50"/>
      <c r="QPH349" s="50"/>
      <c r="QPI349" s="50"/>
      <c r="QPJ349" s="50"/>
      <c r="QPK349" s="50"/>
      <c r="QPL349" s="50"/>
      <c r="QPM349" s="50"/>
      <c r="QPN349" s="50"/>
      <c r="QPO349" s="50"/>
      <c r="QPP349" s="50"/>
      <c r="QPQ349" s="50"/>
      <c r="QPR349" s="50"/>
      <c r="QPS349" s="50"/>
      <c r="QPT349" s="50"/>
      <c r="QPU349" s="50"/>
      <c r="QPV349" s="50"/>
      <c r="QPW349" s="50"/>
      <c r="QPX349" s="50"/>
      <c r="QPY349" s="50"/>
      <c r="QPZ349" s="50"/>
      <c r="QQA349" s="50"/>
      <c r="QQB349" s="50"/>
      <c r="QQC349" s="50"/>
      <c r="QQD349" s="50"/>
      <c r="QQE349" s="50"/>
      <c r="QQF349" s="50"/>
      <c r="QQG349" s="50"/>
      <c r="QQH349" s="50"/>
      <c r="QQI349" s="50"/>
      <c r="QQJ349" s="50"/>
      <c r="QQK349" s="50"/>
      <c r="QQL349" s="50"/>
      <c r="QQM349" s="50"/>
      <c r="QQN349" s="50"/>
      <c r="QQO349" s="50"/>
      <c r="QQP349" s="50"/>
      <c r="QQQ349" s="50"/>
      <c r="QQR349" s="50"/>
      <c r="QQS349" s="50"/>
      <c r="QQT349" s="50"/>
      <c r="QQU349" s="50"/>
      <c r="QQV349" s="50"/>
      <c r="QQW349" s="50"/>
      <c r="QQX349" s="50"/>
      <c r="QQY349" s="50"/>
      <c r="QQZ349" s="50"/>
      <c r="QRA349" s="50"/>
      <c r="QRB349" s="50"/>
      <c r="QRC349" s="50"/>
      <c r="QRD349" s="50"/>
      <c r="QRE349" s="50"/>
      <c r="QRF349" s="50"/>
      <c r="QRG349" s="50"/>
      <c r="QRH349" s="50"/>
      <c r="QRI349" s="50"/>
      <c r="QRJ349" s="50"/>
      <c r="QRK349" s="50"/>
      <c r="QRL349" s="50"/>
      <c r="QRM349" s="50"/>
      <c r="QRN349" s="50"/>
      <c r="QRO349" s="50"/>
      <c r="QRP349" s="50"/>
      <c r="QRQ349" s="50"/>
      <c r="QRR349" s="50"/>
      <c r="QRS349" s="50"/>
      <c r="QRT349" s="50"/>
      <c r="QRU349" s="50"/>
      <c r="QRV349" s="50"/>
      <c r="QRW349" s="50"/>
      <c r="QRX349" s="50"/>
      <c r="QRY349" s="50"/>
      <c r="QRZ349" s="50"/>
      <c r="QSA349" s="50"/>
      <c r="QSB349" s="50"/>
      <c r="QSC349" s="50"/>
      <c r="QSD349" s="50"/>
      <c r="QSE349" s="50"/>
      <c r="QSF349" s="50"/>
      <c r="QSG349" s="50"/>
      <c r="QSH349" s="50"/>
      <c r="QSI349" s="50"/>
      <c r="QSJ349" s="50"/>
      <c r="QSK349" s="50"/>
      <c r="QSL349" s="50"/>
      <c r="QSM349" s="50"/>
      <c r="QSN349" s="50"/>
      <c r="QSO349" s="50"/>
      <c r="QSP349" s="50"/>
      <c r="QSQ349" s="50"/>
      <c r="QSR349" s="50"/>
      <c r="QSS349" s="50"/>
      <c r="QST349" s="50"/>
      <c r="QSU349" s="50"/>
      <c r="QSV349" s="50"/>
      <c r="QSW349" s="50"/>
      <c r="QSX349" s="50"/>
      <c r="QSY349" s="50"/>
      <c r="QSZ349" s="50"/>
      <c r="QTA349" s="50"/>
      <c r="QTB349" s="50"/>
      <c r="QTC349" s="50"/>
      <c r="QTD349" s="50"/>
      <c r="QTE349" s="50"/>
      <c r="QTF349" s="50"/>
      <c r="QTG349" s="50"/>
      <c r="QTH349" s="50"/>
      <c r="QTI349" s="50"/>
      <c r="QTJ349" s="50"/>
      <c r="QTK349" s="50"/>
      <c r="QTL349" s="50"/>
      <c r="QTM349" s="50"/>
      <c r="QTN349" s="50"/>
      <c r="QTO349" s="50"/>
      <c r="QTP349" s="50"/>
      <c r="QTQ349" s="50"/>
      <c r="QTR349" s="50"/>
      <c r="QTS349" s="50"/>
      <c r="QTT349" s="50"/>
      <c r="QTU349" s="50"/>
      <c r="QTV349" s="50"/>
      <c r="QTW349" s="50"/>
      <c r="QTX349" s="50"/>
      <c r="QTY349" s="50"/>
      <c r="QTZ349" s="50"/>
      <c r="QUA349" s="50"/>
      <c r="QUB349" s="50"/>
      <c r="QUC349" s="50"/>
      <c r="QUD349" s="50"/>
      <c r="QUE349" s="50"/>
      <c r="QUF349" s="50"/>
      <c r="QUG349" s="50"/>
      <c r="QUH349" s="50"/>
      <c r="QUI349" s="50"/>
      <c r="QUJ349" s="50"/>
      <c r="QUK349" s="50"/>
      <c r="QUL349" s="50"/>
      <c r="QUM349" s="50"/>
      <c r="QUN349" s="50"/>
      <c r="QUO349" s="50"/>
      <c r="QUP349" s="50"/>
      <c r="QUQ349" s="50"/>
      <c r="QUR349" s="50"/>
      <c r="QUS349" s="50"/>
      <c r="QUT349" s="50"/>
      <c r="QUU349" s="50"/>
      <c r="QUV349" s="50"/>
      <c r="QUW349" s="50"/>
      <c r="QUX349" s="50"/>
      <c r="QUY349" s="50"/>
      <c r="QUZ349" s="50"/>
      <c r="QVA349" s="50"/>
      <c r="QVB349" s="50"/>
      <c r="QVC349" s="50"/>
      <c r="QVD349" s="50"/>
      <c r="QVE349" s="50"/>
      <c r="QVF349" s="50"/>
      <c r="QVG349" s="50"/>
      <c r="QVH349" s="50"/>
      <c r="QVI349" s="50"/>
      <c r="QVJ349" s="50"/>
      <c r="QVK349" s="50"/>
      <c r="QVL349" s="50"/>
      <c r="QVM349" s="50"/>
      <c r="QVN349" s="50"/>
      <c r="QVO349" s="50"/>
      <c r="QVP349" s="50"/>
      <c r="QVQ349" s="50"/>
      <c r="QVR349" s="50"/>
      <c r="QVS349" s="50"/>
      <c r="QVT349" s="50"/>
      <c r="QVU349" s="50"/>
      <c r="QVV349" s="50"/>
      <c r="QVW349" s="50"/>
      <c r="QVX349" s="50"/>
      <c r="QVY349" s="50"/>
      <c r="QVZ349" s="50"/>
      <c r="QWA349" s="50"/>
      <c r="QWB349" s="50"/>
      <c r="QWC349" s="50"/>
      <c r="QWD349" s="50"/>
      <c r="QWE349" s="50"/>
      <c r="QWF349" s="50"/>
      <c r="QWG349" s="50"/>
      <c r="QWH349" s="50"/>
      <c r="QWI349" s="50"/>
      <c r="QWJ349" s="50"/>
      <c r="QWK349" s="50"/>
      <c r="QWL349" s="50"/>
      <c r="QWM349" s="50"/>
      <c r="QWN349" s="50"/>
      <c r="QWO349" s="50"/>
      <c r="QWP349" s="50"/>
      <c r="QWQ349" s="50"/>
      <c r="QWR349" s="50"/>
      <c r="QWS349" s="50"/>
      <c r="QWT349" s="50"/>
      <c r="QWU349" s="50"/>
      <c r="QWV349" s="50"/>
      <c r="QWW349" s="50"/>
      <c r="QWX349" s="50"/>
      <c r="QWY349" s="50"/>
      <c r="QWZ349" s="50"/>
      <c r="QXA349" s="50"/>
      <c r="QXB349" s="50"/>
      <c r="QXC349" s="50"/>
      <c r="QXD349" s="50"/>
      <c r="QXE349" s="50"/>
      <c r="QXF349" s="50"/>
      <c r="QXG349" s="50"/>
      <c r="QXH349" s="50"/>
      <c r="QXI349" s="50"/>
      <c r="QXJ349" s="50"/>
      <c r="QXK349" s="50"/>
      <c r="QXL349" s="50"/>
      <c r="QXM349" s="50"/>
      <c r="QXN349" s="50"/>
      <c r="QXO349" s="50"/>
      <c r="QXP349" s="50"/>
      <c r="QXQ349" s="50"/>
      <c r="QXR349" s="50"/>
      <c r="QXS349" s="50"/>
      <c r="QXT349" s="50"/>
      <c r="QXU349" s="50"/>
      <c r="QXV349" s="50"/>
      <c r="QXW349" s="50"/>
      <c r="QXX349" s="50"/>
      <c r="QXY349" s="50"/>
      <c r="QXZ349" s="50"/>
      <c r="QYA349" s="50"/>
      <c r="QYB349" s="50"/>
      <c r="QYC349" s="50"/>
      <c r="QYD349" s="50"/>
      <c r="QYE349" s="50"/>
      <c r="QYF349" s="50"/>
      <c r="QYG349" s="50"/>
      <c r="QYH349" s="50"/>
      <c r="QYI349" s="50"/>
      <c r="QYJ349" s="50"/>
      <c r="QYK349" s="50"/>
      <c r="QYL349" s="50"/>
      <c r="QYM349" s="50"/>
      <c r="QYN349" s="50"/>
      <c r="QYO349" s="50"/>
      <c r="QYP349" s="50"/>
      <c r="QYQ349" s="50"/>
      <c r="QYR349" s="50"/>
      <c r="QYS349" s="50"/>
      <c r="QYT349" s="50"/>
      <c r="QYU349" s="50"/>
      <c r="QYV349" s="50"/>
      <c r="QYW349" s="50"/>
      <c r="QYX349" s="50"/>
      <c r="QYY349" s="50"/>
      <c r="QYZ349" s="50"/>
      <c r="QZA349" s="50"/>
      <c r="QZB349" s="50"/>
      <c r="QZC349" s="50"/>
      <c r="QZD349" s="50"/>
      <c r="QZE349" s="50"/>
      <c r="QZF349" s="50"/>
      <c r="QZG349" s="50"/>
      <c r="QZH349" s="50"/>
      <c r="QZI349" s="50"/>
      <c r="QZJ349" s="50"/>
      <c r="QZK349" s="50"/>
      <c r="QZL349" s="50"/>
      <c r="QZM349" s="50"/>
      <c r="QZN349" s="50"/>
      <c r="QZO349" s="50"/>
      <c r="QZP349" s="50"/>
      <c r="QZQ349" s="50"/>
      <c r="QZR349" s="50"/>
      <c r="QZS349" s="50"/>
      <c r="QZT349" s="50"/>
      <c r="QZU349" s="50"/>
      <c r="QZV349" s="50"/>
      <c r="QZW349" s="50"/>
      <c r="QZX349" s="50"/>
      <c r="QZY349" s="50"/>
      <c r="QZZ349" s="50"/>
      <c r="RAA349" s="50"/>
      <c r="RAB349" s="50"/>
      <c r="RAC349" s="50"/>
      <c r="RAD349" s="50"/>
      <c r="RAE349" s="50"/>
      <c r="RAF349" s="50"/>
      <c r="RAG349" s="50"/>
      <c r="RAH349" s="50"/>
      <c r="RAI349" s="50"/>
      <c r="RAJ349" s="50"/>
      <c r="RAK349" s="50"/>
      <c r="RAL349" s="50"/>
      <c r="RAM349" s="50"/>
      <c r="RAN349" s="50"/>
      <c r="RAO349" s="50"/>
      <c r="RAP349" s="50"/>
      <c r="RAQ349" s="50"/>
      <c r="RAR349" s="50"/>
      <c r="RAS349" s="50"/>
      <c r="RAT349" s="50"/>
      <c r="RAU349" s="50"/>
      <c r="RAV349" s="50"/>
      <c r="RAW349" s="50"/>
      <c r="RAX349" s="50"/>
      <c r="RAY349" s="50"/>
      <c r="RAZ349" s="50"/>
      <c r="RBA349" s="50"/>
      <c r="RBB349" s="50"/>
      <c r="RBC349" s="50"/>
      <c r="RBD349" s="50"/>
      <c r="RBE349" s="50"/>
      <c r="RBF349" s="50"/>
      <c r="RBG349" s="50"/>
      <c r="RBH349" s="50"/>
      <c r="RBI349" s="50"/>
      <c r="RBJ349" s="50"/>
      <c r="RBK349" s="50"/>
      <c r="RBL349" s="50"/>
      <c r="RBM349" s="50"/>
      <c r="RBN349" s="50"/>
      <c r="RBO349" s="50"/>
      <c r="RBP349" s="50"/>
      <c r="RBQ349" s="50"/>
      <c r="RBR349" s="50"/>
      <c r="RBS349" s="50"/>
      <c r="RBT349" s="50"/>
      <c r="RBU349" s="50"/>
      <c r="RBV349" s="50"/>
      <c r="RBW349" s="50"/>
      <c r="RBX349" s="50"/>
      <c r="RBY349" s="50"/>
      <c r="RBZ349" s="50"/>
      <c r="RCA349" s="50"/>
      <c r="RCB349" s="50"/>
      <c r="RCC349" s="50"/>
      <c r="RCD349" s="50"/>
      <c r="RCE349" s="50"/>
      <c r="RCF349" s="50"/>
      <c r="RCG349" s="50"/>
      <c r="RCH349" s="50"/>
      <c r="RCI349" s="50"/>
      <c r="RCJ349" s="50"/>
      <c r="RCK349" s="50"/>
      <c r="RCL349" s="50"/>
      <c r="RCM349" s="50"/>
      <c r="RCN349" s="50"/>
      <c r="RCO349" s="50"/>
      <c r="RCP349" s="50"/>
      <c r="RCQ349" s="50"/>
      <c r="RCR349" s="50"/>
      <c r="RCS349" s="50"/>
      <c r="RCT349" s="50"/>
      <c r="RCU349" s="50"/>
      <c r="RCV349" s="50"/>
      <c r="RCW349" s="50"/>
      <c r="RCX349" s="50"/>
      <c r="RCY349" s="50"/>
      <c r="RCZ349" s="50"/>
      <c r="RDA349" s="50"/>
      <c r="RDB349" s="50"/>
      <c r="RDC349" s="50"/>
      <c r="RDD349" s="50"/>
      <c r="RDE349" s="50"/>
      <c r="RDF349" s="50"/>
      <c r="RDG349" s="50"/>
      <c r="RDH349" s="50"/>
      <c r="RDI349" s="50"/>
      <c r="RDJ349" s="50"/>
      <c r="RDK349" s="50"/>
      <c r="RDL349" s="50"/>
      <c r="RDM349" s="50"/>
      <c r="RDN349" s="50"/>
      <c r="RDO349" s="50"/>
      <c r="RDP349" s="50"/>
      <c r="RDQ349" s="50"/>
      <c r="RDR349" s="50"/>
      <c r="RDS349" s="50"/>
      <c r="RDT349" s="50"/>
      <c r="RDU349" s="50"/>
      <c r="RDV349" s="50"/>
      <c r="RDW349" s="50"/>
      <c r="RDX349" s="50"/>
      <c r="RDY349" s="50"/>
      <c r="RDZ349" s="50"/>
      <c r="REA349" s="50"/>
      <c r="REB349" s="50"/>
      <c r="REC349" s="50"/>
      <c r="RED349" s="50"/>
      <c r="REE349" s="50"/>
      <c r="REF349" s="50"/>
      <c r="REG349" s="50"/>
      <c r="REH349" s="50"/>
      <c r="REI349" s="50"/>
      <c r="REJ349" s="50"/>
      <c r="REK349" s="50"/>
      <c r="REL349" s="50"/>
      <c r="REM349" s="50"/>
      <c r="REN349" s="50"/>
      <c r="REO349" s="50"/>
      <c r="REP349" s="50"/>
      <c r="REQ349" s="50"/>
      <c r="RER349" s="50"/>
      <c r="RES349" s="50"/>
      <c r="RET349" s="50"/>
      <c r="REU349" s="50"/>
      <c r="REV349" s="50"/>
      <c r="REW349" s="50"/>
      <c r="REX349" s="50"/>
      <c r="REY349" s="50"/>
      <c r="REZ349" s="50"/>
      <c r="RFA349" s="50"/>
      <c r="RFB349" s="50"/>
      <c r="RFC349" s="50"/>
      <c r="RFD349" s="50"/>
      <c r="RFE349" s="50"/>
      <c r="RFF349" s="50"/>
      <c r="RFG349" s="50"/>
      <c r="RFH349" s="50"/>
      <c r="RFI349" s="50"/>
      <c r="RFJ349" s="50"/>
      <c r="RFK349" s="50"/>
      <c r="RFL349" s="50"/>
      <c r="RFM349" s="50"/>
      <c r="RFN349" s="50"/>
      <c r="RFO349" s="50"/>
      <c r="RFP349" s="50"/>
      <c r="RFQ349" s="50"/>
      <c r="RFR349" s="50"/>
      <c r="RFS349" s="50"/>
      <c r="RFT349" s="50"/>
      <c r="RFU349" s="50"/>
      <c r="RFV349" s="50"/>
      <c r="RFW349" s="50"/>
      <c r="RFX349" s="50"/>
      <c r="RFY349" s="50"/>
      <c r="RFZ349" s="50"/>
      <c r="RGA349" s="50"/>
      <c r="RGB349" s="50"/>
      <c r="RGC349" s="50"/>
      <c r="RGD349" s="50"/>
      <c r="RGE349" s="50"/>
      <c r="RGF349" s="50"/>
      <c r="RGG349" s="50"/>
      <c r="RGH349" s="50"/>
      <c r="RGI349" s="50"/>
      <c r="RGJ349" s="50"/>
      <c r="RGK349" s="50"/>
      <c r="RGL349" s="50"/>
      <c r="RGM349" s="50"/>
      <c r="RGN349" s="50"/>
      <c r="RGO349" s="50"/>
      <c r="RGP349" s="50"/>
      <c r="RGQ349" s="50"/>
      <c r="RGR349" s="50"/>
      <c r="RGS349" s="50"/>
      <c r="RGT349" s="50"/>
      <c r="RGU349" s="50"/>
      <c r="RGV349" s="50"/>
      <c r="RGW349" s="50"/>
      <c r="RGX349" s="50"/>
      <c r="RGY349" s="50"/>
      <c r="RGZ349" s="50"/>
      <c r="RHA349" s="50"/>
      <c r="RHB349" s="50"/>
      <c r="RHC349" s="50"/>
      <c r="RHD349" s="50"/>
      <c r="RHE349" s="50"/>
      <c r="RHF349" s="50"/>
      <c r="RHG349" s="50"/>
      <c r="RHH349" s="50"/>
      <c r="RHI349" s="50"/>
      <c r="RHJ349" s="50"/>
      <c r="RHK349" s="50"/>
      <c r="RHL349" s="50"/>
      <c r="RHM349" s="50"/>
      <c r="RHN349" s="50"/>
      <c r="RHO349" s="50"/>
      <c r="RHP349" s="50"/>
      <c r="RHQ349" s="50"/>
      <c r="RHR349" s="50"/>
      <c r="RHS349" s="50"/>
      <c r="RHT349" s="50"/>
      <c r="RHU349" s="50"/>
      <c r="RHV349" s="50"/>
      <c r="RHW349" s="50"/>
      <c r="RHX349" s="50"/>
      <c r="RHY349" s="50"/>
      <c r="RHZ349" s="50"/>
      <c r="RIA349" s="50"/>
      <c r="RIB349" s="50"/>
      <c r="RIC349" s="50"/>
      <c r="RID349" s="50"/>
      <c r="RIE349" s="50"/>
      <c r="RIF349" s="50"/>
      <c r="RIG349" s="50"/>
      <c r="RIH349" s="50"/>
      <c r="RII349" s="50"/>
      <c r="RIJ349" s="50"/>
      <c r="RIK349" s="50"/>
      <c r="RIL349" s="50"/>
      <c r="RIM349" s="50"/>
      <c r="RIN349" s="50"/>
      <c r="RIO349" s="50"/>
      <c r="RIP349" s="50"/>
      <c r="RIQ349" s="50"/>
      <c r="RIR349" s="50"/>
      <c r="RIS349" s="50"/>
      <c r="RIT349" s="50"/>
      <c r="RIU349" s="50"/>
      <c r="RIV349" s="50"/>
      <c r="RIW349" s="50"/>
      <c r="RIX349" s="50"/>
      <c r="RIY349" s="50"/>
      <c r="RIZ349" s="50"/>
      <c r="RJA349" s="50"/>
      <c r="RJB349" s="50"/>
      <c r="RJC349" s="50"/>
      <c r="RJD349" s="50"/>
      <c r="RJE349" s="50"/>
      <c r="RJF349" s="50"/>
      <c r="RJG349" s="50"/>
      <c r="RJH349" s="50"/>
      <c r="RJI349" s="50"/>
      <c r="RJJ349" s="50"/>
      <c r="RJK349" s="50"/>
      <c r="RJL349" s="50"/>
      <c r="RJM349" s="50"/>
      <c r="RJN349" s="50"/>
      <c r="RJO349" s="50"/>
      <c r="RJP349" s="50"/>
      <c r="RJQ349" s="50"/>
      <c r="RJR349" s="50"/>
      <c r="RJS349" s="50"/>
      <c r="RJT349" s="50"/>
      <c r="RJU349" s="50"/>
      <c r="RJV349" s="50"/>
      <c r="RJW349" s="50"/>
      <c r="RJX349" s="50"/>
      <c r="RJY349" s="50"/>
      <c r="RJZ349" s="50"/>
      <c r="RKA349" s="50"/>
      <c r="RKB349" s="50"/>
      <c r="RKC349" s="50"/>
      <c r="RKD349" s="50"/>
      <c r="RKE349" s="50"/>
      <c r="RKF349" s="50"/>
      <c r="RKG349" s="50"/>
      <c r="RKH349" s="50"/>
      <c r="RKI349" s="50"/>
      <c r="RKJ349" s="50"/>
      <c r="RKK349" s="50"/>
      <c r="RKL349" s="50"/>
      <c r="RKM349" s="50"/>
      <c r="RKN349" s="50"/>
      <c r="RKO349" s="50"/>
      <c r="RKP349" s="50"/>
      <c r="RKQ349" s="50"/>
      <c r="RKR349" s="50"/>
      <c r="RKS349" s="50"/>
      <c r="RKT349" s="50"/>
      <c r="RKU349" s="50"/>
      <c r="RKV349" s="50"/>
      <c r="RKW349" s="50"/>
      <c r="RKX349" s="50"/>
      <c r="RKY349" s="50"/>
      <c r="RKZ349" s="50"/>
      <c r="RLA349" s="50"/>
      <c r="RLB349" s="50"/>
      <c r="RLC349" s="50"/>
      <c r="RLD349" s="50"/>
      <c r="RLE349" s="50"/>
      <c r="RLF349" s="50"/>
      <c r="RLG349" s="50"/>
      <c r="RLH349" s="50"/>
      <c r="RLI349" s="50"/>
      <c r="RLJ349" s="50"/>
      <c r="RLK349" s="50"/>
      <c r="RLL349" s="50"/>
      <c r="RLM349" s="50"/>
      <c r="RLN349" s="50"/>
      <c r="RLO349" s="50"/>
      <c r="RLP349" s="50"/>
      <c r="RLQ349" s="50"/>
      <c r="RLR349" s="50"/>
      <c r="RLS349" s="50"/>
      <c r="RLT349" s="50"/>
      <c r="RLU349" s="50"/>
      <c r="RLV349" s="50"/>
      <c r="RLW349" s="50"/>
      <c r="RLX349" s="50"/>
      <c r="RLY349" s="50"/>
      <c r="RLZ349" s="50"/>
      <c r="RMA349" s="50"/>
      <c r="RMB349" s="50"/>
      <c r="RMC349" s="50"/>
      <c r="RMD349" s="50"/>
      <c r="RME349" s="50"/>
      <c r="RMF349" s="50"/>
      <c r="RMG349" s="50"/>
      <c r="RMH349" s="50"/>
      <c r="RMI349" s="50"/>
      <c r="RMJ349" s="50"/>
      <c r="RMK349" s="50"/>
      <c r="RML349" s="50"/>
      <c r="RMM349" s="50"/>
      <c r="RMN349" s="50"/>
      <c r="RMO349" s="50"/>
      <c r="RMP349" s="50"/>
      <c r="RMQ349" s="50"/>
      <c r="RMR349" s="50"/>
      <c r="RMS349" s="50"/>
      <c r="RMT349" s="50"/>
      <c r="RMU349" s="50"/>
      <c r="RMV349" s="50"/>
      <c r="RMW349" s="50"/>
      <c r="RMX349" s="50"/>
      <c r="RMY349" s="50"/>
      <c r="RMZ349" s="50"/>
      <c r="RNA349" s="50"/>
      <c r="RNB349" s="50"/>
      <c r="RNC349" s="50"/>
      <c r="RND349" s="50"/>
      <c r="RNE349" s="50"/>
      <c r="RNF349" s="50"/>
      <c r="RNG349" s="50"/>
      <c r="RNH349" s="50"/>
      <c r="RNI349" s="50"/>
      <c r="RNJ349" s="50"/>
      <c r="RNK349" s="50"/>
      <c r="RNL349" s="50"/>
      <c r="RNM349" s="50"/>
      <c r="RNN349" s="50"/>
      <c r="RNO349" s="50"/>
      <c r="RNP349" s="50"/>
      <c r="RNQ349" s="50"/>
      <c r="RNR349" s="50"/>
      <c r="RNS349" s="50"/>
      <c r="RNT349" s="50"/>
      <c r="RNU349" s="50"/>
      <c r="RNV349" s="50"/>
      <c r="RNW349" s="50"/>
      <c r="RNX349" s="50"/>
      <c r="RNY349" s="50"/>
      <c r="RNZ349" s="50"/>
      <c r="ROA349" s="50"/>
      <c r="ROB349" s="50"/>
      <c r="ROC349" s="50"/>
      <c r="ROD349" s="50"/>
      <c r="ROE349" s="50"/>
      <c r="ROF349" s="50"/>
      <c r="ROG349" s="50"/>
      <c r="ROH349" s="50"/>
      <c r="ROI349" s="50"/>
      <c r="ROJ349" s="50"/>
      <c r="ROK349" s="50"/>
      <c r="ROL349" s="50"/>
      <c r="ROM349" s="50"/>
      <c r="RON349" s="50"/>
      <c r="ROO349" s="50"/>
      <c r="ROP349" s="50"/>
      <c r="ROQ349" s="50"/>
      <c r="ROR349" s="50"/>
      <c r="ROS349" s="50"/>
      <c r="ROT349" s="50"/>
      <c r="ROU349" s="50"/>
      <c r="ROV349" s="50"/>
      <c r="ROW349" s="50"/>
      <c r="ROX349" s="50"/>
      <c r="ROY349" s="50"/>
      <c r="ROZ349" s="50"/>
      <c r="RPA349" s="50"/>
      <c r="RPB349" s="50"/>
      <c r="RPC349" s="50"/>
      <c r="RPD349" s="50"/>
      <c r="RPE349" s="50"/>
      <c r="RPF349" s="50"/>
      <c r="RPG349" s="50"/>
      <c r="RPH349" s="50"/>
      <c r="RPI349" s="50"/>
      <c r="RPJ349" s="50"/>
      <c r="RPK349" s="50"/>
      <c r="RPL349" s="50"/>
      <c r="RPM349" s="50"/>
      <c r="RPN349" s="50"/>
      <c r="RPO349" s="50"/>
      <c r="RPP349" s="50"/>
      <c r="RPQ349" s="50"/>
      <c r="RPR349" s="50"/>
      <c r="RPS349" s="50"/>
      <c r="RPT349" s="50"/>
      <c r="RPU349" s="50"/>
      <c r="RPV349" s="50"/>
      <c r="RPW349" s="50"/>
      <c r="RPX349" s="50"/>
      <c r="RPY349" s="50"/>
      <c r="RPZ349" s="50"/>
      <c r="RQA349" s="50"/>
      <c r="RQB349" s="50"/>
      <c r="RQC349" s="50"/>
      <c r="RQD349" s="50"/>
      <c r="RQE349" s="50"/>
      <c r="RQF349" s="50"/>
      <c r="RQG349" s="50"/>
      <c r="RQH349" s="50"/>
      <c r="RQI349" s="50"/>
      <c r="RQJ349" s="50"/>
      <c r="RQK349" s="50"/>
      <c r="RQL349" s="50"/>
      <c r="RQM349" s="50"/>
      <c r="RQN349" s="50"/>
      <c r="RQO349" s="50"/>
      <c r="RQP349" s="50"/>
      <c r="RQQ349" s="50"/>
      <c r="RQR349" s="50"/>
      <c r="RQS349" s="50"/>
      <c r="RQT349" s="50"/>
      <c r="RQU349" s="50"/>
      <c r="RQV349" s="50"/>
      <c r="RQW349" s="50"/>
      <c r="RQX349" s="50"/>
      <c r="RQY349" s="50"/>
      <c r="RQZ349" s="50"/>
      <c r="RRA349" s="50"/>
      <c r="RRB349" s="50"/>
      <c r="RRC349" s="50"/>
      <c r="RRD349" s="50"/>
      <c r="RRE349" s="50"/>
      <c r="RRF349" s="50"/>
      <c r="RRG349" s="50"/>
      <c r="RRH349" s="50"/>
      <c r="RRI349" s="50"/>
      <c r="RRJ349" s="50"/>
      <c r="RRK349" s="50"/>
      <c r="RRL349" s="50"/>
      <c r="RRM349" s="50"/>
      <c r="RRN349" s="50"/>
      <c r="RRO349" s="50"/>
      <c r="RRP349" s="50"/>
      <c r="RRQ349" s="50"/>
      <c r="RRR349" s="50"/>
      <c r="RRS349" s="50"/>
      <c r="RRT349" s="50"/>
      <c r="RRU349" s="50"/>
      <c r="RRV349" s="50"/>
      <c r="RRW349" s="50"/>
      <c r="RRX349" s="50"/>
      <c r="RRY349" s="50"/>
      <c r="RRZ349" s="50"/>
      <c r="RSA349" s="50"/>
      <c r="RSB349" s="50"/>
      <c r="RSC349" s="50"/>
      <c r="RSD349" s="50"/>
      <c r="RSE349" s="50"/>
      <c r="RSF349" s="50"/>
      <c r="RSG349" s="50"/>
      <c r="RSH349" s="50"/>
      <c r="RSI349" s="50"/>
      <c r="RSJ349" s="50"/>
      <c r="RSK349" s="50"/>
      <c r="RSL349" s="50"/>
      <c r="RSM349" s="50"/>
      <c r="RSN349" s="50"/>
      <c r="RSO349" s="50"/>
      <c r="RSP349" s="50"/>
      <c r="RSQ349" s="50"/>
      <c r="RSR349" s="50"/>
      <c r="RSS349" s="50"/>
      <c r="RST349" s="50"/>
      <c r="RSU349" s="50"/>
      <c r="RSV349" s="50"/>
      <c r="RSW349" s="50"/>
      <c r="RSX349" s="50"/>
      <c r="RSY349" s="50"/>
      <c r="RSZ349" s="50"/>
      <c r="RTA349" s="50"/>
      <c r="RTB349" s="50"/>
      <c r="RTC349" s="50"/>
      <c r="RTD349" s="50"/>
      <c r="RTE349" s="50"/>
      <c r="RTF349" s="50"/>
      <c r="RTG349" s="50"/>
      <c r="RTH349" s="50"/>
      <c r="RTI349" s="50"/>
      <c r="RTJ349" s="50"/>
      <c r="RTK349" s="50"/>
      <c r="RTL349" s="50"/>
      <c r="RTM349" s="50"/>
      <c r="RTN349" s="50"/>
      <c r="RTO349" s="50"/>
      <c r="RTP349" s="50"/>
      <c r="RTQ349" s="50"/>
      <c r="RTR349" s="50"/>
      <c r="RTS349" s="50"/>
      <c r="RTT349" s="50"/>
      <c r="RTU349" s="50"/>
      <c r="RTV349" s="50"/>
      <c r="RTW349" s="50"/>
      <c r="RTX349" s="50"/>
      <c r="RTY349" s="50"/>
      <c r="RTZ349" s="50"/>
      <c r="RUA349" s="50"/>
      <c r="RUB349" s="50"/>
      <c r="RUC349" s="50"/>
      <c r="RUD349" s="50"/>
      <c r="RUE349" s="50"/>
      <c r="RUF349" s="50"/>
      <c r="RUG349" s="50"/>
      <c r="RUH349" s="50"/>
      <c r="RUI349" s="50"/>
      <c r="RUJ349" s="50"/>
      <c r="RUK349" s="50"/>
      <c r="RUL349" s="50"/>
      <c r="RUM349" s="50"/>
      <c r="RUN349" s="50"/>
      <c r="RUO349" s="50"/>
      <c r="RUP349" s="50"/>
      <c r="RUQ349" s="50"/>
      <c r="RUR349" s="50"/>
      <c r="RUS349" s="50"/>
      <c r="RUT349" s="50"/>
      <c r="RUU349" s="50"/>
      <c r="RUV349" s="50"/>
      <c r="RUW349" s="50"/>
      <c r="RUX349" s="50"/>
      <c r="RUY349" s="50"/>
      <c r="RUZ349" s="50"/>
      <c r="RVA349" s="50"/>
      <c r="RVB349" s="50"/>
      <c r="RVC349" s="50"/>
      <c r="RVD349" s="50"/>
      <c r="RVE349" s="50"/>
      <c r="RVF349" s="50"/>
      <c r="RVG349" s="50"/>
      <c r="RVH349" s="50"/>
      <c r="RVI349" s="50"/>
      <c r="RVJ349" s="50"/>
      <c r="RVK349" s="50"/>
      <c r="RVL349" s="50"/>
      <c r="RVM349" s="50"/>
      <c r="RVN349" s="50"/>
      <c r="RVO349" s="50"/>
      <c r="RVP349" s="50"/>
      <c r="RVQ349" s="50"/>
      <c r="RVR349" s="50"/>
      <c r="RVS349" s="50"/>
      <c r="RVT349" s="50"/>
      <c r="RVU349" s="50"/>
      <c r="RVV349" s="50"/>
      <c r="RVW349" s="50"/>
      <c r="RVX349" s="50"/>
      <c r="RVY349" s="50"/>
      <c r="RVZ349" s="50"/>
      <c r="RWA349" s="50"/>
      <c r="RWB349" s="50"/>
      <c r="RWC349" s="50"/>
      <c r="RWD349" s="50"/>
      <c r="RWE349" s="50"/>
      <c r="RWF349" s="50"/>
      <c r="RWG349" s="50"/>
      <c r="RWH349" s="50"/>
      <c r="RWI349" s="50"/>
      <c r="RWJ349" s="50"/>
      <c r="RWK349" s="50"/>
      <c r="RWL349" s="50"/>
      <c r="RWM349" s="50"/>
      <c r="RWN349" s="50"/>
      <c r="RWO349" s="50"/>
      <c r="RWP349" s="50"/>
      <c r="RWQ349" s="50"/>
      <c r="RWR349" s="50"/>
      <c r="RWS349" s="50"/>
      <c r="RWT349" s="50"/>
      <c r="RWU349" s="50"/>
      <c r="RWV349" s="50"/>
      <c r="RWW349" s="50"/>
      <c r="RWX349" s="50"/>
      <c r="RWY349" s="50"/>
      <c r="RWZ349" s="50"/>
      <c r="RXA349" s="50"/>
      <c r="RXB349" s="50"/>
      <c r="RXC349" s="50"/>
      <c r="RXD349" s="50"/>
      <c r="RXE349" s="50"/>
      <c r="RXF349" s="50"/>
      <c r="RXG349" s="50"/>
      <c r="RXH349" s="50"/>
      <c r="RXI349" s="50"/>
      <c r="RXJ349" s="50"/>
      <c r="RXK349" s="50"/>
      <c r="RXL349" s="50"/>
      <c r="RXM349" s="50"/>
      <c r="RXN349" s="50"/>
      <c r="RXO349" s="50"/>
      <c r="RXP349" s="50"/>
      <c r="RXQ349" s="50"/>
      <c r="RXR349" s="50"/>
      <c r="RXS349" s="50"/>
      <c r="RXT349" s="50"/>
      <c r="RXU349" s="50"/>
      <c r="RXV349" s="50"/>
      <c r="RXW349" s="50"/>
      <c r="RXX349" s="50"/>
      <c r="RXY349" s="50"/>
      <c r="RXZ349" s="50"/>
      <c r="RYA349" s="50"/>
      <c r="RYB349" s="50"/>
      <c r="RYC349" s="50"/>
      <c r="RYD349" s="50"/>
      <c r="RYE349" s="50"/>
      <c r="RYF349" s="50"/>
      <c r="RYG349" s="50"/>
      <c r="RYH349" s="50"/>
      <c r="RYI349" s="50"/>
      <c r="RYJ349" s="50"/>
      <c r="RYK349" s="50"/>
      <c r="RYL349" s="50"/>
      <c r="RYM349" s="50"/>
      <c r="RYN349" s="50"/>
      <c r="RYO349" s="50"/>
      <c r="RYP349" s="50"/>
      <c r="RYQ349" s="50"/>
      <c r="RYR349" s="50"/>
      <c r="RYS349" s="50"/>
      <c r="RYT349" s="50"/>
      <c r="RYU349" s="50"/>
      <c r="RYV349" s="50"/>
      <c r="RYW349" s="50"/>
      <c r="RYX349" s="50"/>
      <c r="RYY349" s="50"/>
      <c r="RYZ349" s="50"/>
      <c r="RZA349" s="50"/>
      <c r="RZB349" s="50"/>
      <c r="RZC349" s="50"/>
      <c r="RZD349" s="50"/>
      <c r="RZE349" s="50"/>
      <c r="RZF349" s="50"/>
      <c r="RZG349" s="50"/>
      <c r="RZH349" s="50"/>
      <c r="RZI349" s="50"/>
      <c r="RZJ349" s="50"/>
      <c r="RZK349" s="50"/>
      <c r="RZL349" s="50"/>
      <c r="RZM349" s="50"/>
      <c r="RZN349" s="50"/>
      <c r="RZO349" s="50"/>
      <c r="RZP349" s="50"/>
      <c r="RZQ349" s="50"/>
      <c r="RZR349" s="50"/>
      <c r="RZS349" s="50"/>
      <c r="RZT349" s="50"/>
      <c r="RZU349" s="50"/>
      <c r="RZV349" s="50"/>
      <c r="RZW349" s="50"/>
      <c r="RZX349" s="50"/>
      <c r="RZY349" s="50"/>
      <c r="RZZ349" s="50"/>
      <c r="SAA349" s="50"/>
      <c r="SAB349" s="50"/>
      <c r="SAC349" s="50"/>
      <c r="SAD349" s="50"/>
      <c r="SAE349" s="50"/>
      <c r="SAF349" s="50"/>
      <c r="SAG349" s="50"/>
      <c r="SAH349" s="50"/>
      <c r="SAI349" s="50"/>
      <c r="SAJ349" s="50"/>
      <c r="SAK349" s="50"/>
      <c r="SAL349" s="50"/>
      <c r="SAM349" s="50"/>
      <c r="SAN349" s="50"/>
      <c r="SAO349" s="50"/>
      <c r="SAP349" s="50"/>
      <c r="SAQ349" s="50"/>
      <c r="SAR349" s="50"/>
      <c r="SAS349" s="50"/>
      <c r="SAT349" s="50"/>
      <c r="SAU349" s="50"/>
      <c r="SAV349" s="50"/>
      <c r="SAW349" s="50"/>
      <c r="SAX349" s="50"/>
      <c r="SAY349" s="50"/>
      <c r="SAZ349" s="50"/>
      <c r="SBA349" s="50"/>
      <c r="SBB349" s="50"/>
      <c r="SBC349" s="50"/>
      <c r="SBD349" s="50"/>
      <c r="SBE349" s="50"/>
      <c r="SBF349" s="50"/>
      <c r="SBG349" s="50"/>
      <c r="SBH349" s="50"/>
      <c r="SBI349" s="50"/>
      <c r="SBJ349" s="50"/>
      <c r="SBK349" s="50"/>
      <c r="SBL349" s="50"/>
      <c r="SBM349" s="50"/>
      <c r="SBN349" s="50"/>
      <c r="SBO349" s="50"/>
      <c r="SBP349" s="50"/>
      <c r="SBQ349" s="50"/>
      <c r="SBR349" s="50"/>
      <c r="SBS349" s="50"/>
      <c r="SBT349" s="50"/>
      <c r="SBU349" s="50"/>
      <c r="SBV349" s="50"/>
      <c r="SBW349" s="50"/>
      <c r="SBX349" s="50"/>
      <c r="SBY349" s="50"/>
      <c r="SBZ349" s="50"/>
      <c r="SCA349" s="50"/>
      <c r="SCB349" s="50"/>
      <c r="SCC349" s="50"/>
      <c r="SCD349" s="50"/>
      <c r="SCE349" s="50"/>
      <c r="SCF349" s="50"/>
      <c r="SCG349" s="50"/>
      <c r="SCH349" s="50"/>
      <c r="SCI349" s="50"/>
      <c r="SCJ349" s="50"/>
      <c r="SCK349" s="50"/>
      <c r="SCL349" s="50"/>
      <c r="SCM349" s="50"/>
      <c r="SCN349" s="50"/>
      <c r="SCO349" s="50"/>
      <c r="SCP349" s="50"/>
      <c r="SCQ349" s="50"/>
      <c r="SCR349" s="50"/>
      <c r="SCS349" s="50"/>
      <c r="SCT349" s="50"/>
      <c r="SCU349" s="50"/>
      <c r="SCV349" s="50"/>
      <c r="SCW349" s="50"/>
      <c r="SCX349" s="50"/>
      <c r="SCY349" s="50"/>
      <c r="SCZ349" s="50"/>
      <c r="SDA349" s="50"/>
      <c r="SDB349" s="50"/>
      <c r="SDC349" s="50"/>
      <c r="SDD349" s="50"/>
      <c r="SDE349" s="50"/>
      <c r="SDF349" s="50"/>
      <c r="SDG349" s="50"/>
      <c r="SDH349" s="50"/>
      <c r="SDI349" s="50"/>
      <c r="SDJ349" s="50"/>
      <c r="SDK349" s="50"/>
      <c r="SDL349" s="50"/>
      <c r="SDM349" s="50"/>
      <c r="SDN349" s="50"/>
      <c r="SDO349" s="50"/>
      <c r="SDP349" s="50"/>
      <c r="SDQ349" s="50"/>
      <c r="SDR349" s="50"/>
      <c r="SDS349" s="50"/>
      <c r="SDT349" s="50"/>
      <c r="SDU349" s="50"/>
      <c r="SDV349" s="50"/>
      <c r="SDW349" s="50"/>
      <c r="SDX349" s="50"/>
      <c r="SDY349" s="50"/>
      <c r="SDZ349" s="50"/>
      <c r="SEA349" s="50"/>
      <c r="SEB349" s="50"/>
      <c r="SEC349" s="50"/>
      <c r="SED349" s="50"/>
      <c r="SEE349" s="50"/>
      <c r="SEF349" s="50"/>
      <c r="SEG349" s="50"/>
      <c r="SEH349" s="50"/>
      <c r="SEI349" s="50"/>
      <c r="SEJ349" s="50"/>
      <c r="SEK349" s="50"/>
      <c r="SEL349" s="50"/>
      <c r="SEM349" s="50"/>
      <c r="SEN349" s="50"/>
      <c r="SEO349" s="50"/>
      <c r="SEP349" s="50"/>
      <c r="SEQ349" s="50"/>
      <c r="SER349" s="50"/>
      <c r="SES349" s="50"/>
      <c r="SET349" s="50"/>
      <c r="SEU349" s="50"/>
      <c r="SEV349" s="50"/>
      <c r="SEW349" s="50"/>
      <c r="SEX349" s="50"/>
      <c r="SEY349" s="50"/>
      <c r="SEZ349" s="50"/>
      <c r="SFA349" s="50"/>
      <c r="SFB349" s="50"/>
      <c r="SFC349" s="50"/>
      <c r="SFD349" s="50"/>
      <c r="SFE349" s="50"/>
      <c r="SFF349" s="50"/>
      <c r="SFG349" s="50"/>
      <c r="SFH349" s="50"/>
      <c r="SFI349" s="50"/>
      <c r="SFJ349" s="50"/>
      <c r="SFK349" s="50"/>
      <c r="SFL349" s="50"/>
      <c r="SFM349" s="50"/>
      <c r="SFN349" s="50"/>
      <c r="SFO349" s="50"/>
      <c r="SFP349" s="50"/>
      <c r="SFQ349" s="50"/>
      <c r="SFR349" s="50"/>
      <c r="SFS349" s="50"/>
      <c r="SFT349" s="50"/>
      <c r="SFU349" s="50"/>
      <c r="SFV349" s="50"/>
      <c r="SFW349" s="50"/>
      <c r="SFX349" s="50"/>
      <c r="SFY349" s="50"/>
      <c r="SFZ349" s="50"/>
      <c r="SGA349" s="50"/>
      <c r="SGB349" s="50"/>
      <c r="SGC349" s="50"/>
      <c r="SGD349" s="50"/>
      <c r="SGE349" s="50"/>
      <c r="SGF349" s="50"/>
      <c r="SGG349" s="50"/>
      <c r="SGH349" s="50"/>
      <c r="SGI349" s="50"/>
      <c r="SGJ349" s="50"/>
      <c r="SGK349" s="50"/>
      <c r="SGL349" s="50"/>
      <c r="SGM349" s="50"/>
      <c r="SGN349" s="50"/>
      <c r="SGO349" s="50"/>
      <c r="SGP349" s="50"/>
      <c r="SGQ349" s="50"/>
      <c r="SGR349" s="50"/>
      <c r="SGS349" s="50"/>
      <c r="SGT349" s="50"/>
      <c r="SGU349" s="50"/>
      <c r="SGV349" s="50"/>
      <c r="SGW349" s="50"/>
      <c r="SGX349" s="50"/>
      <c r="SGY349" s="50"/>
      <c r="SGZ349" s="50"/>
      <c r="SHA349" s="50"/>
      <c r="SHB349" s="50"/>
      <c r="SHC349" s="50"/>
      <c r="SHD349" s="50"/>
      <c r="SHE349" s="50"/>
      <c r="SHF349" s="50"/>
      <c r="SHG349" s="50"/>
      <c r="SHH349" s="50"/>
      <c r="SHI349" s="50"/>
      <c r="SHJ349" s="50"/>
      <c r="SHK349" s="50"/>
      <c r="SHL349" s="50"/>
      <c r="SHM349" s="50"/>
      <c r="SHN349" s="50"/>
      <c r="SHO349" s="50"/>
      <c r="SHP349" s="50"/>
      <c r="SHQ349" s="50"/>
      <c r="SHR349" s="50"/>
      <c r="SHS349" s="50"/>
      <c r="SHT349" s="50"/>
      <c r="SHU349" s="50"/>
      <c r="SHV349" s="50"/>
      <c r="SHW349" s="50"/>
      <c r="SHX349" s="50"/>
      <c r="SHY349" s="50"/>
      <c r="SHZ349" s="50"/>
      <c r="SIA349" s="50"/>
      <c r="SIB349" s="50"/>
      <c r="SIC349" s="50"/>
      <c r="SID349" s="50"/>
      <c r="SIE349" s="50"/>
      <c r="SIF349" s="50"/>
      <c r="SIG349" s="50"/>
      <c r="SIH349" s="50"/>
      <c r="SII349" s="50"/>
      <c r="SIJ349" s="50"/>
      <c r="SIK349" s="50"/>
      <c r="SIL349" s="50"/>
      <c r="SIM349" s="50"/>
      <c r="SIN349" s="50"/>
      <c r="SIO349" s="50"/>
      <c r="SIP349" s="50"/>
      <c r="SIQ349" s="50"/>
      <c r="SIR349" s="50"/>
      <c r="SIS349" s="50"/>
      <c r="SIT349" s="50"/>
      <c r="SIU349" s="50"/>
      <c r="SIV349" s="50"/>
      <c r="SIW349" s="50"/>
      <c r="SIX349" s="50"/>
      <c r="SIY349" s="50"/>
      <c r="SIZ349" s="50"/>
      <c r="SJA349" s="50"/>
      <c r="SJB349" s="50"/>
      <c r="SJC349" s="50"/>
      <c r="SJD349" s="50"/>
      <c r="SJE349" s="50"/>
      <c r="SJF349" s="50"/>
      <c r="SJG349" s="50"/>
      <c r="SJH349" s="50"/>
      <c r="SJI349" s="50"/>
      <c r="SJJ349" s="50"/>
      <c r="SJK349" s="50"/>
      <c r="SJL349" s="50"/>
      <c r="SJM349" s="50"/>
      <c r="SJN349" s="50"/>
      <c r="SJO349" s="50"/>
      <c r="SJP349" s="50"/>
      <c r="SJQ349" s="50"/>
      <c r="SJR349" s="50"/>
      <c r="SJS349" s="50"/>
      <c r="SJT349" s="50"/>
      <c r="SJU349" s="50"/>
      <c r="SJV349" s="50"/>
      <c r="SJW349" s="50"/>
      <c r="SJX349" s="50"/>
      <c r="SJY349" s="50"/>
      <c r="SJZ349" s="50"/>
      <c r="SKA349" s="50"/>
      <c r="SKB349" s="50"/>
      <c r="SKC349" s="50"/>
      <c r="SKD349" s="50"/>
      <c r="SKE349" s="50"/>
      <c r="SKF349" s="50"/>
      <c r="SKG349" s="50"/>
      <c r="SKH349" s="50"/>
      <c r="SKI349" s="50"/>
      <c r="SKJ349" s="50"/>
      <c r="SKK349" s="50"/>
      <c r="SKL349" s="50"/>
      <c r="SKM349" s="50"/>
      <c r="SKN349" s="50"/>
      <c r="SKO349" s="50"/>
      <c r="SKP349" s="50"/>
      <c r="SKQ349" s="50"/>
      <c r="SKR349" s="50"/>
      <c r="SKS349" s="50"/>
      <c r="SKT349" s="50"/>
      <c r="SKU349" s="50"/>
      <c r="SKV349" s="50"/>
      <c r="SKW349" s="50"/>
      <c r="SKX349" s="50"/>
      <c r="SKY349" s="50"/>
      <c r="SKZ349" s="50"/>
      <c r="SLA349" s="50"/>
      <c r="SLB349" s="50"/>
      <c r="SLC349" s="50"/>
      <c r="SLD349" s="50"/>
      <c r="SLE349" s="50"/>
      <c r="SLF349" s="50"/>
      <c r="SLG349" s="50"/>
      <c r="SLH349" s="50"/>
      <c r="SLI349" s="50"/>
      <c r="SLJ349" s="50"/>
      <c r="SLK349" s="50"/>
      <c r="SLL349" s="50"/>
      <c r="SLM349" s="50"/>
      <c r="SLN349" s="50"/>
      <c r="SLO349" s="50"/>
      <c r="SLP349" s="50"/>
      <c r="SLQ349" s="50"/>
      <c r="SLR349" s="50"/>
      <c r="SLS349" s="50"/>
      <c r="SLT349" s="50"/>
      <c r="SLU349" s="50"/>
      <c r="SLV349" s="50"/>
      <c r="SLW349" s="50"/>
      <c r="SLX349" s="50"/>
      <c r="SLY349" s="50"/>
      <c r="SLZ349" s="50"/>
      <c r="SMA349" s="50"/>
      <c r="SMB349" s="50"/>
      <c r="SMC349" s="50"/>
      <c r="SMD349" s="50"/>
      <c r="SME349" s="50"/>
      <c r="SMF349" s="50"/>
      <c r="SMG349" s="50"/>
      <c r="SMH349" s="50"/>
      <c r="SMI349" s="50"/>
      <c r="SMJ349" s="50"/>
      <c r="SMK349" s="50"/>
      <c r="SML349" s="50"/>
      <c r="SMM349" s="50"/>
      <c r="SMN349" s="50"/>
      <c r="SMO349" s="50"/>
      <c r="SMP349" s="50"/>
      <c r="SMQ349" s="50"/>
      <c r="SMR349" s="50"/>
      <c r="SMS349" s="50"/>
      <c r="SMT349" s="50"/>
      <c r="SMU349" s="50"/>
      <c r="SMV349" s="50"/>
      <c r="SMW349" s="50"/>
      <c r="SMX349" s="50"/>
      <c r="SMY349" s="50"/>
      <c r="SMZ349" s="50"/>
      <c r="SNA349" s="50"/>
      <c r="SNB349" s="50"/>
      <c r="SNC349" s="50"/>
      <c r="SND349" s="50"/>
      <c r="SNE349" s="50"/>
      <c r="SNF349" s="50"/>
      <c r="SNG349" s="50"/>
      <c r="SNH349" s="50"/>
      <c r="SNI349" s="50"/>
      <c r="SNJ349" s="50"/>
      <c r="SNK349" s="50"/>
      <c r="SNL349" s="50"/>
      <c r="SNM349" s="50"/>
      <c r="SNN349" s="50"/>
      <c r="SNO349" s="50"/>
      <c r="SNP349" s="50"/>
      <c r="SNQ349" s="50"/>
      <c r="SNR349" s="50"/>
      <c r="SNS349" s="50"/>
      <c r="SNT349" s="50"/>
      <c r="SNU349" s="50"/>
      <c r="SNV349" s="50"/>
      <c r="SNW349" s="50"/>
      <c r="SNX349" s="50"/>
      <c r="SNY349" s="50"/>
      <c r="SNZ349" s="50"/>
      <c r="SOA349" s="50"/>
      <c r="SOB349" s="50"/>
      <c r="SOC349" s="50"/>
      <c r="SOD349" s="50"/>
      <c r="SOE349" s="50"/>
      <c r="SOF349" s="50"/>
      <c r="SOG349" s="50"/>
      <c r="SOH349" s="50"/>
      <c r="SOI349" s="50"/>
      <c r="SOJ349" s="50"/>
      <c r="SOK349" s="50"/>
      <c r="SOL349" s="50"/>
      <c r="SOM349" s="50"/>
      <c r="SON349" s="50"/>
      <c r="SOO349" s="50"/>
      <c r="SOP349" s="50"/>
      <c r="SOQ349" s="50"/>
      <c r="SOR349" s="50"/>
      <c r="SOS349" s="50"/>
      <c r="SOT349" s="50"/>
      <c r="SOU349" s="50"/>
      <c r="SOV349" s="50"/>
      <c r="SOW349" s="50"/>
      <c r="SOX349" s="50"/>
      <c r="SOY349" s="50"/>
      <c r="SOZ349" s="50"/>
      <c r="SPA349" s="50"/>
      <c r="SPB349" s="50"/>
      <c r="SPC349" s="50"/>
      <c r="SPD349" s="50"/>
      <c r="SPE349" s="50"/>
      <c r="SPF349" s="50"/>
      <c r="SPG349" s="50"/>
      <c r="SPH349" s="50"/>
      <c r="SPI349" s="50"/>
      <c r="SPJ349" s="50"/>
      <c r="SPK349" s="50"/>
      <c r="SPL349" s="50"/>
      <c r="SPM349" s="50"/>
      <c r="SPN349" s="50"/>
      <c r="SPO349" s="50"/>
      <c r="SPP349" s="50"/>
      <c r="SPQ349" s="50"/>
      <c r="SPR349" s="50"/>
      <c r="SPS349" s="50"/>
      <c r="SPT349" s="50"/>
      <c r="SPU349" s="50"/>
      <c r="SPV349" s="50"/>
      <c r="SPW349" s="50"/>
      <c r="SPX349" s="50"/>
      <c r="SPY349" s="50"/>
      <c r="SPZ349" s="50"/>
      <c r="SQA349" s="50"/>
      <c r="SQB349" s="50"/>
      <c r="SQC349" s="50"/>
      <c r="SQD349" s="50"/>
      <c r="SQE349" s="50"/>
      <c r="SQF349" s="50"/>
      <c r="SQG349" s="50"/>
      <c r="SQH349" s="50"/>
      <c r="SQI349" s="50"/>
      <c r="SQJ349" s="50"/>
      <c r="SQK349" s="50"/>
      <c r="SQL349" s="50"/>
      <c r="SQM349" s="50"/>
      <c r="SQN349" s="50"/>
      <c r="SQO349" s="50"/>
      <c r="SQP349" s="50"/>
      <c r="SQQ349" s="50"/>
      <c r="SQR349" s="50"/>
      <c r="SQS349" s="50"/>
      <c r="SQT349" s="50"/>
      <c r="SQU349" s="50"/>
      <c r="SQV349" s="50"/>
      <c r="SQW349" s="50"/>
      <c r="SQX349" s="50"/>
      <c r="SQY349" s="50"/>
      <c r="SQZ349" s="50"/>
      <c r="SRA349" s="50"/>
      <c r="SRB349" s="50"/>
      <c r="SRC349" s="50"/>
      <c r="SRD349" s="50"/>
      <c r="SRE349" s="50"/>
      <c r="SRF349" s="50"/>
      <c r="SRG349" s="50"/>
      <c r="SRH349" s="50"/>
      <c r="SRI349" s="50"/>
      <c r="SRJ349" s="50"/>
      <c r="SRK349" s="50"/>
      <c r="SRL349" s="50"/>
      <c r="SRM349" s="50"/>
      <c r="SRN349" s="50"/>
      <c r="SRO349" s="50"/>
      <c r="SRP349" s="50"/>
      <c r="SRQ349" s="50"/>
      <c r="SRR349" s="50"/>
      <c r="SRS349" s="50"/>
      <c r="SRT349" s="50"/>
      <c r="SRU349" s="50"/>
      <c r="SRV349" s="50"/>
      <c r="SRW349" s="50"/>
      <c r="SRX349" s="50"/>
      <c r="SRY349" s="50"/>
      <c r="SRZ349" s="50"/>
      <c r="SSA349" s="50"/>
      <c r="SSB349" s="50"/>
      <c r="SSC349" s="50"/>
      <c r="SSD349" s="50"/>
      <c r="SSE349" s="50"/>
      <c r="SSF349" s="50"/>
      <c r="SSG349" s="50"/>
      <c r="SSH349" s="50"/>
      <c r="SSI349" s="50"/>
      <c r="SSJ349" s="50"/>
      <c r="SSK349" s="50"/>
      <c r="SSL349" s="50"/>
      <c r="SSM349" s="50"/>
      <c r="SSN349" s="50"/>
      <c r="SSO349" s="50"/>
      <c r="SSP349" s="50"/>
      <c r="SSQ349" s="50"/>
      <c r="SSR349" s="50"/>
      <c r="SSS349" s="50"/>
      <c r="SST349" s="50"/>
      <c r="SSU349" s="50"/>
      <c r="SSV349" s="50"/>
      <c r="SSW349" s="50"/>
      <c r="SSX349" s="50"/>
      <c r="SSY349" s="50"/>
      <c r="SSZ349" s="50"/>
      <c r="STA349" s="50"/>
      <c r="STB349" s="50"/>
      <c r="STC349" s="50"/>
      <c r="STD349" s="50"/>
      <c r="STE349" s="50"/>
      <c r="STF349" s="50"/>
      <c r="STG349" s="50"/>
      <c r="STH349" s="50"/>
      <c r="STI349" s="50"/>
      <c r="STJ349" s="50"/>
      <c r="STK349" s="50"/>
      <c r="STL349" s="50"/>
      <c r="STM349" s="50"/>
      <c r="STN349" s="50"/>
      <c r="STO349" s="50"/>
      <c r="STP349" s="50"/>
      <c r="STQ349" s="50"/>
      <c r="STR349" s="50"/>
      <c r="STS349" s="50"/>
      <c r="STT349" s="50"/>
      <c r="STU349" s="50"/>
      <c r="STV349" s="50"/>
      <c r="STW349" s="50"/>
      <c r="STX349" s="50"/>
      <c r="STY349" s="50"/>
      <c r="STZ349" s="50"/>
      <c r="SUA349" s="50"/>
      <c r="SUB349" s="50"/>
      <c r="SUC349" s="50"/>
      <c r="SUD349" s="50"/>
      <c r="SUE349" s="50"/>
      <c r="SUF349" s="50"/>
      <c r="SUG349" s="50"/>
      <c r="SUH349" s="50"/>
      <c r="SUI349" s="50"/>
      <c r="SUJ349" s="50"/>
      <c r="SUK349" s="50"/>
      <c r="SUL349" s="50"/>
      <c r="SUM349" s="50"/>
      <c r="SUN349" s="50"/>
      <c r="SUO349" s="50"/>
      <c r="SUP349" s="50"/>
      <c r="SUQ349" s="50"/>
      <c r="SUR349" s="50"/>
      <c r="SUS349" s="50"/>
      <c r="SUT349" s="50"/>
      <c r="SUU349" s="50"/>
      <c r="SUV349" s="50"/>
      <c r="SUW349" s="50"/>
      <c r="SUX349" s="50"/>
      <c r="SUY349" s="50"/>
      <c r="SUZ349" s="50"/>
      <c r="SVA349" s="50"/>
      <c r="SVB349" s="50"/>
      <c r="SVC349" s="50"/>
      <c r="SVD349" s="50"/>
      <c r="SVE349" s="50"/>
      <c r="SVF349" s="50"/>
      <c r="SVG349" s="50"/>
      <c r="SVH349" s="50"/>
      <c r="SVI349" s="50"/>
      <c r="SVJ349" s="50"/>
      <c r="SVK349" s="50"/>
      <c r="SVL349" s="50"/>
      <c r="SVM349" s="50"/>
      <c r="SVN349" s="50"/>
      <c r="SVO349" s="50"/>
      <c r="SVP349" s="50"/>
      <c r="SVQ349" s="50"/>
      <c r="SVR349" s="50"/>
      <c r="SVS349" s="50"/>
      <c r="SVT349" s="50"/>
      <c r="SVU349" s="50"/>
      <c r="SVV349" s="50"/>
      <c r="SVW349" s="50"/>
      <c r="SVX349" s="50"/>
      <c r="SVY349" s="50"/>
      <c r="SVZ349" s="50"/>
      <c r="SWA349" s="50"/>
      <c r="SWB349" s="50"/>
      <c r="SWC349" s="50"/>
      <c r="SWD349" s="50"/>
      <c r="SWE349" s="50"/>
      <c r="SWF349" s="50"/>
      <c r="SWG349" s="50"/>
      <c r="SWH349" s="50"/>
      <c r="SWI349" s="50"/>
      <c r="SWJ349" s="50"/>
      <c r="SWK349" s="50"/>
      <c r="SWL349" s="50"/>
      <c r="SWM349" s="50"/>
      <c r="SWN349" s="50"/>
      <c r="SWO349" s="50"/>
      <c r="SWP349" s="50"/>
      <c r="SWQ349" s="50"/>
      <c r="SWR349" s="50"/>
      <c r="SWS349" s="50"/>
      <c r="SWT349" s="50"/>
      <c r="SWU349" s="50"/>
      <c r="SWV349" s="50"/>
      <c r="SWW349" s="50"/>
      <c r="SWX349" s="50"/>
      <c r="SWY349" s="50"/>
      <c r="SWZ349" s="50"/>
      <c r="SXA349" s="50"/>
      <c r="SXB349" s="50"/>
      <c r="SXC349" s="50"/>
      <c r="SXD349" s="50"/>
      <c r="SXE349" s="50"/>
      <c r="SXF349" s="50"/>
      <c r="SXG349" s="50"/>
      <c r="SXH349" s="50"/>
      <c r="SXI349" s="50"/>
      <c r="SXJ349" s="50"/>
      <c r="SXK349" s="50"/>
      <c r="SXL349" s="50"/>
      <c r="SXM349" s="50"/>
      <c r="SXN349" s="50"/>
      <c r="SXO349" s="50"/>
      <c r="SXP349" s="50"/>
      <c r="SXQ349" s="50"/>
      <c r="SXR349" s="50"/>
      <c r="SXS349" s="50"/>
      <c r="SXT349" s="50"/>
      <c r="SXU349" s="50"/>
      <c r="SXV349" s="50"/>
      <c r="SXW349" s="50"/>
      <c r="SXX349" s="50"/>
      <c r="SXY349" s="50"/>
      <c r="SXZ349" s="50"/>
      <c r="SYA349" s="50"/>
      <c r="SYB349" s="50"/>
      <c r="SYC349" s="50"/>
      <c r="SYD349" s="50"/>
      <c r="SYE349" s="50"/>
      <c r="SYF349" s="50"/>
      <c r="SYG349" s="50"/>
      <c r="SYH349" s="50"/>
      <c r="SYI349" s="50"/>
      <c r="SYJ349" s="50"/>
      <c r="SYK349" s="50"/>
      <c r="SYL349" s="50"/>
      <c r="SYM349" s="50"/>
      <c r="SYN349" s="50"/>
      <c r="SYO349" s="50"/>
      <c r="SYP349" s="50"/>
      <c r="SYQ349" s="50"/>
      <c r="SYR349" s="50"/>
      <c r="SYS349" s="50"/>
      <c r="SYT349" s="50"/>
      <c r="SYU349" s="50"/>
      <c r="SYV349" s="50"/>
      <c r="SYW349" s="50"/>
      <c r="SYX349" s="50"/>
      <c r="SYY349" s="50"/>
      <c r="SYZ349" s="50"/>
      <c r="SZA349" s="50"/>
      <c r="SZB349" s="50"/>
      <c r="SZC349" s="50"/>
      <c r="SZD349" s="50"/>
      <c r="SZE349" s="50"/>
      <c r="SZF349" s="50"/>
      <c r="SZG349" s="50"/>
      <c r="SZH349" s="50"/>
      <c r="SZI349" s="50"/>
      <c r="SZJ349" s="50"/>
      <c r="SZK349" s="50"/>
      <c r="SZL349" s="50"/>
      <c r="SZM349" s="50"/>
      <c r="SZN349" s="50"/>
      <c r="SZO349" s="50"/>
      <c r="SZP349" s="50"/>
      <c r="SZQ349" s="50"/>
      <c r="SZR349" s="50"/>
      <c r="SZS349" s="50"/>
      <c r="SZT349" s="50"/>
      <c r="SZU349" s="50"/>
      <c r="SZV349" s="50"/>
      <c r="SZW349" s="50"/>
      <c r="SZX349" s="50"/>
      <c r="SZY349" s="50"/>
      <c r="SZZ349" s="50"/>
      <c r="TAA349" s="50"/>
      <c r="TAB349" s="50"/>
      <c r="TAC349" s="50"/>
      <c r="TAD349" s="50"/>
      <c r="TAE349" s="50"/>
      <c r="TAF349" s="50"/>
      <c r="TAG349" s="50"/>
      <c r="TAH349" s="50"/>
      <c r="TAI349" s="50"/>
      <c r="TAJ349" s="50"/>
      <c r="TAK349" s="50"/>
      <c r="TAL349" s="50"/>
      <c r="TAM349" s="50"/>
      <c r="TAN349" s="50"/>
      <c r="TAO349" s="50"/>
      <c r="TAP349" s="50"/>
      <c r="TAQ349" s="50"/>
      <c r="TAR349" s="50"/>
      <c r="TAS349" s="50"/>
      <c r="TAT349" s="50"/>
      <c r="TAU349" s="50"/>
      <c r="TAV349" s="50"/>
      <c r="TAW349" s="50"/>
      <c r="TAX349" s="50"/>
      <c r="TAY349" s="50"/>
      <c r="TAZ349" s="50"/>
      <c r="TBA349" s="50"/>
      <c r="TBB349" s="50"/>
      <c r="TBC349" s="50"/>
      <c r="TBD349" s="50"/>
      <c r="TBE349" s="50"/>
      <c r="TBF349" s="50"/>
      <c r="TBG349" s="50"/>
      <c r="TBH349" s="50"/>
      <c r="TBI349" s="50"/>
      <c r="TBJ349" s="50"/>
      <c r="TBK349" s="50"/>
      <c r="TBL349" s="50"/>
      <c r="TBM349" s="50"/>
      <c r="TBN349" s="50"/>
      <c r="TBO349" s="50"/>
      <c r="TBP349" s="50"/>
      <c r="TBQ349" s="50"/>
      <c r="TBR349" s="50"/>
      <c r="TBS349" s="50"/>
      <c r="TBT349" s="50"/>
      <c r="TBU349" s="50"/>
      <c r="TBV349" s="50"/>
      <c r="TBW349" s="50"/>
      <c r="TBX349" s="50"/>
      <c r="TBY349" s="50"/>
      <c r="TBZ349" s="50"/>
      <c r="TCA349" s="50"/>
      <c r="TCB349" s="50"/>
      <c r="TCC349" s="50"/>
      <c r="TCD349" s="50"/>
      <c r="TCE349" s="50"/>
      <c r="TCF349" s="50"/>
      <c r="TCG349" s="50"/>
      <c r="TCH349" s="50"/>
      <c r="TCI349" s="50"/>
      <c r="TCJ349" s="50"/>
      <c r="TCK349" s="50"/>
      <c r="TCL349" s="50"/>
      <c r="TCM349" s="50"/>
      <c r="TCN349" s="50"/>
      <c r="TCO349" s="50"/>
      <c r="TCP349" s="50"/>
      <c r="TCQ349" s="50"/>
      <c r="TCR349" s="50"/>
      <c r="TCS349" s="50"/>
      <c r="TCT349" s="50"/>
      <c r="TCU349" s="50"/>
      <c r="TCV349" s="50"/>
      <c r="TCW349" s="50"/>
      <c r="TCX349" s="50"/>
      <c r="TCY349" s="50"/>
      <c r="TCZ349" s="50"/>
      <c r="TDA349" s="50"/>
      <c r="TDB349" s="50"/>
      <c r="TDC349" s="50"/>
      <c r="TDD349" s="50"/>
      <c r="TDE349" s="50"/>
      <c r="TDF349" s="50"/>
      <c r="TDG349" s="50"/>
      <c r="TDH349" s="50"/>
      <c r="TDI349" s="50"/>
      <c r="TDJ349" s="50"/>
      <c r="TDK349" s="50"/>
      <c r="TDL349" s="50"/>
      <c r="TDM349" s="50"/>
      <c r="TDN349" s="50"/>
      <c r="TDO349" s="50"/>
      <c r="TDP349" s="50"/>
      <c r="TDQ349" s="50"/>
      <c r="TDR349" s="50"/>
      <c r="TDS349" s="50"/>
      <c r="TDT349" s="50"/>
      <c r="TDU349" s="50"/>
      <c r="TDV349" s="50"/>
      <c r="TDW349" s="50"/>
      <c r="TDX349" s="50"/>
      <c r="TDY349" s="50"/>
      <c r="TDZ349" s="50"/>
      <c r="TEA349" s="50"/>
      <c r="TEB349" s="50"/>
      <c r="TEC349" s="50"/>
      <c r="TED349" s="50"/>
      <c r="TEE349" s="50"/>
      <c r="TEF349" s="50"/>
      <c r="TEG349" s="50"/>
      <c r="TEH349" s="50"/>
      <c r="TEI349" s="50"/>
      <c r="TEJ349" s="50"/>
      <c r="TEK349" s="50"/>
      <c r="TEL349" s="50"/>
      <c r="TEM349" s="50"/>
      <c r="TEN349" s="50"/>
      <c r="TEO349" s="50"/>
      <c r="TEP349" s="50"/>
      <c r="TEQ349" s="50"/>
      <c r="TER349" s="50"/>
      <c r="TES349" s="50"/>
      <c r="TET349" s="50"/>
      <c r="TEU349" s="50"/>
      <c r="TEV349" s="50"/>
      <c r="TEW349" s="50"/>
      <c r="TEX349" s="50"/>
      <c r="TEY349" s="50"/>
      <c r="TEZ349" s="50"/>
      <c r="TFA349" s="50"/>
      <c r="TFB349" s="50"/>
      <c r="TFC349" s="50"/>
      <c r="TFD349" s="50"/>
      <c r="TFE349" s="50"/>
      <c r="TFF349" s="50"/>
      <c r="TFG349" s="50"/>
      <c r="TFH349" s="50"/>
      <c r="TFI349" s="50"/>
      <c r="TFJ349" s="50"/>
      <c r="TFK349" s="50"/>
      <c r="TFL349" s="50"/>
      <c r="TFM349" s="50"/>
      <c r="TFN349" s="50"/>
      <c r="TFO349" s="50"/>
      <c r="TFP349" s="50"/>
      <c r="TFQ349" s="50"/>
      <c r="TFR349" s="50"/>
      <c r="TFS349" s="50"/>
      <c r="TFT349" s="50"/>
      <c r="TFU349" s="50"/>
      <c r="TFV349" s="50"/>
      <c r="TFW349" s="50"/>
      <c r="TFX349" s="50"/>
      <c r="TFY349" s="50"/>
      <c r="TFZ349" s="50"/>
      <c r="TGA349" s="50"/>
      <c r="TGB349" s="50"/>
      <c r="TGC349" s="50"/>
      <c r="TGD349" s="50"/>
      <c r="TGE349" s="50"/>
      <c r="TGF349" s="50"/>
      <c r="TGG349" s="50"/>
      <c r="TGH349" s="50"/>
      <c r="TGI349" s="50"/>
      <c r="TGJ349" s="50"/>
      <c r="TGK349" s="50"/>
      <c r="TGL349" s="50"/>
      <c r="TGM349" s="50"/>
      <c r="TGN349" s="50"/>
      <c r="TGO349" s="50"/>
      <c r="TGP349" s="50"/>
      <c r="TGQ349" s="50"/>
      <c r="TGR349" s="50"/>
      <c r="TGS349" s="50"/>
      <c r="TGT349" s="50"/>
      <c r="TGU349" s="50"/>
      <c r="TGV349" s="50"/>
      <c r="TGW349" s="50"/>
      <c r="TGX349" s="50"/>
      <c r="TGY349" s="50"/>
      <c r="TGZ349" s="50"/>
      <c r="THA349" s="50"/>
      <c r="THB349" s="50"/>
      <c r="THC349" s="50"/>
      <c r="THD349" s="50"/>
      <c r="THE349" s="50"/>
      <c r="THF349" s="50"/>
      <c r="THG349" s="50"/>
      <c r="THH349" s="50"/>
      <c r="THI349" s="50"/>
      <c r="THJ349" s="50"/>
      <c r="THK349" s="50"/>
      <c r="THL349" s="50"/>
      <c r="THM349" s="50"/>
      <c r="THN349" s="50"/>
      <c r="THO349" s="50"/>
      <c r="THP349" s="50"/>
      <c r="THQ349" s="50"/>
      <c r="THR349" s="50"/>
      <c r="THS349" s="50"/>
      <c r="THT349" s="50"/>
      <c r="THU349" s="50"/>
      <c r="THV349" s="50"/>
      <c r="THW349" s="50"/>
      <c r="THX349" s="50"/>
      <c r="THY349" s="50"/>
      <c r="THZ349" s="50"/>
      <c r="TIA349" s="50"/>
      <c r="TIB349" s="50"/>
      <c r="TIC349" s="50"/>
      <c r="TID349" s="50"/>
      <c r="TIE349" s="50"/>
      <c r="TIF349" s="50"/>
      <c r="TIG349" s="50"/>
      <c r="TIH349" s="50"/>
      <c r="TII349" s="50"/>
      <c r="TIJ349" s="50"/>
      <c r="TIK349" s="50"/>
      <c r="TIL349" s="50"/>
      <c r="TIM349" s="50"/>
      <c r="TIN349" s="50"/>
      <c r="TIO349" s="50"/>
      <c r="TIP349" s="50"/>
      <c r="TIQ349" s="50"/>
      <c r="TIR349" s="50"/>
      <c r="TIS349" s="50"/>
      <c r="TIT349" s="50"/>
      <c r="TIU349" s="50"/>
      <c r="TIV349" s="50"/>
      <c r="TIW349" s="50"/>
      <c r="TIX349" s="50"/>
      <c r="TIY349" s="50"/>
      <c r="TIZ349" s="50"/>
      <c r="TJA349" s="50"/>
      <c r="TJB349" s="50"/>
      <c r="TJC349" s="50"/>
      <c r="TJD349" s="50"/>
      <c r="TJE349" s="50"/>
      <c r="TJF349" s="50"/>
      <c r="TJG349" s="50"/>
      <c r="TJH349" s="50"/>
      <c r="TJI349" s="50"/>
      <c r="TJJ349" s="50"/>
      <c r="TJK349" s="50"/>
      <c r="TJL349" s="50"/>
      <c r="TJM349" s="50"/>
      <c r="TJN349" s="50"/>
      <c r="TJO349" s="50"/>
      <c r="TJP349" s="50"/>
      <c r="TJQ349" s="50"/>
      <c r="TJR349" s="50"/>
      <c r="TJS349" s="50"/>
      <c r="TJT349" s="50"/>
      <c r="TJU349" s="50"/>
      <c r="TJV349" s="50"/>
      <c r="TJW349" s="50"/>
      <c r="TJX349" s="50"/>
      <c r="TJY349" s="50"/>
      <c r="TJZ349" s="50"/>
      <c r="TKA349" s="50"/>
      <c r="TKB349" s="50"/>
      <c r="TKC349" s="50"/>
      <c r="TKD349" s="50"/>
      <c r="TKE349" s="50"/>
      <c r="TKF349" s="50"/>
      <c r="TKG349" s="50"/>
      <c r="TKH349" s="50"/>
      <c r="TKI349" s="50"/>
      <c r="TKJ349" s="50"/>
      <c r="TKK349" s="50"/>
      <c r="TKL349" s="50"/>
      <c r="TKM349" s="50"/>
      <c r="TKN349" s="50"/>
      <c r="TKO349" s="50"/>
      <c r="TKP349" s="50"/>
      <c r="TKQ349" s="50"/>
      <c r="TKR349" s="50"/>
      <c r="TKS349" s="50"/>
      <c r="TKT349" s="50"/>
      <c r="TKU349" s="50"/>
      <c r="TKV349" s="50"/>
      <c r="TKW349" s="50"/>
      <c r="TKX349" s="50"/>
      <c r="TKY349" s="50"/>
      <c r="TKZ349" s="50"/>
      <c r="TLA349" s="50"/>
      <c r="TLB349" s="50"/>
      <c r="TLC349" s="50"/>
      <c r="TLD349" s="50"/>
      <c r="TLE349" s="50"/>
      <c r="TLF349" s="50"/>
      <c r="TLG349" s="50"/>
      <c r="TLH349" s="50"/>
      <c r="TLI349" s="50"/>
      <c r="TLJ349" s="50"/>
      <c r="TLK349" s="50"/>
      <c r="TLL349" s="50"/>
      <c r="TLM349" s="50"/>
      <c r="TLN349" s="50"/>
      <c r="TLO349" s="50"/>
      <c r="TLP349" s="50"/>
      <c r="TLQ349" s="50"/>
      <c r="TLR349" s="50"/>
      <c r="TLS349" s="50"/>
      <c r="TLT349" s="50"/>
      <c r="TLU349" s="50"/>
      <c r="TLV349" s="50"/>
      <c r="TLW349" s="50"/>
      <c r="TLX349" s="50"/>
      <c r="TLY349" s="50"/>
      <c r="TLZ349" s="50"/>
      <c r="TMA349" s="50"/>
      <c r="TMB349" s="50"/>
      <c r="TMC349" s="50"/>
      <c r="TMD349" s="50"/>
      <c r="TME349" s="50"/>
      <c r="TMF349" s="50"/>
      <c r="TMG349" s="50"/>
      <c r="TMH349" s="50"/>
      <c r="TMI349" s="50"/>
      <c r="TMJ349" s="50"/>
      <c r="TMK349" s="50"/>
      <c r="TML349" s="50"/>
      <c r="TMM349" s="50"/>
      <c r="TMN349" s="50"/>
      <c r="TMO349" s="50"/>
      <c r="TMP349" s="50"/>
      <c r="TMQ349" s="50"/>
      <c r="TMR349" s="50"/>
      <c r="TMS349" s="50"/>
      <c r="TMT349" s="50"/>
      <c r="TMU349" s="50"/>
      <c r="TMV349" s="50"/>
      <c r="TMW349" s="50"/>
      <c r="TMX349" s="50"/>
      <c r="TMY349" s="50"/>
      <c r="TMZ349" s="50"/>
      <c r="TNA349" s="50"/>
      <c r="TNB349" s="50"/>
      <c r="TNC349" s="50"/>
      <c r="TND349" s="50"/>
      <c r="TNE349" s="50"/>
      <c r="TNF349" s="50"/>
      <c r="TNG349" s="50"/>
      <c r="TNH349" s="50"/>
      <c r="TNI349" s="50"/>
      <c r="TNJ349" s="50"/>
      <c r="TNK349" s="50"/>
      <c r="TNL349" s="50"/>
      <c r="TNM349" s="50"/>
      <c r="TNN349" s="50"/>
      <c r="TNO349" s="50"/>
      <c r="TNP349" s="50"/>
      <c r="TNQ349" s="50"/>
      <c r="TNR349" s="50"/>
      <c r="TNS349" s="50"/>
      <c r="TNT349" s="50"/>
      <c r="TNU349" s="50"/>
      <c r="TNV349" s="50"/>
      <c r="TNW349" s="50"/>
      <c r="TNX349" s="50"/>
      <c r="TNY349" s="50"/>
      <c r="TNZ349" s="50"/>
      <c r="TOA349" s="50"/>
      <c r="TOB349" s="50"/>
      <c r="TOC349" s="50"/>
      <c r="TOD349" s="50"/>
      <c r="TOE349" s="50"/>
      <c r="TOF349" s="50"/>
      <c r="TOG349" s="50"/>
      <c r="TOH349" s="50"/>
      <c r="TOI349" s="50"/>
      <c r="TOJ349" s="50"/>
      <c r="TOK349" s="50"/>
      <c r="TOL349" s="50"/>
      <c r="TOM349" s="50"/>
      <c r="TON349" s="50"/>
      <c r="TOO349" s="50"/>
      <c r="TOP349" s="50"/>
      <c r="TOQ349" s="50"/>
      <c r="TOR349" s="50"/>
      <c r="TOS349" s="50"/>
      <c r="TOT349" s="50"/>
      <c r="TOU349" s="50"/>
      <c r="TOV349" s="50"/>
      <c r="TOW349" s="50"/>
      <c r="TOX349" s="50"/>
      <c r="TOY349" s="50"/>
      <c r="TOZ349" s="50"/>
      <c r="TPA349" s="50"/>
      <c r="TPB349" s="50"/>
      <c r="TPC349" s="50"/>
      <c r="TPD349" s="50"/>
      <c r="TPE349" s="50"/>
      <c r="TPF349" s="50"/>
      <c r="TPG349" s="50"/>
      <c r="TPH349" s="50"/>
      <c r="TPI349" s="50"/>
      <c r="TPJ349" s="50"/>
      <c r="TPK349" s="50"/>
      <c r="TPL349" s="50"/>
      <c r="TPM349" s="50"/>
      <c r="TPN349" s="50"/>
      <c r="TPO349" s="50"/>
      <c r="TPP349" s="50"/>
      <c r="TPQ349" s="50"/>
      <c r="TPR349" s="50"/>
      <c r="TPS349" s="50"/>
      <c r="TPT349" s="50"/>
      <c r="TPU349" s="50"/>
      <c r="TPV349" s="50"/>
      <c r="TPW349" s="50"/>
      <c r="TPX349" s="50"/>
      <c r="TPY349" s="50"/>
      <c r="TPZ349" s="50"/>
      <c r="TQA349" s="50"/>
      <c r="TQB349" s="50"/>
      <c r="TQC349" s="50"/>
      <c r="TQD349" s="50"/>
      <c r="TQE349" s="50"/>
      <c r="TQF349" s="50"/>
      <c r="TQG349" s="50"/>
      <c r="TQH349" s="50"/>
      <c r="TQI349" s="50"/>
      <c r="TQJ349" s="50"/>
      <c r="TQK349" s="50"/>
      <c r="TQL349" s="50"/>
      <c r="TQM349" s="50"/>
      <c r="TQN349" s="50"/>
      <c r="TQO349" s="50"/>
      <c r="TQP349" s="50"/>
      <c r="TQQ349" s="50"/>
      <c r="TQR349" s="50"/>
      <c r="TQS349" s="50"/>
      <c r="TQT349" s="50"/>
      <c r="TQU349" s="50"/>
      <c r="TQV349" s="50"/>
      <c r="TQW349" s="50"/>
      <c r="TQX349" s="50"/>
      <c r="TQY349" s="50"/>
      <c r="TQZ349" s="50"/>
      <c r="TRA349" s="50"/>
      <c r="TRB349" s="50"/>
      <c r="TRC349" s="50"/>
      <c r="TRD349" s="50"/>
      <c r="TRE349" s="50"/>
      <c r="TRF349" s="50"/>
      <c r="TRG349" s="50"/>
      <c r="TRH349" s="50"/>
      <c r="TRI349" s="50"/>
      <c r="TRJ349" s="50"/>
      <c r="TRK349" s="50"/>
      <c r="TRL349" s="50"/>
      <c r="TRM349" s="50"/>
      <c r="TRN349" s="50"/>
      <c r="TRO349" s="50"/>
      <c r="TRP349" s="50"/>
      <c r="TRQ349" s="50"/>
      <c r="TRR349" s="50"/>
      <c r="TRS349" s="50"/>
      <c r="TRT349" s="50"/>
      <c r="TRU349" s="50"/>
      <c r="TRV349" s="50"/>
      <c r="TRW349" s="50"/>
      <c r="TRX349" s="50"/>
      <c r="TRY349" s="50"/>
      <c r="TRZ349" s="50"/>
      <c r="TSA349" s="50"/>
      <c r="TSB349" s="50"/>
      <c r="TSC349" s="50"/>
      <c r="TSD349" s="50"/>
      <c r="TSE349" s="50"/>
      <c r="TSF349" s="50"/>
      <c r="TSG349" s="50"/>
      <c r="TSH349" s="50"/>
      <c r="TSI349" s="50"/>
      <c r="TSJ349" s="50"/>
      <c r="TSK349" s="50"/>
      <c r="TSL349" s="50"/>
      <c r="TSM349" s="50"/>
      <c r="TSN349" s="50"/>
      <c r="TSO349" s="50"/>
      <c r="TSP349" s="50"/>
      <c r="TSQ349" s="50"/>
      <c r="TSR349" s="50"/>
      <c r="TSS349" s="50"/>
      <c r="TST349" s="50"/>
      <c r="TSU349" s="50"/>
      <c r="TSV349" s="50"/>
      <c r="TSW349" s="50"/>
      <c r="TSX349" s="50"/>
      <c r="TSY349" s="50"/>
      <c r="TSZ349" s="50"/>
      <c r="TTA349" s="50"/>
      <c r="TTB349" s="50"/>
      <c r="TTC349" s="50"/>
      <c r="TTD349" s="50"/>
      <c r="TTE349" s="50"/>
      <c r="TTF349" s="50"/>
      <c r="TTG349" s="50"/>
      <c r="TTH349" s="50"/>
      <c r="TTI349" s="50"/>
      <c r="TTJ349" s="50"/>
      <c r="TTK349" s="50"/>
      <c r="TTL349" s="50"/>
      <c r="TTM349" s="50"/>
      <c r="TTN349" s="50"/>
      <c r="TTO349" s="50"/>
      <c r="TTP349" s="50"/>
      <c r="TTQ349" s="50"/>
      <c r="TTR349" s="50"/>
      <c r="TTS349" s="50"/>
      <c r="TTT349" s="50"/>
      <c r="TTU349" s="50"/>
      <c r="TTV349" s="50"/>
      <c r="TTW349" s="50"/>
      <c r="TTX349" s="50"/>
      <c r="TTY349" s="50"/>
      <c r="TTZ349" s="50"/>
      <c r="TUA349" s="50"/>
      <c r="TUB349" s="50"/>
      <c r="TUC349" s="50"/>
      <c r="TUD349" s="50"/>
      <c r="TUE349" s="50"/>
      <c r="TUF349" s="50"/>
      <c r="TUG349" s="50"/>
      <c r="TUH349" s="50"/>
      <c r="TUI349" s="50"/>
      <c r="TUJ349" s="50"/>
      <c r="TUK349" s="50"/>
      <c r="TUL349" s="50"/>
      <c r="TUM349" s="50"/>
      <c r="TUN349" s="50"/>
      <c r="TUO349" s="50"/>
      <c r="TUP349" s="50"/>
      <c r="TUQ349" s="50"/>
      <c r="TUR349" s="50"/>
      <c r="TUS349" s="50"/>
      <c r="TUT349" s="50"/>
      <c r="TUU349" s="50"/>
      <c r="TUV349" s="50"/>
      <c r="TUW349" s="50"/>
      <c r="TUX349" s="50"/>
      <c r="TUY349" s="50"/>
      <c r="TUZ349" s="50"/>
      <c r="TVA349" s="50"/>
      <c r="TVB349" s="50"/>
      <c r="TVC349" s="50"/>
      <c r="TVD349" s="50"/>
      <c r="TVE349" s="50"/>
      <c r="TVF349" s="50"/>
      <c r="TVG349" s="50"/>
      <c r="TVH349" s="50"/>
      <c r="TVI349" s="50"/>
      <c r="TVJ349" s="50"/>
      <c r="TVK349" s="50"/>
      <c r="TVL349" s="50"/>
      <c r="TVM349" s="50"/>
      <c r="TVN349" s="50"/>
      <c r="TVO349" s="50"/>
      <c r="TVP349" s="50"/>
      <c r="TVQ349" s="50"/>
      <c r="TVR349" s="50"/>
      <c r="TVS349" s="50"/>
      <c r="TVT349" s="50"/>
      <c r="TVU349" s="50"/>
      <c r="TVV349" s="50"/>
      <c r="TVW349" s="50"/>
      <c r="TVX349" s="50"/>
      <c r="TVY349" s="50"/>
      <c r="TVZ349" s="50"/>
      <c r="TWA349" s="50"/>
      <c r="TWB349" s="50"/>
      <c r="TWC349" s="50"/>
      <c r="TWD349" s="50"/>
      <c r="TWE349" s="50"/>
      <c r="TWF349" s="50"/>
      <c r="TWG349" s="50"/>
      <c r="TWH349" s="50"/>
      <c r="TWI349" s="50"/>
      <c r="TWJ349" s="50"/>
      <c r="TWK349" s="50"/>
      <c r="TWL349" s="50"/>
      <c r="TWM349" s="50"/>
      <c r="TWN349" s="50"/>
      <c r="TWO349" s="50"/>
      <c r="TWP349" s="50"/>
      <c r="TWQ349" s="50"/>
      <c r="TWR349" s="50"/>
      <c r="TWS349" s="50"/>
      <c r="TWT349" s="50"/>
      <c r="TWU349" s="50"/>
      <c r="TWV349" s="50"/>
      <c r="TWW349" s="50"/>
      <c r="TWX349" s="50"/>
      <c r="TWY349" s="50"/>
      <c r="TWZ349" s="50"/>
      <c r="TXA349" s="50"/>
      <c r="TXB349" s="50"/>
      <c r="TXC349" s="50"/>
      <c r="TXD349" s="50"/>
      <c r="TXE349" s="50"/>
      <c r="TXF349" s="50"/>
      <c r="TXG349" s="50"/>
      <c r="TXH349" s="50"/>
      <c r="TXI349" s="50"/>
      <c r="TXJ349" s="50"/>
      <c r="TXK349" s="50"/>
      <c r="TXL349" s="50"/>
      <c r="TXM349" s="50"/>
      <c r="TXN349" s="50"/>
      <c r="TXO349" s="50"/>
      <c r="TXP349" s="50"/>
      <c r="TXQ349" s="50"/>
      <c r="TXR349" s="50"/>
      <c r="TXS349" s="50"/>
      <c r="TXT349" s="50"/>
      <c r="TXU349" s="50"/>
      <c r="TXV349" s="50"/>
      <c r="TXW349" s="50"/>
      <c r="TXX349" s="50"/>
      <c r="TXY349" s="50"/>
      <c r="TXZ349" s="50"/>
      <c r="TYA349" s="50"/>
      <c r="TYB349" s="50"/>
      <c r="TYC349" s="50"/>
      <c r="TYD349" s="50"/>
      <c r="TYE349" s="50"/>
      <c r="TYF349" s="50"/>
      <c r="TYG349" s="50"/>
      <c r="TYH349" s="50"/>
      <c r="TYI349" s="50"/>
      <c r="TYJ349" s="50"/>
      <c r="TYK349" s="50"/>
      <c r="TYL349" s="50"/>
      <c r="TYM349" s="50"/>
      <c r="TYN349" s="50"/>
      <c r="TYO349" s="50"/>
      <c r="TYP349" s="50"/>
      <c r="TYQ349" s="50"/>
      <c r="TYR349" s="50"/>
      <c r="TYS349" s="50"/>
      <c r="TYT349" s="50"/>
      <c r="TYU349" s="50"/>
      <c r="TYV349" s="50"/>
      <c r="TYW349" s="50"/>
      <c r="TYX349" s="50"/>
      <c r="TYY349" s="50"/>
      <c r="TYZ349" s="50"/>
      <c r="TZA349" s="50"/>
      <c r="TZB349" s="50"/>
      <c r="TZC349" s="50"/>
      <c r="TZD349" s="50"/>
      <c r="TZE349" s="50"/>
      <c r="TZF349" s="50"/>
      <c r="TZG349" s="50"/>
      <c r="TZH349" s="50"/>
      <c r="TZI349" s="50"/>
      <c r="TZJ349" s="50"/>
      <c r="TZK349" s="50"/>
      <c r="TZL349" s="50"/>
      <c r="TZM349" s="50"/>
      <c r="TZN349" s="50"/>
      <c r="TZO349" s="50"/>
      <c r="TZP349" s="50"/>
      <c r="TZQ349" s="50"/>
      <c r="TZR349" s="50"/>
      <c r="TZS349" s="50"/>
      <c r="TZT349" s="50"/>
      <c r="TZU349" s="50"/>
      <c r="TZV349" s="50"/>
      <c r="TZW349" s="50"/>
      <c r="TZX349" s="50"/>
      <c r="TZY349" s="50"/>
      <c r="TZZ349" s="50"/>
      <c r="UAA349" s="50"/>
      <c r="UAB349" s="50"/>
      <c r="UAC349" s="50"/>
      <c r="UAD349" s="50"/>
      <c r="UAE349" s="50"/>
      <c r="UAF349" s="50"/>
      <c r="UAG349" s="50"/>
      <c r="UAH349" s="50"/>
      <c r="UAI349" s="50"/>
      <c r="UAJ349" s="50"/>
      <c r="UAK349" s="50"/>
      <c r="UAL349" s="50"/>
      <c r="UAM349" s="50"/>
      <c r="UAN349" s="50"/>
      <c r="UAO349" s="50"/>
      <c r="UAP349" s="50"/>
      <c r="UAQ349" s="50"/>
      <c r="UAR349" s="50"/>
      <c r="UAS349" s="50"/>
      <c r="UAT349" s="50"/>
      <c r="UAU349" s="50"/>
      <c r="UAV349" s="50"/>
      <c r="UAW349" s="50"/>
      <c r="UAX349" s="50"/>
      <c r="UAY349" s="50"/>
      <c r="UAZ349" s="50"/>
      <c r="UBA349" s="50"/>
      <c r="UBB349" s="50"/>
      <c r="UBC349" s="50"/>
      <c r="UBD349" s="50"/>
      <c r="UBE349" s="50"/>
      <c r="UBF349" s="50"/>
      <c r="UBG349" s="50"/>
      <c r="UBH349" s="50"/>
      <c r="UBI349" s="50"/>
      <c r="UBJ349" s="50"/>
      <c r="UBK349" s="50"/>
      <c r="UBL349" s="50"/>
      <c r="UBM349" s="50"/>
      <c r="UBN349" s="50"/>
      <c r="UBO349" s="50"/>
      <c r="UBP349" s="50"/>
      <c r="UBQ349" s="50"/>
      <c r="UBR349" s="50"/>
      <c r="UBS349" s="50"/>
      <c r="UBT349" s="50"/>
      <c r="UBU349" s="50"/>
      <c r="UBV349" s="50"/>
      <c r="UBW349" s="50"/>
      <c r="UBX349" s="50"/>
      <c r="UBY349" s="50"/>
      <c r="UBZ349" s="50"/>
      <c r="UCA349" s="50"/>
      <c r="UCB349" s="50"/>
      <c r="UCC349" s="50"/>
      <c r="UCD349" s="50"/>
      <c r="UCE349" s="50"/>
      <c r="UCF349" s="50"/>
      <c r="UCG349" s="50"/>
      <c r="UCH349" s="50"/>
      <c r="UCI349" s="50"/>
      <c r="UCJ349" s="50"/>
      <c r="UCK349" s="50"/>
      <c r="UCL349" s="50"/>
      <c r="UCM349" s="50"/>
      <c r="UCN349" s="50"/>
      <c r="UCO349" s="50"/>
      <c r="UCP349" s="50"/>
      <c r="UCQ349" s="50"/>
      <c r="UCR349" s="50"/>
      <c r="UCS349" s="50"/>
      <c r="UCT349" s="50"/>
      <c r="UCU349" s="50"/>
      <c r="UCV349" s="50"/>
      <c r="UCW349" s="50"/>
      <c r="UCX349" s="50"/>
      <c r="UCY349" s="50"/>
      <c r="UCZ349" s="50"/>
      <c r="UDA349" s="50"/>
      <c r="UDB349" s="50"/>
      <c r="UDC349" s="50"/>
      <c r="UDD349" s="50"/>
      <c r="UDE349" s="50"/>
      <c r="UDF349" s="50"/>
      <c r="UDG349" s="50"/>
      <c r="UDH349" s="50"/>
      <c r="UDI349" s="50"/>
      <c r="UDJ349" s="50"/>
      <c r="UDK349" s="50"/>
      <c r="UDL349" s="50"/>
      <c r="UDM349" s="50"/>
      <c r="UDN349" s="50"/>
      <c r="UDO349" s="50"/>
      <c r="UDP349" s="50"/>
      <c r="UDQ349" s="50"/>
      <c r="UDR349" s="50"/>
      <c r="UDS349" s="50"/>
      <c r="UDT349" s="50"/>
      <c r="UDU349" s="50"/>
      <c r="UDV349" s="50"/>
      <c r="UDW349" s="50"/>
      <c r="UDX349" s="50"/>
      <c r="UDY349" s="50"/>
      <c r="UDZ349" s="50"/>
      <c r="UEA349" s="50"/>
      <c r="UEB349" s="50"/>
      <c r="UEC349" s="50"/>
      <c r="UED349" s="50"/>
      <c r="UEE349" s="50"/>
      <c r="UEF349" s="50"/>
      <c r="UEG349" s="50"/>
      <c r="UEH349" s="50"/>
      <c r="UEI349" s="50"/>
      <c r="UEJ349" s="50"/>
      <c r="UEK349" s="50"/>
      <c r="UEL349" s="50"/>
      <c r="UEM349" s="50"/>
      <c r="UEN349" s="50"/>
      <c r="UEO349" s="50"/>
      <c r="UEP349" s="50"/>
      <c r="UEQ349" s="50"/>
      <c r="UER349" s="50"/>
      <c r="UES349" s="50"/>
      <c r="UET349" s="50"/>
      <c r="UEU349" s="50"/>
      <c r="UEV349" s="50"/>
      <c r="UEW349" s="50"/>
      <c r="UEX349" s="50"/>
      <c r="UEY349" s="50"/>
      <c r="UEZ349" s="50"/>
      <c r="UFA349" s="50"/>
      <c r="UFB349" s="50"/>
      <c r="UFC349" s="50"/>
      <c r="UFD349" s="50"/>
      <c r="UFE349" s="50"/>
      <c r="UFF349" s="50"/>
      <c r="UFG349" s="50"/>
      <c r="UFH349" s="50"/>
      <c r="UFI349" s="50"/>
      <c r="UFJ349" s="50"/>
      <c r="UFK349" s="50"/>
      <c r="UFL349" s="50"/>
      <c r="UFM349" s="50"/>
      <c r="UFN349" s="50"/>
      <c r="UFO349" s="50"/>
      <c r="UFP349" s="50"/>
      <c r="UFQ349" s="50"/>
      <c r="UFR349" s="50"/>
      <c r="UFS349" s="50"/>
      <c r="UFT349" s="50"/>
      <c r="UFU349" s="50"/>
      <c r="UFV349" s="50"/>
      <c r="UFW349" s="50"/>
      <c r="UFX349" s="50"/>
      <c r="UFY349" s="50"/>
      <c r="UFZ349" s="50"/>
      <c r="UGA349" s="50"/>
      <c r="UGB349" s="50"/>
      <c r="UGC349" s="50"/>
      <c r="UGD349" s="50"/>
      <c r="UGE349" s="50"/>
      <c r="UGF349" s="50"/>
      <c r="UGG349" s="50"/>
      <c r="UGH349" s="50"/>
      <c r="UGI349" s="50"/>
      <c r="UGJ349" s="50"/>
      <c r="UGK349" s="50"/>
      <c r="UGL349" s="50"/>
      <c r="UGM349" s="50"/>
      <c r="UGN349" s="50"/>
      <c r="UGO349" s="50"/>
      <c r="UGP349" s="50"/>
      <c r="UGQ349" s="50"/>
      <c r="UGR349" s="50"/>
      <c r="UGS349" s="50"/>
      <c r="UGT349" s="50"/>
      <c r="UGU349" s="50"/>
      <c r="UGV349" s="50"/>
      <c r="UGW349" s="50"/>
      <c r="UGX349" s="50"/>
      <c r="UGY349" s="50"/>
      <c r="UGZ349" s="50"/>
      <c r="UHA349" s="50"/>
      <c r="UHB349" s="50"/>
      <c r="UHC349" s="50"/>
      <c r="UHD349" s="50"/>
      <c r="UHE349" s="50"/>
      <c r="UHF349" s="50"/>
      <c r="UHG349" s="50"/>
      <c r="UHH349" s="50"/>
      <c r="UHI349" s="50"/>
      <c r="UHJ349" s="50"/>
      <c r="UHK349" s="50"/>
      <c r="UHL349" s="50"/>
      <c r="UHM349" s="50"/>
      <c r="UHN349" s="50"/>
      <c r="UHO349" s="50"/>
      <c r="UHP349" s="50"/>
      <c r="UHQ349" s="50"/>
      <c r="UHR349" s="50"/>
      <c r="UHS349" s="50"/>
      <c r="UHT349" s="50"/>
      <c r="UHU349" s="50"/>
      <c r="UHV349" s="50"/>
      <c r="UHW349" s="50"/>
      <c r="UHX349" s="50"/>
      <c r="UHY349" s="50"/>
      <c r="UHZ349" s="50"/>
      <c r="UIA349" s="50"/>
      <c r="UIB349" s="50"/>
      <c r="UIC349" s="50"/>
      <c r="UID349" s="50"/>
      <c r="UIE349" s="50"/>
      <c r="UIF349" s="50"/>
      <c r="UIG349" s="50"/>
      <c r="UIH349" s="50"/>
      <c r="UII349" s="50"/>
      <c r="UIJ349" s="50"/>
      <c r="UIK349" s="50"/>
      <c r="UIL349" s="50"/>
      <c r="UIM349" s="50"/>
      <c r="UIN349" s="50"/>
      <c r="UIO349" s="50"/>
      <c r="UIP349" s="50"/>
      <c r="UIQ349" s="50"/>
      <c r="UIR349" s="50"/>
      <c r="UIS349" s="50"/>
      <c r="UIT349" s="50"/>
      <c r="UIU349" s="50"/>
      <c r="UIV349" s="50"/>
      <c r="UIW349" s="50"/>
      <c r="UIX349" s="50"/>
      <c r="UIY349" s="50"/>
      <c r="UIZ349" s="50"/>
      <c r="UJA349" s="50"/>
      <c r="UJB349" s="50"/>
      <c r="UJC349" s="50"/>
      <c r="UJD349" s="50"/>
      <c r="UJE349" s="50"/>
      <c r="UJF349" s="50"/>
      <c r="UJG349" s="50"/>
      <c r="UJH349" s="50"/>
      <c r="UJI349" s="50"/>
      <c r="UJJ349" s="50"/>
      <c r="UJK349" s="50"/>
      <c r="UJL349" s="50"/>
      <c r="UJM349" s="50"/>
      <c r="UJN349" s="50"/>
      <c r="UJO349" s="50"/>
      <c r="UJP349" s="50"/>
      <c r="UJQ349" s="50"/>
      <c r="UJR349" s="50"/>
      <c r="UJS349" s="50"/>
      <c r="UJT349" s="50"/>
      <c r="UJU349" s="50"/>
      <c r="UJV349" s="50"/>
      <c r="UJW349" s="50"/>
      <c r="UJX349" s="50"/>
      <c r="UJY349" s="50"/>
      <c r="UJZ349" s="50"/>
      <c r="UKA349" s="50"/>
      <c r="UKB349" s="50"/>
      <c r="UKC349" s="50"/>
      <c r="UKD349" s="50"/>
      <c r="UKE349" s="50"/>
      <c r="UKF349" s="50"/>
      <c r="UKG349" s="50"/>
      <c r="UKH349" s="50"/>
      <c r="UKI349" s="50"/>
      <c r="UKJ349" s="50"/>
      <c r="UKK349" s="50"/>
      <c r="UKL349" s="50"/>
      <c r="UKM349" s="50"/>
      <c r="UKN349" s="50"/>
      <c r="UKO349" s="50"/>
      <c r="UKP349" s="50"/>
      <c r="UKQ349" s="50"/>
      <c r="UKR349" s="50"/>
      <c r="UKS349" s="50"/>
      <c r="UKT349" s="50"/>
      <c r="UKU349" s="50"/>
      <c r="UKV349" s="50"/>
      <c r="UKW349" s="50"/>
      <c r="UKX349" s="50"/>
      <c r="UKY349" s="50"/>
      <c r="UKZ349" s="50"/>
      <c r="ULA349" s="50"/>
      <c r="ULB349" s="50"/>
      <c r="ULC349" s="50"/>
      <c r="ULD349" s="50"/>
      <c r="ULE349" s="50"/>
      <c r="ULF349" s="50"/>
      <c r="ULG349" s="50"/>
      <c r="ULH349" s="50"/>
      <c r="ULI349" s="50"/>
      <c r="ULJ349" s="50"/>
      <c r="ULK349" s="50"/>
      <c r="ULL349" s="50"/>
      <c r="ULM349" s="50"/>
      <c r="ULN349" s="50"/>
      <c r="ULO349" s="50"/>
      <c r="ULP349" s="50"/>
      <c r="ULQ349" s="50"/>
      <c r="ULR349" s="50"/>
      <c r="ULS349" s="50"/>
      <c r="ULT349" s="50"/>
      <c r="ULU349" s="50"/>
      <c r="ULV349" s="50"/>
      <c r="ULW349" s="50"/>
      <c r="ULX349" s="50"/>
      <c r="ULY349" s="50"/>
      <c r="ULZ349" s="50"/>
      <c r="UMA349" s="50"/>
      <c r="UMB349" s="50"/>
      <c r="UMC349" s="50"/>
      <c r="UMD349" s="50"/>
      <c r="UME349" s="50"/>
      <c r="UMF349" s="50"/>
      <c r="UMG349" s="50"/>
      <c r="UMH349" s="50"/>
      <c r="UMI349" s="50"/>
      <c r="UMJ349" s="50"/>
      <c r="UMK349" s="50"/>
      <c r="UML349" s="50"/>
      <c r="UMM349" s="50"/>
      <c r="UMN349" s="50"/>
      <c r="UMO349" s="50"/>
      <c r="UMP349" s="50"/>
      <c r="UMQ349" s="50"/>
      <c r="UMR349" s="50"/>
      <c r="UMS349" s="50"/>
      <c r="UMT349" s="50"/>
      <c r="UMU349" s="50"/>
      <c r="UMV349" s="50"/>
      <c r="UMW349" s="50"/>
      <c r="UMX349" s="50"/>
      <c r="UMY349" s="50"/>
      <c r="UMZ349" s="50"/>
      <c r="UNA349" s="50"/>
      <c r="UNB349" s="50"/>
      <c r="UNC349" s="50"/>
      <c r="UND349" s="50"/>
      <c r="UNE349" s="50"/>
      <c r="UNF349" s="50"/>
      <c r="UNG349" s="50"/>
      <c r="UNH349" s="50"/>
      <c r="UNI349" s="50"/>
      <c r="UNJ349" s="50"/>
      <c r="UNK349" s="50"/>
      <c r="UNL349" s="50"/>
      <c r="UNM349" s="50"/>
      <c r="UNN349" s="50"/>
      <c r="UNO349" s="50"/>
      <c r="UNP349" s="50"/>
      <c r="UNQ349" s="50"/>
      <c r="UNR349" s="50"/>
      <c r="UNS349" s="50"/>
      <c r="UNT349" s="50"/>
      <c r="UNU349" s="50"/>
      <c r="UNV349" s="50"/>
      <c r="UNW349" s="50"/>
      <c r="UNX349" s="50"/>
      <c r="UNY349" s="50"/>
      <c r="UNZ349" s="50"/>
      <c r="UOA349" s="50"/>
      <c r="UOB349" s="50"/>
      <c r="UOC349" s="50"/>
      <c r="UOD349" s="50"/>
      <c r="UOE349" s="50"/>
      <c r="UOF349" s="50"/>
      <c r="UOG349" s="50"/>
      <c r="UOH349" s="50"/>
      <c r="UOI349" s="50"/>
      <c r="UOJ349" s="50"/>
      <c r="UOK349" s="50"/>
      <c r="UOL349" s="50"/>
      <c r="UOM349" s="50"/>
      <c r="UON349" s="50"/>
      <c r="UOO349" s="50"/>
      <c r="UOP349" s="50"/>
      <c r="UOQ349" s="50"/>
      <c r="UOR349" s="50"/>
      <c r="UOS349" s="50"/>
      <c r="UOT349" s="50"/>
      <c r="UOU349" s="50"/>
      <c r="UOV349" s="50"/>
      <c r="UOW349" s="50"/>
      <c r="UOX349" s="50"/>
      <c r="UOY349" s="50"/>
      <c r="UOZ349" s="50"/>
      <c r="UPA349" s="50"/>
      <c r="UPB349" s="50"/>
      <c r="UPC349" s="50"/>
      <c r="UPD349" s="50"/>
      <c r="UPE349" s="50"/>
      <c r="UPF349" s="50"/>
      <c r="UPG349" s="50"/>
      <c r="UPH349" s="50"/>
      <c r="UPI349" s="50"/>
      <c r="UPJ349" s="50"/>
      <c r="UPK349" s="50"/>
      <c r="UPL349" s="50"/>
      <c r="UPM349" s="50"/>
      <c r="UPN349" s="50"/>
      <c r="UPO349" s="50"/>
      <c r="UPP349" s="50"/>
      <c r="UPQ349" s="50"/>
      <c r="UPR349" s="50"/>
      <c r="UPS349" s="50"/>
      <c r="UPT349" s="50"/>
      <c r="UPU349" s="50"/>
      <c r="UPV349" s="50"/>
      <c r="UPW349" s="50"/>
      <c r="UPX349" s="50"/>
      <c r="UPY349" s="50"/>
      <c r="UPZ349" s="50"/>
      <c r="UQA349" s="50"/>
      <c r="UQB349" s="50"/>
      <c r="UQC349" s="50"/>
      <c r="UQD349" s="50"/>
      <c r="UQE349" s="50"/>
      <c r="UQF349" s="50"/>
      <c r="UQG349" s="50"/>
      <c r="UQH349" s="50"/>
      <c r="UQI349" s="50"/>
      <c r="UQJ349" s="50"/>
      <c r="UQK349" s="50"/>
      <c r="UQL349" s="50"/>
      <c r="UQM349" s="50"/>
      <c r="UQN349" s="50"/>
      <c r="UQO349" s="50"/>
      <c r="UQP349" s="50"/>
      <c r="UQQ349" s="50"/>
      <c r="UQR349" s="50"/>
      <c r="UQS349" s="50"/>
      <c r="UQT349" s="50"/>
      <c r="UQU349" s="50"/>
      <c r="UQV349" s="50"/>
      <c r="UQW349" s="50"/>
      <c r="UQX349" s="50"/>
      <c r="UQY349" s="50"/>
      <c r="UQZ349" s="50"/>
      <c r="URA349" s="50"/>
      <c r="URB349" s="50"/>
      <c r="URC349" s="50"/>
      <c r="URD349" s="50"/>
      <c r="URE349" s="50"/>
      <c r="URF349" s="50"/>
      <c r="URG349" s="50"/>
      <c r="URH349" s="50"/>
      <c r="URI349" s="50"/>
      <c r="URJ349" s="50"/>
      <c r="URK349" s="50"/>
      <c r="URL349" s="50"/>
      <c r="URM349" s="50"/>
      <c r="URN349" s="50"/>
      <c r="URO349" s="50"/>
      <c r="URP349" s="50"/>
      <c r="URQ349" s="50"/>
      <c r="URR349" s="50"/>
      <c r="URS349" s="50"/>
      <c r="URT349" s="50"/>
      <c r="URU349" s="50"/>
      <c r="URV349" s="50"/>
      <c r="URW349" s="50"/>
      <c r="URX349" s="50"/>
      <c r="URY349" s="50"/>
      <c r="URZ349" s="50"/>
      <c r="USA349" s="50"/>
      <c r="USB349" s="50"/>
      <c r="USC349" s="50"/>
      <c r="USD349" s="50"/>
      <c r="USE349" s="50"/>
      <c r="USF349" s="50"/>
      <c r="USG349" s="50"/>
      <c r="USH349" s="50"/>
      <c r="USI349" s="50"/>
      <c r="USJ349" s="50"/>
      <c r="USK349" s="50"/>
      <c r="USL349" s="50"/>
      <c r="USM349" s="50"/>
      <c r="USN349" s="50"/>
      <c r="USO349" s="50"/>
      <c r="USP349" s="50"/>
      <c r="USQ349" s="50"/>
      <c r="USR349" s="50"/>
      <c r="USS349" s="50"/>
      <c r="UST349" s="50"/>
      <c r="USU349" s="50"/>
      <c r="USV349" s="50"/>
      <c r="USW349" s="50"/>
      <c r="USX349" s="50"/>
      <c r="USY349" s="50"/>
      <c r="USZ349" s="50"/>
      <c r="UTA349" s="50"/>
      <c r="UTB349" s="50"/>
      <c r="UTC349" s="50"/>
      <c r="UTD349" s="50"/>
      <c r="UTE349" s="50"/>
      <c r="UTF349" s="50"/>
      <c r="UTG349" s="50"/>
      <c r="UTH349" s="50"/>
      <c r="UTI349" s="50"/>
      <c r="UTJ349" s="50"/>
      <c r="UTK349" s="50"/>
      <c r="UTL349" s="50"/>
      <c r="UTM349" s="50"/>
      <c r="UTN349" s="50"/>
      <c r="UTO349" s="50"/>
      <c r="UTP349" s="50"/>
      <c r="UTQ349" s="50"/>
      <c r="UTR349" s="50"/>
      <c r="UTS349" s="50"/>
      <c r="UTT349" s="50"/>
      <c r="UTU349" s="50"/>
      <c r="UTV349" s="50"/>
      <c r="UTW349" s="50"/>
      <c r="UTX349" s="50"/>
      <c r="UTY349" s="50"/>
      <c r="UTZ349" s="50"/>
      <c r="UUA349" s="50"/>
      <c r="UUB349" s="50"/>
      <c r="UUC349" s="50"/>
      <c r="UUD349" s="50"/>
      <c r="UUE349" s="50"/>
      <c r="UUF349" s="50"/>
      <c r="UUG349" s="50"/>
      <c r="UUH349" s="50"/>
      <c r="UUI349" s="50"/>
      <c r="UUJ349" s="50"/>
      <c r="UUK349" s="50"/>
      <c r="UUL349" s="50"/>
      <c r="UUM349" s="50"/>
      <c r="UUN349" s="50"/>
      <c r="UUO349" s="50"/>
      <c r="UUP349" s="50"/>
      <c r="UUQ349" s="50"/>
      <c r="UUR349" s="50"/>
      <c r="UUS349" s="50"/>
      <c r="UUT349" s="50"/>
      <c r="UUU349" s="50"/>
      <c r="UUV349" s="50"/>
      <c r="UUW349" s="50"/>
      <c r="UUX349" s="50"/>
      <c r="UUY349" s="50"/>
      <c r="UUZ349" s="50"/>
      <c r="UVA349" s="50"/>
      <c r="UVB349" s="50"/>
      <c r="UVC349" s="50"/>
      <c r="UVD349" s="50"/>
      <c r="UVE349" s="50"/>
      <c r="UVF349" s="50"/>
      <c r="UVG349" s="50"/>
      <c r="UVH349" s="50"/>
      <c r="UVI349" s="50"/>
      <c r="UVJ349" s="50"/>
      <c r="UVK349" s="50"/>
      <c r="UVL349" s="50"/>
      <c r="UVM349" s="50"/>
      <c r="UVN349" s="50"/>
      <c r="UVO349" s="50"/>
      <c r="UVP349" s="50"/>
      <c r="UVQ349" s="50"/>
      <c r="UVR349" s="50"/>
      <c r="UVS349" s="50"/>
      <c r="UVT349" s="50"/>
      <c r="UVU349" s="50"/>
      <c r="UVV349" s="50"/>
      <c r="UVW349" s="50"/>
      <c r="UVX349" s="50"/>
      <c r="UVY349" s="50"/>
      <c r="UVZ349" s="50"/>
      <c r="UWA349" s="50"/>
      <c r="UWB349" s="50"/>
      <c r="UWC349" s="50"/>
      <c r="UWD349" s="50"/>
      <c r="UWE349" s="50"/>
      <c r="UWF349" s="50"/>
      <c r="UWG349" s="50"/>
      <c r="UWH349" s="50"/>
      <c r="UWI349" s="50"/>
      <c r="UWJ349" s="50"/>
      <c r="UWK349" s="50"/>
      <c r="UWL349" s="50"/>
      <c r="UWM349" s="50"/>
      <c r="UWN349" s="50"/>
      <c r="UWO349" s="50"/>
      <c r="UWP349" s="50"/>
      <c r="UWQ349" s="50"/>
      <c r="UWR349" s="50"/>
      <c r="UWS349" s="50"/>
      <c r="UWT349" s="50"/>
      <c r="UWU349" s="50"/>
      <c r="UWV349" s="50"/>
      <c r="UWW349" s="50"/>
      <c r="UWX349" s="50"/>
      <c r="UWY349" s="50"/>
      <c r="UWZ349" s="50"/>
      <c r="UXA349" s="50"/>
      <c r="UXB349" s="50"/>
      <c r="UXC349" s="50"/>
      <c r="UXD349" s="50"/>
      <c r="UXE349" s="50"/>
      <c r="UXF349" s="50"/>
      <c r="UXG349" s="50"/>
      <c r="UXH349" s="50"/>
      <c r="UXI349" s="50"/>
      <c r="UXJ349" s="50"/>
      <c r="UXK349" s="50"/>
      <c r="UXL349" s="50"/>
      <c r="UXM349" s="50"/>
      <c r="UXN349" s="50"/>
      <c r="UXO349" s="50"/>
      <c r="UXP349" s="50"/>
      <c r="UXQ349" s="50"/>
      <c r="UXR349" s="50"/>
      <c r="UXS349" s="50"/>
      <c r="UXT349" s="50"/>
      <c r="UXU349" s="50"/>
      <c r="UXV349" s="50"/>
      <c r="UXW349" s="50"/>
      <c r="UXX349" s="50"/>
      <c r="UXY349" s="50"/>
      <c r="UXZ349" s="50"/>
      <c r="UYA349" s="50"/>
      <c r="UYB349" s="50"/>
      <c r="UYC349" s="50"/>
      <c r="UYD349" s="50"/>
      <c r="UYE349" s="50"/>
      <c r="UYF349" s="50"/>
      <c r="UYG349" s="50"/>
      <c r="UYH349" s="50"/>
      <c r="UYI349" s="50"/>
      <c r="UYJ349" s="50"/>
      <c r="UYK349" s="50"/>
      <c r="UYL349" s="50"/>
      <c r="UYM349" s="50"/>
      <c r="UYN349" s="50"/>
      <c r="UYO349" s="50"/>
      <c r="UYP349" s="50"/>
      <c r="UYQ349" s="50"/>
      <c r="UYR349" s="50"/>
      <c r="UYS349" s="50"/>
      <c r="UYT349" s="50"/>
      <c r="UYU349" s="50"/>
      <c r="UYV349" s="50"/>
      <c r="UYW349" s="50"/>
      <c r="UYX349" s="50"/>
      <c r="UYY349" s="50"/>
      <c r="UYZ349" s="50"/>
      <c r="UZA349" s="50"/>
      <c r="UZB349" s="50"/>
      <c r="UZC349" s="50"/>
      <c r="UZD349" s="50"/>
      <c r="UZE349" s="50"/>
      <c r="UZF349" s="50"/>
      <c r="UZG349" s="50"/>
      <c r="UZH349" s="50"/>
      <c r="UZI349" s="50"/>
      <c r="UZJ349" s="50"/>
      <c r="UZK349" s="50"/>
      <c r="UZL349" s="50"/>
      <c r="UZM349" s="50"/>
      <c r="UZN349" s="50"/>
      <c r="UZO349" s="50"/>
      <c r="UZP349" s="50"/>
      <c r="UZQ349" s="50"/>
      <c r="UZR349" s="50"/>
      <c r="UZS349" s="50"/>
      <c r="UZT349" s="50"/>
      <c r="UZU349" s="50"/>
      <c r="UZV349" s="50"/>
      <c r="UZW349" s="50"/>
      <c r="UZX349" s="50"/>
      <c r="UZY349" s="50"/>
      <c r="UZZ349" s="50"/>
      <c r="VAA349" s="50"/>
      <c r="VAB349" s="50"/>
      <c r="VAC349" s="50"/>
      <c r="VAD349" s="50"/>
      <c r="VAE349" s="50"/>
      <c r="VAF349" s="50"/>
      <c r="VAG349" s="50"/>
      <c r="VAH349" s="50"/>
      <c r="VAI349" s="50"/>
      <c r="VAJ349" s="50"/>
      <c r="VAK349" s="50"/>
      <c r="VAL349" s="50"/>
      <c r="VAM349" s="50"/>
      <c r="VAN349" s="50"/>
      <c r="VAO349" s="50"/>
      <c r="VAP349" s="50"/>
      <c r="VAQ349" s="50"/>
      <c r="VAR349" s="50"/>
      <c r="VAS349" s="50"/>
      <c r="VAT349" s="50"/>
      <c r="VAU349" s="50"/>
      <c r="VAV349" s="50"/>
      <c r="VAW349" s="50"/>
      <c r="VAX349" s="50"/>
      <c r="VAY349" s="50"/>
      <c r="VAZ349" s="50"/>
      <c r="VBA349" s="50"/>
      <c r="VBB349" s="50"/>
      <c r="VBC349" s="50"/>
      <c r="VBD349" s="50"/>
      <c r="VBE349" s="50"/>
      <c r="VBF349" s="50"/>
      <c r="VBG349" s="50"/>
      <c r="VBH349" s="50"/>
      <c r="VBI349" s="50"/>
      <c r="VBJ349" s="50"/>
      <c r="VBK349" s="50"/>
      <c r="VBL349" s="50"/>
      <c r="VBM349" s="50"/>
      <c r="VBN349" s="50"/>
      <c r="VBO349" s="50"/>
      <c r="VBP349" s="50"/>
      <c r="VBQ349" s="50"/>
      <c r="VBR349" s="50"/>
      <c r="VBS349" s="50"/>
      <c r="VBT349" s="50"/>
      <c r="VBU349" s="50"/>
      <c r="VBV349" s="50"/>
      <c r="VBW349" s="50"/>
      <c r="VBX349" s="50"/>
      <c r="VBY349" s="50"/>
      <c r="VBZ349" s="50"/>
      <c r="VCA349" s="50"/>
      <c r="VCB349" s="50"/>
      <c r="VCC349" s="50"/>
      <c r="VCD349" s="50"/>
      <c r="VCE349" s="50"/>
      <c r="VCF349" s="50"/>
      <c r="VCG349" s="50"/>
      <c r="VCH349" s="50"/>
      <c r="VCI349" s="50"/>
      <c r="VCJ349" s="50"/>
      <c r="VCK349" s="50"/>
      <c r="VCL349" s="50"/>
      <c r="VCM349" s="50"/>
      <c r="VCN349" s="50"/>
      <c r="VCO349" s="50"/>
      <c r="VCP349" s="50"/>
      <c r="VCQ349" s="50"/>
      <c r="VCR349" s="50"/>
      <c r="VCS349" s="50"/>
      <c r="VCT349" s="50"/>
      <c r="VCU349" s="50"/>
      <c r="VCV349" s="50"/>
      <c r="VCW349" s="50"/>
      <c r="VCX349" s="50"/>
      <c r="VCY349" s="50"/>
      <c r="VCZ349" s="50"/>
      <c r="VDA349" s="50"/>
      <c r="VDB349" s="50"/>
      <c r="VDC349" s="50"/>
      <c r="VDD349" s="50"/>
      <c r="VDE349" s="50"/>
      <c r="VDF349" s="50"/>
      <c r="VDG349" s="50"/>
      <c r="VDH349" s="50"/>
      <c r="VDI349" s="50"/>
      <c r="VDJ349" s="50"/>
      <c r="VDK349" s="50"/>
      <c r="VDL349" s="50"/>
      <c r="VDM349" s="50"/>
      <c r="VDN349" s="50"/>
      <c r="VDO349" s="50"/>
      <c r="VDP349" s="50"/>
      <c r="VDQ349" s="50"/>
      <c r="VDR349" s="50"/>
      <c r="VDS349" s="50"/>
      <c r="VDT349" s="50"/>
      <c r="VDU349" s="50"/>
      <c r="VDV349" s="50"/>
      <c r="VDW349" s="50"/>
      <c r="VDX349" s="50"/>
      <c r="VDY349" s="50"/>
      <c r="VDZ349" s="50"/>
      <c r="VEA349" s="50"/>
      <c r="VEB349" s="50"/>
      <c r="VEC349" s="50"/>
      <c r="VED349" s="50"/>
      <c r="VEE349" s="50"/>
      <c r="VEF349" s="50"/>
      <c r="VEG349" s="50"/>
      <c r="VEH349" s="50"/>
      <c r="VEI349" s="50"/>
      <c r="VEJ349" s="50"/>
      <c r="VEK349" s="50"/>
      <c r="VEL349" s="50"/>
      <c r="VEM349" s="50"/>
      <c r="VEN349" s="50"/>
      <c r="VEO349" s="50"/>
      <c r="VEP349" s="50"/>
      <c r="VEQ349" s="50"/>
      <c r="VER349" s="50"/>
      <c r="VES349" s="50"/>
      <c r="VET349" s="50"/>
      <c r="VEU349" s="50"/>
      <c r="VEV349" s="50"/>
      <c r="VEW349" s="50"/>
      <c r="VEX349" s="50"/>
      <c r="VEY349" s="50"/>
      <c r="VEZ349" s="50"/>
      <c r="VFA349" s="50"/>
      <c r="VFB349" s="50"/>
      <c r="VFC349" s="50"/>
      <c r="VFD349" s="50"/>
      <c r="VFE349" s="50"/>
      <c r="VFF349" s="50"/>
      <c r="VFG349" s="50"/>
      <c r="VFH349" s="50"/>
      <c r="VFI349" s="50"/>
      <c r="VFJ349" s="50"/>
      <c r="VFK349" s="50"/>
      <c r="VFL349" s="50"/>
      <c r="VFM349" s="50"/>
      <c r="VFN349" s="50"/>
      <c r="VFO349" s="50"/>
      <c r="VFP349" s="50"/>
      <c r="VFQ349" s="50"/>
      <c r="VFR349" s="50"/>
      <c r="VFS349" s="50"/>
      <c r="VFT349" s="50"/>
      <c r="VFU349" s="50"/>
      <c r="VFV349" s="50"/>
      <c r="VFW349" s="50"/>
      <c r="VFX349" s="50"/>
      <c r="VFY349" s="50"/>
      <c r="VFZ349" s="50"/>
      <c r="VGA349" s="50"/>
      <c r="VGB349" s="50"/>
      <c r="VGC349" s="50"/>
      <c r="VGD349" s="50"/>
      <c r="VGE349" s="50"/>
      <c r="VGF349" s="50"/>
      <c r="VGG349" s="50"/>
      <c r="VGH349" s="50"/>
      <c r="VGI349" s="50"/>
      <c r="VGJ349" s="50"/>
      <c r="VGK349" s="50"/>
      <c r="VGL349" s="50"/>
      <c r="VGM349" s="50"/>
      <c r="VGN349" s="50"/>
      <c r="VGO349" s="50"/>
      <c r="VGP349" s="50"/>
      <c r="VGQ349" s="50"/>
      <c r="VGR349" s="50"/>
      <c r="VGS349" s="50"/>
      <c r="VGT349" s="50"/>
      <c r="VGU349" s="50"/>
      <c r="VGV349" s="50"/>
      <c r="VGW349" s="50"/>
      <c r="VGX349" s="50"/>
      <c r="VGY349" s="50"/>
      <c r="VGZ349" s="50"/>
      <c r="VHA349" s="50"/>
      <c r="VHB349" s="50"/>
      <c r="VHC349" s="50"/>
      <c r="VHD349" s="50"/>
      <c r="VHE349" s="50"/>
      <c r="VHF349" s="50"/>
      <c r="VHG349" s="50"/>
      <c r="VHH349" s="50"/>
      <c r="VHI349" s="50"/>
      <c r="VHJ349" s="50"/>
      <c r="VHK349" s="50"/>
      <c r="VHL349" s="50"/>
      <c r="VHM349" s="50"/>
      <c r="VHN349" s="50"/>
      <c r="VHO349" s="50"/>
      <c r="VHP349" s="50"/>
      <c r="VHQ349" s="50"/>
      <c r="VHR349" s="50"/>
      <c r="VHS349" s="50"/>
      <c r="VHT349" s="50"/>
      <c r="VHU349" s="50"/>
      <c r="VHV349" s="50"/>
      <c r="VHW349" s="50"/>
      <c r="VHX349" s="50"/>
      <c r="VHY349" s="50"/>
      <c r="VHZ349" s="50"/>
      <c r="VIA349" s="50"/>
      <c r="VIB349" s="50"/>
      <c r="VIC349" s="50"/>
      <c r="VID349" s="50"/>
      <c r="VIE349" s="50"/>
      <c r="VIF349" s="50"/>
      <c r="VIG349" s="50"/>
      <c r="VIH349" s="50"/>
      <c r="VII349" s="50"/>
      <c r="VIJ349" s="50"/>
      <c r="VIK349" s="50"/>
      <c r="VIL349" s="50"/>
      <c r="VIM349" s="50"/>
      <c r="VIN349" s="50"/>
      <c r="VIO349" s="50"/>
      <c r="VIP349" s="50"/>
      <c r="VIQ349" s="50"/>
      <c r="VIR349" s="50"/>
      <c r="VIS349" s="50"/>
      <c r="VIT349" s="50"/>
      <c r="VIU349" s="50"/>
      <c r="VIV349" s="50"/>
      <c r="VIW349" s="50"/>
      <c r="VIX349" s="50"/>
      <c r="VIY349" s="50"/>
      <c r="VIZ349" s="50"/>
      <c r="VJA349" s="50"/>
      <c r="VJB349" s="50"/>
      <c r="VJC349" s="50"/>
      <c r="VJD349" s="50"/>
      <c r="VJE349" s="50"/>
      <c r="VJF349" s="50"/>
      <c r="VJG349" s="50"/>
      <c r="VJH349" s="50"/>
      <c r="VJI349" s="50"/>
      <c r="VJJ349" s="50"/>
      <c r="VJK349" s="50"/>
      <c r="VJL349" s="50"/>
      <c r="VJM349" s="50"/>
      <c r="VJN349" s="50"/>
      <c r="VJO349" s="50"/>
      <c r="VJP349" s="50"/>
      <c r="VJQ349" s="50"/>
      <c r="VJR349" s="50"/>
      <c r="VJS349" s="50"/>
      <c r="VJT349" s="50"/>
      <c r="VJU349" s="50"/>
      <c r="VJV349" s="50"/>
      <c r="VJW349" s="50"/>
      <c r="VJX349" s="50"/>
      <c r="VJY349" s="50"/>
      <c r="VJZ349" s="50"/>
      <c r="VKA349" s="50"/>
      <c r="VKB349" s="50"/>
      <c r="VKC349" s="50"/>
      <c r="VKD349" s="50"/>
      <c r="VKE349" s="50"/>
      <c r="VKF349" s="50"/>
      <c r="VKG349" s="50"/>
      <c r="VKH349" s="50"/>
      <c r="VKI349" s="50"/>
      <c r="VKJ349" s="50"/>
      <c r="VKK349" s="50"/>
      <c r="VKL349" s="50"/>
      <c r="VKM349" s="50"/>
      <c r="VKN349" s="50"/>
      <c r="VKO349" s="50"/>
      <c r="VKP349" s="50"/>
      <c r="VKQ349" s="50"/>
      <c r="VKR349" s="50"/>
      <c r="VKS349" s="50"/>
      <c r="VKT349" s="50"/>
      <c r="VKU349" s="50"/>
      <c r="VKV349" s="50"/>
      <c r="VKW349" s="50"/>
      <c r="VKX349" s="50"/>
      <c r="VKY349" s="50"/>
      <c r="VKZ349" s="50"/>
      <c r="VLA349" s="50"/>
      <c r="VLB349" s="50"/>
      <c r="VLC349" s="50"/>
      <c r="VLD349" s="50"/>
      <c r="VLE349" s="50"/>
      <c r="VLF349" s="50"/>
      <c r="VLG349" s="50"/>
      <c r="VLH349" s="50"/>
      <c r="VLI349" s="50"/>
      <c r="VLJ349" s="50"/>
      <c r="VLK349" s="50"/>
      <c r="VLL349" s="50"/>
      <c r="VLM349" s="50"/>
      <c r="VLN349" s="50"/>
      <c r="VLO349" s="50"/>
      <c r="VLP349" s="50"/>
      <c r="VLQ349" s="50"/>
      <c r="VLR349" s="50"/>
      <c r="VLS349" s="50"/>
      <c r="VLT349" s="50"/>
      <c r="VLU349" s="50"/>
      <c r="VLV349" s="50"/>
      <c r="VLW349" s="50"/>
      <c r="VLX349" s="50"/>
      <c r="VLY349" s="50"/>
      <c r="VLZ349" s="50"/>
      <c r="VMA349" s="50"/>
      <c r="VMB349" s="50"/>
      <c r="VMC349" s="50"/>
      <c r="VMD349" s="50"/>
      <c r="VME349" s="50"/>
      <c r="VMF349" s="50"/>
      <c r="VMG349" s="50"/>
      <c r="VMH349" s="50"/>
      <c r="VMI349" s="50"/>
      <c r="VMJ349" s="50"/>
      <c r="VMK349" s="50"/>
      <c r="VML349" s="50"/>
      <c r="VMM349" s="50"/>
      <c r="VMN349" s="50"/>
      <c r="VMO349" s="50"/>
      <c r="VMP349" s="50"/>
      <c r="VMQ349" s="50"/>
      <c r="VMR349" s="50"/>
      <c r="VMS349" s="50"/>
      <c r="VMT349" s="50"/>
      <c r="VMU349" s="50"/>
      <c r="VMV349" s="50"/>
      <c r="VMW349" s="50"/>
      <c r="VMX349" s="50"/>
      <c r="VMY349" s="50"/>
      <c r="VMZ349" s="50"/>
      <c r="VNA349" s="50"/>
      <c r="VNB349" s="50"/>
      <c r="VNC349" s="50"/>
      <c r="VND349" s="50"/>
      <c r="VNE349" s="50"/>
      <c r="VNF349" s="50"/>
      <c r="VNG349" s="50"/>
      <c r="VNH349" s="50"/>
      <c r="VNI349" s="50"/>
      <c r="VNJ349" s="50"/>
      <c r="VNK349" s="50"/>
      <c r="VNL349" s="50"/>
      <c r="VNM349" s="50"/>
      <c r="VNN349" s="50"/>
      <c r="VNO349" s="50"/>
      <c r="VNP349" s="50"/>
      <c r="VNQ349" s="50"/>
      <c r="VNR349" s="50"/>
      <c r="VNS349" s="50"/>
      <c r="VNT349" s="50"/>
      <c r="VNU349" s="50"/>
      <c r="VNV349" s="50"/>
      <c r="VNW349" s="50"/>
      <c r="VNX349" s="50"/>
      <c r="VNY349" s="50"/>
      <c r="VNZ349" s="50"/>
      <c r="VOA349" s="50"/>
      <c r="VOB349" s="50"/>
      <c r="VOC349" s="50"/>
      <c r="VOD349" s="50"/>
      <c r="VOE349" s="50"/>
      <c r="VOF349" s="50"/>
      <c r="VOG349" s="50"/>
      <c r="VOH349" s="50"/>
      <c r="VOI349" s="50"/>
      <c r="VOJ349" s="50"/>
      <c r="VOK349" s="50"/>
      <c r="VOL349" s="50"/>
      <c r="VOM349" s="50"/>
      <c r="VON349" s="50"/>
      <c r="VOO349" s="50"/>
      <c r="VOP349" s="50"/>
      <c r="VOQ349" s="50"/>
      <c r="VOR349" s="50"/>
      <c r="VOS349" s="50"/>
      <c r="VOT349" s="50"/>
      <c r="VOU349" s="50"/>
      <c r="VOV349" s="50"/>
      <c r="VOW349" s="50"/>
      <c r="VOX349" s="50"/>
      <c r="VOY349" s="50"/>
      <c r="VOZ349" s="50"/>
      <c r="VPA349" s="50"/>
      <c r="VPB349" s="50"/>
      <c r="VPC349" s="50"/>
      <c r="VPD349" s="50"/>
      <c r="VPE349" s="50"/>
      <c r="VPF349" s="50"/>
      <c r="VPG349" s="50"/>
      <c r="VPH349" s="50"/>
      <c r="VPI349" s="50"/>
      <c r="VPJ349" s="50"/>
      <c r="VPK349" s="50"/>
      <c r="VPL349" s="50"/>
      <c r="VPM349" s="50"/>
      <c r="VPN349" s="50"/>
      <c r="VPO349" s="50"/>
      <c r="VPP349" s="50"/>
      <c r="VPQ349" s="50"/>
      <c r="VPR349" s="50"/>
      <c r="VPS349" s="50"/>
      <c r="VPT349" s="50"/>
      <c r="VPU349" s="50"/>
      <c r="VPV349" s="50"/>
      <c r="VPW349" s="50"/>
      <c r="VPX349" s="50"/>
      <c r="VPY349" s="50"/>
      <c r="VPZ349" s="50"/>
      <c r="VQA349" s="50"/>
      <c r="VQB349" s="50"/>
      <c r="VQC349" s="50"/>
      <c r="VQD349" s="50"/>
      <c r="VQE349" s="50"/>
      <c r="VQF349" s="50"/>
      <c r="VQG349" s="50"/>
      <c r="VQH349" s="50"/>
      <c r="VQI349" s="50"/>
      <c r="VQJ349" s="50"/>
      <c r="VQK349" s="50"/>
      <c r="VQL349" s="50"/>
      <c r="VQM349" s="50"/>
      <c r="VQN349" s="50"/>
      <c r="VQO349" s="50"/>
      <c r="VQP349" s="50"/>
      <c r="VQQ349" s="50"/>
      <c r="VQR349" s="50"/>
      <c r="VQS349" s="50"/>
      <c r="VQT349" s="50"/>
      <c r="VQU349" s="50"/>
      <c r="VQV349" s="50"/>
      <c r="VQW349" s="50"/>
      <c r="VQX349" s="50"/>
      <c r="VQY349" s="50"/>
      <c r="VQZ349" s="50"/>
      <c r="VRA349" s="50"/>
      <c r="VRB349" s="50"/>
      <c r="VRC349" s="50"/>
      <c r="VRD349" s="50"/>
      <c r="VRE349" s="50"/>
      <c r="VRF349" s="50"/>
      <c r="VRG349" s="50"/>
      <c r="VRH349" s="50"/>
      <c r="VRI349" s="50"/>
      <c r="VRJ349" s="50"/>
      <c r="VRK349" s="50"/>
      <c r="VRL349" s="50"/>
      <c r="VRM349" s="50"/>
      <c r="VRN349" s="50"/>
      <c r="VRO349" s="50"/>
      <c r="VRP349" s="50"/>
      <c r="VRQ349" s="50"/>
      <c r="VRR349" s="50"/>
      <c r="VRS349" s="50"/>
      <c r="VRT349" s="50"/>
      <c r="VRU349" s="50"/>
      <c r="VRV349" s="50"/>
      <c r="VRW349" s="50"/>
      <c r="VRX349" s="50"/>
      <c r="VRY349" s="50"/>
      <c r="VRZ349" s="50"/>
      <c r="VSA349" s="50"/>
      <c r="VSB349" s="50"/>
      <c r="VSC349" s="50"/>
      <c r="VSD349" s="50"/>
      <c r="VSE349" s="50"/>
      <c r="VSF349" s="50"/>
      <c r="VSG349" s="50"/>
      <c r="VSH349" s="50"/>
      <c r="VSI349" s="50"/>
      <c r="VSJ349" s="50"/>
      <c r="VSK349" s="50"/>
      <c r="VSL349" s="50"/>
      <c r="VSM349" s="50"/>
      <c r="VSN349" s="50"/>
      <c r="VSO349" s="50"/>
      <c r="VSP349" s="50"/>
      <c r="VSQ349" s="50"/>
      <c r="VSR349" s="50"/>
      <c r="VSS349" s="50"/>
      <c r="VST349" s="50"/>
      <c r="VSU349" s="50"/>
      <c r="VSV349" s="50"/>
      <c r="VSW349" s="50"/>
      <c r="VSX349" s="50"/>
      <c r="VSY349" s="50"/>
      <c r="VSZ349" s="50"/>
      <c r="VTA349" s="50"/>
      <c r="VTB349" s="50"/>
      <c r="VTC349" s="50"/>
      <c r="VTD349" s="50"/>
      <c r="VTE349" s="50"/>
      <c r="VTF349" s="50"/>
      <c r="VTG349" s="50"/>
      <c r="VTH349" s="50"/>
      <c r="VTI349" s="50"/>
      <c r="VTJ349" s="50"/>
      <c r="VTK349" s="50"/>
      <c r="VTL349" s="50"/>
      <c r="VTM349" s="50"/>
      <c r="VTN349" s="50"/>
      <c r="VTO349" s="50"/>
      <c r="VTP349" s="50"/>
      <c r="VTQ349" s="50"/>
      <c r="VTR349" s="50"/>
      <c r="VTS349" s="50"/>
      <c r="VTT349" s="50"/>
      <c r="VTU349" s="50"/>
      <c r="VTV349" s="50"/>
      <c r="VTW349" s="50"/>
      <c r="VTX349" s="50"/>
      <c r="VTY349" s="50"/>
      <c r="VTZ349" s="50"/>
      <c r="VUA349" s="50"/>
      <c r="VUB349" s="50"/>
      <c r="VUC349" s="50"/>
      <c r="VUD349" s="50"/>
      <c r="VUE349" s="50"/>
      <c r="VUF349" s="50"/>
      <c r="VUG349" s="50"/>
      <c r="VUH349" s="50"/>
      <c r="VUI349" s="50"/>
      <c r="VUJ349" s="50"/>
      <c r="VUK349" s="50"/>
      <c r="VUL349" s="50"/>
      <c r="VUM349" s="50"/>
      <c r="VUN349" s="50"/>
      <c r="VUO349" s="50"/>
      <c r="VUP349" s="50"/>
      <c r="VUQ349" s="50"/>
      <c r="VUR349" s="50"/>
      <c r="VUS349" s="50"/>
      <c r="VUT349" s="50"/>
      <c r="VUU349" s="50"/>
      <c r="VUV349" s="50"/>
      <c r="VUW349" s="50"/>
      <c r="VUX349" s="50"/>
      <c r="VUY349" s="50"/>
      <c r="VUZ349" s="50"/>
      <c r="VVA349" s="50"/>
      <c r="VVB349" s="50"/>
      <c r="VVC349" s="50"/>
      <c r="VVD349" s="50"/>
      <c r="VVE349" s="50"/>
      <c r="VVF349" s="50"/>
      <c r="VVG349" s="50"/>
      <c r="VVH349" s="50"/>
      <c r="VVI349" s="50"/>
      <c r="VVJ349" s="50"/>
      <c r="VVK349" s="50"/>
      <c r="VVL349" s="50"/>
      <c r="VVM349" s="50"/>
      <c r="VVN349" s="50"/>
      <c r="VVO349" s="50"/>
      <c r="VVP349" s="50"/>
      <c r="VVQ349" s="50"/>
      <c r="VVR349" s="50"/>
      <c r="VVS349" s="50"/>
      <c r="VVT349" s="50"/>
      <c r="VVU349" s="50"/>
      <c r="VVV349" s="50"/>
      <c r="VVW349" s="50"/>
      <c r="VVX349" s="50"/>
      <c r="VVY349" s="50"/>
      <c r="VVZ349" s="50"/>
      <c r="VWA349" s="50"/>
      <c r="VWB349" s="50"/>
      <c r="VWC349" s="50"/>
      <c r="VWD349" s="50"/>
      <c r="VWE349" s="50"/>
      <c r="VWF349" s="50"/>
      <c r="VWG349" s="50"/>
      <c r="VWH349" s="50"/>
      <c r="VWI349" s="50"/>
      <c r="VWJ349" s="50"/>
      <c r="VWK349" s="50"/>
      <c r="VWL349" s="50"/>
      <c r="VWM349" s="50"/>
      <c r="VWN349" s="50"/>
      <c r="VWO349" s="50"/>
      <c r="VWP349" s="50"/>
      <c r="VWQ349" s="50"/>
      <c r="VWR349" s="50"/>
      <c r="VWS349" s="50"/>
      <c r="VWT349" s="50"/>
      <c r="VWU349" s="50"/>
      <c r="VWV349" s="50"/>
      <c r="VWW349" s="50"/>
      <c r="VWX349" s="50"/>
      <c r="VWY349" s="50"/>
      <c r="VWZ349" s="50"/>
      <c r="VXA349" s="50"/>
      <c r="VXB349" s="50"/>
      <c r="VXC349" s="50"/>
      <c r="VXD349" s="50"/>
      <c r="VXE349" s="50"/>
      <c r="VXF349" s="50"/>
      <c r="VXG349" s="50"/>
      <c r="VXH349" s="50"/>
      <c r="VXI349" s="50"/>
      <c r="VXJ349" s="50"/>
      <c r="VXK349" s="50"/>
      <c r="VXL349" s="50"/>
      <c r="VXM349" s="50"/>
      <c r="VXN349" s="50"/>
      <c r="VXO349" s="50"/>
      <c r="VXP349" s="50"/>
      <c r="VXQ349" s="50"/>
      <c r="VXR349" s="50"/>
      <c r="VXS349" s="50"/>
      <c r="VXT349" s="50"/>
      <c r="VXU349" s="50"/>
      <c r="VXV349" s="50"/>
      <c r="VXW349" s="50"/>
      <c r="VXX349" s="50"/>
      <c r="VXY349" s="50"/>
      <c r="VXZ349" s="50"/>
      <c r="VYA349" s="50"/>
      <c r="VYB349" s="50"/>
      <c r="VYC349" s="50"/>
      <c r="VYD349" s="50"/>
      <c r="VYE349" s="50"/>
      <c r="VYF349" s="50"/>
      <c r="VYG349" s="50"/>
      <c r="VYH349" s="50"/>
      <c r="VYI349" s="50"/>
      <c r="VYJ349" s="50"/>
      <c r="VYK349" s="50"/>
      <c r="VYL349" s="50"/>
      <c r="VYM349" s="50"/>
      <c r="VYN349" s="50"/>
      <c r="VYO349" s="50"/>
      <c r="VYP349" s="50"/>
      <c r="VYQ349" s="50"/>
      <c r="VYR349" s="50"/>
      <c r="VYS349" s="50"/>
      <c r="VYT349" s="50"/>
      <c r="VYU349" s="50"/>
      <c r="VYV349" s="50"/>
      <c r="VYW349" s="50"/>
      <c r="VYX349" s="50"/>
      <c r="VYY349" s="50"/>
      <c r="VYZ349" s="50"/>
      <c r="VZA349" s="50"/>
      <c r="VZB349" s="50"/>
      <c r="VZC349" s="50"/>
      <c r="VZD349" s="50"/>
      <c r="VZE349" s="50"/>
      <c r="VZF349" s="50"/>
      <c r="VZG349" s="50"/>
      <c r="VZH349" s="50"/>
      <c r="VZI349" s="50"/>
      <c r="VZJ349" s="50"/>
      <c r="VZK349" s="50"/>
      <c r="VZL349" s="50"/>
      <c r="VZM349" s="50"/>
      <c r="VZN349" s="50"/>
      <c r="VZO349" s="50"/>
      <c r="VZP349" s="50"/>
      <c r="VZQ349" s="50"/>
      <c r="VZR349" s="50"/>
      <c r="VZS349" s="50"/>
      <c r="VZT349" s="50"/>
      <c r="VZU349" s="50"/>
      <c r="VZV349" s="50"/>
      <c r="VZW349" s="50"/>
      <c r="VZX349" s="50"/>
      <c r="VZY349" s="50"/>
      <c r="VZZ349" s="50"/>
      <c r="WAA349" s="50"/>
      <c r="WAB349" s="50"/>
      <c r="WAC349" s="50"/>
      <c r="WAD349" s="50"/>
      <c r="WAE349" s="50"/>
      <c r="WAF349" s="50"/>
      <c r="WAG349" s="50"/>
      <c r="WAH349" s="50"/>
      <c r="WAI349" s="50"/>
      <c r="WAJ349" s="50"/>
      <c r="WAK349" s="50"/>
      <c r="WAL349" s="50"/>
      <c r="WAM349" s="50"/>
      <c r="WAN349" s="50"/>
      <c r="WAO349" s="50"/>
      <c r="WAP349" s="50"/>
      <c r="WAQ349" s="50"/>
      <c r="WAR349" s="50"/>
      <c r="WAS349" s="50"/>
      <c r="WAT349" s="50"/>
      <c r="WAU349" s="50"/>
      <c r="WAV349" s="50"/>
      <c r="WAW349" s="50"/>
      <c r="WAX349" s="50"/>
      <c r="WAY349" s="50"/>
      <c r="WAZ349" s="50"/>
      <c r="WBA349" s="50"/>
      <c r="WBB349" s="50"/>
      <c r="WBC349" s="50"/>
      <c r="WBD349" s="50"/>
      <c r="WBE349" s="50"/>
      <c r="WBF349" s="50"/>
      <c r="WBG349" s="50"/>
      <c r="WBH349" s="50"/>
      <c r="WBI349" s="50"/>
      <c r="WBJ349" s="50"/>
      <c r="WBK349" s="50"/>
      <c r="WBL349" s="50"/>
      <c r="WBM349" s="50"/>
      <c r="WBN349" s="50"/>
      <c r="WBO349" s="50"/>
      <c r="WBP349" s="50"/>
      <c r="WBQ349" s="50"/>
      <c r="WBR349" s="50"/>
      <c r="WBS349" s="50"/>
      <c r="WBT349" s="50"/>
      <c r="WBU349" s="50"/>
      <c r="WBV349" s="50"/>
      <c r="WBW349" s="50"/>
      <c r="WBX349" s="50"/>
      <c r="WBY349" s="50"/>
      <c r="WBZ349" s="50"/>
      <c r="WCA349" s="50"/>
      <c r="WCB349" s="50"/>
      <c r="WCC349" s="50"/>
      <c r="WCD349" s="50"/>
      <c r="WCE349" s="50"/>
      <c r="WCF349" s="50"/>
      <c r="WCG349" s="50"/>
      <c r="WCH349" s="50"/>
      <c r="WCI349" s="50"/>
      <c r="WCJ349" s="50"/>
      <c r="WCK349" s="50"/>
      <c r="WCL349" s="50"/>
      <c r="WCM349" s="50"/>
      <c r="WCN349" s="50"/>
      <c r="WCO349" s="50"/>
      <c r="WCP349" s="50"/>
      <c r="WCQ349" s="50"/>
      <c r="WCR349" s="50"/>
      <c r="WCS349" s="50"/>
      <c r="WCT349" s="50"/>
      <c r="WCU349" s="50"/>
      <c r="WCV349" s="50"/>
      <c r="WCW349" s="50"/>
      <c r="WCX349" s="50"/>
      <c r="WCY349" s="50"/>
      <c r="WCZ349" s="50"/>
      <c r="WDA349" s="50"/>
      <c r="WDB349" s="50"/>
      <c r="WDC349" s="50"/>
      <c r="WDD349" s="50"/>
      <c r="WDE349" s="50"/>
      <c r="WDF349" s="50"/>
      <c r="WDG349" s="50"/>
      <c r="WDH349" s="50"/>
      <c r="WDI349" s="50"/>
      <c r="WDJ349" s="50"/>
      <c r="WDK349" s="50"/>
      <c r="WDL349" s="50"/>
      <c r="WDM349" s="50"/>
      <c r="WDN349" s="50"/>
      <c r="WDO349" s="50"/>
      <c r="WDP349" s="50"/>
      <c r="WDQ349" s="50"/>
      <c r="WDR349" s="50"/>
      <c r="WDS349" s="50"/>
      <c r="WDT349" s="50"/>
      <c r="WDU349" s="50"/>
      <c r="WDV349" s="50"/>
      <c r="WDW349" s="50"/>
      <c r="WDX349" s="50"/>
      <c r="WDY349" s="50"/>
      <c r="WDZ349" s="50"/>
      <c r="WEA349" s="50"/>
      <c r="WEB349" s="50"/>
      <c r="WEC349" s="50"/>
      <c r="WED349" s="50"/>
      <c r="WEE349" s="50"/>
      <c r="WEF349" s="50"/>
      <c r="WEG349" s="50"/>
      <c r="WEH349" s="50"/>
      <c r="WEI349" s="50"/>
      <c r="WEJ349" s="50"/>
      <c r="WEK349" s="50"/>
      <c r="WEL349" s="50"/>
      <c r="WEM349" s="50"/>
      <c r="WEN349" s="50"/>
      <c r="WEO349" s="50"/>
      <c r="WEP349" s="50"/>
      <c r="WEQ349" s="50"/>
      <c r="WER349" s="50"/>
      <c r="WES349" s="50"/>
      <c r="WET349" s="50"/>
      <c r="WEU349" s="50"/>
      <c r="WEV349" s="50"/>
      <c r="WEW349" s="50"/>
      <c r="WEX349" s="50"/>
      <c r="WEY349" s="50"/>
      <c r="WEZ349" s="50"/>
      <c r="WFA349" s="50"/>
      <c r="WFB349" s="50"/>
      <c r="WFC349" s="50"/>
      <c r="WFD349" s="50"/>
      <c r="WFE349" s="50"/>
      <c r="WFF349" s="50"/>
      <c r="WFG349" s="50"/>
      <c r="WFH349" s="50"/>
      <c r="WFI349" s="50"/>
      <c r="WFJ349" s="50"/>
      <c r="WFK349" s="50"/>
      <c r="WFL349" s="50"/>
      <c r="WFM349" s="50"/>
      <c r="WFN349" s="50"/>
      <c r="WFO349" s="50"/>
      <c r="WFP349" s="50"/>
      <c r="WFQ349" s="50"/>
      <c r="WFR349" s="50"/>
      <c r="WFS349" s="50"/>
      <c r="WFT349" s="50"/>
      <c r="WFU349" s="50"/>
      <c r="WFV349" s="50"/>
      <c r="WFW349" s="50"/>
      <c r="WFX349" s="50"/>
      <c r="WFY349" s="50"/>
      <c r="WFZ349" s="50"/>
      <c r="WGA349" s="50"/>
      <c r="WGB349" s="50"/>
      <c r="WGC349" s="50"/>
      <c r="WGD349" s="50"/>
      <c r="WGE349" s="50"/>
      <c r="WGF349" s="50"/>
      <c r="WGG349" s="50"/>
      <c r="WGH349" s="50"/>
      <c r="WGI349" s="50"/>
      <c r="WGJ349" s="50"/>
      <c r="WGK349" s="50"/>
      <c r="WGL349" s="50"/>
      <c r="WGM349" s="50"/>
      <c r="WGN349" s="50"/>
      <c r="WGO349" s="50"/>
      <c r="WGP349" s="50"/>
      <c r="WGQ349" s="50"/>
      <c r="WGR349" s="50"/>
      <c r="WGS349" s="50"/>
      <c r="WGT349" s="50"/>
      <c r="WGU349" s="50"/>
      <c r="WGV349" s="50"/>
      <c r="WGW349" s="50"/>
      <c r="WGX349" s="50"/>
      <c r="WGY349" s="50"/>
      <c r="WGZ349" s="50"/>
      <c r="WHA349" s="50"/>
      <c r="WHB349" s="50"/>
      <c r="WHC349" s="50"/>
      <c r="WHD349" s="50"/>
      <c r="WHE349" s="50"/>
      <c r="WHF349" s="50"/>
      <c r="WHG349" s="50"/>
      <c r="WHH349" s="50"/>
      <c r="WHI349" s="50"/>
      <c r="WHJ349" s="50"/>
      <c r="WHK349" s="50"/>
      <c r="WHL349" s="50"/>
      <c r="WHM349" s="50"/>
      <c r="WHN349" s="50"/>
      <c r="WHO349" s="50"/>
      <c r="WHP349" s="50"/>
      <c r="WHQ349" s="50"/>
      <c r="WHR349" s="50"/>
      <c r="WHS349" s="50"/>
      <c r="WHT349" s="50"/>
      <c r="WHU349" s="50"/>
      <c r="WHV349" s="50"/>
      <c r="WHW349" s="50"/>
      <c r="WHX349" s="50"/>
      <c r="WHY349" s="50"/>
      <c r="WHZ349" s="50"/>
      <c r="WIA349" s="50"/>
      <c r="WIB349" s="50"/>
      <c r="WIC349" s="50"/>
      <c r="WID349" s="50"/>
      <c r="WIE349" s="50"/>
      <c r="WIF349" s="50"/>
      <c r="WIG349" s="50"/>
      <c r="WIH349" s="50"/>
      <c r="WII349" s="50"/>
      <c r="WIJ349" s="50"/>
      <c r="WIK349" s="50"/>
      <c r="WIL349" s="50"/>
      <c r="WIM349" s="50"/>
      <c r="WIN349" s="50"/>
      <c r="WIO349" s="50"/>
      <c r="WIP349" s="50"/>
      <c r="WIQ349" s="50"/>
      <c r="WIR349" s="50"/>
      <c r="WIS349" s="50"/>
      <c r="WIT349" s="50"/>
      <c r="WIU349" s="50"/>
      <c r="WIV349" s="50"/>
      <c r="WIW349" s="50"/>
      <c r="WIX349" s="50"/>
      <c r="WIY349" s="50"/>
      <c r="WIZ349" s="50"/>
      <c r="WJA349" s="50"/>
      <c r="WJB349" s="50"/>
      <c r="WJC349" s="50"/>
      <c r="WJD349" s="50"/>
      <c r="WJE349" s="50"/>
      <c r="WJF349" s="50"/>
      <c r="WJG349" s="50"/>
      <c r="WJH349" s="50"/>
      <c r="WJI349" s="50"/>
      <c r="WJJ349" s="50"/>
      <c r="WJK349" s="50"/>
      <c r="WJL349" s="50"/>
      <c r="WJM349" s="50"/>
      <c r="WJN349" s="50"/>
      <c r="WJO349" s="50"/>
      <c r="WJP349" s="50"/>
      <c r="WJQ349" s="50"/>
      <c r="WJR349" s="50"/>
      <c r="WJS349" s="50"/>
      <c r="WJT349" s="50"/>
      <c r="WJU349" s="50"/>
      <c r="WJV349" s="50"/>
      <c r="WJW349" s="50"/>
      <c r="WJX349" s="50"/>
      <c r="WJY349" s="50"/>
      <c r="WJZ349" s="50"/>
      <c r="WKA349" s="50"/>
      <c r="WKB349" s="50"/>
      <c r="WKC349" s="50"/>
      <c r="WKD349" s="50"/>
      <c r="WKE349" s="50"/>
      <c r="WKF349" s="50"/>
      <c r="WKG349" s="50"/>
      <c r="WKH349" s="50"/>
      <c r="WKI349" s="50"/>
      <c r="WKJ349" s="50"/>
      <c r="WKK349" s="50"/>
      <c r="WKL349" s="50"/>
      <c r="WKM349" s="50"/>
      <c r="WKN349" s="50"/>
      <c r="WKO349" s="50"/>
      <c r="WKP349" s="50"/>
      <c r="WKQ349" s="50"/>
      <c r="WKR349" s="50"/>
      <c r="WKS349" s="50"/>
      <c r="WKT349" s="50"/>
      <c r="WKU349" s="50"/>
      <c r="WKV349" s="50"/>
      <c r="WKW349" s="50"/>
      <c r="WKX349" s="50"/>
      <c r="WKY349" s="50"/>
      <c r="WKZ349" s="50"/>
      <c r="WLA349" s="50"/>
      <c r="WLB349" s="50"/>
      <c r="WLC349" s="50"/>
      <c r="WLD349" s="50"/>
      <c r="WLE349" s="50"/>
      <c r="WLF349" s="50"/>
      <c r="WLG349" s="50"/>
      <c r="WLH349" s="50"/>
      <c r="WLI349" s="50"/>
      <c r="WLJ349" s="50"/>
      <c r="WLK349" s="50"/>
      <c r="WLL349" s="50"/>
      <c r="WLM349" s="50"/>
      <c r="WLN349" s="50"/>
      <c r="WLO349" s="50"/>
      <c r="WLP349" s="50"/>
      <c r="WLQ349" s="50"/>
      <c r="WLR349" s="50"/>
      <c r="WLS349" s="50"/>
      <c r="WLT349" s="50"/>
      <c r="WLU349" s="50"/>
      <c r="WLV349" s="50"/>
      <c r="WLW349" s="50"/>
      <c r="WLX349" s="50"/>
      <c r="WLY349" s="50"/>
      <c r="WLZ349" s="50"/>
      <c r="WMA349" s="50"/>
      <c r="WMB349" s="50"/>
      <c r="WMC349" s="50"/>
      <c r="WMD349" s="50"/>
      <c r="WME349" s="50"/>
      <c r="WMF349" s="50"/>
      <c r="WMG349" s="50"/>
      <c r="WMH349" s="50"/>
      <c r="WMI349" s="50"/>
      <c r="WMJ349" s="50"/>
      <c r="WMK349" s="50"/>
      <c r="WML349" s="50"/>
      <c r="WMM349" s="50"/>
      <c r="WMN349" s="50"/>
      <c r="WMO349" s="50"/>
      <c r="WMP349" s="50"/>
      <c r="WMQ349" s="50"/>
      <c r="WMR349" s="50"/>
      <c r="WMS349" s="50"/>
      <c r="WMT349" s="50"/>
      <c r="WMU349" s="50"/>
      <c r="WMV349" s="50"/>
      <c r="WMW349" s="50"/>
      <c r="WMX349" s="50"/>
      <c r="WMY349" s="50"/>
      <c r="WMZ349" s="50"/>
      <c r="WNA349" s="50"/>
      <c r="WNB349" s="50"/>
      <c r="WNC349" s="50"/>
      <c r="WND349" s="50"/>
      <c r="WNE349" s="50"/>
      <c r="WNF349" s="50"/>
      <c r="WNG349" s="50"/>
      <c r="WNH349" s="50"/>
      <c r="WNI349" s="50"/>
      <c r="WNJ349" s="50"/>
      <c r="WNK349" s="50"/>
      <c r="WNL349" s="50"/>
      <c r="WNM349" s="50"/>
      <c r="WNN349" s="50"/>
      <c r="WNO349" s="50"/>
      <c r="WNP349" s="50"/>
      <c r="WNQ349" s="50"/>
      <c r="WNR349" s="50"/>
      <c r="WNS349" s="50"/>
      <c r="WNT349" s="50"/>
      <c r="WNU349" s="50"/>
      <c r="WNV349" s="50"/>
      <c r="WNW349" s="50"/>
      <c r="WNX349" s="50"/>
      <c r="WNY349" s="50"/>
      <c r="WNZ349" s="50"/>
      <c r="WOA349" s="50"/>
      <c r="WOB349" s="50"/>
      <c r="WOC349" s="50"/>
      <c r="WOD349" s="50"/>
      <c r="WOE349" s="50"/>
      <c r="WOF349" s="50"/>
      <c r="WOG349" s="50"/>
      <c r="WOH349" s="50"/>
      <c r="WOI349" s="50"/>
      <c r="WOJ349" s="50"/>
      <c r="WOK349" s="50"/>
      <c r="WOL349" s="50"/>
      <c r="WOM349" s="50"/>
      <c r="WON349" s="50"/>
      <c r="WOO349" s="50"/>
      <c r="WOP349" s="50"/>
      <c r="WOQ349" s="50"/>
      <c r="WOR349" s="50"/>
      <c r="WOS349" s="50"/>
      <c r="WOT349" s="50"/>
      <c r="WOU349" s="50"/>
      <c r="WOV349" s="50"/>
      <c r="WOW349" s="50"/>
      <c r="WOX349" s="50"/>
      <c r="WOY349" s="50"/>
      <c r="WOZ349" s="50"/>
      <c r="WPA349" s="50"/>
      <c r="WPB349" s="50"/>
      <c r="WPC349" s="50"/>
      <c r="WPD349" s="50"/>
      <c r="WPE349" s="50"/>
      <c r="WPF349" s="50"/>
      <c r="WPG349" s="50"/>
      <c r="WPH349" s="50"/>
      <c r="WPI349" s="50"/>
      <c r="WPJ349" s="50"/>
      <c r="WPK349" s="50"/>
      <c r="WPL349" s="50"/>
      <c r="WPM349" s="50"/>
      <c r="WPN349" s="50"/>
      <c r="WPO349" s="50"/>
      <c r="WPP349" s="50"/>
      <c r="WPQ349" s="50"/>
      <c r="WPR349" s="50"/>
      <c r="WPS349" s="50"/>
      <c r="WPT349" s="50"/>
      <c r="WPU349" s="50"/>
      <c r="WPV349" s="50"/>
      <c r="WPW349" s="50"/>
      <c r="WPX349" s="50"/>
      <c r="WPY349" s="50"/>
      <c r="WPZ349" s="50"/>
      <c r="WQA349" s="50"/>
      <c r="WQB349" s="50"/>
      <c r="WQC349" s="50"/>
      <c r="WQD349" s="50"/>
      <c r="WQE349" s="50"/>
      <c r="WQF349" s="50"/>
      <c r="WQG349" s="50"/>
      <c r="WQH349" s="50"/>
      <c r="WQI349" s="50"/>
      <c r="WQJ349" s="50"/>
      <c r="WQK349" s="50"/>
      <c r="WQL349" s="50"/>
      <c r="WQM349" s="50"/>
      <c r="WQN349" s="50"/>
      <c r="WQO349" s="50"/>
      <c r="WQP349" s="50"/>
      <c r="WQQ349" s="50"/>
      <c r="WQR349" s="50"/>
      <c r="WQS349" s="50"/>
      <c r="WQT349" s="50"/>
      <c r="WQU349" s="50"/>
      <c r="WQV349" s="50"/>
      <c r="WQW349" s="50"/>
      <c r="WQX349" s="50"/>
      <c r="WQY349" s="50"/>
      <c r="WQZ349" s="50"/>
      <c r="WRA349" s="50"/>
      <c r="WRB349" s="50"/>
      <c r="WRC349" s="50"/>
      <c r="WRD349" s="50"/>
      <c r="WRE349" s="50"/>
      <c r="WRF349" s="50"/>
      <c r="WRG349" s="50"/>
      <c r="WRH349" s="50"/>
      <c r="WRI349" s="50"/>
      <c r="WRJ349" s="50"/>
      <c r="WRK349" s="50"/>
      <c r="WRL349" s="50"/>
      <c r="WRM349" s="50"/>
      <c r="WRN349" s="50"/>
      <c r="WRO349" s="50"/>
      <c r="WRP349" s="50"/>
      <c r="WRQ349" s="50"/>
      <c r="WRR349" s="50"/>
      <c r="WRS349" s="50"/>
      <c r="WRT349" s="50"/>
      <c r="WRU349" s="50"/>
      <c r="WRV349" s="50"/>
      <c r="WRW349" s="50"/>
      <c r="WRX349" s="50"/>
      <c r="WRY349" s="50"/>
      <c r="WRZ349" s="50"/>
      <c r="WSA349" s="50"/>
      <c r="WSB349" s="50"/>
      <c r="WSC349" s="50"/>
      <c r="WSD349" s="50"/>
      <c r="WSE349" s="50"/>
      <c r="WSF349" s="50"/>
      <c r="WSG349" s="50"/>
      <c r="WSH349" s="50"/>
      <c r="WSI349" s="50"/>
      <c r="WSJ349" s="50"/>
      <c r="WSK349" s="50"/>
      <c r="WSL349" s="50"/>
      <c r="WSM349" s="50"/>
      <c r="WSN349" s="50"/>
      <c r="WSO349" s="50"/>
      <c r="WSP349" s="50"/>
      <c r="WSQ349" s="50"/>
      <c r="WSR349" s="50"/>
      <c r="WSS349" s="50"/>
      <c r="WST349" s="50"/>
      <c r="WSU349" s="50"/>
      <c r="WSV349" s="50"/>
      <c r="WSW349" s="50"/>
      <c r="WSX349" s="50"/>
      <c r="WSY349" s="50"/>
      <c r="WSZ349" s="50"/>
      <c r="WTA349" s="50"/>
      <c r="WTB349" s="50"/>
      <c r="WTC349" s="50"/>
      <c r="WTD349" s="50"/>
      <c r="WTE349" s="50"/>
      <c r="WTF349" s="50"/>
      <c r="WTG349" s="50"/>
      <c r="WTH349" s="50"/>
      <c r="WTI349" s="50"/>
      <c r="WTJ349" s="50"/>
      <c r="WTK349" s="50"/>
      <c r="WTL349" s="50"/>
      <c r="WTM349" s="50"/>
      <c r="WTN349" s="50"/>
      <c r="WTO349" s="50"/>
      <c r="WTP349" s="50"/>
      <c r="WTQ349" s="50"/>
      <c r="WTR349" s="50"/>
      <c r="WTS349" s="50"/>
      <c r="WTT349" s="50"/>
      <c r="WTU349" s="50"/>
      <c r="WTV349" s="50"/>
      <c r="WTW349" s="50"/>
      <c r="WTX349" s="50"/>
      <c r="WTY349" s="50"/>
      <c r="WTZ349" s="50"/>
      <c r="WUA349" s="50"/>
      <c r="WUB349" s="50"/>
      <c r="WUC349" s="50"/>
      <c r="WUD349" s="50"/>
      <c r="WUE349" s="50"/>
      <c r="WUF349" s="50"/>
      <c r="WUG349" s="50"/>
      <c r="WUH349" s="50"/>
      <c r="WUI349" s="50"/>
      <c r="WUJ349" s="50"/>
      <c r="WUK349" s="50"/>
      <c r="WUL349" s="50"/>
      <c r="WUM349" s="50"/>
      <c r="WUN349" s="50"/>
      <c r="WUO349" s="50"/>
    </row>
    <row r="350" spans="1:16109" s="29" customFormat="1" ht="90.75" customHeight="1" x14ac:dyDescent="0.25">
      <c r="A350" s="20"/>
      <c r="B350" s="20"/>
      <c r="C350" s="20"/>
      <c r="D350" s="21"/>
      <c r="E350" s="21"/>
      <c r="F350" s="22"/>
      <c r="G350" s="22"/>
      <c r="H350" s="24"/>
      <c r="I350" s="25"/>
      <c r="J350" s="24"/>
      <c r="K350" s="37">
        <v>6</v>
      </c>
      <c r="L350" s="20" t="s">
        <v>31</v>
      </c>
      <c r="M350" s="20"/>
      <c r="N350" s="62" t="s">
        <v>209</v>
      </c>
      <c r="O350" s="24">
        <v>418</v>
      </c>
      <c r="P350" s="35">
        <v>100</v>
      </c>
      <c r="Q350" s="40">
        <v>2550</v>
      </c>
      <c r="R350" s="77">
        <f t="shared" si="69"/>
        <v>1065900</v>
      </c>
      <c r="S350" s="37">
        <v>5</v>
      </c>
      <c r="T350" s="28">
        <f t="shared" si="70"/>
        <v>53295</v>
      </c>
      <c r="U350" s="77">
        <f t="shared" si="71"/>
        <v>1012605</v>
      </c>
      <c r="V350" s="20"/>
      <c r="W350" s="26"/>
      <c r="X350" s="27"/>
      <c r="Y350" s="20"/>
      <c r="Z350" s="2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50"/>
      <c r="AR350" s="50"/>
      <c r="AS350" s="50"/>
      <c r="AT350" s="50"/>
      <c r="AU350" s="50"/>
      <c r="AV350" s="50"/>
      <c r="AW350" s="50"/>
      <c r="AX350" s="50"/>
      <c r="AY350" s="50"/>
      <c r="AZ350" s="50"/>
      <c r="BA350" s="50"/>
      <c r="BB350" s="50"/>
      <c r="BC350" s="50"/>
      <c r="BD350" s="50"/>
      <c r="BE350" s="50"/>
      <c r="BF350" s="50"/>
      <c r="BG350" s="50"/>
      <c r="BH350" s="50"/>
      <c r="BI350" s="50"/>
      <c r="BJ350" s="50"/>
      <c r="BK350" s="50"/>
      <c r="BL350" s="50"/>
      <c r="BM350" s="50"/>
      <c r="BN350" s="50"/>
      <c r="BO350" s="50"/>
      <c r="BP350" s="50"/>
      <c r="BQ350" s="50"/>
      <c r="BR350" s="50"/>
      <c r="BS350" s="50"/>
      <c r="BT350" s="50"/>
      <c r="BU350" s="50"/>
      <c r="BV350" s="50"/>
      <c r="BW350" s="50"/>
      <c r="BX350" s="50"/>
      <c r="BY350" s="50"/>
      <c r="BZ350" s="50"/>
      <c r="CA350" s="50"/>
      <c r="CB350" s="50"/>
      <c r="CC350" s="50"/>
      <c r="CD350" s="50"/>
      <c r="CE350" s="50"/>
      <c r="CF350" s="50"/>
      <c r="CG350" s="50"/>
      <c r="CH350" s="50"/>
      <c r="CI350" s="50"/>
      <c r="CJ350" s="50"/>
      <c r="CK350" s="50"/>
      <c r="CL350" s="50"/>
      <c r="CM350" s="50"/>
      <c r="CN350" s="50"/>
      <c r="CO350" s="50"/>
      <c r="CP350" s="50"/>
      <c r="CQ350" s="50"/>
      <c r="CR350" s="50"/>
      <c r="CS350" s="50"/>
      <c r="CT350" s="50"/>
      <c r="CU350" s="50"/>
      <c r="CV350" s="50"/>
      <c r="CW350" s="50"/>
      <c r="CX350" s="50"/>
      <c r="CY350" s="50"/>
      <c r="CZ350" s="50"/>
      <c r="DA350" s="50"/>
      <c r="DB350" s="50"/>
      <c r="DC350" s="50"/>
      <c r="DD350" s="50"/>
      <c r="DE350" s="50"/>
      <c r="DF350" s="50"/>
      <c r="DG350" s="50"/>
      <c r="DH350" s="50"/>
      <c r="DI350" s="50"/>
      <c r="DJ350" s="50"/>
      <c r="DK350" s="50"/>
      <c r="DL350" s="50"/>
      <c r="DM350" s="50"/>
      <c r="DN350" s="50"/>
      <c r="DO350" s="50"/>
      <c r="DP350" s="50"/>
      <c r="DQ350" s="50"/>
      <c r="DR350" s="50"/>
      <c r="DS350" s="50"/>
      <c r="DT350" s="50"/>
      <c r="DU350" s="50"/>
      <c r="DV350" s="50"/>
      <c r="DW350" s="50"/>
      <c r="DX350" s="50"/>
      <c r="DY350" s="50"/>
      <c r="DZ350" s="50"/>
      <c r="EA350" s="50"/>
      <c r="EB350" s="50"/>
      <c r="EC350" s="50"/>
      <c r="ED350" s="50"/>
      <c r="EE350" s="50"/>
      <c r="EF350" s="50"/>
      <c r="EG350" s="50"/>
      <c r="EH350" s="50"/>
      <c r="EI350" s="50"/>
      <c r="EJ350" s="50"/>
      <c r="EK350" s="50"/>
      <c r="EL350" s="50"/>
      <c r="EM350" s="50"/>
      <c r="EN350" s="50"/>
      <c r="EO350" s="50"/>
      <c r="EP350" s="50"/>
      <c r="EQ350" s="50"/>
      <c r="ER350" s="50"/>
      <c r="ES350" s="50"/>
      <c r="ET350" s="50"/>
      <c r="EU350" s="50"/>
      <c r="EV350" s="50"/>
      <c r="EW350" s="50"/>
      <c r="EX350" s="50"/>
      <c r="EY350" s="50"/>
      <c r="EZ350" s="50"/>
      <c r="FA350" s="50"/>
      <c r="FB350" s="50"/>
      <c r="FC350" s="50"/>
      <c r="FD350" s="50"/>
      <c r="FE350" s="50"/>
      <c r="FF350" s="50"/>
      <c r="FG350" s="50"/>
      <c r="FH350" s="50"/>
      <c r="FI350" s="50"/>
      <c r="FJ350" s="50"/>
      <c r="FK350" s="50"/>
      <c r="FL350" s="50"/>
      <c r="FM350" s="50"/>
      <c r="FN350" s="50"/>
      <c r="FO350" s="50"/>
      <c r="FP350" s="50"/>
      <c r="FQ350" s="50"/>
      <c r="FR350" s="50"/>
      <c r="FS350" s="50"/>
      <c r="FT350" s="50"/>
      <c r="FU350" s="50"/>
      <c r="FV350" s="50"/>
      <c r="FW350" s="50"/>
      <c r="FX350" s="50"/>
      <c r="FY350" s="50"/>
      <c r="FZ350" s="50"/>
      <c r="GA350" s="50"/>
      <c r="GB350" s="50"/>
      <c r="GC350" s="50"/>
      <c r="GD350" s="50"/>
      <c r="GE350" s="50"/>
      <c r="GF350" s="50"/>
      <c r="GG350" s="50"/>
      <c r="GH350" s="50"/>
      <c r="GI350" s="50"/>
      <c r="GJ350" s="50"/>
      <c r="GK350" s="50"/>
      <c r="GL350" s="50"/>
      <c r="GM350" s="50"/>
      <c r="GN350" s="50"/>
      <c r="GO350" s="50"/>
      <c r="GP350" s="50"/>
      <c r="GQ350" s="50"/>
      <c r="GR350" s="50"/>
      <c r="GS350" s="50"/>
      <c r="GT350" s="50"/>
      <c r="GU350" s="50"/>
      <c r="GV350" s="50"/>
      <c r="GW350" s="50"/>
      <c r="GX350" s="50"/>
      <c r="GY350" s="50"/>
      <c r="GZ350" s="50"/>
      <c r="HA350" s="50"/>
      <c r="HB350" s="50"/>
      <c r="HC350" s="50"/>
      <c r="HD350" s="50"/>
      <c r="HE350" s="50"/>
      <c r="HF350" s="50"/>
      <c r="HG350" s="50"/>
      <c r="HH350" s="50"/>
      <c r="HI350" s="50"/>
      <c r="HJ350" s="50"/>
      <c r="HK350" s="50"/>
      <c r="HL350" s="50"/>
      <c r="HM350" s="50"/>
      <c r="HN350" s="50"/>
      <c r="HO350" s="50"/>
      <c r="HP350" s="50"/>
      <c r="HQ350" s="50"/>
      <c r="HR350" s="50"/>
      <c r="HS350" s="50"/>
      <c r="HT350" s="50"/>
      <c r="HU350" s="50"/>
      <c r="HV350" s="50"/>
      <c r="HW350" s="50"/>
      <c r="HX350" s="50"/>
      <c r="HY350" s="50"/>
      <c r="HZ350" s="50"/>
      <c r="IA350" s="50"/>
      <c r="IB350" s="50"/>
      <c r="IC350" s="50"/>
      <c r="ID350" s="50"/>
      <c r="IE350" s="50"/>
      <c r="IF350" s="50"/>
      <c r="IG350" s="50"/>
      <c r="IH350" s="50"/>
      <c r="II350" s="50"/>
      <c r="IJ350" s="50"/>
      <c r="IK350" s="50"/>
      <c r="IL350" s="50"/>
      <c r="IM350" s="50"/>
      <c r="IN350" s="50"/>
      <c r="IO350" s="50"/>
      <c r="IP350" s="50"/>
      <c r="IQ350" s="50"/>
      <c r="IR350" s="50"/>
      <c r="IS350" s="50"/>
      <c r="IT350" s="50"/>
      <c r="IU350" s="50"/>
      <c r="IV350" s="50"/>
      <c r="IW350" s="50"/>
      <c r="IX350" s="50"/>
      <c r="IY350" s="50"/>
      <c r="IZ350" s="50"/>
      <c r="JA350" s="50"/>
      <c r="JB350" s="50"/>
      <c r="JC350" s="50"/>
      <c r="JD350" s="50"/>
      <c r="JE350" s="50"/>
      <c r="JF350" s="50"/>
      <c r="JG350" s="50"/>
      <c r="JH350" s="50"/>
      <c r="JI350" s="50"/>
      <c r="JJ350" s="50"/>
      <c r="JK350" s="50"/>
      <c r="JL350" s="50"/>
      <c r="JM350" s="50"/>
      <c r="JN350" s="50"/>
      <c r="JO350" s="50"/>
      <c r="JP350" s="50"/>
      <c r="JQ350" s="50"/>
      <c r="JR350" s="50"/>
      <c r="JS350" s="50"/>
      <c r="JT350" s="50"/>
      <c r="JU350" s="50"/>
      <c r="JV350" s="50"/>
      <c r="JW350" s="50"/>
      <c r="JX350" s="50"/>
      <c r="JY350" s="50"/>
      <c r="JZ350" s="50"/>
      <c r="KA350" s="50"/>
      <c r="KB350" s="50"/>
      <c r="KC350" s="50"/>
      <c r="KD350" s="50"/>
      <c r="KE350" s="50"/>
      <c r="KF350" s="50"/>
      <c r="KG350" s="50"/>
      <c r="KH350" s="50"/>
      <c r="KI350" s="50"/>
      <c r="KJ350" s="50"/>
      <c r="KK350" s="50"/>
      <c r="KL350" s="50"/>
      <c r="KM350" s="50"/>
      <c r="KN350" s="50"/>
      <c r="KO350" s="50"/>
      <c r="KP350" s="50"/>
      <c r="KQ350" s="50"/>
      <c r="KR350" s="50"/>
      <c r="KS350" s="50"/>
      <c r="KT350" s="50"/>
      <c r="KU350" s="50"/>
      <c r="KV350" s="50"/>
      <c r="KW350" s="50"/>
      <c r="KX350" s="50"/>
      <c r="KY350" s="50"/>
      <c r="KZ350" s="50"/>
      <c r="LA350" s="50"/>
      <c r="LB350" s="50"/>
      <c r="LC350" s="50"/>
      <c r="LD350" s="50"/>
      <c r="LE350" s="50"/>
      <c r="LF350" s="50"/>
      <c r="LG350" s="50"/>
      <c r="LH350" s="50"/>
      <c r="LI350" s="50"/>
      <c r="LJ350" s="50"/>
      <c r="LK350" s="50"/>
      <c r="LL350" s="50"/>
      <c r="LM350" s="50"/>
      <c r="LN350" s="50"/>
      <c r="LO350" s="50"/>
      <c r="LP350" s="50"/>
      <c r="LQ350" s="50"/>
      <c r="LR350" s="50"/>
      <c r="LS350" s="50"/>
      <c r="LT350" s="50"/>
      <c r="LU350" s="50"/>
      <c r="LV350" s="50"/>
      <c r="LW350" s="50"/>
      <c r="LX350" s="50"/>
      <c r="LY350" s="50"/>
      <c r="LZ350" s="50"/>
      <c r="MA350" s="50"/>
      <c r="MB350" s="50"/>
      <c r="MC350" s="50"/>
      <c r="MD350" s="50"/>
      <c r="ME350" s="50"/>
      <c r="MF350" s="50"/>
      <c r="MG350" s="50"/>
      <c r="MH350" s="50"/>
      <c r="MI350" s="50"/>
      <c r="MJ350" s="50"/>
      <c r="MK350" s="50"/>
      <c r="ML350" s="50"/>
      <c r="MM350" s="50"/>
      <c r="MN350" s="50"/>
      <c r="MO350" s="50"/>
      <c r="MP350" s="50"/>
      <c r="MQ350" s="50"/>
      <c r="MR350" s="50"/>
      <c r="MS350" s="50"/>
      <c r="MT350" s="50"/>
      <c r="MU350" s="50"/>
      <c r="MV350" s="50"/>
      <c r="MW350" s="50"/>
      <c r="MX350" s="50"/>
      <c r="MY350" s="50"/>
      <c r="MZ350" s="50"/>
      <c r="NA350" s="50"/>
      <c r="NB350" s="50"/>
      <c r="NC350" s="50"/>
      <c r="ND350" s="50"/>
      <c r="NE350" s="50"/>
      <c r="NF350" s="50"/>
      <c r="NG350" s="50"/>
      <c r="NH350" s="50"/>
      <c r="NI350" s="50"/>
      <c r="NJ350" s="50"/>
      <c r="NK350" s="50"/>
      <c r="NL350" s="50"/>
      <c r="NM350" s="50"/>
      <c r="NN350" s="50"/>
      <c r="NO350" s="50"/>
      <c r="NP350" s="50"/>
      <c r="NQ350" s="50"/>
      <c r="NR350" s="50"/>
      <c r="NS350" s="50"/>
      <c r="NT350" s="50"/>
      <c r="NU350" s="50"/>
      <c r="NV350" s="50"/>
      <c r="NW350" s="50"/>
      <c r="NX350" s="50"/>
      <c r="NY350" s="50"/>
      <c r="NZ350" s="50"/>
      <c r="OA350" s="50"/>
      <c r="OB350" s="50"/>
      <c r="OC350" s="50"/>
      <c r="OD350" s="50"/>
      <c r="OE350" s="50"/>
      <c r="OF350" s="50"/>
      <c r="OG350" s="50"/>
      <c r="OH350" s="50"/>
      <c r="OI350" s="50"/>
      <c r="OJ350" s="50"/>
      <c r="OK350" s="50"/>
      <c r="OL350" s="50"/>
      <c r="OM350" s="50"/>
      <c r="ON350" s="50"/>
      <c r="OO350" s="50"/>
      <c r="OP350" s="50"/>
      <c r="OQ350" s="50"/>
      <c r="OR350" s="50"/>
      <c r="OS350" s="50"/>
      <c r="OT350" s="50"/>
      <c r="OU350" s="50"/>
      <c r="OV350" s="50"/>
      <c r="OW350" s="50"/>
      <c r="OX350" s="50"/>
      <c r="OY350" s="50"/>
      <c r="OZ350" s="50"/>
      <c r="PA350" s="50"/>
      <c r="PB350" s="50"/>
      <c r="PC350" s="50"/>
      <c r="PD350" s="50"/>
      <c r="PE350" s="50"/>
      <c r="PF350" s="50"/>
      <c r="PG350" s="50"/>
      <c r="PH350" s="50"/>
      <c r="PI350" s="50"/>
      <c r="PJ350" s="50"/>
      <c r="PK350" s="50"/>
      <c r="PL350" s="50"/>
      <c r="PM350" s="50"/>
      <c r="PN350" s="50"/>
      <c r="PO350" s="50"/>
      <c r="PP350" s="50"/>
      <c r="PQ350" s="50"/>
      <c r="PR350" s="50"/>
      <c r="PS350" s="50"/>
      <c r="PT350" s="50"/>
      <c r="PU350" s="50"/>
      <c r="PV350" s="50"/>
      <c r="PW350" s="50"/>
      <c r="PX350" s="50"/>
      <c r="PY350" s="50"/>
      <c r="PZ350" s="50"/>
      <c r="QA350" s="50"/>
      <c r="QB350" s="50"/>
      <c r="QC350" s="50"/>
      <c r="QD350" s="50"/>
      <c r="QE350" s="50"/>
      <c r="QF350" s="50"/>
      <c r="QG350" s="50"/>
      <c r="QH350" s="50"/>
      <c r="QI350" s="50"/>
      <c r="QJ350" s="50"/>
      <c r="QK350" s="50"/>
      <c r="QL350" s="50"/>
      <c r="QM350" s="50"/>
      <c r="QN350" s="50"/>
      <c r="QO350" s="50"/>
      <c r="QP350" s="50"/>
      <c r="QQ350" s="50"/>
      <c r="QR350" s="50"/>
      <c r="QS350" s="50"/>
      <c r="QT350" s="50"/>
      <c r="QU350" s="50"/>
      <c r="QV350" s="50"/>
      <c r="QW350" s="50"/>
      <c r="QX350" s="50"/>
      <c r="QY350" s="50"/>
      <c r="QZ350" s="50"/>
      <c r="RA350" s="50"/>
      <c r="RB350" s="50"/>
      <c r="RC350" s="50"/>
      <c r="RD350" s="50"/>
      <c r="RE350" s="50"/>
      <c r="RF350" s="50"/>
      <c r="RG350" s="50"/>
      <c r="RH350" s="50"/>
      <c r="RI350" s="50"/>
      <c r="RJ350" s="50"/>
      <c r="RK350" s="50"/>
      <c r="RL350" s="50"/>
      <c r="RM350" s="50"/>
      <c r="RN350" s="50"/>
      <c r="RO350" s="50"/>
      <c r="RP350" s="50"/>
      <c r="RQ350" s="50"/>
      <c r="RR350" s="50"/>
      <c r="RS350" s="50"/>
      <c r="RT350" s="50"/>
      <c r="RU350" s="50"/>
      <c r="RV350" s="50"/>
      <c r="RW350" s="50"/>
      <c r="RX350" s="50"/>
      <c r="RY350" s="50"/>
      <c r="RZ350" s="50"/>
      <c r="SA350" s="50"/>
      <c r="SB350" s="50"/>
      <c r="SC350" s="50"/>
      <c r="SD350" s="50"/>
      <c r="SE350" s="50"/>
      <c r="SF350" s="50"/>
      <c r="SG350" s="50"/>
      <c r="SH350" s="50"/>
      <c r="SI350" s="50"/>
      <c r="SJ350" s="50"/>
      <c r="SK350" s="50"/>
      <c r="SL350" s="50"/>
      <c r="SM350" s="50"/>
      <c r="SN350" s="50"/>
      <c r="SO350" s="50"/>
      <c r="SP350" s="50"/>
      <c r="SQ350" s="50"/>
      <c r="SR350" s="50"/>
      <c r="SS350" s="50"/>
      <c r="ST350" s="50"/>
      <c r="SU350" s="50"/>
      <c r="SV350" s="50"/>
      <c r="SW350" s="50"/>
      <c r="SX350" s="50"/>
      <c r="SY350" s="50"/>
      <c r="SZ350" s="50"/>
      <c r="TA350" s="50"/>
      <c r="TB350" s="50"/>
      <c r="TC350" s="50"/>
      <c r="TD350" s="50"/>
      <c r="TE350" s="50"/>
      <c r="TF350" s="50"/>
      <c r="TG350" s="50"/>
      <c r="TH350" s="50"/>
      <c r="TI350" s="50"/>
      <c r="TJ350" s="50"/>
      <c r="TK350" s="50"/>
      <c r="TL350" s="50"/>
      <c r="TM350" s="50"/>
      <c r="TN350" s="50"/>
      <c r="TO350" s="50"/>
      <c r="TP350" s="50"/>
      <c r="TQ350" s="50"/>
      <c r="TR350" s="50"/>
      <c r="TS350" s="50"/>
      <c r="TT350" s="50"/>
      <c r="TU350" s="50"/>
      <c r="TV350" s="50"/>
      <c r="TW350" s="50"/>
      <c r="TX350" s="50"/>
      <c r="TY350" s="50"/>
      <c r="TZ350" s="50"/>
      <c r="UA350" s="50"/>
      <c r="UB350" s="50"/>
      <c r="UC350" s="50"/>
      <c r="UD350" s="50"/>
      <c r="UE350" s="50"/>
      <c r="UF350" s="50"/>
      <c r="UG350" s="50"/>
      <c r="UH350" s="50"/>
      <c r="UI350" s="50"/>
      <c r="UJ350" s="50"/>
      <c r="UK350" s="50"/>
      <c r="UL350" s="50"/>
      <c r="UM350" s="50"/>
      <c r="UN350" s="50"/>
      <c r="UO350" s="50"/>
      <c r="UP350" s="50"/>
      <c r="UQ350" s="50"/>
      <c r="UR350" s="50"/>
      <c r="US350" s="50"/>
      <c r="UT350" s="50"/>
      <c r="UU350" s="50"/>
      <c r="UV350" s="50"/>
      <c r="UW350" s="50"/>
      <c r="UX350" s="50"/>
      <c r="UY350" s="50"/>
      <c r="UZ350" s="50"/>
      <c r="VA350" s="50"/>
      <c r="VB350" s="50"/>
      <c r="VC350" s="50"/>
      <c r="VD350" s="50"/>
      <c r="VE350" s="50"/>
      <c r="VF350" s="50"/>
      <c r="VG350" s="50"/>
      <c r="VH350" s="50"/>
      <c r="VI350" s="50"/>
      <c r="VJ350" s="50"/>
      <c r="VK350" s="50"/>
      <c r="VL350" s="50"/>
      <c r="VM350" s="50"/>
      <c r="VN350" s="50"/>
      <c r="VO350" s="50"/>
      <c r="VP350" s="50"/>
      <c r="VQ350" s="50"/>
      <c r="VR350" s="50"/>
      <c r="VS350" s="50"/>
      <c r="VT350" s="50"/>
      <c r="VU350" s="50"/>
      <c r="VV350" s="50"/>
      <c r="VW350" s="50"/>
      <c r="VX350" s="50"/>
      <c r="VY350" s="50"/>
      <c r="VZ350" s="50"/>
      <c r="WA350" s="50"/>
      <c r="WB350" s="50"/>
      <c r="WC350" s="50"/>
      <c r="WD350" s="50"/>
      <c r="WE350" s="50"/>
      <c r="WF350" s="50"/>
      <c r="WG350" s="50"/>
      <c r="WH350" s="50"/>
      <c r="WI350" s="50"/>
      <c r="WJ350" s="50"/>
      <c r="WK350" s="50"/>
      <c r="WL350" s="50"/>
      <c r="WM350" s="50"/>
      <c r="WN350" s="50"/>
      <c r="WO350" s="50"/>
      <c r="WP350" s="50"/>
      <c r="WQ350" s="50"/>
      <c r="WR350" s="50"/>
      <c r="WS350" s="50"/>
      <c r="WT350" s="50"/>
      <c r="WU350" s="50"/>
      <c r="WV350" s="50"/>
      <c r="WW350" s="50"/>
      <c r="WX350" s="50"/>
      <c r="WY350" s="50"/>
      <c r="WZ350" s="50"/>
      <c r="XA350" s="50"/>
      <c r="XB350" s="50"/>
      <c r="XC350" s="50"/>
      <c r="XD350" s="50"/>
      <c r="XE350" s="50"/>
      <c r="XF350" s="50"/>
      <c r="XG350" s="50"/>
      <c r="XH350" s="50"/>
      <c r="XI350" s="50"/>
      <c r="XJ350" s="50"/>
      <c r="XK350" s="50"/>
      <c r="XL350" s="50"/>
      <c r="XM350" s="50"/>
      <c r="XN350" s="50"/>
      <c r="XO350" s="50"/>
      <c r="XP350" s="50"/>
      <c r="XQ350" s="50"/>
      <c r="XR350" s="50"/>
      <c r="XS350" s="50"/>
      <c r="XT350" s="50"/>
      <c r="XU350" s="50"/>
      <c r="XV350" s="50"/>
      <c r="XW350" s="50"/>
      <c r="XX350" s="50"/>
      <c r="XY350" s="50"/>
      <c r="XZ350" s="50"/>
      <c r="YA350" s="50"/>
      <c r="YB350" s="50"/>
      <c r="YC350" s="50"/>
      <c r="YD350" s="50"/>
      <c r="YE350" s="50"/>
      <c r="YF350" s="50"/>
      <c r="YG350" s="50"/>
      <c r="YH350" s="50"/>
      <c r="YI350" s="50"/>
      <c r="YJ350" s="50"/>
      <c r="YK350" s="50"/>
      <c r="YL350" s="50"/>
      <c r="YM350" s="50"/>
      <c r="YN350" s="50"/>
      <c r="YO350" s="50"/>
      <c r="YP350" s="50"/>
      <c r="YQ350" s="50"/>
      <c r="YR350" s="50"/>
      <c r="YS350" s="50"/>
      <c r="YT350" s="50"/>
      <c r="YU350" s="50"/>
      <c r="YV350" s="50"/>
      <c r="YW350" s="50"/>
      <c r="YX350" s="50"/>
      <c r="YY350" s="50"/>
      <c r="YZ350" s="50"/>
      <c r="ZA350" s="50"/>
      <c r="ZB350" s="50"/>
      <c r="ZC350" s="50"/>
      <c r="ZD350" s="50"/>
      <c r="ZE350" s="50"/>
      <c r="ZF350" s="50"/>
      <c r="ZG350" s="50"/>
      <c r="ZH350" s="50"/>
      <c r="ZI350" s="50"/>
      <c r="ZJ350" s="50"/>
      <c r="ZK350" s="50"/>
      <c r="ZL350" s="50"/>
      <c r="ZM350" s="50"/>
      <c r="ZN350" s="50"/>
      <c r="ZO350" s="50"/>
      <c r="ZP350" s="50"/>
      <c r="ZQ350" s="50"/>
      <c r="ZR350" s="50"/>
      <c r="ZS350" s="50"/>
      <c r="ZT350" s="50"/>
      <c r="ZU350" s="50"/>
      <c r="ZV350" s="50"/>
      <c r="ZW350" s="50"/>
      <c r="ZX350" s="50"/>
      <c r="ZY350" s="50"/>
      <c r="ZZ350" s="50"/>
      <c r="AAA350" s="50"/>
      <c r="AAB350" s="50"/>
      <c r="AAC350" s="50"/>
      <c r="AAD350" s="50"/>
      <c r="AAE350" s="50"/>
      <c r="AAF350" s="50"/>
      <c r="AAG350" s="50"/>
      <c r="AAH350" s="50"/>
      <c r="AAI350" s="50"/>
      <c r="AAJ350" s="50"/>
      <c r="AAK350" s="50"/>
      <c r="AAL350" s="50"/>
      <c r="AAM350" s="50"/>
      <c r="AAN350" s="50"/>
      <c r="AAO350" s="50"/>
      <c r="AAP350" s="50"/>
      <c r="AAQ350" s="50"/>
      <c r="AAR350" s="50"/>
      <c r="AAS350" s="50"/>
      <c r="AAT350" s="50"/>
      <c r="AAU350" s="50"/>
      <c r="AAV350" s="50"/>
      <c r="AAW350" s="50"/>
      <c r="AAX350" s="50"/>
      <c r="AAY350" s="50"/>
      <c r="AAZ350" s="50"/>
      <c r="ABA350" s="50"/>
      <c r="ABB350" s="50"/>
      <c r="ABC350" s="50"/>
      <c r="ABD350" s="50"/>
      <c r="ABE350" s="50"/>
      <c r="ABF350" s="50"/>
      <c r="ABG350" s="50"/>
      <c r="ABH350" s="50"/>
      <c r="ABI350" s="50"/>
      <c r="ABJ350" s="50"/>
      <c r="ABK350" s="50"/>
      <c r="ABL350" s="50"/>
      <c r="ABM350" s="50"/>
      <c r="ABN350" s="50"/>
      <c r="ABO350" s="50"/>
      <c r="ABP350" s="50"/>
      <c r="ABQ350" s="50"/>
      <c r="ABR350" s="50"/>
      <c r="ABS350" s="50"/>
      <c r="ABT350" s="50"/>
      <c r="ABU350" s="50"/>
      <c r="ABV350" s="50"/>
      <c r="ABW350" s="50"/>
      <c r="ABX350" s="50"/>
      <c r="ABY350" s="50"/>
      <c r="ABZ350" s="50"/>
      <c r="ACA350" s="50"/>
      <c r="ACB350" s="50"/>
      <c r="ACC350" s="50"/>
      <c r="ACD350" s="50"/>
      <c r="ACE350" s="50"/>
      <c r="ACF350" s="50"/>
      <c r="ACG350" s="50"/>
      <c r="ACH350" s="50"/>
      <c r="ACI350" s="50"/>
      <c r="ACJ350" s="50"/>
      <c r="ACK350" s="50"/>
      <c r="ACL350" s="50"/>
      <c r="ACM350" s="50"/>
      <c r="ACN350" s="50"/>
      <c r="ACO350" s="50"/>
      <c r="ACP350" s="50"/>
      <c r="ACQ350" s="50"/>
      <c r="ACR350" s="50"/>
      <c r="ACS350" s="50"/>
      <c r="ACT350" s="50"/>
      <c r="ACU350" s="50"/>
      <c r="ACV350" s="50"/>
      <c r="ACW350" s="50"/>
      <c r="ACX350" s="50"/>
      <c r="ACY350" s="50"/>
      <c r="ACZ350" s="50"/>
      <c r="ADA350" s="50"/>
      <c r="ADB350" s="50"/>
      <c r="ADC350" s="50"/>
      <c r="ADD350" s="50"/>
      <c r="ADE350" s="50"/>
      <c r="ADF350" s="50"/>
      <c r="ADG350" s="50"/>
      <c r="ADH350" s="50"/>
      <c r="ADI350" s="50"/>
      <c r="ADJ350" s="50"/>
      <c r="ADK350" s="50"/>
      <c r="ADL350" s="50"/>
      <c r="ADM350" s="50"/>
      <c r="ADN350" s="50"/>
      <c r="ADO350" s="50"/>
      <c r="ADP350" s="50"/>
      <c r="ADQ350" s="50"/>
      <c r="ADR350" s="50"/>
      <c r="ADS350" s="50"/>
      <c r="ADT350" s="50"/>
      <c r="ADU350" s="50"/>
      <c r="ADV350" s="50"/>
      <c r="ADW350" s="50"/>
      <c r="ADX350" s="50"/>
      <c r="ADY350" s="50"/>
      <c r="ADZ350" s="50"/>
      <c r="AEA350" s="50"/>
      <c r="AEB350" s="50"/>
      <c r="AEC350" s="50"/>
      <c r="AED350" s="50"/>
      <c r="AEE350" s="50"/>
      <c r="AEF350" s="50"/>
      <c r="AEG350" s="50"/>
      <c r="AEH350" s="50"/>
      <c r="AEI350" s="50"/>
      <c r="AEJ350" s="50"/>
      <c r="AEK350" s="50"/>
      <c r="AEL350" s="50"/>
      <c r="AEM350" s="50"/>
      <c r="AEN350" s="50"/>
      <c r="AEO350" s="50"/>
      <c r="AEP350" s="50"/>
      <c r="AEQ350" s="50"/>
      <c r="AER350" s="50"/>
      <c r="AES350" s="50"/>
      <c r="AET350" s="50"/>
      <c r="AEU350" s="50"/>
      <c r="AEV350" s="50"/>
      <c r="AEW350" s="50"/>
      <c r="AEX350" s="50"/>
      <c r="AEY350" s="50"/>
      <c r="AEZ350" s="50"/>
      <c r="AFA350" s="50"/>
      <c r="AFB350" s="50"/>
      <c r="AFC350" s="50"/>
      <c r="AFD350" s="50"/>
      <c r="AFE350" s="50"/>
      <c r="AFF350" s="50"/>
      <c r="AFG350" s="50"/>
      <c r="AFH350" s="50"/>
      <c r="AFI350" s="50"/>
      <c r="AFJ350" s="50"/>
      <c r="AFK350" s="50"/>
      <c r="AFL350" s="50"/>
      <c r="AFM350" s="50"/>
      <c r="AFN350" s="50"/>
      <c r="AFO350" s="50"/>
      <c r="AFP350" s="50"/>
      <c r="AFQ350" s="50"/>
      <c r="AFR350" s="50"/>
      <c r="AFS350" s="50"/>
      <c r="AFT350" s="50"/>
      <c r="AFU350" s="50"/>
      <c r="AFV350" s="50"/>
      <c r="AFW350" s="50"/>
      <c r="AFX350" s="50"/>
      <c r="AFY350" s="50"/>
      <c r="AFZ350" s="50"/>
      <c r="AGA350" s="50"/>
      <c r="AGB350" s="50"/>
      <c r="AGC350" s="50"/>
      <c r="AGD350" s="50"/>
      <c r="AGE350" s="50"/>
      <c r="AGF350" s="50"/>
      <c r="AGG350" s="50"/>
      <c r="AGH350" s="50"/>
      <c r="AGI350" s="50"/>
      <c r="AGJ350" s="50"/>
      <c r="AGK350" s="50"/>
      <c r="AGL350" s="50"/>
      <c r="AGM350" s="50"/>
      <c r="AGN350" s="50"/>
      <c r="AGO350" s="50"/>
      <c r="AGP350" s="50"/>
      <c r="AGQ350" s="50"/>
      <c r="AGR350" s="50"/>
      <c r="AGS350" s="50"/>
      <c r="AGT350" s="50"/>
      <c r="AGU350" s="50"/>
      <c r="AGV350" s="50"/>
      <c r="AGW350" s="50"/>
      <c r="AGX350" s="50"/>
      <c r="AGY350" s="50"/>
      <c r="AGZ350" s="50"/>
      <c r="AHA350" s="50"/>
      <c r="AHB350" s="50"/>
      <c r="AHC350" s="50"/>
      <c r="AHD350" s="50"/>
      <c r="AHE350" s="50"/>
      <c r="AHF350" s="50"/>
      <c r="AHG350" s="50"/>
      <c r="AHH350" s="50"/>
      <c r="AHI350" s="50"/>
      <c r="AHJ350" s="50"/>
      <c r="AHK350" s="50"/>
      <c r="AHL350" s="50"/>
      <c r="AHM350" s="50"/>
      <c r="AHN350" s="50"/>
      <c r="AHO350" s="50"/>
      <c r="AHP350" s="50"/>
      <c r="AHQ350" s="50"/>
      <c r="AHR350" s="50"/>
      <c r="AHS350" s="50"/>
      <c r="AHT350" s="50"/>
      <c r="AHU350" s="50"/>
      <c r="AHV350" s="50"/>
      <c r="AHW350" s="50"/>
      <c r="AHX350" s="50"/>
      <c r="AHY350" s="50"/>
      <c r="AHZ350" s="50"/>
      <c r="AIA350" s="50"/>
      <c r="AIB350" s="50"/>
      <c r="AIC350" s="50"/>
      <c r="AID350" s="50"/>
      <c r="AIE350" s="50"/>
      <c r="AIF350" s="50"/>
      <c r="AIG350" s="50"/>
      <c r="AIH350" s="50"/>
      <c r="AII350" s="50"/>
      <c r="AIJ350" s="50"/>
      <c r="AIK350" s="50"/>
      <c r="AIL350" s="50"/>
      <c r="AIM350" s="50"/>
      <c r="AIN350" s="50"/>
      <c r="AIO350" s="50"/>
      <c r="AIP350" s="50"/>
      <c r="AIQ350" s="50"/>
      <c r="AIR350" s="50"/>
      <c r="AIS350" s="50"/>
      <c r="AIT350" s="50"/>
      <c r="AIU350" s="50"/>
      <c r="AIV350" s="50"/>
      <c r="AIW350" s="50"/>
      <c r="AIX350" s="50"/>
      <c r="AIY350" s="50"/>
      <c r="AIZ350" s="50"/>
      <c r="AJA350" s="50"/>
      <c r="AJB350" s="50"/>
      <c r="AJC350" s="50"/>
      <c r="AJD350" s="50"/>
      <c r="AJE350" s="50"/>
      <c r="AJF350" s="50"/>
      <c r="AJG350" s="50"/>
      <c r="AJH350" s="50"/>
      <c r="AJI350" s="50"/>
      <c r="AJJ350" s="50"/>
      <c r="AJK350" s="50"/>
      <c r="AJL350" s="50"/>
      <c r="AJM350" s="50"/>
      <c r="AJN350" s="50"/>
      <c r="AJO350" s="50"/>
      <c r="AJP350" s="50"/>
      <c r="AJQ350" s="50"/>
      <c r="AJR350" s="50"/>
      <c r="AJS350" s="50"/>
      <c r="AJT350" s="50"/>
      <c r="AJU350" s="50"/>
      <c r="AJV350" s="50"/>
      <c r="AJW350" s="50"/>
      <c r="AJX350" s="50"/>
      <c r="AJY350" s="50"/>
      <c r="AJZ350" s="50"/>
      <c r="AKA350" s="50"/>
      <c r="AKB350" s="50"/>
      <c r="AKC350" s="50"/>
      <c r="AKD350" s="50"/>
      <c r="AKE350" s="50"/>
      <c r="AKF350" s="50"/>
      <c r="AKG350" s="50"/>
      <c r="AKH350" s="50"/>
      <c r="AKI350" s="50"/>
      <c r="AKJ350" s="50"/>
      <c r="AKK350" s="50"/>
      <c r="AKL350" s="50"/>
      <c r="AKM350" s="50"/>
      <c r="AKN350" s="50"/>
      <c r="AKO350" s="50"/>
      <c r="AKP350" s="50"/>
      <c r="AKQ350" s="50"/>
      <c r="AKR350" s="50"/>
      <c r="AKS350" s="50"/>
      <c r="AKT350" s="50"/>
      <c r="AKU350" s="50"/>
      <c r="AKV350" s="50"/>
      <c r="AKW350" s="50"/>
      <c r="AKX350" s="50"/>
      <c r="AKY350" s="50"/>
      <c r="AKZ350" s="50"/>
      <c r="ALA350" s="50"/>
      <c r="ALB350" s="50"/>
      <c r="ALC350" s="50"/>
      <c r="ALD350" s="50"/>
      <c r="ALE350" s="50"/>
      <c r="ALF350" s="50"/>
      <c r="ALG350" s="50"/>
      <c r="ALH350" s="50"/>
      <c r="ALI350" s="50"/>
      <c r="ALJ350" s="50"/>
      <c r="ALK350" s="50"/>
      <c r="ALL350" s="50"/>
      <c r="ALM350" s="50"/>
      <c r="ALN350" s="50"/>
      <c r="ALO350" s="50"/>
      <c r="ALP350" s="50"/>
      <c r="ALQ350" s="50"/>
      <c r="ALR350" s="50"/>
      <c r="ALS350" s="50"/>
      <c r="ALT350" s="50"/>
      <c r="ALU350" s="50"/>
      <c r="ALV350" s="50"/>
      <c r="ALW350" s="50"/>
      <c r="ALX350" s="50"/>
      <c r="ALY350" s="50"/>
      <c r="ALZ350" s="50"/>
      <c r="AMA350" s="50"/>
      <c r="AMB350" s="50"/>
      <c r="AMC350" s="50"/>
      <c r="AMD350" s="50"/>
      <c r="AME350" s="50"/>
      <c r="AMF350" s="50"/>
      <c r="AMG350" s="50"/>
      <c r="AMH350" s="50"/>
      <c r="AMI350" s="50"/>
      <c r="AMJ350" s="50"/>
      <c r="AMK350" s="50"/>
      <c r="AML350" s="50"/>
      <c r="AMM350" s="50"/>
      <c r="AMN350" s="50"/>
      <c r="AMO350" s="50"/>
      <c r="AMP350" s="50"/>
      <c r="AMQ350" s="50"/>
      <c r="AMR350" s="50"/>
      <c r="AMS350" s="50"/>
      <c r="AMT350" s="50"/>
      <c r="AMU350" s="50"/>
      <c r="AMV350" s="50"/>
      <c r="AMW350" s="50"/>
      <c r="AMX350" s="50"/>
      <c r="AMY350" s="50"/>
      <c r="AMZ350" s="50"/>
      <c r="ANA350" s="50"/>
      <c r="ANB350" s="50"/>
      <c r="ANC350" s="50"/>
      <c r="AND350" s="50"/>
      <c r="ANE350" s="50"/>
      <c r="ANF350" s="50"/>
      <c r="ANG350" s="50"/>
      <c r="ANH350" s="50"/>
      <c r="ANI350" s="50"/>
      <c r="ANJ350" s="50"/>
      <c r="ANK350" s="50"/>
      <c r="ANL350" s="50"/>
      <c r="ANM350" s="50"/>
      <c r="ANN350" s="50"/>
      <c r="ANO350" s="50"/>
      <c r="ANP350" s="50"/>
      <c r="ANQ350" s="50"/>
      <c r="ANR350" s="50"/>
      <c r="ANS350" s="50"/>
      <c r="ANT350" s="50"/>
      <c r="ANU350" s="50"/>
      <c r="ANV350" s="50"/>
      <c r="ANW350" s="50"/>
      <c r="ANX350" s="50"/>
      <c r="ANY350" s="50"/>
      <c r="ANZ350" s="50"/>
      <c r="AOA350" s="50"/>
      <c r="AOB350" s="50"/>
      <c r="AOC350" s="50"/>
      <c r="AOD350" s="50"/>
      <c r="AOE350" s="50"/>
      <c r="AOF350" s="50"/>
      <c r="AOG350" s="50"/>
      <c r="AOH350" s="50"/>
      <c r="AOI350" s="50"/>
      <c r="AOJ350" s="50"/>
      <c r="AOK350" s="50"/>
      <c r="AOL350" s="50"/>
      <c r="AOM350" s="50"/>
      <c r="AON350" s="50"/>
      <c r="AOO350" s="50"/>
      <c r="AOP350" s="50"/>
      <c r="AOQ350" s="50"/>
      <c r="AOR350" s="50"/>
      <c r="AOS350" s="50"/>
      <c r="AOT350" s="50"/>
      <c r="AOU350" s="50"/>
      <c r="AOV350" s="50"/>
      <c r="AOW350" s="50"/>
      <c r="AOX350" s="50"/>
      <c r="AOY350" s="50"/>
      <c r="AOZ350" s="50"/>
      <c r="APA350" s="50"/>
      <c r="APB350" s="50"/>
      <c r="APC350" s="50"/>
      <c r="APD350" s="50"/>
      <c r="APE350" s="50"/>
      <c r="APF350" s="50"/>
      <c r="APG350" s="50"/>
      <c r="APH350" s="50"/>
      <c r="API350" s="50"/>
      <c r="APJ350" s="50"/>
      <c r="APK350" s="50"/>
      <c r="APL350" s="50"/>
      <c r="APM350" s="50"/>
      <c r="APN350" s="50"/>
      <c r="APO350" s="50"/>
      <c r="APP350" s="50"/>
      <c r="APQ350" s="50"/>
      <c r="APR350" s="50"/>
      <c r="APS350" s="50"/>
      <c r="APT350" s="50"/>
      <c r="APU350" s="50"/>
      <c r="APV350" s="50"/>
      <c r="APW350" s="50"/>
      <c r="APX350" s="50"/>
      <c r="APY350" s="50"/>
      <c r="APZ350" s="50"/>
      <c r="AQA350" s="50"/>
      <c r="AQB350" s="50"/>
      <c r="AQC350" s="50"/>
      <c r="AQD350" s="50"/>
      <c r="AQE350" s="50"/>
      <c r="AQF350" s="50"/>
      <c r="AQG350" s="50"/>
      <c r="AQH350" s="50"/>
      <c r="AQI350" s="50"/>
      <c r="AQJ350" s="50"/>
      <c r="AQK350" s="50"/>
      <c r="AQL350" s="50"/>
      <c r="AQM350" s="50"/>
      <c r="AQN350" s="50"/>
      <c r="AQO350" s="50"/>
      <c r="AQP350" s="50"/>
      <c r="AQQ350" s="50"/>
      <c r="AQR350" s="50"/>
      <c r="AQS350" s="50"/>
      <c r="AQT350" s="50"/>
      <c r="AQU350" s="50"/>
      <c r="AQV350" s="50"/>
      <c r="AQW350" s="50"/>
      <c r="AQX350" s="50"/>
      <c r="AQY350" s="50"/>
      <c r="AQZ350" s="50"/>
      <c r="ARA350" s="50"/>
      <c r="ARB350" s="50"/>
      <c r="ARC350" s="50"/>
      <c r="ARD350" s="50"/>
      <c r="ARE350" s="50"/>
      <c r="ARF350" s="50"/>
      <c r="ARG350" s="50"/>
      <c r="ARH350" s="50"/>
      <c r="ARI350" s="50"/>
      <c r="ARJ350" s="50"/>
      <c r="ARK350" s="50"/>
      <c r="ARL350" s="50"/>
      <c r="ARM350" s="50"/>
      <c r="ARN350" s="50"/>
      <c r="ARO350" s="50"/>
      <c r="ARP350" s="50"/>
      <c r="ARQ350" s="50"/>
      <c r="ARR350" s="50"/>
      <c r="ARS350" s="50"/>
      <c r="ART350" s="50"/>
      <c r="ARU350" s="50"/>
      <c r="ARV350" s="50"/>
      <c r="ARW350" s="50"/>
      <c r="ARX350" s="50"/>
      <c r="ARY350" s="50"/>
      <c r="ARZ350" s="50"/>
      <c r="ASA350" s="50"/>
      <c r="ASB350" s="50"/>
      <c r="ASC350" s="50"/>
      <c r="ASD350" s="50"/>
      <c r="ASE350" s="50"/>
      <c r="ASF350" s="50"/>
      <c r="ASG350" s="50"/>
      <c r="ASH350" s="50"/>
      <c r="ASI350" s="50"/>
      <c r="ASJ350" s="50"/>
      <c r="ASK350" s="50"/>
      <c r="ASL350" s="50"/>
      <c r="ASM350" s="50"/>
      <c r="ASN350" s="50"/>
      <c r="ASO350" s="50"/>
      <c r="ASP350" s="50"/>
      <c r="ASQ350" s="50"/>
      <c r="ASR350" s="50"/>
      <c r="ASS350" s="50"/>
      <c r="AST350" s="50"/>
      <c r="ASU350" s="50"/>
      <c r="ASV350" s="50"/>
      <c r="ASW350" s="50"/>
      <c r="ASX350" s="50"/>
      <c r="ASY350" s="50"/>
      <c r="ASZ350" s="50"/>
      <c r="ATA350" s="50"/>
      <c r="ATB350" s="50"/>
      <c r="ATC350" s="50"/>
      <c r="ATD350" s="50"/>
      <c r="ATE350" s="50"/>
      <c r="ATF350" s="50"/>
      <c r="ATG350" s="50"/>
      <c r="ATH350" s="50"/>
      <c r="ATI350" s="50"/>
      <c r="ATJ350" s="50"/>
      <c r="ATK350" s="50"/>
      <c r="ATL350" s="50"/>
      <c r="ATM350" s="50"/>
      <c r="ATN350" s="50"/>
      <c r="ATO350" s="50"/>
      <c r="ATP350" s="50"/>
      <c r="ATQ350" s="50"/>
      <c r="ATR350" s="50"/>
      <c r="ATS350" s="50"/>
      <c r="ATT350" s="50"/>
      <c r="ATU350" s="50"/>
      <c r="ATV350" s="50"/>
      <c r="ATW350" s="50"/>
      <c r="ATX350" s="50"/>
      <c r="ATY350" s="50"/>
      <c r="ATZ350" s="50"/>
      <c r="AUA350" s="50"/>
      <c r="AUB350" s="50"/>
      <c r="AUC350" s="50"/>
      <c r="AUD350" s="50"/>
      <c r="AUE350" s="50"/>
      <c r="AUF350" s="50"/>
      <c r="AUG350" s="50"/>
      <c r="AUH350" s="50"/>
      <c r="AUI350" s="50"/>
      <c r="AUJ350" s="50"/>
      <c r="AUK350" s="50"/>
      <c r="AUL350" s="50"/>
      <c r="AUM350" s="50"/>
      <c r="AUN350" s="50"/>
      <c r="AUO350" s="50"/>
      <c r="AUP350" s="50"/>
      <c r="AUQ350" s="50"/>
      <c r="AUR350" s="50"/>
      <c r="AUS350" s="50"/>
      <c r="AUT350" s="50"/>
      <c r="AUU350" s="50"/>
      <c r="AUV350" s="50"/>
      <c r="AUW350" s="50"/>
      <c r="AUX350" s="50"/>
      <c r="AUY350" s="50"/>
      <c r="AUZ350" s="50"/>
      <c r="AVA350" s="50"/>
      <c r="AVB350" s="50"/>
      <c r="AVC350" s="50"/>
      <c r="AVD350" s="50"/>
      <c r="AVE350" s="50"/>
      <c r="AVF350" s="50"/>
      <c r="AVG350" s="50"/>
      <c r="AVH350" s="50"/>
      <c r="AVI350" s="50"/>
      <c r="AVJ350" s="50"/>
      <c r="AVK350" s="50"/>
      <c r="AVL350" s="50"/>
      <c r="AVM350" s="50"/>
      <c r="AVN350" s="50"/>
      <c r="AVO350" s="50"/>
      <c r="AVP350" s="50"/>
      <c r="AVQ350" s="50"/>
      <c r="AVR350" s="50"/>
      <c r="AVS350" s="50"/>
      <c r="AVT350" s="50"/>
      <c r="AVU350" s="50"/>
      <c r="AVV350" s="50"/>
      <c r="AVW350" s="50"/>
      <c r="AVX350" s="50"/>
      <c r="AVY350" s="50"/>
      <c r="AVZ350" s="50"/>
      <c r="AWA350" s="50"/>
      <c r="AWB350" s="50"/>
      <c r="AWC350" s="50"/>
      <c r="AWD350" s="50"/>
      <c r="AWE350" s="50"/>
      <c r="AWF350" s="50"/>
      <c r="AWG350" s="50"/>
      <c r="AWH350" s="50"/>
      <c r="AWI350" s="50"/>
      <c r="AWJ350" s="50"/>
      <c r="AWK350" s="50"/>
      <c r="AWL350" s="50"/>
      <c r="AWM350" s="50"/>
      <c r="AWN350" s="50"/>
      <c r="AWO350" s="50"/>
      <c r="AWP350" s="50"/>
      <c r="AWQ350" s="50"/>
      <c r="AWR350" s="50"/>
      <c r="AWS350" s="50"/>
      <c r="AWT350" s="50"/>
      <c r="AWU350" s="50"/>
      <c r="AWV350" s="50"/>
      <c r="AWW350" s="50"/>
      <c r="AWX350" s="50"/>
      <c r="AWY350" s="50"/>
      <c r="AWZ350" s="50"/>
      <c r="AXA350" s="50"/>
      <c r="AXB350" s="50"/>
      <c r="AXC350" s="50"/>
      <c r="AXD350" s="50"/>
      <c r="AXE350" s="50"/>
      <c r="AXF350" s="50"/>
      <c r="AXG350" s="50"/>
      <c r="AXH350" s="50"/>
      <c r="AXI350" s="50"/>
      <c r="AXJ350" s="50"/>
      <c r="AXK350" s="50"/>
      <c r="AXL350" s="50"/>
      <c r="AXM350" s="50"/>
      <c r="AXN350" s="50"/>
      <c r="AXO350" s="50"/>
      <c r="AXP350" s="50"/>
      <c r="AXQ350" s="50"/>
      <c r="AXR350" s="50"/>
      <c r="AXS350" s="50"/>
      <c r="AXT350" s="50"/>
      <c r="AXU350" s="50"/>
      <c r="AXV350" s="50"/>
      <c r="AXW350" s="50"/>
      <c r="AXX350" s="50"/>
      <c r="AXY350" s="50"/>
      <c r="AXZ350" s="50"/>
      <c r="AYA350" s="50"/>
      <c r="AYB350" s="50"/>
      <c r="AYC350" s="50"/>
      <c r="AYD350" s="50"/>
      <c r="AYE350" s="50"/>
      <c r="AYF350" s="50"/>
      <c r="AYG350" s="50"/>
      <c r="AYH350" s="50"/>
      <c r="AYI350" s="50"/>
      <c r="AYJ350" s="50"/>
      <c r="AYK350" s="50"/>
      <c r="AYL350" s="50"/>
      <c r="AYM350" s="50"/>
      <c r="AYN350" s="50"/>
      <c r="AYO350" s="50"/>
      <c r="AYP350" s="50"/>
      <c r="AYQ350" s="50"/>
      <c r="AYR350" s="50"/>
      <c r="AYS350" s="50"/>
      <c r="AYT350" s="50"/>
      <c r="AYU350" s="50"/>
      <c r="AYV350" s="50"/>
      <c r="AYW350" s="50"/>
      <c r="AYX350" s="50"/>
      <c r="AYY350" s="50"/>
      <c r="AYZ350" s="50"/>
      <c r="AZA350" s="50"/>
      <c r="AZB350" s="50"/>
      <c r="AZC350" s="50"/>
      <c r="AZD350" s="50"/>
      <c r="AZE350" s="50"/>
      <c r="AZF350" s="50"/>
      <c r="AZG350" s="50"/>
      <c r="AZH350" s="50"/>
      <c r="AZI350" s="50"/>
      <c r="AZJ350" s="50"/>
      <c r="AZK350" s="50"/>
      <c r="AZL350" s="50"/>
      <c r="AZM350" s="50"/>
      <c r="AZN350" s="50"/>
      <c r="AZO350" s="50"/>
      <c r="AZP350" s="50"/>
      <c r="AZQ350" s="50"/>
      <c r="AZR350" s="50"/>
      <c r="AZS350" s="50"/>
      <c r="AZT350" s="50"/>
      <c r="AZU350" s="50"/>
      <c r="AZV350" s="50"/>
      <c r="AZW350" s="50"/>
      <c r="AZX350" s="50"/>
      <c r="AZY350" s="50"/>
      <c r="AZZ350" s="50"/>
      <c r="BAA350" s="50"/>
      <c r="BAB350" s="50"/>
      <c r="BAC350" s="50"/>
      <c r="BAD350" s="50"/>
      <c r="BAE350" s="50"/>
      <c r="BAF350" s="50"/>
      <c r="BAG350" s="50"/>
      <c r="BAH350" s="50"/>
      <c r="BAI350" s="50"/>
      <c r="BAJ350" s="50"/>
      <c r="BAK350" s="50"/>
      <c r="BAL350" s="50"/>
      <c r="BAM350" s="50"/>
      <c r="BAN350" s="50"/>
      <c r="BAO350" s="50"/>
      <c r="BAP350" s="50"/>
      <c r="BAQ350" s="50"/>
      <c r="BAR350" s="50"/>
      <c r="BAS350" s="50"/>
      <c r="BAT350" s="50"/>
      <c r="BAU350" s="50"/>
      <c r="BAV350" s="50"/>
      <c r="BAW350" s="50"/>
      <c r="BAX350" s="50"/>
      <c r="BAY350" s="50"/>
      <c r="BAZ350" s="50"/>
      <c r="BBA350" s="50"/>
      <c r="BBB350" s="50"/>
      <c r="BBC350" s="50"/>
      <c r="BBD350" s="50"/>
      <c r="BBE350" s="50"/>
      <c r="BBF350" s="50"/>
      <c r="BBG350" s="50"/>
      <c r="BBH350" s="50"/>
      <c r="BBI350" s="50"/>
      <c r="BBJ350" s="50"/>
      <c r="BBK350" s="50"/>
      <c r="BBL350" s="50"/>
      <c r="BBM350" s="50"/>
      <c r="BBN350" s="50"/>
      <c r="BBO350" s="50"/>
      <c r="BBP350" s="50"/>
      <c r="BBQ350" s="50"/>
      <c r="BBR350" s="50"/>
      <c r="BBS350" s="50"/>
      <c r="BBT350" s="50"/>
      <c r="BBU350" s="50"/>
      <c r="BBV350" s="50"/>
      <c r="BBW350" s="50"/>
      <c r="BBX350" s="50"/>
      <c r="BBY350" s="50"/>
      <c r="BBZ350" s="50"/>
      <c r="BCA350" s="50"/>
      <c r="BCB350" s="50"/>
      <c r="BCC350" s="50"/>
      <c r="BCD350" s="50"/>
      <c r="BCE350" s="50"/>
      <c r="BCF350" s="50"/>
      <c r="BCG350" s="50"/>
      <c r="BCH350" s="50"/>
      <c r="BCI350" s="50"/>
      <c r="BCJ350" s="50"/>
      <c r="BCK350" s="50"/>
      <c r="BCL350" s="50"/>
      <c r="BCM350" s="50"/>
      <c r="BCN350" s="50"/>
      <c r="BCO350" s="50"/>
      <c r="BCP350" s="50"/>
      <c r="BCQ350" s="50"/>
      <c r="BCR350" s="50"/>
      <c r="BCS350" s="50"/>
      <c r="BCT350" s="50"/>
      <c r="BCU350" s="50"/>
      <c r="BCV350" s="50"/>
      <c r="BCW350" s="50"/>
      <c r="BCX350" s="50"/>
      <c r="BCY350" s="50"/>
      <c r="BCZ350" s="50"/>
      <c r="BDA350" s="50"/>
      <c r="BDB350" s="50"/>
      <c r="BDC350" s="50"/>
      <c r="BDD350" s="50"/>
      <c r="BDE350" s="50"/>
      <c r="BDF350" s="50"/>
      <c r="BDG350" s="50"/>
      <c r="BDH350" s="50"/>
      <c r="BDI350" s="50"/>
      <c r="BDJ350" s="50"/>
      <c r="BDK350" s="50"/>
      <c r="BDL350" s="50"/>
      <c r="BDM350" s="50"/>
      <c r="BDN350" s="50"/>
      <c r="BDO350" s="50"/>
      <c r="BDP350" s="50"/>
      <c r="BDQ350" s="50"/>
      <c r="BDR350" s="50"/>
      <c r="BDS350" s="50"/>
      <c r="BDT350" s="50"/>
      <c r="BDU350" s="50"/>
      <c r="BDV350" s="50"/>
      <c r="BDW350" s="50"/>
      <c r="BDX350" s="50"/>
      <c r="BDY350" s="50"/>
      <c r="BDZ350" s="50"/>
      <c r="BEA350" s="50"/>
      <c r="BEB350" s="50"/>
      <c r="BEC350" s="50"/>
      <c r="BED350" s="50"/>
      <c r="BEE350" s="50"/>
      <c r="BEF350" s="50"/>
      <c r="BEG350" s="50"/>
      <c r="BEH350" s="50"/>
      <c r="BEI350" s="50"/>
      <c r="BEJ350" s="50"/>
      <c r="BEK350" s="50"/>
      <c r="BEL350" s="50"/>
      <c r="BEM350" s="50"/>
      <c r="BEN350" s="50"/>
      <c r="BEO350" s="50"/>
      <c r="BEP350" s="50"/>
      <c r="BEQ350" s="50"/>
      <c r="BER350" s="50"/>
      <c r="BES350" s="50"/>
      <c r="BET350" s="50"/>
      <c r="BEU350" s="50"/>
      <c r="BEV350" s="50"/>
      <c r="BEW350" s="50"/>
      <c r="BEX350" s="50"/>
      <c r="BEY350" s="50"/>
      <c r="BEZ350" s="50"/>
      <c r="BFA350" s="50"/>
      <c r="BFB350" s="50"/>
      <c r="BFC350" s="50"/>
      <c r="BFD350" s="50"/>
      <c r="BFE350" s="50"/>
      <c r="BFF350" s="50"/>
      <c r="BFG350" s="50"/>
      <c r="BFH350" s="50"/>
      <c r="BFI350" s="50"/>
      <c r="BFJ350" s="50"/>
      <c r="BFK350" s="50"/>
      <c r="BFL350" s="50"/>
      <c r="BFM350" s="50"/>
      <c r="BFN350" s="50"/>
      <c r="BFO350" s="50"/>
      <c r="BFP350" s="50"/>
      <c r="BFQ350" s="50"/>
      <c r="BFR350" s="50"/>
      <c r="BFS350" s="50"/>
      <c r="BFT350" s="50"/>
      <c r="BFU350" s="50"/>
      <c r="BFV350" s="50"/>
      <c r="BFW350" s="50"/>
      <c r="BFX350" s="50"/>
      <c r="BFY350" s="50"/>
      <c r="BFZ350" s="50"/>
      <c r="BGA350" s="50"/>
      <c r="BGB350" s="50"/>
      <c r="BGC350" s="50"/>
      <c r="BGD350" s="50"/>
      <c r="BGE350" s="50"/>
      <c r="BGF350" s="50"/>
      <c r="BGG350" s="50"/>
      <c r="BGH350" s="50"/>
      <c r="BGI350" s="50"/>
      <c r="BGJ350" s="50"/>
      <c r="BGK350" s="50"/>
      <c r="BGL350" s="50"/>
      <c r="BGM350" s="50"/>
      <c r="BGN350" s="50"/>
      <c r="BGO350" s="50"/>
      <c r="BGP350" s="50"/>
      <c r="BGQ350" s="50"/>
      <c r="BGR350" s="50"/>
      <c r="BGS350" s="50"/>
      <c r="BGT350" s="50"/>
      <c r="BGU350" s="50"/>
      <c r="BGV350" s="50"/>
      <c r="BGW350" s="50"/>
      <c r="BGX350" s="50"/>
      <c r="BGY350" s="50"/>
      <c r="BGZ350" s="50"/>
      <c r="BHA350" s="50"/>
      <c r="BHB350" s="50"/>
      <c r="BHC350" s="50"/>
      <c r="BHD350" s="50"/>
      <c r="BHE350" s="50"/>
      <c r="BHF350" s="50"/>
      <c r="BHG350" s="50"/>
      <c r="BHH350" s="50"/>
      <c r="BHI350" s="50"/>
      <c r="BHJ350" s="50"/>
      <c r="BHK350" s="50"/>
      <c r="BHL350" s="50"/>
      <c r="BHM350" s="50"/>
      <c r="BHN350" s="50"/>
      <c r="BHO350" s="50"/>
      <c r="BHP350" s="50"/>
      <c r="BHQ350" s="50"/>
      <c r="BHR350" s="50"/>
      <c r="BHS350" s="50"/>
      <c r="BHT350" s="50"/>
      <c r="BHU350" s="50"/>
      <c r="BHV350" s="50"/>
      <c r="BHW350" s="50"/>
      <c r="BHX350" s="50"/>
      <c r="BHY350" s="50"/>
      <c r="BHZ350" s="50"/>
      <c r="BIA350" s="50"/>
      <c r="BIB350" s="50"/>
      <c r="BIC350" s="50"/>
      <c r="BID350" s="50"/>
      <c r="BIE350" s="50"/>
      <c r="BIF350" s="50"/>
      <c r="BIG350" s="50"/>
      <c r="BIH350" s="50"/>
      <c r="BII350" s="50"/>
      <c r="BIJ350" s="50"/>
      <c r="BIK350" s="50"/>
      <c r="BIL350" s="50"/>
      <c r="BIM350" s="50"/>
      <c r="BIN350" s="50"/>
      <c r="BIO350" s="50"/>
      <c r="BIP350" s="50"/>
      <c r="BIQ350" s="50"/>
      <c r="BIR350" s="50"/>
      <c r="BIS350" s="50"/>
      <c r="BIT350" s="50"/>
      <c r="BIU350" s="50"/>
      <c r="BIV350" s="50"/>
      <c r="BIW350" s="50"/>
      <c r="BIX350" s="50"/>
      <c r="BIY350" s="50"/>
      <c r="BIZ350" s="50"/>
      <c r="BJA350" s="50"/>
      <c r="BJB350" s="50"/>
      <c r="BJC350" s="50"/>
      <c r="BJD350" s="50"/>
      <c r="BJE350" s="50"/>
      <c r="BJF350" s="50"/>
      <c r="BJG350" s="50"/>
      <c r="BJH350" s="50"/>
      <c r="BJI350" s="50"/>
      <c r="BJJ350" s="50"/>
      <c r="BJK350" s="50"/>
      <c r="BJL350" s="50"/>
      <c r="BJM350" s="50"/>
      <c r="BJN350" s="50"/>
      <c r="BJO350" s="50"/>
      <c r="BJP350" s="50"/>
      <c r="BJQ350" s="50"/>
      <c r="BJR350" s="50"/>
      <c r="BJS350" s="50"/>
      <c r="BJT350" s="50"/>
      <c r="BJU350" s="50"/>
      <c r="BJV350" s="50"/>
      <c r="BJW350" s="50"/>
      <c r="BJX350" s="50"/>
      <c r="BJY350" s="50"/>
      <c r="BJZ350" s="50"/>
      <c r="BKA350" s="50"/>
      <c r="BKB350" s="50"/>
      <c r="BKC350" s="50"/>
      <c r="BKD350" s="50"/>
      <c r="BKE350" s="50"/>
      <c r="BKF350" s="50"/>
      <c r="BKG350" s="50"/>
      <c r="BKH350" s="50"/>
      <c r="BKI350" s="50"/>
      <c r="BKJ350" s="50"/>
      <c r="BKK350" s="50"/>
      <c r="BKL350" s="50"/>
      <c r="BKM350" s="50"/>
      <c r="BKN350" s="50"/>
      <c r="BKO350" s="50"/>
      <c r="BKP350" s="50"/>
      <c r="BKQ350" s="50"/>
      <c r="BKR350" s="50"/>
      <c r="BKS350" s="50"/>
      <c r="BKT350" s="50"/>
      <c r="BKU350" s="50"/>
      <c r="BKV350" s="50"/>
      <c r="BKW350" s="50"/>
      <c r="BKX350" s="50"/>
      <c r="BKY350" s="50"/>
      <c r="BKZ350" s="50"/>
      <c r="BLA350" s="50"/>
      <c r="BLB350" s="50"/>
      <c r="BLC350" s="50"/>
      <c r="BLD350" s="50"/>
      <c r="BLE350" s="50"/>
      <c r="BLF350" s="50"/>
      <c r="BLG350" s="50"/>
      <c r="BLH350" s="50"/>
      <c r="BLI350" s="50"/>
      <c r="BLJ350" s="50"/>
      <c r="BLK350" s="50"/>
      <c r="BLL350" s="50"/>
      <c r="BLM350" s="50"/>
      <c r="BLN350" s="50"/>
      <c r="BLO350" s="50"/>
      <c r="BLP350" s="50"/>
      <c r="BLQ350" s="50"/>
      <c r="BLR350" s="50"/>
      <c r="BLS350" s="50"/>
      <c r="BLT350" s="50"/>
      <c r="BLU350" s="50"/>
      <c r="BLV350" s="50"/>
      <c r="BLW350" s="50"/>
      <c r="BLX350" s="50"/>
      <c r="BLY350" s="50"/>
      <c r="BLZ350" s="50"/>
      <c r="BMA350" s="50"/>
      <c r="BMB350" s="50"/>
      <c r="BMC350" s="50"/>
      <c r="BMD350" s="50"/>
      <c r="BME350" s="50"/>
      <c r="BMF350" s="50"/>
      <c r="BMG350" s="50"/>
      <c r="BMH350" s="50"/>
      <c r="BMI350" s="50"/>
      <c r="BMJ350" s="50"/>
      <c r="BMK350" s="50"/>
      <c r="BML350" s="50"/>
      <c r="BMM350" s="50"/>
      <c r="BMN350" s="50"/>
      <c r="BMO350" s="50"/>
      <c r="BMP350" s="50"/>
      <c r="BMQ350" s="50"/>
      <c r="BMR350" s="50"/>
      <c r="BMS350" s="50"/>
      <c r="BMT350" s="50"/>
      <c r="BMU350" s="50"/>
      <c r="BMV350" s="50"/>
      <c r="BMW350" s="50"/>
      <c r="BMX350" s="50"/>
      <c r="BMY350" s="50"/>
      <c r="BMZ350" s="50"/>
      <c r="BNA350" s="50"/>
      <c r="BNB350" s="50"/>
      <c r="BNC350" s="50"/>
      <c r="BND350" s="50"/>
      <c r="BNE350" s="50"/>
      <c r="BNF350" s="50"/>
      <c r="BNG350" s="50"/>
      <c r="BNH350" s="50"/>
      <c r="BNI350" s="50"/>
      <c r="BNJ350" s="50"/>
      <c r="BNK350" s="50"/>
      <c r="BNL350" s="50"/>
      <c r="BNM350" s="50"/>
      <c r="BNN350" s="50"/>
      <c r="BNO350" s="50"/>
      <c r="BNP350" s="50"/>
      <c r="BNQ350" s="50"/>
      <c r="BNR350" s="50"/>
      <c r="BNS350" s="50"/>
      <c r="BNT350" s="50"/>
      <c r="BNU350" s="50"/>
      <c r="BNV350" s="50"/>
      <c r="BNW350" s="50"/>
      <c r="BNX350" s="50"/>
      <c r="BNY350" s="50"/>
      <c r="BNZ350" s="50"/>
      <c r="BOA350" s="50"/>
      <c r="BOB350" s="50"/>
      <c r="BOC350" s="50"/>
      <c r="BOD350" s="50"/>
      <c r="BOE350" s="50"/>
      <c r="BOF350" s="50"/>
      <c r="BOG350" s="50"/>
      <c r="BOH350" s="50"/>
      <c r="BOI350" s="50"/>
      <c r="BOJ350" s="50"/>
      <c r="BOK350" s="50"/>
      <c r="BOL350" s="50"/>
      <c r="BOM350" s="50"/>
      <c r="BON350" s="50"/>
      <c r="BOO350" s="50"/>
      <c r="BOP350" s="50"/>
      <c r="BOQ350" s="50"/>
      <c r="BOR350" s="50"/>
      <c r="BOS350" s="50"/>
      <c r="BOT350" s="50"/>
      <c r="BOU350" s="50"/>
      <c r="BOV350" s="50"/>
      <c r="BOW350" s="50"/>
      <c r="BOX350" s="50"/>
      <c r="BOY350" s="50"/>
      <c r="BOZ350" s="50"/>
      <c r="BPA350" s="50"/>
      <c r="BPB350" s="50"/>
      <c r="BPC350" s="50"/>
      <c r="BPD350" s="50"/>
      <c r="BPE350" s="50"/>
      <c r="BPF350" s="50"/>
      <c r="BPG350" s="50"/>
      <c r="BPH350" s="50"/>
      <c r="BPI350" s="50"/>
      <c r="BPJ350" s="50"/>
      <c r="BPK350" s="50"/>
      <c r="BPL350" s="50"/>
      <c r="BPM350" s="50"/>
      <c r="BPN350" s="50"/>
      <c r="BPO350" s="50"/>
      <c r="BPP350" s="50"/>
      <c r="BPQ350" s="50"/>
      <c r="BPR350" s="50"/>
      <c r="BPS350" s="50"/>
      <c r="BPT350" s="50"/>
      <c r="BPU350" s="50"/>
      <c r="BPV350" s="50"/>
      <c r="BPW350" s="50"/>
      <c r="BPX350" s="50"/>
      <c r="BPY350" s="50"/>
      <c r="BPZ350" s="50"/>
      <c r="BQA350" s="50"/>
      <c r="BQB350" s="50"/>
      <c r="BQC350" s="50"/>
      <c r="BQD350" s="50"/>
      <c r="BQE350" s="50"/>
      <c r="BQF350" s="50"/>
      <c r="BQG350" s="50"/>
      <c r="BQH350" s="50"/>
      <c r="BQI350" s="50"/>
      <c r="BQJ350" s="50"/>
      <c r="BQK350" s="50"/>
      <c r="BQL350" s="50"/>
      <c r="BQM350" s="50"/>
      <c r="BQN350" s="50"/>
      <c r="BQO350" s="50"/>
      <c r="BQP350" s="50"/>
      <c r="BQQ350" s="50"/>
      <c r="BQR350" s="50"/>
      <c r="BQS350" s="50"/>
      <c r="BQT350" s="50"/>
      <c r="BQU350" s="50"/>
      <c r="BQV350" s="50"/>
      <c r="BQW350" s="50"/>
      <c r="BQX350" s="50"/>
      <c r="BQY350" s="50"/>
      <c r="BQZ350" s="50"/>
      <c r="BRA350" s="50"/>
      <c r="BRB350" s="50"/>
      <c r="BRC350" s="50"/>
      <c r="BRD350" s="50"/>
      <c r="BRE350" s="50"/>
      <c r="BRF350" s="50"/>
      <c r="BRG350" s="50"/>
      <c r="BRH350" s="50"/>
      <c r="BRI350" s="50"/>
      <c r="BRJ350" s="50"/>
      <c r="BRK350" s="50"/>
      <c r="BRL350" s="50"/>
      <c r="BRM350" s="50"/>
      <c r="BRN350" s="50"/>
      <c r="BRO350" s="50"/>
      <c r="BRP350" s="50"/>
      <c r="BRQ350" s="50"/>
      <c r="BRR350" s="50"/>
      <c r="BRS350" s="50"/>
      <c r="BRT350" s="50"/>
      <c r="BRU350" s="50"/>
      <c r="BRV350" s="50"/>
      <c r="BRW350" s="50"/>
      <c r="BRX350" s="50"/>
      <c r="BRY350" s="50"/>
      <c r="BRZ350" s="50"/>
      <c r="BSA350" s="50"/>
      <c r="BSB350" s="50"/>
      <c r="BSC350" s="50"/>
      <c r="BSD350" s="50"/>
      <c r="BSE350" s="50"/>
      <c r="BSF350" s="50"/>
      <c r="BSG350" s="50"/>
      <c r="BSH350" s="50"/>
      <c r="BSI350" s="50"/>
      <c r="BSJ350" s="50"/>
      <c r="BSK350" s="50"/>
      <c r="BSL350" s="50"/>
      <c r="BSM350" s="50"/>
      <c r="BSN350" s="50"/>
      <c r="BSO350" s="50"/>
      <c r="BSP350" s="50"/>
      <c r="BSQ350" s="50"/>
      <c r="BSR350" s="50"/>
      <c r="BSS350" s="50"/>
      <c r="BST350" s="50"/>
      <c r="BSU350" s="50"/>
      <c r="BSV350" s="50"/>
      <c r="BSW350" s="50"/>
      <c r="BSX350" s="50"/>
      <c r="BSY350" s="50"/>
      <c r="BSZ350" s="50"/>
      <c r="BTA350" s="50"/>
      <c r="BTB350" s="50"/>
      <c r="BTC350" s="50"/>
      <c r="BTD350" s="50"/>
      <c r="BTE350" s="50"/>
      <c r="BTF350" s="50"/>
      <c r="BTG350" s="50"/>
      <c r="BTH350" s="50"/>
      <c r="BTI350" s="50"/>
      <c r="BTJ350" s="50"/>
      <c r="BTK350" s="50"/>
      <c r="BTL350" s="50"/>
      <c r="BTM350" s="50"/>
      <c r="BTN350" s="50"/>
      <c r="BTO350" s="50"/>
      <c r="BTP350" s="50"/>
      <c r="BTQ350" s="50"/>
      <c r="BTR350" s="50"/>
      <c r="BTS350" s="50"/>
      <c r="BTT350" s="50"/>
      <c r="BTU350" s="50"/>
      <c r="BTV350" s="50"/>
      <c r="BTW350" s="50"/>
      <c r="BTX350" s="50"/>
      <c r="BTY350" s="50"/>
      <c r="BTZ350" s="50"/>
      <c r="BUA350" s="50"/>
      <c r="BUB350" s="50"/>
      <c r="BUC350" s="50"/>
      <c r="BUD350" s="50"/>
      <c r="BUE350" s="50"/>
      <c r="BUF350" s="50"/>
      <c r="BUG350" s="50"/>
      <c r="BUH350" s="50"/>
      <c r="BUI350" s="50"/>
      <c r="BUJ350" s="50"/>
      <c r="BUK350" s="50"/>
      <c r="BUL350" s="50"/>
      <c r="BUM350" s="50"/>
      <c r="BUN350" s="50"/>
      <c r="BUO350" s="50"/>
      <c r="BUP350" s="50"/>
      <c r="BUQ350" s="50"/>
      <c r="BUR350" s="50"/>
      <c r="BUS350" s="50"/>
      <c r="BUT350" s="50"/>
      <c r="BUU350" s="50"/>
      <c r="BUV350" s="50"/>
      <c r="BUW350" s="50"/>
      <c r="BUX350" s="50"/>
      <c r="BUY350" s="50"/>
      <c r="BUZ350" s="50"/>
      <c r="BVA350" s="50"/>
      <c r="BVB350" s="50"/>
      <c r="BVC350" s="50"/>
      <c r="BVD350" s="50"/>
      <c r="BVE350" s="50"/>
      <c r="BVF350" s="50"/>
      <c r="BVG350" s="50"/>
      <c r="BVH350" s="50"/>
      <c r="BVI350" s="50"/>
      <c r="BVJ350" s="50"/>
      <c r="BVK350" s="50"/>
      <c r="BVL350" s="50"/>
      <c r="BVM350" s="50"/>
      <c r="BVN350" s="50"/>
      <c r="BVO350" s="50"/>
      <c r="BVP350" s="50"/>
      <c r="BVQ350" s="50"/>
      <c r="BVR350" s="50"/>
      <c r="BVS350" s="50"/>
      <c r="BVT350" s="50"/>
      <c r="BVU350" s="50"/>
      <c r="BVV350" s="50"/>
      <c r="BVW350" s="50"/>
      <c r="BVX350" s="50"/>
      <c r="BVY350" s="50"/>
      <c r="BVZ350" s="50"/>
      <c r="BWA350" s="50"/>
      <c r="BWB350" s="50"/>
      <c r="BWC350" s="50"/>
      <c r="BWD350" s="50"/>
      <c r="BWE350" s="50"/>
      <c r="BWF350" s="50"/>
      <c r="BWG350" s="50"/>
      <c r="BWH350" s="50"/>
      <c r="BWI350" s="50"/>
      <c r="BWJ350" s="50"/>
      <c r="BWK350" s="50"/>
      <c r="BWL350" s="50"/>
      <c r="BWM350" s="50"/>
      <c r="BWN350" s="50"/>
      <c r="BWO350" s="50"/>
      <c r="BWP350" s="50"/>
      <c r="BWQ350" s="50"/>
      <c r="BWR350" s="50"/>
      <c r="BWS350" s="50"/>
      <c r="BWT350" s="50"/>
      <c r="BWU350" s="50"/>
      <c r="BWV350" s="50"/>
      <c r="BWW350" s="50"/>
      <c r="BWX350" s="50"/>
      <c r="BWY350" s="50"/>
      <c r="BWZ350" s="50"/>
      <c r="BXA350" s="50"/>
      <c r="BXB350" s="50"/>
      <c r="BXC350" s="50"/>
      <c r="BXD350" s="50"/>
      <c r="BXE350" s="50"/>
      <c r="BXF350" s="50"/>
      <c r="BXG350" s="50"/>
      <c r="BXH350" s="50"/>
      <c r="BXI350" s="50"/>
      <c r="BXJ350" s="50"/>
      <c r="BXK350" s="50"/>
      <c r="BXL350" s="50"/>
      <c r="BXM350" s="50"/>
      <c r="BXN350" s="50"/>
      <c r="BXO350" s="50"/>
      <c r="BXP350" s="50"/>
      <c r="BXQ350" s="50"/>
      <c r="BXR350" s="50"/>
      <c r="BXS350" s="50"/>
      <c r="BXT350" s="50"/>
      <c r="BXU350" s="50"/>
      <c r="BXV350" s="50"/>
      <c r="BXW350" s="50"/>
      <c r="BXX350" s="50"/>
      <c r="BXY350" s="50"/>
      <c r="BXZ350" s="50"/>
      <c r="BYA350" s="50"/>
      <c r="BYB350" s="50"/>
      <c r="BYC350" s="50"/>
      <c r="BYD350" s="50"/>
      <c r="BYE350" s="50"/>
      <c r="BYF350" s="50"/>
      <c r="BYG350" s="50"/>
      <c r="BYH350" s="50"/>
      <c r="BYI350" s="50"/>
      <c r="BYJ350" s="50"/>
      <c r="BYK350" s="50"/>
      <c r="BYL350" s="50"/>
      <c r="BYM350" s="50"/>
      <c r="BYN350" s="50"/>
      <c r="BYO350" s="50"/>
      <c r="BYP350" s="50"/>
      <c r="BYQ350" s="50"/>
      <c r="BYR350" s="50"/>
      <c r="BYS350" s="50"/>
      <c r="BYT350" s="50"/>
      <c r="BYU350" s="50"/>
      <c r="BYV350" s="50"/>
      <c r="BYW350" s="50"/>
      <c r="BYX350" s="50"/>
      <c r="BYY350" s="50"/>
      <c r="BYZ350" s="50"/>
      <c r="BZA350" s="50"/>
      <c r="BZB350" s="50"/>
      <c r="BZC350" s="50"/>
      <c r="BZD350" s="50"/>
      <c r="BZE350" s="50"/>
      <c r="BZF350" s="50"/>
      <c r="BZG350" s="50"/>
      <c r="BZH350" s="50"/>
      <c r="BZI350" s="50"/>
      <c r="BZJ350" s="50"/>
      <c r="BZK350" s="50"/>
      <c r="BZL350" s="50"/>
      <c r="BZM350" s="50"/>
      <c r="BZN350" s="50"/>
      <c r="BZO350" s="50"/>
      <c r="BZP350" s="50"/>
      <c r="BZQ350" s="50"/>
      <c r="BZR350" s="50"/>
      <c r="BZS350" s="50"/>
      <c r="BZT350" s="50"/>
      <c r="BZU350" s="50"/>
      <c r="BZV350" s="50"/>
      <c r="BZW350" s="50"/>
      <c r="BZX350" s="50"/>
      <c r="BZY350" s="50"/>
      <c r="BZZ350" s="50"/>
      <c r="CAA350" s="50"/>
      <c r="CAB350" s="50"/>
      <c r="CAC350" s="50"/>
      <c r="CAD350" s="50"/>
      <c r="CAE350" s="50"/>
      <c r="CAF350" s="50"/>
      <c r="CAG350" s="50"/>
      <c r="CAH350" s="50"/>
      <c r="CAI350" s="50"/>
      <c r="CAJ350" s="50"/>
      <c r="CAK350" s="50"/>
      <c r="CAL350" s="50"/>
      <c r="CAM350" s="50"/>
      <c r="CAN350" s="50"/>
      <c r="CAO350" s="50"/>
      <c r="CAP350" s="50"/>
      <c r="CAQ350" s="50"/>
      <c r="CAR350" s="50"/>
      <c r="CAS350" s="50"/>
      <c r="CAT350" s="50"/>
      <c r="CAU350" s="50"/>
      <c r="CAV350" s="50"/>
      <c r="CAW350" s="50"/>
      <c r="CAX350" s="50"/>
      <c r="CAY350" s="50"/>
      <c r="CAZ350" s="50"/>
      <c r="CBA350" s="50"/>
      <c r="CBB350" s="50"/>
      <c r="CBC350" s="50"/>
      <c r="CBD350" s="50"/>
      <c r="CBE350" s="50"/>
      <c r="CBF350" s="50"/>
      <c r="CBG350" s="50"/>
      <c r="CBH350" s="50"/>
      <c r="CBI350" s="50"/>
      <c r="CBJ350" s="50"/>
      <c r="CBK350" s="50"/>
      <c r="CBL350" s="50"/>
      <c r="CBM350" s="50"/>
      <c r="CBN350" s="50"/>
      <c r="CBO350" s="50"/>
      <c r="CBP350" s="50"/>
      <c r="CBQ350" s="50"/>
      <c r="CBR350" s="50"/>
      <c r="CBS350" s="50"/>
      <c r="CBT350" s="50"/>
      <c r="CBU350" s="50"/>
      <c r="CBV350" s="50"/>
      <c r="CBW350" s="50"/>
      <c r="CBX350" s="50"/>
      <c r="CBY350" s="50"/>
      <c r="CBZ350" s="50"/>
      <c r="CCA350" s="50"/>
      <c r="CCB350" s="50"/>
      <c r="CCC350" s="50"/>
      <c r="CCD350" s="50"/>
      <c r="CCE350" s="50"/>
      <c r="CCF350" s="50"/>
      <c r="CCG350" s="50"/>
      <c r="CCH350" s="50"/>
      <c r="CCI350" s="50"/>
      <c r="CCJ350" s="50"/>
      <c r="CCK350" s="50"/>
      <c r="CCL350" s="50"/>
      <c r="CCM350" s="50"/>
      <c r="CCN350" s="50"/>
      <c r="CCO350" s="50"/>
      <c r="CCP350" s="50"/>
      <c r="CCQ350" s="50"/>
      <c r="CCR350" s="50"/>
      <c r="CCS350" s="50"/>
      <c r="CCT350" s="50"/>
      <c r="CCU350" s="50"/>
      <c r="CCV350" s="50"/>
      <c r="CCW350" s="50"/>
      <c r="CCX350" s="50"/>
      <c r="CCY350" s="50"/>
      <c r="CCZ350" s="50"/>
      <c r="CDA350" s="50"/>
      <c r="CDB350" s="50"/>
      <c r="CDC350" s="50"/>
      <c r="CDD350" s="50"/>
      <c r="CDE350" s="50"/>
      <c r="CDF350" s="50"/>
      <c r="CDG350" s="50"/>
      <c r="CDH350" s="50"/>
      <c r="CDI350" s="50"/>
      <c r="CDJ350" s="50"/>
      <c r="CDK350" s="50"/>
      <c r="CDL350" s="50"/>
      <c r="CDM350" s="50"/>
      <c r="CDN350" s="50"/>
      <c r="CDO350" s="50"/>
      <c r="CDP350" s="50"/>
      <c r="CDQ350" s="50"/>
      <c r="CDR350" s="50"/>
      <c r="CDS350" s="50"/>
      <c r="CDT350" s="50"/>
      <c r="CDU350" s="50"/>
      <c r="CDV350" s="50"/>
      <c r="CDW350" s="50"/>
      <c r="CDX350" s="50"/>
      <c r="CDY350" s="50"/>
      <c r="CDZ350" s="50"/>
      <c r="CEA350" s="50"/>
      <c r="CEB350" s="50"/>
      <c r="CEC350" s="50"/>
      <c r="CED350" s="50"/>
      <c r="CEE350" s="50"/>
      <c r="CEF350" s="50"/>
      <c r="CEG350" s="50"/>
      <c r="CEH350" s="50"/>
      <c r="CEI350" s="50"/>
      <c r="CEJ350" s="50"/>
      <c r="CEK350" s="50"/>
      <c r="CEL350" s="50"/>
      <c r="CEM350" s="50"/>
      <c r="CEN350" s="50"/>
      <c r="CEO350" s="50"/>
      <c r="CEP350" s="50"/>
      <c r="CEQ350" s="50"/>
      <c r="CER350" s="50"/>
      <c r="CES350" s="50"/>
      <c r="CET350" s="50"/>
      <c r="CEU350" s="50"/>
      <c r="CEV350" s="50"/>
      <c r="CEW350" s="50"/>
      <c r="CEX350" s="50"/>
      <c r="CEY350" s="50"/>
      <c r="CEZ350" s="50"/>
      <c r="CFA350" s="50"/>
      <c r="CFB350" s="50"/>
      <c r="CFC350" s="50"/>
      <c r="CFD350" s="50"/>
      <c r="CFE350" s="50"/>
      <c r="CFF350" s="50"/>
      <c r="CFG350" s="50"/>
      <c r="CFH350" s="50"/>
      <c r="CFI350" s="50"/>
      <c r="CFJ350" s="50"/>
      <c r="CFK350" s="50"/>
      <c r="CFL350" s="50"/>
      <c r="CFM350" s="50"/>
      <c r="CFN350" s="50"/>
      <c r="CFO350" s="50"/>
      <c r="CFP350" s="50"/>
      <c r="CFQ350" s="50"/>
      <c r="CFR350" s="50"/>
      <c r="CFS350" s="50"/>
      <c r="CFT350" s="50"/>
      <c r="CFU350" s="50"/>
      <c r="CFV350" s="50"/>
      <c r="CFW350" s="50"/>
      <c r="CFX350" s="50"/>
      <c r="CFY350" s="50"/>
      <c r="CFZ350" s="50"/>
      <c r="CGA350" s="50"/>
      <c r="CGB350" s="50"/>
      <c r="CGC350" s="50"/>
      <c r="CGD350" s="50"/>
      <c r="CGE350" s="50"/>
      <c r="CGF350" s="50"/>
      <c r="CGG350" s="50"/>
      <c r="CGH350" s="50"/>
      <c r="CGI350" s="50"/>
      <c r="CGJ350" s="50"/>
      <c r="CGK350" s="50"/>
      <c r="CGL350" s="50"/>
      <c r="CGM350" s="50"/>
      <c r="CGN350" s="50"/>
      <c r="CGO350" s="50"/>
      <c r="CGP350" s="50"/>
      <c r="CGQ350" s="50"/>
      <c r="CGR350" s="50"/>
      <c r="CGS350" s="50"/>
      <c r="CGT350" s="50"/>
      <c r="CGU350" s="50"/>
      <c r="CGV350" s="50"/>
      <c r="CGW350" s="50"/>
      <c r="CGX350" s="50"/>
      <c r="CGY350" s="50"/>
      <c r="CGZ350" s="50"/>
      <c r="CHA350" s="50"/>
      <c r="CHB350" s="50"/>
      <c r="CHC350" s="50"/>
      <c r="CHD350" s="50"/>
      <c r="CHE350" s="50"/>
      <c r="CHF350" s="50"/>
      <c r="CHG350" s="50"/>
      <c r="CHH350" s="50"/>
      <c r="CHI350" s="50"/>
      <c r="CHJ350" s="50"/>
      <c r="CHK350" s="50"/>
      <c r="CHL350" s="50"/>
      <c r="CHM350" s="50"/>
      <c r="CHN350" s="50"/>
      <c r="CHO350" s="50"/>
      <c r="CHP350" s="50"/>
      <c r="CHQ350" s="50"/>
      <c r="CHR350" s="50"/>
      <c r="CHS350" s="50"/>
      <c r="CHT350" s="50"/>
      <c r="CHU350" s="50"/>
      <c r="CHV350" s="50"/>
      <c r="CHW350" s="50"/>
      <c r="CHX350" s="50"/>
      <c r="CHY350" s="50"/>
      <c r="CHZ350" s="50"/>
      <c r="CIA350" s="50"/>
      <c r="CIB350" s="50"/>
      <c r="CIC350" s="50"/>
      <c r="CID350" s="50"/>
      <c r="CIE350" s="50"/>
      <c r="CIF350" s="50"/>
      <c r="CIG350" s="50"/>
      <c r="CIH350" s="50"/>
      <c r="CII350" s="50"/>
      <c r="CIJ350" s="50"/>
      <c r="CIK350" s="50"/>
      <c r="CIL350" s="50"/>
      <c r="CIM350" s="50"/>
      <c r="CIN350" s="50"/>
      <c r="CIO350" s="50"/>
      <c r="CIP350" s="50"/>
      <c r="CIQ350" s="50"/>
      <c r="CIR350" s="50"/>
      <c r="CIS350" s="50"/>
      <c r="CIT350" s="50"/>
      <c r="CIU350" s="50"/>
      <c r="CIV350" s="50"/>
      <c r="CIW350" s="50"/>
      <c r="CIX350" s="50"/>
      <c r="CIY350" s="50"/>
      <c r="CIZ350" s="50"/>
      <c r="CJA350" s="50"/>
      <c r="CJB350" s="50"/>
      <c r="CJC350" s="50"/>
      <c r="CJD350" s="50"/>
      <c r="CJE350" s="50"/>
      <c r="CJF350" s="50"/>
      <c r="CJG350" s="50"/>
      <c r="CJH350" s="50"/>
      <c r="CJI350" s="50"/>
      <c r="CJJ350" s="50"/>
      <c r="CJK350" s="50"/>
      <c r="CJL350" s="50"/>
      <c r="CJM350" s="50"/>
      <c r="CJN350" s="50"/>
      <c r="CJO350" s="50"/>
      <c r="CJP350" s="50"/>
      <c r="CJQ350" s="50"/>
      <c r="CJR350" s="50"/>
      <c r="CJS350" s="50"/>
      <c r="CJT350" s="50"/>
      <c r="CJU350" s="50"/>
      <c r="CJV350" s="50"/>
      <c r="CJW350" s="50"/>
      <c r="CJX350" s="50"/>
      <c r="CJY350" s="50"/>
      <c r="CJZ350" s="50"/>
      <c r="CKA350" s="50"/>
      <c r="CKB350" s="50"/>
      <c r="CKC350" s="50"/>
      <c r="CKD350" s="50"/>
      <c r="CKE350" s="50"/>
      <c r="CKF350" s="50"/>
      <c r="CKG350" s="50"/>
      <c r="CKH350" s="50"/>
      <c r="CKI350" s="50"/>
      <c r="CKJ350" s="50"/>
      <c r="CKK350" s="50"/>
      <c r="CKL350" s="50"/>
      <c r="CKM350" s="50"/>
      <c r="CKN350" s="50"/>
      <c r="CKO350" s="50"/>
      <c r="CKP350" s="50"/>
      <c r="CKQ350" s="50"/>
      <c r="CKR350" s="50"/>
      <c r="CKS350" s="50"/>
      <c r="CKT350" s="50"/>
      <c r="CKU350" s="50"/>
      <c r="CKV350" s="50"/>
      <c r="CKW350" s="50"/>
      <c r="CKX350" s="50"/>
      <c r="CKY350" s="50"/>
      <c r="CKZ350" s="50"/>
      <c r="CLA350" s="50"/>
      <c r="CLB350" s="50"/>
      <c r="CLC350" s="50"/>
      <c r="CLD350" s="50"/>
      <c r="CLE350" s="50"/>
      <c r="CLF350" s="50"/>
      <c r="CLG350" s="50"/>
      <c r="CLH350" s="50"/>
      <c r="CLI350" s="50"/>
      <c r="CLJ350" s="50"/>
      <c r="CLK350" s="50"/>
      <c r="CLL350" s="50"/>
      <c r="CLM350" s="50"/>
      <c r="CLN350" s="50"/>
      <c r="CLO350" s="50"/>
      <c r="CLP350" s="50"/>
      <c r="CLQ350" s="50"/>
      <c r="CLR350" s="50"/>
      <c r="CLS350" s="50"/>
      <c r="CLT350" s="50"/>
      <c r="CLU350" s="50"/>
      <c r="CLV350" s="50"/>
      <c r="CLW350" s="50"/>
      <c r="CLX350" s="50"/>
      <c r="CLY350" s="50"/>
      <c r="CLZ350" s="50"/>
      <c r="CMA350" s="50"/>
      <c r="CMB350" s="50"/>
      <c r="CMC350" s="50"/>
      <c r="CMD350" s="50"/>
      <c r="CME350" s="50"/>
      <c r="CMF350" s="50"/>
      <c r="CMG350" s="50"/>
      <c r="CMH350" s="50"/>
      <c r="CMI350" s="50"/>
      <c r="CMJ350" s="50"/>
      <c r="CMK350" s="50"/>
      <c r="CML350" s="50"/>
      <c r="CMM350" s="50"/>
      <c r="CMN350" s="50"/>
      <c r="CMO350" s="50"/>
      <c r="CMP350" s="50"/>
      <c r="CMQ350" s="50"/>
      <c r="CMR350" s="50"/>
      <c r="CMS350" s="50"/>
      <c r="CMT350" s="50"/>
      <c r="CMU350" s="50"/>
      <c r="CMV350" s="50"/>
      <c r="CMW350" s="50"/>
      <c r="CMX350" s="50"/>
      <c r="CMY350" s="50"/>
      <c r="CMZ350" s="50"/>
      <c r="CNA350" s="50"/>
      <c r="CNB350" s="50"/>
      <c r="CNC350" s="50"/>
      <c r="CND350" s="50"/>
      <c r="CNE350" s="50"/>
      <c r="CNF350" s="50"/>
      <c r="CNG350" s="50"/>
      <c r="CNH350" s="50"/>
      <c r="CNI350" s="50"/>
      <c r="CNJ350" s="50"/>
      <c r="CNK350" s="50"/>
      <c r="CNL350" s="50"/>
      <c r="CNM350" s="50"/>
      <c r="CNN350" s="50"/>
      <c r="CNO350" s="50"/>
      <c r="CNP350" s="50"/>
      <c r="CNQ350" s="50"/>
      <c r="CNR350" s="50"/>
      <c r="CNS350" s="50"/>
      <c r="CNT350" s="50"/>
      <c r="CNU350" s="50"/>
      <c r="CNV350" s="50"/>
      <c r="CNW350" s="50"/>
      <c r="CNX350" s="50"/>
      <c r="CNY350" s="50"/>
      <c r="CNZ350" s="50"/>
      <c r="COA350" s="50"/>
      <c r="COB350" s="50"/>
      <c r="COC350" s="50"/>
      <c r="COD350" s="50"/>
      <c r="COE350" s="50"/>
      <c r="COF350" s="50"/>
      <c r="COG350" s="50"/>
      <c r="COH350" s="50"/>
      <c r="COI350" s="50"/>
      <c r="COJ350" s="50"/>
      <c r="COK350" s="50"/>
      <c r="COL350" s="50"/>
      <c r="COM350" s="50"/>
      <c r="CON350" s="50"/>
      <c r="COO350" s="50"/>
      <c r="COP350" s="50"/>
      <c r="COQ350" s="50"/>
      <c r="COR350" s="50"/>
      <c r="COS350" s="50"/>
      <c r="COT350" s="50"/>
      <c r="COU350" s="50"/>
      <c r="COV350" s="50"/>
      <c r="COW350" s="50"/>
      <c r="COX350" s="50"/>
      <c r="COY350" s="50"/>
      <c r="COZ350" s="50"/>
      <c r="CPA350" s="50"/>
      <c r="CPB350" s="50"/>
      <c r="CPC350" s="50"/>
      <c r="CPD350" s="50"/>
      <c r="CPE350" s="50"/>
      <c r="CPF350" s="50"/>
      <c r="CPG350" s="50"/>
      <c r="CPH350" s="50"/>
      <c r="CPI350" s="50"/>
      <c r="CPJ350" s="50"/>
      <c r="CPK350" s="50"/>
      <c r="CPL350" s="50"/>
      <c r="CPM350" s="50"/>
      <c r="CPN350" s="50"/>
      <c r="CPO350" s="50"/>
      <c r="CPP350" s="50"/>
      <c r="CPQ350" s="50"/>
      <c r="CPR350" s="50"/>
      <c r="CPS350" s="50"/>
      <c r="CPT350" s="50"/>
      <c r="CPU350" s="50"/>
      <c r="CPV350" s="50"/>
      <c r="CPW350" s="50"/>
      <c r="CPX350" s="50"/>
      <c r="CPY350" s="50"/>
      <c r="CPZ350" s="50"/>
      <c r="CQA350" s="50"/>
      <c r="CQB350" s="50"/>
      <c r="CQC350" s="50"/>
      <c r="CQD350" s="50"/>
      <c r="CQE350" s="50"/>
      <c r="CQF350" s="50"/>
      <c r="CQG350" s="50"/>
      <c r="CQH350" s="50"/>
      <c r="CQI350" s="50"/>
      <c r="CQJ350" s="50"/>
      <c r="CQK350" s="50"/>
      <c r="CQL350" s="50"/>
      <c r="CQM350" s="50"/>
      <c r="CQN350" s="50"/>
      <c r="CQO350" s="50"/>
      <c r="CQP350" s="50"/>
      <c r="CQQ350" s="50"/>
      <c r="CQR350" s="50"/>
      <c r="CQS350" s="50"/>
      <c r="CQT350" s="50"/>
      <c r="CQU350" s="50"/>
      <c r="CQV350" s="50"/>
      <c r="CQW350" s="50"/>
      <c r="CQX350" s="50"/>
      <c r="CQY350" s="50"/>
      <c r="CQZ350" s="50"/>
      <c r="CRA350" s="50"/>
      <c r="CRB350" s="50"/>
      <c r="CRC350" s="50"/>
      <c r="CRD350" s="50"/>
      <c r="CRE350" s="50"/>
      <c r="CRF350" s="50"/>
      <c r="CRG350" s="50"/>
      <c r="CRH350" s="50"/>
      <c r="CRI350" s="50"/>
      <c r="CRJ350" s="50"/>
      <c r="CRK350" s="50"/>
      <c r="CRL350" s="50"/>
      <c r="CRM350" s="50"/>
      <c r="CRN350" s="50"/>
      <c r="CRO350" s="50"/>
      <c r="CRP350" s="50"/>
      <c r="CRQ350" s="50"/>
      <c r="CRR350" s="50"/>
      <c r="CRS350" s="50"/>
      <c r="CRT350" s="50"/>
      <c r="CRU350" s="50"/>
      <c r="CRV350" s="50"/>
      <c r="CRW350" s="50"/>
      <c r="CRX350" s="50"/>
      <c r="CRY350" s="50"/>
      <c r="CRZ350" s="50"/>
      <c r="CSA350" s="50"/>
      <c r="CSB350" s="50"/>
      <c r="CSC350" s="50"/>
      <c r="CSD350" s="50"/>
      <c r="CSE350" s="50"/>
      <c r="CSF350" s="50"/>
      <c r="CSG350" s="50"/>
      <c r="CSH350" s="50"/>
      <c r="CSI350" s="50"/>
      <c r="CSJ350" s="50"/>
      <c r="CSK350" s="50"/>
      <c r="CSL350" s="50"/>
      <c r="CSM350" s="50"/>
      <c r="CSN350" s="50"/>
      <c r="CSO350" s="50"/>
      <c r="CSP350" s="50"/>
      <c r="CSQ350" s="50"/>
      <c r="CSR350" s="50"/>
      <c r="CSS350" s="50"/>
      <c r="CST350" s="50"/>
      <c r="CSU350" s="50"/>
      <c r="CSV350" s="50"/>
      <c r="CSW350" s="50"/>
      <c r="CSX350" s="50"/>
      <c r="CSY350" s="50"/>
      <c r="CSZ350" s="50"/>
      <c r="CTA350" s="50"/>
      <c r="CTB350" s="50"/>
      <c r="CTC350" s="50"/>
      <c r="CTD350" s="50"/>
      <c r="CTE350" s="50"/>
      <c r="CTF350" s="50"/>
      <c r="CTG350" s="50"/>
      <c r="CTH350" s="50"/>
      <c r="CTI350" s="50"/>
      <c r="CTJ350" s="50"/>
      <c r="CTK350" s="50"/>
      <c r="CTL350" s="50"/>
      <c r="CTM350" s="50"/>
      <c r="CTN350" s="50"/>
      <c r="CTO350" s="50"/>
      <c r="CTP350" s="50"/>
      <c r="CTQ350" s="50"/>
      <c r="CTR350" s="50"/>
      <c r="CTS350" s="50"/>
      <c r="CTT350" s="50"/>
      <c r="CTU350" s="50"/>
      <c r="CTV350" s="50"/>
      <c r="CTW350" s="50"/>
      <c r="CTX350" s="50"/>
      <c r="CTY350" s="50"/>
      <c r="CTZ350" s="50"/>
      <c r="CUA350" s="50"/>
      <c r="CUB350" s="50"/>
      <c r="CUC350" s="50"/>
      <c r="CUD350" s="50"/>
      <c r="CUE350" s="50"/>
      <c r="CUF350" s="50"/>
      <c r="CUG350" s="50"/>
      <c r="CUH350" s="50"/>
      <c r="CUI350" s="50"/>
      <c r="CUJ350" s="50"/>
      <c r="CUK350" s="50"/>
      <c r="CUL350" s="50"/>
      <c r="CUM350" s="50"/>
      <c r="CUN350" s="50"/>
      <c r="CUO350" s="50"/>
      <c r="CUP350" s="50"/>
      <c r="CUQ350" s="50"/>
      <c r="CUR350" s="50"/>
      <c r="CUS350" s="50"/>
      <c r="CUT350" s="50"/>
      <c r="CUU350" s="50"/>
      <c r="CUV350" s="50"/>
      <c r="CUW350" s="50"/>
      <c r="CUX350" s="50"/>
      <c r="CUY350" s="50"/>
      <c r="CUZ350" s="50"/>
      <c r="CVA350" s="50"/>
      <c r="CVB350" s="50"/>
      <c r="CVC350" s="50"/>
      <c r="CVD350" s="50"/>
      <c r="CVE350" s="50"/>
      <c r="CVF350" s="50"/>
      <c r="CVG350" s="50"/>
      <c r="CVH350" s="50"/>
      <c r="CVI350" s="50"/>
      <c r="CVJ350" s="50"/>
      <c r="CVK350" s="50"/>
      <c r="CVL350" s="50"/>
      <c r="CVM350" s="50"/>
      <c r="CVN350" s="50"/>
      <c r="CVO350" s="50"/>
      <c r="CVP350" s="50"/>
      <c r="CVQ350" s="50"/>
      <c r="CVR350" s="50"/>
      <c r="CVS350" s="50"/>
      <c r="CVT350" s="50"/>
      <c r="CVU350" s="50"/>
      <c r="CVV350" s="50"/>
      <c r="CVW350" s="50"/>
      <c r="CVX350" s="50"/>
      <c r="CVY350" s="50"/>
      <c r="CVZ350" s="50"/>
      <c r="CWA350" s="50"/>
      <c r="CWB350" s="50"/>
      <c r="CWC350" s="50"/>
      <c r="CWD350" s="50"/>
      <c r="CWE350" s="50"/>
      <c r="CWF350" s="50"/>
      <c r="CWG350" s="50"/>
      <c r="CWH350" s="50"/>
      <c r="CWI350" s="50"/>
      <c r="CWJ350" s="50"/>
      <c r="CWK350" s="50"/>
      <c r="CWL350" s="50"/>
      <c r="CWM350" s="50"/>
      <c r="CWN350" s="50"/>
      <c r="CWO350" s="50"/>
      <c r="CWP350" s="50"/>
      <c r="CWQ350" s="50"/>
      <c r="CWR350" s="50"/>
      <c r="CWS350" s="50"/>
      <c r="CWT350" s="50"/>
      <c r="CWU350" s="50"/>
      <c r="CWV350" s="50"/>
      <c r="CWW350" s="50"/>
      <c r="CWX350" s="50"/>
      <c r="CWY350" s="50"/>
      <c r="CWZ350" s="50"/>
      <c r="CXA350" s="50"/>
      <c r="CXB350" s="50"/>
      <c r="CXC350" s="50"/>
      <c r="CXD350" s="50"/>
      <c r="CXE350" s="50"/>
      <c r="CXF350" s="50"/>
      <c r="CXG350" s="50"/>
      <c r="CXH350" s="50"/>
      <c r="CXI350" s="50"/>
      <c r="CXJ350" s="50"/>
      <c r="CXK350" s="50"/>
      <c r="CXL350" s="50"/>
      <c r="CXM350" s="50"/>
      <c r="CXN350" s="50"/>
      <c r="CXO350" s="50"/>
      <c r="CXP350" s="50"/>
      <c r="CXQ350" s="50"/>
      <c r="CXR350" s="50"/>
      <c r="CXS350" s="50"/>
      <c r="CXT350" s="50"/>
      <c r="CXU350" s="50"/>
      <c r="CXV350" s="50"/>
      <c r="CXW350" s="50"/>
      <c r="CXX350" s="50"/>
      <c r="CXY350" s="50"/>
      <c r="CXZ350" s="50"/>
      <c r="CYA350" s="50"/>
      <c r="CYB350" s="50"/>
      <c r="CYC350" s="50"/>
      <c r="CYD350" s="50"/>
      <c r="CYE350" s="50"/>
      <c r="CYF350" s="50"/>
      <c r="CYG350" s="50"/>
      <c r="CYH350" s="50"/>
      <c r="CYI350" s="50"/>
      <c r="CYJ350" s="50"/>
      <c r="CYK350" s="50"/>
      <c r="CYL350" s="50"/>
      <c r="CYM350" s="50"/>
      <c r="CYN350" s="50"/>
      <c r="CYO350" s="50"/>
      <c r="CYP350" s="50"/>
      <c r="CYQ350" s="50"/>
      <c r="CYR350" s="50"/>
      <c r="CYS350" s="50"/>
      <c r="CYT350" s="50"/>
      <c r="CYU350" s="50"/>
      <c r="CYV350" s="50"/>
      <c r="CYW350" s="50"/>
      <c r="CYX350" s="50"/>
      <c r="CYY350" s="50"/>
      <c r="CYZ350" s="50"/>
      <c r="CZA350" s="50"/>
      <c r="CZB350" s="50"/>
      <c r="CZC350" s="50"/>
      <c r="CZD350" s="50"/>
      <c r="CZE350" s="50"/>
      <c r="CZF350" s="50"/>
      <c r="CZG350" s="50"/>
      <c r="CZH350" s="50"/>
      <c r="CZI350" s="50"/>
      <c r="CZJ350" s="50"/>
      <c r="CZK350" s="50"/>
      <c r="CZL350" s="50"/>
      <c r="CZM350" s="50"/>
      <c r="CZN350" s="50"/>
      <c r="CZO350" s="50"/>
      <c r="CZP350" s="50"/>
      <c r="CZQ350" s="50"/>
      <c r="CZR350" s="50"/>
      <c r="CZS350" s="50"/>
      <c r="CZT350" s="50"/>
      <c r="CZU350" s="50"/>
      <c r="CZV350" s="50"/>
      <c r="CZW350" s="50"/>
      <c r="CZX350" s="50"/>
      <c r="CZY350" s="50"/>
      <c r="CZZ350" s="50"/>
      <c r="DAA350" s="50"/>
      <c r="DAB350" s="50"/>
      <c r="DAC350" s="50"/>
      <c r="DAD350" s="50"/>
      <c r="DAE350" s="50"/>
      <c r="DAF350" s="50"/>
      <c r="DAG350" s="50"/>
      <c r="DAH350" s="50"/>
      <c r="DAI350" s="50"/>
      <c r="DAJ350" s="50"/>
      <c r="DAK350" s="50"/>
      <c r="DAL350" s="50"/>
      <c r="DAM350" s="50"/>
      <c r="DAN350" s="50"/>
      <c r="DAO350" s="50"/>
      <c r="DAP350" s="50"/>
      <c r="DAQ350" s="50"/>
      <c r="DAR350" s="50"/>
      <c r="DAS350" s="50"/>
      <c r="DAT350" s="50"/>
      <c r="DAU350" s="50"/>
      <c r="DAV350" s="50"/>
      <c r="DAW350" s="50"/>
      <c r="DAX350" s="50"/>
      <c r="DAY350" s="50"/>
      <c r="DAZ350" s="50"/>
      <c r="DBA350" s="50"/>
      <c r="DBB350" s="50"/>
      <c r="DBC350" s="50"/>
      <c r="DBD350" s="50"/>
      <c r="DBE350" s="50"/>
      <c r="DBF350" s="50"/>
      <c r="DBG350" s="50"/>
      <c r="DBH350" s="50"/>
      <c r="DBI350" s="50"/>
      <c r="DBJ350" s="50"/>
      <c r="DBK350" s="50"/>
      <c r="DBL350" s="50"/>
      <c r="DBM350" s="50"/>
      <c r="DBN350" s="50"/>
      <c r="DBO350" s="50"/>
      <c r="DBP350" s="50"/>
      <c r="DBQ350" s="50"/>
      <c r="DBR350" s="50"/>
      <c r="DBS350" s="50"/>
      <c r="DBT350" s="50"/>
      <c r="DBU350" s="50"/>
      <c r="DBV350" s="50"/>
      <c r="DBW350" s="50"/>
      <c r="DBX350" s="50"/>
      <c r="DBY350" s="50"/>
      <c r="DBZ350" s="50"/>
      <c r="DCA350" s="50"/>
      <c r="DCB350" s="50"/>
      <c r="DCC350" s="50"/>
      <c r="DCD350" s="50"/>
      <c r="DCE350" s="50"/>
      <c r="DCF350" s="50"/>
      <c r="DCG350" s="50"/>
      <c r="DCH350" s="50"/>
      <c r="DCI350" s="50"/>
      <c r="DCJ350" s="50"/>
      <c r="DCK350" s="50"/>
      <c r="DCL350" s="50"/>
      <c r="DCM350" s="50"/>
      <c r="DCN350" s="50"/>
      <c r="DCO350" s="50"/>
      <c r="DCP350" s="50"/>
      <c r="DCQ350" s="50"/>
      <c r="DCR350" s="50"/>
      <c r="DCS350" s="50"/>
      <c r="DCT350" s="50"/>
      <c r="DCU350" s="50"/>
      <c r="DCV350" s="50"/>
      <c r="DCW350" s="50"/>
      <c r="DCX350" s="50"/>
      <c r="DCY350" s="50"/>
      <c r="DCZ350" s="50"/>
      <c r="DDA350" s="50"/>
      <c r="DDB350" s="50"/>
      <c r="DDC350" s="50"/>
      <c r="DDD350" s="50"/>
      <c r="DDE350" s="50"/>
      <c r="DDF350" s="50"/>
      <c r="DDG350" s="50"/>
      <c r="DDH350" s="50"/>
      <c r="DDI350" s="50"/>
      <c r="DDJ350" s="50"/>
      <c r="DDK350" s="50"/>
      <c r="DDL350" s="50"/>
      <c r="DDM350" s="50"/>
      <c r="DDN350" s="50"/>
      <c r="DDO350" s="50"/>
      <c r="DDP350" s="50"/>
      <c r="DDQ350" s="50"/>
      <c r="DDR350" s="50"/>
      <c r="DDS350" s="50"/>
      <c r="DDT350" s="50"/>
      <c r="DDU350" s="50"/>
      <c r="DDV350" s="50"/>
      <c r="DDW350" s="50"/>
      <c r="DDX350" s="50"/>
      <c r="DDY350" s="50"/>
      <c r="DDZ350" s="50"/>
      <c r="DEA350" s="50"/>
      <c r="DEB350" s="50"/>
      <c r="DEC350" s="50"/>
      <c r="DED350" s="50"/>
      <c r="DEE350" s="50"/>
      <c r="DEF350" s="50"/>
      <c r="DEG350" s="50"/>
      <c r="DEH350" s="50"/>
      <c r="DEI350" s="50"/>
      <c r="DEJ350" s="50"/>
      <c r="DEK350" s="50"/>
      <c r="DEL350" s="50"/>
      <c r="DEM350" s="50"/>
      <c r="DEN350" s="50"/>
      <c r="DEO350" s="50"/>
      <c r="DEP350" s="50"/>
      <c r="DEQ350" s="50"/>
      <c r="DER350" s="50"/>
      <c r="DES350" s="50"/>
      <c r="DET350" s="50"/>
      <c r="DEU350" s="50"/>
      <c r="DEV350" s="50"/>
      <c r="DEW350" s="50"/>
      <c r="DEX350" s="50"/>
      <c r="DEY350" s="50"/>
      <c r="DEZ350" s="50"/>
      <c r="DFA350" s="50"/>
      <c r="DFB350" s="50"/>
      <c r="DFC350" s="50"/>
      <c r="DFD350" s="50"/>
      <c r="DFE350" s="50"/>
      <c r="DFF350" s="50"/>
      <c r="DFG350" s="50"/>
      <c r="DFH350" s="50"/>
      <c r="DFI350" s="50"/>
      <c r="DFJ350" s="50"/>
      <c r="DFK350" s="50"/>
      <c r="DFL350" s="50"/>
      <c r="DFM350" s="50"/>
      <c r="DFN350" s="50"/>
      <c r="DFO350" s="50"/>
      <c r="DFP350" s="50"/>
      <c r="DFQ350" s="50"/>
      <c r="DFR350" s="50"/>
      <c r="DFS350" s="50"/>
      <c r="DFT350" s="50"/>
      <c r="DFU350" s="50"/>
      <c r="DFV350" s="50"/>
      <c r="DFW350" s="50"/>
      <c r="DFX350" s="50"/>
      <c r="DFY350" s="50"/>
      <c r="DFZ350" s="50"/>
      <c r="DGA350" s="50"/>
      <c r="DGB350" s="50"/>
      <c r="DGC350" s="50"/>
      <c r="DGD350" s="50"/>
      <c r="DGE350" s="50"/>
      <c r="DGF350" s="50"/>
      <c r="DGG350" s="50"/>
      <c r="DGH350" s="50"/>
      <c r="DGI350" s="50"/>
      <c r="DGJ350" s="50"/>
      <c r="DGK350" s="50"/>
      <c r="DGL350" s="50"/>
      <c r="DGM350" s="50"/>
      <c r="DGN350" s="50"/>
      <c r="DGO350" s="50"/>
      <c r="DGP350" s="50"/>
      <c r="DGQ350" s="50"/>
      <c r="DGR350" s="50"/>
      <c r="DGS350" s="50"/>
      <c r="DGT350" s="50"/>
      <c r="DGU350" s="50"/>
      <c r="DGV350" s="50"/>
      <c r="DGW350" s="50"/>
      <c r="DGX350" s="50"/>
      <c r="DGY350" s="50"/>
      <c r="DGZ350" s="50"/>
      <c r="DHA350" s="50"/>
      <c r="DHB350" s="50"/>
      <c r="DHC350" s="50"/>
      <c r="DHD350" s="50"/>
      <c r="DHE350" s="50"/>
      <c r="DHF350" s="50"/>
      <c r="DHG350" s="50"/>
      <c r="DHH350" s="50"/>
      <c r="DHI350" s="50"/>
      <c r="DHJ350" s="50"/>
      <c r="DHK350" s="50"/>
      <c r="DHL350" s="50"/>
      <c r="DHM350" s="50"/>
      <c r="DHN350" s="50"/>
      <c r="DHO350" s="50"/>
      <c r="DHP350" s="50"/>
      <c r="DHQ350" s="50"/>
      <c r="DHR350" s="50"/>
      <c r="DHS350" s="50"/>
      <c r="DHT350" s="50"/>
      <c r="DHU350" s="50"/>
      <c r="DHV350" s="50"/>
      <c r="DHW350" s="50"/>
      <c r="DHX350" s="50"/>
      <c r="DHY350" s="50"/>
      <c r="DHZ350" s="50"/>
      <c r="DIA350" s="50"/>
      <c r="DIB350" s="50"/>
      <c r="DIC350" s="50"/>
      <c r="DID350" s="50"/>
      <c r="DIE350" s="50"/>
      <c r="DIF350" s="50"/>
      <c r="DIG350" s="50"/>
      <c r="DIH350" s="50"/>
      <c r="DII350" s="50"/>
      <c r="DIJ350" s="50"/>
      <c r="DIK350" s="50"/>
      <c r="DIL350" s="50"/>
      <c r="DIM350" s="50"/>
      <c r="DIN350" s="50"/>
      <c r="DIO350" s="50"/>
      <c r="DIP350" s="50"/>
      <c r="DIQ350" s="50"/>
      <c r="DIR350" s="50"/>
      <c r="DIS350" s="50"/>
      <c r="DIT350" s="50"/>
      <c r="DIU350" s="50"/>
      <c r="DIV350" s="50"/>
      <c r="DIW350" s="50"/>
      <c r="DIX350" s="50"/>
      <c r="DIY350" s="50"/>
      <c r="DIZ350" s="50"/>
      <c r="DJA350" s="50"/>
      <c r="DJB350" s="50"/>
      <c r="DJC350" s="50"/>
      <c r="DJD350" s="50"/>
      <c r="DJE350" s="50"/>
      <c r="DJF350" s="50"/>
      <c r="DJG350" s="50"/>
      <c r="DJH350" s="50"/>
      <c r="DJI350" s="50"/>
      <c r="DJJ350" s="50"/>
      <c r="DJK350" s="50"/>
      <c r="DJL350" s="50"/>
      <c r="DJM350" s="50"/>
      <c r="DJN350" s="50"/>
      <c r="DJO350" s="50"/>
      <c r="DJP350" s="50"/>
      <c r="DJQ350" s="50"/>
      <c r="DJR350" s="50"/>
      <c r="DJS350" s="50"/>
      <c r="DJT350" s="50"/>
      <c r="DJU350" s="50"/>
      <c r="DJV350" s="50"/>
      <c r="DJW350" s="50"/>
      <c r="DJX350" s="50"/>
      <c r="DJY350" s="50"/>
      <c r="DJZ350" s="50"/>
      <c r="DKA350" s="50"/>
      <c r="DKB350" s="50"/>
      <c r="DKC350" s="50"/>
      <c r="DKD350" s="50"/>
      <c r="DKE350" s="50"/>
      <c r="DKF350" s="50"/>
      <c r="DKG350" s="50"/>
      <c r="DKH350" s="50"/>
      <c r="DKI350" s="50"/>
      <c r="DKJ350" s="50"/>
      <c r="DKK350" s="50"/>
      <c r="DKL350" s="50"/>
      <c r="DKM350" s="50"/>
      <c r="DKN350" s="50"/>
      <c r="DKO350" s="50"/>
      <c r="DKP350" s="50"/>
      <c r="DKQ350" s="50"/>
      <c r="DKR350" s="50"/>
      <c r="DKS350" s="50"/>
      <c r="DKT350" s="50"/>
      <c r="DKU350" s="50"/>
      <c r="DKV350" s="50"/>
      <c r="DKW350" s="50"/>
      <c r="DKX350" s="50"/>
      <c r="DKY350" s="50"/>
      <c r="DKZ350" s="50"/>
      <c r="DLA350" s="50"/>
      <c r="DLB350" s="50"/>
      <c r="DLC350" s="50"/>
      <c r="DLD350" s="50"/>
      <c r="DLE350" s="50"/>
      <c r="DLF350" s="50"/>
      <c r="DLG350" s="50"/>
      <c r="DLH350" s="50"/>
      <c r="DLI350" s="50"/>
      <c r="DLJ350" s="50"/>
      <c r="DLK350" s="50"/>
      <c r="DLL350" s="50"/>
      <c r="DLM350" s="50"/>
      <c r="DLN350" s="50"/>
      <c r="DLO350" s="50"/>
      <c r="DLP350" s="50"/>
      <c r="DLQ350" s="50"/>
      <c r="DLR350" s="50"/>
      <c r="DLS350" s="50"/>
      <c r="DLT350" s="50"/>
      <c r="DLU350" s="50"/>
      <c r="DLV350" s="50"/>
      <c r="DLW350" s="50"/>
      <c r="DLX350" s="50"/>
      <c r="DLY350" s="50"/>
      <c r="DLZ350" s="50"/>
      <c r="DMA350" s="50"/>
      <c r="DMB350" s="50"/>
      <c r="DMC350" s="50"/>
      <c r="DMD350" s="50"/>
      <c r="DME350" s="50"/>
      <c r="DMF350" s="50"/>
      <c r="DMG350" s="50"/>
      <c r="DMH350" s="50"/>
      <c r="DMI350" s="50"/>
      <c r="DMJ350" s="50"/>
      <c r="DMK350" s="50"/>
      <c r="DML350" s="50"/>
      <c r="DMM350" s="50"/>
      <c r="DMN350" s="50"/>
      <c r="DMO350" s="50"/>
      <c r="DMP350" s="50"/>
      <c r="DMQ350" s="50"/>
      <c r="DMR350" s="50"/>
      <c r="DMS350" s="50"/>
      <c r="DMT350" s="50"/>
      <c r="DMU350" s="50"/>
      <c r="DMV350" s="50"/>
      <c r="DMW350" s="50"/>
      <c r="DMX350" s="50"/>
      <c r="DMY350" s="50"/>
      <c r="DMZ350" s="50"/>
      <c r="DNA350" s="50"/>
      <c r="DNB350" s="50"/>
      <c r="DNC350" s="50"/>
      <c r="DND350" s="50"/>
      <c r="DNE350" s="50"/>
      <c r="DNF350" s="50"/>
      <c r="DNG350" s="50"/>
      <c r="DNH350" s="50"/>
      <c r="DNI350" s="50"/>
      <c r="DNJ350" s="50"/>
      <c r="DNK350" s="50"/>
      <c r="DNL350" s="50"/>
      <c r="DNM350" s="50"/>
      <c r="DNN350" s="50"/>
      <c r="DNO350" s="50"/>
      <c r="DNP350" s="50"/>
      <c r="DNQ350" s="50"/>
      <c r="DNR350" s="50"/>
      <c r="DNS350" s="50"/>
      <c r="DNT350" s="50"/>
      <c r="DNU350" s="50"/>
      <c r="DNV350" s="50"/>
      <c r="DNW350" s="50"/>
      <c r="DNX350" s="50"/>
      <c r="DNY350" s="50"/>
      <c r="DNZ350" s="50"/>
      <c r="DOA350" s="50"/>
      <c r="DOB350" s="50"/>
      <c r="DOC350" s="50"/>
      <c r="DOD350" s="50"/>
      <c r="DOE350" s="50"/>
      <c r="DOF350" s="50"/>
      <c r="DOG350" s="50"/>
      <c r="DOH350" s="50"/>
      <c r="DOI350" s="50"/>
      <c r="DOJ350" s="50"/>
      <c r="DOK350" s="50"/>
      <c r="DOL350" s="50"/>
      <c r="DOM350" s="50"/>
      <c r="DON350" s="50"/>
      <c r="DOO350" s="50"/>
      <c r="DOP350" s="50"/>
      <c r="DOQ350" s="50"/>
      <c r="DOR350" s="50"/>
      <c r="DOS350" s="50"/>
      <c r="DOT350" s="50"/>
      <c r="DOU350" s="50"/>
      <c r="DOV350" s="50"/>
      <c r="DOW350" s="50"/>
      <c r="DOX350" s="50"/>
      <c r="DOY350" s="50"/>
      <c r="DOZ350" s="50"/>
      <c r="DPA350" s="50"/>
      <c r="DPB350" s="50"/>
      <c r="DPC350" s="50"/>
      <c r="DPD350" s="50"/>
      <c r="DPE350" s="50"/>
      <c r="DPF350" s="50"/>
      <c r="DPG350" s="50"/>
      <c r="DPH350" s="50"/>
      <c r="DPI350" s="50"/>
      <c r="DPJ350" s="50"/>
      <c r="DPK350" s="50"/>
      <c r="DPL350" s="50"/>
      <c r="DPM350" s="50"/>
      <c r="DPN350" s="50"/>
      <c r="DPO350" s="50"/>
      <c r="DPP350" s="50"/>
      <c r="DPQ350" s="50"/>
      <c r="DPR350" s="50"/>
      <c r="DPS350" s="50"/>
      <c r="DPT350" s="50"/>
      <c r="DPU350" s="50"/>
      <c r="DPV350" s="50"/>
      <c r="DPW350" s="50"/>
      <c r="DPX350" s="50"/>
      <c r="DPY350" s="50"/>
      <c r="DPZ350" s="50"/>
      <c r="DQA350" s="50"/>
      <c r="DQB350" s="50"/>
      <c r="DQC350" s="50"/>
      <c r="DQD350" s="50"/>
      <c r="DQE350" s="50"/>
      <c r="DQF350" s="50"/>
      <c r="DQG350" s="50"/>
      <c r="DQH350" s="50"/>
      <c r="DQI350" s="50"/>
      <c r="DQJ350" s="50"/>
      <c r="DQK350" s="50"/>
      <c r="DQL350" s="50"/>
      <c r="DQM350" s="50"/>
      <c r="DQN350" s="50"/>
      <c r="DQO350" s="50"/>
      <c r="DQP350" s="50"/>
      <c r="DQQ350" s="50"/>
      <c r="DQR350" s="50"/>
      <c r="DQS350" s="50"/>
      <c r="DQT350" s="50"/>
      <c r="DQU350" s="50"/>
      <c r="DQV350" s="50"/>
      <c r="DQW350" s="50"/>
      <c r="DQX350" s="50"/>
      <c r="DQY350" s="50"/>
      <c r="DQZ350" s="50"/>
      <c r="DRA350" s="50"/>
      <c r="DRB350" s="50"/>
      <c r="DRC350" s="50"/>
      <c r="DRD350" s="50"/>
      <c r="DRE350" s="50"/>
      <c r="DRF350" s="50"/>
      <c r="DRG350" s="50"/>
      <c r="DRH350" s="50"/>
      <c r="DRI350" s="50"/>
      <c r="DRJ350" s="50"/>
      <c r="DRK350" s="50"/>
      <c r="DRL350" s="50"/>
      <c r="DRM350" s="50"/>
      <c r="DRN350" s="50"/>
      <c r="DRO350" s="50"/>
      <c r="DRP350" s="50"/>
      <c r="DRQ350" s="50"/>
      <c r="DRR350" s="50"/>
      <c r="DRS350" s="50"/>
      <c r="DRT350" s="50"/>
      <c r="DRU350" s="50"/>
      <c r="DRV350" s="50"/>
      <c r="DRW350" s="50"/>
      <c r="DRX350" s="50"/>
      <c r="DRY350" s="50"/>
      <c r="DRZ350" s="50"/>
      <c r="DSA350" s="50"/>
      <c r="DSB350" s="50"/>
      <c r="DSC350" s="50"/>
      <c r="DSD350" s="50"/>
      <c r="DSE350" s="50"/>
      <c r="DSF350" s="50"/>
      <c r="DSG350" s="50"/>
      <c r="DSH350" s="50"/>
      <c r="DSI350" s="50"/>
      <c r="DSJ350" s="50"/>
      <c r="DSK350" s="50"/>
      <c r="DSL350" s="50"/>
      <c r="DSM350" s="50"/>
      <c r="DSN350" s="50"/>
      <c r="DSO350" s="50"/>
      <c r="DSP350" s="50"/>
      <c r="DSQ350" s="50"/>
      <c r="DSR350" s="50"/>
      <c r="DSS350" s="50"/>
      <c r="DST350" s="50"/>
      <c r="DSU350" s="50"/>
      <c r="DSV350" s="50"/>
      <c r="DSW350" s="50"/>
      <c r="DSX350" s="50"/>
      <c r="DSY350" s="50"/>
      <c r="DSZ350" s="50"/>
      <c r="DTA350" s="50"/>
      <c r="DTB350" s="50"/>
      <c r="DTC350" s="50"/>
      <c r="DTD350" s="50"/>
      <c r="DTE350" s="50"/>
      <c r="DTF350" s="50"/>
      <c r="DTG350" s="50"/>
      <c r="DTH350" s="50"/>
      <c r="DTI350" s="50"/>
      <c r="DTJ350" s="50"/>
      <c r="DTK350" s="50"/>
      <c r="DTL350" s="50"/>
      <c r="DTM350" s="50"/>
      <c r="DTN350" s="50"/>
      <c r="DTO350" s="50"/>
      <c r="DTP350" s="50"/>
      <c r="DTQ350" s="50"/>
      <c r="DTR350" s="50"/>
      <c r="DTS350" s="50"/>
      <c r="DTT350" s="50"/>
      <c r="DTU350" s="50"/>
      <c r="DTV350" s="50"/>
      <c r="DTW350" s="50"/>
      <c r="DTX350" s="50"/>
      <c r="DTY350" s="50"/>
      <c r="DTZ350" s="50"/>
      <c r="DUA350" s="50"/>
      <c r="DUB350" s="50"/>
      <c r="DUC350" s="50"/>
      <c r="DUD350" s="50"/>
      <c r="DUE350" s="50"/>
      <c r="DUF350" s="50"/>
      <c r="DUG350" s="50"/>
      <c r="DUH350" s="50"/>
      <c r="DUI350" s="50"/>
      <c r="DUJ350" s="50"/>
      <c r="DUK350" s="50"/>
      <c r="DUL350" s="50"/>
      <c r="DUM350" s="50"/>
      <c r="DUN350" s="50"/>
      <c r="DUO350" s="50"/>
      <c r="DUP350" s="50"/>
      <c r="DUQ350" s="50"/>
      <c r="DUR350" s="50"/>
      <c r="DUS350" s="50"/>
      <c r="DUT350" s="50"/>
      <c r="DUU350" s="50"/>
      <c r="DUV350" s="50"/>
      <c r="DUW350" s="50"/>
      <c r="DUX350" s="50"/>
      <c r="DUY350" s="50"/>
      <c r="DUZ350" s="50"/>
      <c r="DVA350" s="50"/>
      <c r="DVB350" s="50"/>
      <c r="DVC350" s="50"/>
      <c r="DVD350" s="50"/>
      <c r="DVE350" s="50"/>
      <c r="DVF350" s="50"/>
      <c r="DVG350" s="50"/>
      <c r="DVH350" s="50"/>
      <c r="DVI350" s="50"/>
      <c r="DVJ350" s="50"/>
      <c r="DVK350" s="50"/>
      <c r="DVL350" s="50"/>
      <c r="DVM350" s="50"/>
      <c r="DVN350" s="50"/>
      <c r="DVO350" s="50"/>
      <c r="DVP350" s="50"/>
      <c r="DVQ350" s="50"/>
      <c r="DVR350" s="50"/>
      <c r="DVS350" s="50"/>
      <c r="DVT350" s="50"/>
      <c r="DVU350" s="50"/>
      <c r="DVV350" s="50"/>
      <c r="DVW350" s="50"/>
      <c r="DVX350" s="50"/>
      <c r="DVY350" s="50"/>
      <c r="DVZ350" s="50"/>
      <c r="DWA350" s="50"/>
      <c r="DWB350" s="50"/>
      <c r="DWC350" s="50"/>
      <c r="DWD350" s="50"/>
      <c r="DWE350" s="50"/>
      <c r="DWF350" s="50"/>
      <c r="DWG350" s="50"/>
      <c r="DWH350" s="50"/>
      <c r="DWI350" s="50"/>
      <c r="DWJ350" s="50"/>
      <c r="DWK350" s="50"/>
      <c r="DWL350" s="50"/>
      <c r="DWM350" s="50"/>
      <c r="DWN350" s="50"/>
      <c r="DWO350" s="50"/>
      <c r="DWP350" s="50"/>
      <c r="DWQ350" s="50"/>
      <c r="DWR350" s="50"/>
      <c r="DWS350" s="50"/>
      <c r="DWT350" s="50"/>
      <c r="DWU350" s="50"/>
      <c r="DWV350" s="50"/>
      <c r="DWW350" s="50"/>
      <c r="DWX350" s="50"/>
      <c r="DWY350" s="50"/>
      <c r="DWZ350" s="50"/>
      <c r="DXA350" s="50"/>
      <c r="DXB350" s="50"/>
      <c r="DXC350" s="50"/>
      <c r="DXD350" s="50"/>
      <c r="DXE350" s="50"/>
      <c r="DXF350" s="50"/>
      <c r="DXG350" s="50"/>
      <c r="DXH350" s="50"/>
      <c r="DXI350" s="50"/>
      <c r="DXJ350" s="50"/>
      <c r="DXK350" s="50"/>
      <c r="DXL350" s="50"/>
      <c r="DXM350" s="50"/>
      <c r="DXN350" s="50"/>
      <c r="DXO350" s="50"/>
      <c r="DXP350" s="50"/>
      <c r="DXQ350" s="50"/>
      <c r="DXR350" s="50"/>
      <c r="DXS350" s="50"/>
      <c r="DXT350" s="50"/>
      <c r="DXU350" s="50"/>
      <c r="DXV350" s="50"/>
      <c r="DXW350" s="50"/>
      <c r="DXX350" s="50"/>
      <c r="DXY350" s="50"/>
      <c r="DXZ350" s="50"/>
      <c r="DYA350" s="50"/>
      <c r="DYB350" s="50"/>
      <c r="DYC350" s="50"/>
      <c r="DYD350" s="50"/>
      <c r="DYE350" s="50"/>
      <c r="DYF350" s="50"/>
      <c r="DYG350" s="50"/>
      <c r="DYH350" s="50"/>
      <c r="DYI350" s="50"/>
      <c r="DYJ350" s="50"/>
      <c r="DYK350" s="50"/>
      <c r="DYL350" s="50"/>
      <c r="DYM350" s="50"/>
      <c r="DYN350" s="50"/>
      <c r="DYO350" s="50"/>
      <c r="DYP350" s="50"/>
      <c r="DYQ350" s="50"/>
      <c r="DYR350" s="50"/>
      <c r="DYS350" s="50"/>
      <c r="DYT350" s="50"/>
      <c r="DYU350" s="50"/>
      <c r="DYV350" s="50"/>
      <c r="DYW350" s="50"/>
      <c r="DYX350" s="50"/>
      <c r="DYY350" s="50"/>
      <c r="DYZ350" s="50"/>
      <c r="DZA350" s="50"/>
      <c r="DZB350" s="50"/>
      <c r="DZC350" s="50"/>
      <c r="DZD350" s="50"/>
      <c r="DZE350" s="50"/>
      <c r="DZF350" s="50"/>
      <c r="DZG350" s="50"/>
      <c r="DZH350" s="50"/>
      <c r="DZI350" s="50"/>
      <c r="DZJ350" s="50"/>
      <c r="DZK350" s="50"/>
      <c r="DZL350" s="50"/>
      <c r="DZM350" s="50"/>
      <c r="DZN350" s="50"/>
      <c r="DZO350" s="50"/>
      <c r="DZP350" s="50"/>
      <c r="DZQ350" s="50"/>
      <c r="DZR350" s="50"/>
      <c r="DZS350" s="50"/>
      <c r="DZT350" s="50"/>
      <c r="DZU350" s="50"/>
      <c r="DZV350" s="50"/>
      <c r="DZW350" s="50"/>
      <c r="DZX350" s="50"/>
      <c r="DZY350" s="50"/>
      <c r="DZZ350" s="50"/>
      <c r="EAA350" s="50"/>
      <c r="EAB350" s="50"/>
      <c r="EAC350" s="50"/>
      <c r="EAD350" s="50"/>
      <c r="EAE350" s="50"/>
      <c r="EAF350" s="50"/>
      <c r="EAG350" s="50"/>
      <c r="EAH350" s="50"/>
      <c r="EAI350" s="50"/>
      <c r="EAJ350" s="50"/>
      <c r="EAK350" s="50"/>
      <c r="EAL350" s="50"/>
      <c r="EAM350" s="50"/>
      <c r="EAN350" s="50"/>
      <c r="EAO350" s="50"/>
      <c r="EAP350" s="50"/>
      <c r="EAQ350" s="50"/>
      <c r="EAR350" s="50"/>
      <c r="EAS350" s="50"/>
      <c r="EAT350" s="50"/>
      <c r="EAU350" s="50"/>
      <c r="EAV350" s="50"/>
      <c r="EAW350" s="50"/>
      <c r="EAX350" s="50"/>
      <c r="EAY350" s="50"/>
      <c r="EAZ350" s="50"/>
      <c r="EBA350" s="50"/>
      <c r="EBB350" s="50"/>
      <c r="EBC350" s="50"/>
      <c r="EBD350" s="50"/>
      <c r="EBE350" s="50"/>
      <c r="EBF350" s="50"/>
      <c r="EBG350" s="50"/>
      <c r="EBH350" s="50"/>
      <c r="EBI350" s="50"/>
      <c r="EBJ350" s="50"/>
      <c r="EBK350" s="50"/>
      <c r="EBL350" s="50"/>
      <c r="EBM350" s="50"/>
      <c r="EBN350" s="50"/>
      <c r="EBO350" s="50"/>
      <c r="EBP350" s="50"/>
      <c r="EBQ350" s="50"/>
      <c r="EBR350" s="50"/>
      <c r="EBS350" s="50"/>
      <c r="EBT350" s="50"/>
      <c r="EBU350" s="50"/>
      <c r="EBV350" s="50"/>
      <c r="EBW350" s="50"/>
      <c r="EBX350" s="50"/>
      <c r="EBY350" s="50"/>
      <c r="EBZ350" s="50"/>
      <c r="ECA350" s="50"/>
      <c r="ECB350" s="50"/>
      <c r="ECC350" s="50"/>
      <c r="ECD350" s="50"/>
      <c r="ECE350" s="50"/>
      <c r="ECF350" s="50"/>
      <c r="ECG350" s="50"/>
      <c r="ECH350" s="50"/>
      <c r="ECI350" s="50"/>
      <c r="ECJ350" s="50"/>
      <c r="ECK350" s="50"/>
      <c r="ECL350" s="50"/>
      <c r="ECM350" s="50"/>
      <c r="ECN350" s="50"/>
      <c r="ECO350" s="50"/>
      <c r="ECP350" s="50"/>
      <c r="ECQ350" s="50"/>
      <c r="ECR350" s="50"/>
      <c r="ECS350" s="50"/>
      <c r="ECT350" s="50"/>
      <c r="ECU350" s="50"/>
      <c r="ECV350" s="50"/>
      <c r="ECW350" s="50"/>
      <c r="ECX350" s="50"/>
      <c r="ECY350" s="50"/>
      <c r="ECZ350" s="50"/>
      <c r="EDA350" s="50"/>
      <c r="EDB350" s="50"/>
      <c r="EDC350" s="50"/>
      <c r="EDD350" s="50"/>
      <c r="EDE350" s="50"/>
      <c r="EDF350" s="50"/>
      <c r="EDG350" s="50"/>
      <c r="EDH350" s="50"/>
      <c r="EDI350" s="50"/>
      <c r="EDJ350" s="50"/>
      <c r="EDK350" s="50"/>
      <c r="EDL350" s="50"/>
      <c r="EDM350" s="50"/>
      <c r="EDN350" s="50"/>
      <c r="EDO350" s="50"/>
      <c r="EDP350" s="50"/>
      <c r="EDQ350" s="50"/>
      <c r="EDR350" s="50"/>
      <c r="EDS350" s="50"/>
      <c r="EDT350" s="50"/>
      <c r="EDU350" s="50"/>
      <c r="EDV350" s="50"/>
      <c r="EDW350" s="50"/>
      <c r="EDX350" s="50"/>
      <c r="EDY350" s="50"/>
      <c r="EDZ350" s="50"/>
      <c r="EEA350" s="50"/>
      <c r="EEB350" s="50"/>
      <c r="EEC350" s="50"/>
      <c r="EED350" s="50"/>
      <c r="EEE350" s="50"/>
      <c r="EEF350" s="50"/>
      <c r="EEG350" s="50"/>
      <c r="EEH350" s="50"/>
      <c r="EEI350" s="50"/>
      <c r="EEJ350" s="50"/>
      <c r="EEK350" s="50"/>
      <c r="EEL350" s="50"/>
      <c r="EEM350" s="50"/>
      <c r="EEN350" s="50"/>
      <c r="EEO350" s="50"/>
      <c r="EEP350" s="50"/>
      <c r="EEQ350" s="50"/>
      <c r="EER350" s="50"/>
      <c r="EES350" s="50"/>
      <c r="EET350" s="50"/>
      <c r="EEU350" s="50"/>
      <c r="EEV350" s="50"/>
      <c r="EEW350" s="50"/>
      <c r="EEX350" s="50"/>
      <c r="EEY350" s="50"/>
      <c r="EEZ350" s="50"/>
      <c r="EFA350" s="50"/>
      <c r="EFB350" s="50"/>
      <c r="EFC350" s="50"/>
      <c r="EFD350" s="50"/>
      <c r="EFE350" s="50"/>
      <c r="EFF350" s="50"/>
      <c r="EFG350" s="50"/>
      <c r="EFH350" s="50"/>
      <c r="EFI350" s="50"/>
      <c r="EFJ350" s="50"/>
      <c r="EFK350" s="50"/>
      <c r="EFL350" s="50"/>
      <c r="EFM350" s="50"/>
      <c r="EFN350" s="50"/>
      <c r="EFO350" s="50"/>
      <c r="EFP350" s="50"/>
      <c r="EFQ350" s="50"/>
      <c r="EFR350" s="50"/>
      <c r="EFS350" s="50"/>
      <c r="EFT350" s="50"/>
      <c r="EFU350" s="50"/>
      <c r="EFV350" s="50"/>
      <c r="EFW350" s="50"/>
      <c r="EFX350" s="50"/>
      <c r="EFY350" s="50"/>
      <c r="EFZ350" s="50"/>
      <c r="EGA350" s="50"/>
      <c r="EGB350" s="50"/>
      <c r="EGC350" s="50"/>
      <c r="EGD350" s="50"/>
      <c r="EGE350" s="50"/>
      <c r="EGF350" s="50"/>
      <c r="EGG350" s="50"/>
      <c r="EGH350" s="50"/>
      <c r="EGI350" s="50"/>
      <c r="EGJ350" s="50"/>
      <c r="EGK350" s="50"/>
      <c r="EGL350" s="50"/>
      <c r="EGM350" s="50"/>
      <c r="EGN350" s="50"/>
      <c r="EGO350" s="50"/>
      <c r="EGP350" s="50"/>
      <c r="EGQ350" s="50"/>
      <c r="EGR350" s="50"/>
      <c r="EGS350" s="50"/>
      <c r="EGT350" s="50"/>
      <c r="EGU350" s="50"/>
      <c r="EGV350" s="50"/>
      <c r="EGW350" s="50"/>
      <c r="EGX350" s="50"/>
      <c r="EGY350" s="50"/>
      <c r="EGZ350" s="50"/>
      <c r="EHA350" s="50"/>
      <c r="EHB350" s="50"/>
      <c r="EHC350" s="50"/>
      <c r="EHD350" s="50"/>
      <c r="EHE350" s="50"/>
      <c r="EHF350" s="50"/>
      <c r="EHG350" s="50"/>
      <c r="EHH350" s="50"/>
      <c r="EHI350" s="50"/>
      <c r="EHJ350" s="50"/>
      <c r="EHK350" s="50"/>
      <c r="EHL350" s="50"/>
      <c r="EHM350" s="50"/>
      <c r="EHN350" s="50"/>
      <c r="EHO350" s="50"/>
      <c r="EHP350" s="50"/>
      <c r="EHQ350" s="50"/>
      <c r="EHR350" s="50"/>
      <c r="EHS350" s="50"/>
      <c r="EHT350" s="50"/>
      <c r="EHU350" s="50"/>
      <c r="EHV350" s="50"/>
      <c r="EHW350" s="50"/>
      <c r="EHX350" s="50"/>
      <c r="EHY350" s="50"/>
      <c r="EHZ350" s="50"/>
      <c r="EIA350" s="50"/>
      <c r="EIB350" s="50"/>
      <c r="EIC350" s="50"/>
      <c r="EID350" s="50"/>
      <c r="EIE350" s="50"/>
      <c r="EIF350" s="50"/>
      <c r="EIG350" s="50"/>
      <c r="EIH350" s="50"/>
      <c r="EII350" s="50"/>
      <c r="EIJ350" s="50"/>
      <c r="EIK350" s="50"/>
      <c r="EIL350" s="50"/>
      <c r="EIM350" s="50"/>
      <c r="EIN350" s="50"/>
      <c r="EIO350" s="50"/>
      <c r="EIP350" s="50"/>
      <c r="EIQ350" s="50"/>
      <c r="EIR350" s="50"/>
      <c r="EIS350" s="50"/>
      <c r="EIT350" s="50"/>
      <c r="EIU350" s="50"/>
      <c r="EIV350" s="50"/>
      <c r="EIW350" s="50"/>
      <c r="EIX350" s="50"/>
      <c r="EIY350" s="50"/>
      <c r="EIZ350" s="50"/>
      <c r="EJA350" s="50"/>
      <c r="EJB350" s="50"/>
      <c r="EJC350" s="50"/>
      <c r="EJD350" s="50"/>
      <c r="EJE350" s="50"/>
      <c r="EJF350" s="50"/>
      <c r="EJG350" s="50"/>
      <c r="EJH350" s="50"/>
      <c r="EJI350" s="50"/>
      <c r="EJJ350" s="50"/>
      <c r="EJK350" s="50"/>
      <c r="EJL350" s="50"/>
      <c r="EJM350" s="50"/>
      <c r="EJN350" s="50"/>
      <c r="EJO350" s="50"/>
      <c r="EJP350" s="50"/>
      <c r="EJQ350" s="50"/>
      <c r="EJR350" s="50"/>
      <c r="EJS350" s="50"/>
      <c r="EJT350" s="50"/>
      <c r="EJU350" s="50"/>
      <c r="EJV350" s="50"/>
      <c r="EJW350" s="50"/>
      <c r="EJX350" s="50"/>
      <c r="EJY350" s="50"/>
      <c r="EJZ350" s="50"/>
      <c r="EKA350" s="50"/>
      <c r="EKB350" s="50"/>
      <c r="EKC350" s="50"/>
      <c r="EKD350" s="50"/>
      <c r="EKE350" s="50"/>
      <c r="EKF350" s="50"/>
      <c r="EKG350" s="50"/>
      <c r="EKH350" s="50"/>
      <c r="EKI350" s="50"/>
      <c r="EKJ350" s="50"/>
      <c r="EKK350" s="50"/>
      <c r="EKL350" s="50"/>
      <c r="EKM350" s="50"/>
      <c r="EKN350" s="50"/>
      <c r="EKO350" s="50"/>
      <c r="EKP350" s="50"/>
      <c r="EKQ350" s="50"/>
      <c r="EKR350" s="50"/>
      <c r="EKS350" s="50"/>
      <c r="EKT350" s="50"/>
      <c r="EKU350" s="50"/>
      <c r="EKV350" s="50"/>
      <c r="EKW350" s="50"/>
      <c r="EKX350" s="50"/>
      <c r="EKY350" s="50"/>
      <c r="EKZ350" s="50"/>
      <c r="ELA350" s="50"/>
      <c r="ELB350" s="50"/>
      <c r="ELC350" s="50"/>
      <c r="ELD350" s="50"/>
      <c r="ELE350" s="50"/>
      <c r="ELF350" s="50"/>
      <c r="ELG350" s="50"/>
      <c r="ELH350" s="50"/>
      <c r="ELI350" s="50"/>
      <c r="ELJ350" s="50"/>
      <c r="ELK350" s="50"/>
      <c r="ELL350" s="50"/>
      <c r="ELM350" s="50"/>
      <c r="ELN350" s="50"/>
      <c r="ELO350" s="50"/>
      <c r="ELP350" s="50"/>
      <c r="ELQ350" s="50"/>
      <c r="ELR350" s="50"/>
      <c r="ELS350" s="50"/>
      <c r="ELT350" s="50"/>
      <c r="ELU350" s="50"/>
      <c r="ELV350" s="50"/>
      <c r="ELW350" s="50"/>
      <c r="ELX350" s="50"/>
      <c r="ELY350" s="50"/>
      <c r="ELZ350" s="50"/>
      <c r="EMA350" s="50"/>
      <c r="EMB350" s="50"/>
      <c r="EMC350" s="50"/>
      <c r="EMD350" s="50"/>
      <c r="EME350" s="50"/>
      <c r="EMF350" s="50"/>
      <c r="EMG350" s="50"/>
      <c r="EMH350" s="50"/>
      <c r="EMI350" s="50"/>
      <c r="EMJ350" s="50"/>
      <c r="EMK350" s="50"/>
      <c r="EML350" s="50"/>
      <c r="EMM350" s="50"/>
      <c r="EMN350" s="50"/>
      <c r="EMO350" s="50"/>
      <c r="EMP350" s="50"/>
      <c r="EMQ350" s="50"/>
      <c r="EMR350" s="50"/>
      <c r="EMS350" s="50"/>
      <c r="EMT350" s="50"/>
      <c r="EMU350" s="50"/>
      <c r="EMV350" s="50"/>
      <c r="EMW350" s="50"/>
      <c r="EMX350" s="50"/>
      <c r="EMY350" s="50"/>
      <c r="EMZ350" s="50"/>
      <c r="ENA350" s="50"/>
      <c r="ENB350" s="50"/>
      <c r="ENC350" s="50"/>
      <c r="END350" s="50"/>
      <c r="ENE350" s="50"/>
      <c r="ENF350" s="50"/>
      <c r="ENG350" s="50"/>
      <c r="ENH350" s="50"/>
      <c r="ENI350" s="50"/>
      <c r="ENJ350" s="50"/>
      <c r="ENK350" s="50"/>
      <c r="ENL350" s="50"/>
      <c r="ENM350" s="50"/>
      <c r="ENN350" s="50"/>
      <c r="ENO350" s="50"/>
      <c r="ENP350" s="50"/>
      <c r="ENQ350" s="50"/>
      <c r="ENR350" s="50"/>
      <c r="ENS350" s="50"/>
      <c r="ENT350" s="50"/>
      <c r="ENU350" s="50"/>
      <c r="ENV350" s="50"/>
      <c r="ENW350" s="50"/>
      <c r="ENX350" s="50"/>
      <c r="ENY350" s="50"/>
      <c r="ENZ350" s="50"/>
      <c r="EOA350" s="50"/>
      <c r="EOB350" s="50"/>
      <c r="EOC350" s="50"/>
      <c r="EOD350" s="50"/>
      <c r="EOE350" s="50"/>
      <c r="EOF350" s="50"/>
      <c r="EOG350" s="50"/>
      <c r="EOH350" s="50"/>
      <c r="EOI350" s="50"/>
      <c r="EOJ350" s="50"/>
      <c r="EOK350" s="50"/>
      <c r="EOL350" s="50"/>
      <c r="EOM350" s="50"/>
      <c r="EON350" s="50"/>
      <c r="EOO350" s="50"/>
      <c r="EOP350" s="50"/>
      <c r="EOQ350" s="50"/>
      <c r="EOR350" s="50"/>
      <c r="EOS350" s="50"/>
      <c r="EOT350" s="50"/>
      <c r="EOU350" s="50"/>
      <c r="EOV350" s="50"/>
      <c r="EOW350" s="50"/>
      <c r="EOX350" s="50"/>
      <c r="EOY350" s="50"/>
      <c r="EOZ350" s="50"/>
      <c r="EPA350" s="50"/>
      <c r="EPB350" s="50"/>
      <c r="EPC350" s="50"/>
      <c r="EPD350" s="50"/>
      <c r="EPE350" s="50"/>
      <c r="EPF350" s="50"/>
      <c r="EPG350" s="50"/>
      <c r="EPH350" s="50"/>
      <c r="EPI350" s="50"/>
      <c r="EPJ350" s="50"/>
      <c r="EPK350" s="50"/>
      <c r="EPL350" s="50"/>
      <c r="EPM350" s="50"/>
      <c r="EPN350" s="50"/>
      <c r="EPO350" s="50"/>
      <c r="EPP350" s="50"/>
      <c r="EPQ350" s="50"/>
      <c r="EPR350" s="50"/>
      <c r="EPS350" s="50"/>
      <c r="EPT350" s="50"/>
      <c r="EPU350" s="50"/>
      <c r="EPV350" s="50"/>
      <c r="EPW350" s="50"/>
      <c r="EPX350" s="50"/>
      <c r="EPY350" s="50"/>
      <c r="EPZ350" s="50"/>
      <c r="EQA350" s="50"/>
      <c r="EQB350" s="50"/>
      <c r="EQC350" s="50"/>
      <c r="EQD350" s="50"/>
      <c r="EQE350" s="50"/>
      <c r="EQF350" s="50"/>
      <c r="EQG350" s="50"/>
      <c r="EQH350" s="50"/>
      <c r="EQI350" s="50"/>
      <c r="EQJ350" s="50"/>
      <c r="EQK350" s="50"/>
      <c r="EQL350" s="50"/>
      <c r="EQM350" s="50"/>
      <c r="EQN350" s="50"/>
      <c r="EQO350" s="50"/>
      <c r="EQP350" s="50"/>
      <c r="EQQ350" s="50"/>
      <c r="EQR350" s="50"/>
      <c r="EQS350" s="50"/>
      <c r="EQT350" s="50"/>
      <c r="EQU350" s="50"/>
      <c r="EQV350" s="50"/>
      <c r="EQW350" s="50"/>
      <c r="EQX350" s="50"/>
      <c r="EQY350" s="50"/>
      <c r="EQZ350" s="50"/>
      <c r="ERA350" s="50"/>
      <c r="ERB350" s="50"/>
      <c r="ERC350" s="50"/>
      <c r="ERD350" s="50"/>
      <c r="ERE350" s="50"/>
      <c r="ERF350" s="50"/>
      <c r="ERG350" s="50"/>
      <c r="ERH350" s="50"/>
      <c r="ERI350" s="50"/>
      <c r="ERJ350" s="50"/>
      <c r="ERK350" s="50"/>
      <c r="ERL350" s="50"/>
      <c r="ERM350" s="50"/>
      <c r="ERN350" s="50"/>
      <c r="ERO350" s="50"/>
      <c r="ERP350" s="50"/>
      <c r="ERQ350" s="50"/>
      <c r="ERR350" s="50"/>
      <c r="ERS350" s="50"/>
      <c r="ERT350" s="50"/>
      <c r="ERU350" s="50"/>
      <c r="ERV350" s="50"/>
      <c r="ERW350" s="50"/>
      <c r="ERX350" s="50"/>
      <c r="ERY350" s="50"/>
      <c r="ERZ350" s="50"/>
      <c r="ESA350" s="50"/>
      <c r="ESB350" s="50"/>
      <c r="ESC350" s="50"/>
      <c r="ESD350" s="50"/>
      <c r="ESE350" s="50"/>
      <c r="ESF350" s="50"/>
      <c r="ESG350" s="50"/>
      <c r="ESH350" s="50"/>
      <c r="ESI350" s="50"/>
      <c r="ESJ350" s="50"/>
      <c r="ESK350" s="50"/>
      <c r="ESL350" s="50"/>
      <c r="ESM350" s="50"/>
      <c r="ESN350" s="50"/>
      <c r="ESO350" s="50"/>
      <c r="ESP350" s="50"/>
      <c r="ESQ350" s="50"/>
      <c r="ESR350" s="50"/>
      <c r="ESS350" s="50"/>
      <c r="EST350" s="50"/>
      <c r="ESU350" s="50"/>
      <c r="ESV350" s="50"/>
      <c r="ESW350" s="50"/>
      <c r="ESX350" s="50"/>
      <c r="ESY350" s="50"/>
      <c r="ESZ350" s="50"/>
      <c r="ETA350" s="50"/>
      <c r="ETB350" s="50"/>
      <c r="ETC350" s="50"/>
      <c r="ETD350" s="50"/>
      <c r="ETE350" s="50"/>
      <c r="ETF350" s="50"/>
      <c r="ETG350" s="50"/>
      <c r="ETH350" s="50"/>
      <c r="ETI350" s="50"/>
      <c r="ETJ350" s="50"/>
      <c r="ETK350" s="50"/>
      <c r="ETL350" s="50"/>
      <c r="ETM350" s="50"/>
      <c r="ETN350" s="50"/>
      <c r="ETO350" s="50"/>
      <c r="ETP350" s="50"/>
      <c r="ETQ350" s="50"/>
      <c r="ETR350" s="50"/>
      <c r="ETS350" s="50"/>
      <c r="ETT350" s="50"/>
      <c r="ETU350" s="50"/>
      <c r="ETV350" s="50"/>
      <c r="ETW350" s="50"/>
      <c r="ETX350" s="50"/>
      <c r="ETY350" s="50"/>
      <c r="ETZ350" s="50"/>
      <c r="EUA350" s="50"/>
      <c r="EUB350" s="50"/>
      <c r="EUC350" s="50"/>
      <c r="EUD350" s="50"/>
      <c r="EUE350" s="50"/>
      <c r="EUF350" s="50"/>
      <c r="EUG350" s="50"/>
      <c r="EUH350" s="50"/>
      <c r="EUI350" s="50"/>
      <c r="EUJ350" s="50"/>
      <c r="EUK350" s="50"/>
      <c r="EUL350" s="50"/>
      <c r="EUM350" s="50"/>
      <c r="EUN350" s="50"/>
      <c r="EUO350" s="50"/>
      <c r="EUP350" s="50"/>
      <c r="EUQ350" s="50"/>
      <c r="EUR350" s="50"/>
      <c r="EUS350" s="50"/>
      <c r="EUT350" s="50"/>
      <c r="EUU350" s="50"/>
      <c r="EUV350" s="50"/>
      <c r="EUW350" s="50"/>
      <c r="EUX350" s="50"/>
      <c r="EUY350" s="50"/>
      <c r="EUZ350" s="50"/>
      <c r="EVA350" s="50"/>
      <c r="EVB350" s="50"/>
      <c r="EVC350" s="50"/>
      <c r="EVD350" s="50"/>
      <c r="EVE350" s="50"/>
      <c r="EVF350" s="50"/>
      <c r="EVG350" s="50"/>
      <c r="EVH350" s="50"/>
      <c r="EVI350" s="50"/>
      <c r="EVJ350" s="50"/>
      <c r="EVK350" s="50"/>
      <c r="EVL350" s="50"/>
      <c r="EVM350" s="50"/>
      <c r="EVN350" s="50"/>
      <c r="EVO350" s="50"/>
      <c r="EVP350" s="50"/>
      <c r="EVQ350" s="50"/>
      <c r="EVR350" s="50"/>
      <c r="EVS350" s="50"/>
      <c r="EVT350" s="50"/>
      <c r="EVU350" s="50"/>
      <c r="EVV350" s="50"/>
      <c r="EVW350" s="50"/>
      <c r="EVX350" s="50"/>
      <c r="EVY350" s="50"/>
      <c r="EVZ350" s="50"/>
      <c r="EWA350" s="50"/>
      <c r="EWB350" s="50"/>
      <c r="EWC350" s="50"/>
      <c r="EWD350" s="50"/>
      <c r="EWE350" s="50"/>
      <c r="EWF350" s="50"/>
      <c r="EWG350" s="50"/>
      <c r="EWH350" s="50"/>
      <c r="EWI350" s="50"/>
      <c r="EWJ350" s="50"/>
      <c r="EWK350" s="50"/>
      <c r="EWL350" s="50"/>
      <c r="EWM350" s="50"/>
      <c r="EWN350" s="50"/>
      <c r="EWO350" s="50"/>
      <c r="EWP350" s="50"/>
      <c r="EWQ350" s="50"/>
      <c r="EWR350" s="50"/>
      <c r="EWS350" s="50"/>
      <c r="EWT350" s="50"/>
      <c r="EWU350" s="50"/>
      <c r="EWV350" s="50"/>
      <c r="EWW350" s="50"/>
      <c r="EWX350" s="50"/>
      <c r="EWY350" s="50"/>
      <c r="EWZ350" s="50"/>
      <c r="EXA350" s="50"/>
      <c r="EXB350" s="50"/>
      <c r="EXC350" s="50"/>
      <c r="EXD350" s="50"/>
      <c r="EXE350" s="50"/>
      <c r="EXF350" s="50"/>
      <c r="EXG350" s="50"/>
      <c r="EXH350" s="50"/>
      <c r="EXI350" s="50"/>
      <c r="EXJ350" s="50"/>
      <c r="EXK350" s="50"/>
      <c r="EXL350" s="50"/>
      <c r="EXM350" s="50"/>
      <c r="EXN350" s="50"/>
      <c r="EXO350" s="50"/>
      <c r="EXP350" s="50"/>
      <c r="EXQ350" s="50"/>
      <c r="EXR350" s="50"/>
      <c r="EXS350" s="50"/>
      <c r="EXT350" s="50"/>
      <c r="EXU350" s="50"/>
      <c r="EXV350" s="50"/>
      <c r="EXW350" s="50"/>
      <c r="EXX350" s="50"/>
      <c r="EXY350" s="50"/>
      <c r="EXZ350" s="50"/>
      <c r="EYA350" s="50"/>
      <c r="EYB350" s="50"/>
      <c r="EYC350" s="50"/>
      <c r="EYD350" s="50"/>
      <c r="EYE350" s="50"/>
      <c r="EYF350" s="50"/>
      <c r="EYG350" s="50"/>
      <c r="EYH350" s="50"/>
      <c r="EYI350" s="50"/>
      <c r="EYJ350" s="50"/>
      <c r="EYK350" s="50"/>
      <c r="EYL350" s="50"/>
      <c r="EYM350" s="50"/>
      <c r="EYN350" s="50"/>
      <c r="EYO350" s="50"/>
      <c r="EYP350" s="50"/>
      <c r="EYQ350" s="50"/>
      <c r="EYR350" s="50"/>
      <c r="EYS350" s="50"/>
      <c r="EYT350" s="50"/>
      <c r="EYU350" s="50"/>
      <c r="EYV350" s="50"/>
      <c r="EYW350" s="50"/>
      <c r="EYX350" s="50"/>
      <c r="EYY350" s="50"/>
      <c r="EYZ350" s="50"/>
      <c r="EZA350" s="50"/>
      <c r="EZB350" s="50"/>
      <c r="EZC350" s="50"/>
      <c r="EZD350" s="50"/>
      <c r="EZE350" s="50"/>
      <c r="EZF350" s="50"/>
      <c r="EZG350" s="50"/>
      <c r="EZH350" s="50"/>
      <c r="EZI350" s="50"/>
      <c r="EZJ350" s="50"/>
      <c r="EZK350" s="50"/>
      <c r="EZL350" s="50"/>
      <c r="EZM350" s="50"/>
      <c r="EZN350" s="50"/>
      <c r="EZO350" s="50"/>
      <c r="EZP350" s="50"/>
      <c r="EZQ350" s="50"/>
      <c r="EZR350" s="50"/>
      <c r="EZS350" s="50"/>
      <c r="EZT350" s="50"/>
      <c r="EZU350" s="50"/>
      <c r="EZV350" s="50"/>
      <c r="EZW350" s="50"/>
      <c r="EZX350" s="50"/>
      <c r="EZY350" s="50"/>
      <c r="EZZ350" s="50"/>
      <c r="FAA350" s="50"/>
      <c r="FAB350" s="50"/>
      <c r="FAC350" s="50"/>
      <c r="FAD350" s="50"/>
      <c r="FAE350" s="50"/>
      <c r="FAF350" s="50"/>
      <c r="FAG350" s="50"/>
      <c r="FAH350" s="50"/>
      <c r="FAI350" s="50"/>
      <c r="FAJ350" s="50"/>
      <c r="FAK350" s="50"/>
      <c r="FAL350" s="50"/>
      <c r="FAM350" s="50"/>
      <c r="FAN350" s="50"/>
      <c r="FAO350" s="50"/>
      <c r="FAP350" s="50"/>
      <c r="FAQ350" s="50"/>
      <c r="FAR350" s="50"/>
      <c r="FAS350" s="50"/>
      <c r="FAT350" s="50"/>
      <c r="FAU350" s="50"/>
      <c r="FAV350" s="50"/>
      <c r="FAW350" s="50"/>
      <c r="FAX350" s="50"/>
      <c r="FAY350" s="50"/>
      <c r="FAZ350" s="50"/>
      <c r="FBA350" s="50"/>
      <c r="FBB350" s="50"/>
      <c r="FBC350" s="50"/>
      <c r="FBD350" s="50"/>
      <c r="FBE350" s="50"/>
      <c r="FBF350" s="50"/>
      <c r="FBG350" s="50"/>
      <c r="FBH350" s="50"/>
      <c r="FBI350" s="50"/>
      <c r="FBJ350" s="50"/>
      <c r="FBK350" s="50"/>
      <c r="FBL350" s="50"/>
      <c r="FBM350" s="50"/>
      <c r="FBN350" s="50"/>
      <c r="FBO350" s="50"/>
      <c r="FBP350" s="50"/>
      <c r="FBQ350" s="50"/>
      <c r="FBR350" s="50"/>
      <c r="FBS350" s="50"/>
      <c r="FBT350" s="50"/>
      <c r="FBU350" s="50"/>
      <c r="FBV350" s="50"/>
      <c r="FBW350" s="50"/>
      <c r="FBX350" s="50"/>
      <c r="FBY350" s="50"/>
      <c r="FBZ350" s="50"/>
      <c r="FCA350" s="50"/>
      <c r="FCB350" s="50"/>
      <c r="FCC350" s="50"/>
      <c r="FCD350" s="50"/>
      <c r="FCE350" s="50"/>
      <c r="FCF350" s="50"/>
      <c r="FCG350" s="50"/>
      <c r="FCH350" s="50"/>
      <c r="FCI350" s="50"/>
      <c r="FCJ350" s="50"/>
      <c r="FCK350" s="50"/>
      <c r="FCL350" s="50"/>
      <c r="FCM350" s="50"/>
      <c r="FCN350" s="50"/>
      <c r="FCO350" s="50"/>
      <c r="FCP350" s="50"/>
      <c r="FCQ350" s="50"/>
      <c r="FCR350" s="50"/>
      <c r="FCS350" s="50"/>
      <c r="FCT350" s="50"/>
      <c r="FCU350" s="50"/>
      <c r="FCV350" s="50"/>
      <c r="FCW350" s="50"/>
      <c r="FCX350" s="50"/>
      <c r="FCY350" s="50"/>
      <c r="FCZ350" s="50"/>
      <c r="FDA350" s="50"/>
      <c r="FDB350" s="50"/>
      <c r="FDC350" s="50"/>
      <c r="FDD350" s="50"/>
      <c r="FDE350" s="50"/>
      <c r="FDF350" s="50"/>
      <c r="FDG350" s="50"/>
      <c r="FDH350" s="50"/>
      <c r="FDI350" s="50"/>
      <c r="FDJ350" s="50"/>
      <c r="FDK350" s="50"/>
      <c r="FDL350" s="50"/>
      <c r="FDM350" s="50"/>
      <c r="FDN350" s="50"/>
      <c r="FDO350" s="50"/>
      <c r="FDP350" s="50"/>
      <c r="FDQ350" s="50"/>
      <c r="FDR350" s="50"/>
      <c r="FDS350" s="50"/>
      <c r="FDT350" s="50"/>
      <c r="FDU350" s="50"/>
      <c r="FDV350" s="50"/>
      <c r="FDW350" s="50"/>
      <c r="FDX350" s="50"/>
      <c r="FDY350" s="50"/>
      <c r="FDZ350" s="50"/>
      <c r="FEA350" s="50"/>
      <c r="FEB350" s="50"/>
      <c r="FEC350" s="50"/>
      <c r="FED350" s="50"/>
      <c r="FEE350" s="50"/>
      <c r="FEF350" s="50"/>
      <c r="FEG350" s="50"/>
      <c r="FEH350" s="50"/>
      <c r="FEI350" s="50"/>
      <c r="FEJ350" s="50"/>
      <c r="FEK350" s="50"/>
      <c r="FEL350" s="50"/>
      <c r="FEM350" s="50"/>
      <c r="FEN350" s="50"/>
      <c r="FEO350" s="50"/>
      <c r="FEP350" s="50"/>
      <c r="FEQ350" s="50"/>
      <c r="FER350" s="50"/>
      <c r="FES350" s="50"/>
      <c r="FET350" s="50"/>
      <c r="FEU350" s="50"/>
      <c r="FEV350" s="50"/>
      <c r="FEW350" s="50"/>
      <c r="FEX350" s="50"/>
      <c r="FEY350" s="50"/>
      <c r="FEZ350" s="50"/>
      <c r="FFA350" s="50"/>
      <c r="FFB350" s="50"/>
      <c r="FFC350" s="50"/>
      <c r="FFD350" s="50"/>
      <c r="FFE350" s="50"/>
      <c r="FFF350" s="50"/>
      <c r="FFG350" s="50"/>
      <c r="FFH350" s="50"/>
      <c r="FFI350" s="50"/>
      <c r="FFJ350" s="50"/>
      <c r="FFK350" s="50"/>
      <c r="FFL350" s="50"/>
      <c r="FFM350" s="50"/>
      <c r="FFN350" s="50"/>
      <c r="FFO350" s="50"/>
      <c r="FFP350" s="50"/>
      <c r="FFQ350" s="50"/>
      <c r="FFR350" s="50"/>
      <c r="FFS350" s="50"/>
      <c r="FFT350" s="50"/>
      <c r="FFU350" s="50"/>
      <c r="FFV350" s="50"/>
      <c r="FFW350" s="50"/>
      <c r="FFX350" s="50"/>
      <c r="FFY350" s="50"/>
      <c r="FFZ350" s="50"/>
      <c r="FGA350" s="50"/>
      <c r="FGB350" s="50"/>
      <c r="FGC350" s="50"/>
      <c r="FGD350" s="50"/>
      <c r="FGE350" s="50"/>
      <c r="FGF350" s="50"/>
      <c r="FGG350" s="50"/>
      <c r="FGH350" s="50"/>
      <c r="FGI350" s="50"/>
      <c r="FGJ350" s="50"/>
      <c r="FGK350" s="50"/>
      <c r="FGL350" s="50"/>
      <c r="FGM350" s="50"/>
      <c r="FGN350" s="50"/>
      <c r="FGO350" s="50"/>
      <c r="FGP350" s="50"/>
      <c r="FGQ350" s="50"/>
      <c r="FGR350" s="50"/>
      <c r="FGS350" s="50"/>
      <c r="FGT350" s="50"/>
      <c r="FGU350" s="50"/>
      <c r="FGV350" s="50"/>
      <c r="FGW350" s="50"/>
      <c r="FGX350" s="50"/>
      <c r="FGY350" s="50"/>
      <c r="FGZ350" s="50"/>
      <c r="FHA350" s="50"/>
      <c r="FHB350" s="50"/>
      <c r="FHC350" s="50"/>
      <c r="FHD350" s="50"/>
      <c r="FHE350" s="50"/>
      <c r="FHF350" s="50"/>
      <c r="FHG350" s="50"/>
      <c r="FHH350" s="50"/>
      <c r="FHI350" s="50"/>
      <c r="FHJ350" s="50"/>
      <c r="FHK350" s="50"/>
      <c r="FHL350" s="50"/>
      <c r="FHM350" s="50"/>
      <c r="FHN350" s="50"/>
      <c r="FHO350" s="50"/>
      <c r="FHP350" s="50"/>
      <c r="FHQ350" s="50"/>
      <c r="FHR350" s="50"/>
      <c r="FHS350" s="50"/>
      <c r="FHT350" s="50"/>
      <c r="FHU350" s="50"/>
      <c r="FHV350" s="50"/>
      <c r="FHW350" s="50"/>
      <c r="FHX350" s="50"/>
      <c r="FHY350" s="50"/>
      <c r="FHZ350" s="50"/>
      <c r="FIA350" s="50"/>
      <c r="FIB350" s="50"/>
      <c r="FIC350" s="50"/>
      <c r="FID350" s="50"/>
      <c r="FIE350" s="50"/>
      <c r="FIF350" s="50"/>
      <c r="FIG350" s="50"/>
      <c r="FIH350" s="50"/>
      <c r="FII350" s="50"/>
      <c r="FIJ350" s="50"/>
      <c r="FIK350" s="50"/>
      <c r="FIL350" s="50"/>
      <c r="FIM350" s="50"/>
      <c r="FIN350" s="50"/>
      <c r="FIO350" s="50"/>
      <c r="FIP350" s="50"/>
      <c r="FIQ350" s="50"/>
      <c r="FIR350" s="50"/>
      <c r="FIS350" s="50"/>
      <c r="FIT350" s="50"/>
      <c r="FIU350" s="50"/>
      <c r="FIV350" s="50"/>
      <c r="FIW350" s="50"/>
      <c r="FIX350" s="50"/>
      <c r="FIY350" s="50"/>
      <c r="FIZ350" s="50"/>
      <c r="FJA350" s="50"/>
      <c r="FJB350" s="50"/>
      <c r="FJC350" s="50"/>
      <c r="FJD350" s="50"/>
      <c r="FJE350" s="50"/>
      <c r="FJF350" s="50"/>
      <c r="FJG350" s="50"/>
      <c r="FJH350" s="50"/>
      <c r="FJI350" s="50"/>
      <c r="FJJ350" s="50"/>
      <c r="FJK350" s="50"/>
      <c r="FJL350" s="50"/>
      <c r="FJM350" s="50"/>
      <c r="FJN350" s="50"/>
      <c r="FJO350" s="50"/>
      <c r="FJP350" s="50"/>
      <c r="FJQ350" s="50"/>
      <c r="FJR350" s="50"/>
      <c r="FJS350" s="50"/>
      <c r="FJT350" s="50"/>
      <c r="FJU350" s="50"/>
      <c r="FJV350" s="50"/>
      <c r="FJW350" s="50"/>
      <c r="FJX350" s="50"/>
      <c r="FJY350" s="50"/>
      <c r="FJZ350" s="50"/>
      <c r="FKA350" s="50"/>
      <c r="FKB350" s="50"/>
      <c r="FKC350" s="50"/>
      <c r="FKD350" s="50"/>
      <c r="FKE350" s="50"/>
      <c r="FKF350" s="50"/>
      <c r="FKG350" s="50"/>
      <c r="FKH350" s="50"/>
      <c r="FKI350" s="50"/>
      <c r="FKJ350" s="50"/>
      <c r="FKK350" s="50"/>
      <c r="FKL350" s="50"/>
      <c r="FKM350" s="50"/>
      <c r="FKN350" s="50"/>
      <c r="FKO350" s="50"/>
      <c r="FKP350" s="50"/>
      <c r="FKQ350" s="50"/>
      <c r="FKR350" s="50"/>
      <c r="FKS350" s="50"/>
      <c r="FKT350" s="50"/>
      <c r="FKU350" s="50"/>
      <c r="FKV350" s="50"/>
      <c r="FKW350" s="50"/>
      <c r="FKX350" s="50"/>
      <c r="FKY350" s="50"/>
      <c r="FKZ350" s="50"/>
      <c r="FLA350" s="50"/>
      <c r="FLB350" s="50"/>
      <c r="FLC350" s="50"/>
      <c r="FLD350" s="50"/>
      <c r="FLE350" s="50"/>
      <c r="FLF350" s="50"/>
      <c r="FLG350" s="50"/>
      <c r="FLH350" s="50"/>
      <c r="FLI350" s="50"/>
      <c r="FLJ350" s="50"/>
      <c r="FLK350" s="50"/>
      <c r="FLL350" s="50"/>
      <c r="FLM350" s="50"/>
      <c r="FLN350" s="50"/>
      <c r="FLO350" s="50"/>
      <c r="FLP350" s="50"/>
      <c r="FLQ350" s="50"/>
      <c r="FLR350" s="50"/>
      <c r="FLS350" s="50"/>
      <c r="FLT350" s="50"/>
      <c r="FLU350" s="50"/>
      <c r="FLV350" s="50"/>
      <c r="FLW350" s="50"/>
      <c r="FLX350" s="50"/>
      <c r="FLY350" s="50"/>
      <c r="FLZ350" s="50"/>
      <c r="FMA350" s="50"/>
      <c r="FMB350" s="50"/>
      <c r="FMC350" s="50"/>
      <c r="FMD350" s="50"/>
      <c r="FME350" s="50"/>
      <c r="FMF350" s="50"/>
      <c r="FMG350" s="50"/>
      <c r="FMH350" s="50"/>
      <c r="FMI350" s="50"/>
      <c r="FMJ350" s="50"/>
      <c r="FMK350" s="50"/>
      <c r="FML350" s="50"/>
      <c r="FMM350" s="50"/>
      <c r="FMN350" s="50"/>
      <c r="FMO350" s="50"/>
      <c r="FMP350" s="50"/>
      <c r="FMQ350" s="50"/>
      <c r="FMR350" s="50"/>
      <c r="FMS350" s="50"/>
      <c r="FMT350" s="50"/>
      <c r="FMU350" s="50"/>
      <c r="FMV350" s="50"/>
      <c r="FMW350" s="50"/>
      <c r="FMX350" s="50"/>
      <c r="FMY350" s="50"/>
      <c r="FMZ350" s="50"/>
      <c r="FNA350" s="50"/>
      <c r="FNB350" s="50"/>
      <c r="FNC350" s="50"/>
      <c r="FND350" s="50"/>
      <c r="FNE350" s="50"/>
      <c r="FNF350" s="50"/>
      <c r="FNG350" s="50"/>
      <c r="FNH350" s="50"/>
      <c r="FNI350" s="50"/>
      <c r="FNJ350" s="50"/>
      <c r="FNK350" s="50"/>
      <c r="FNL350" s="50"/>
      <c r="FNM350" s="50"/>
      <c r="FNN350" s="50"/>
      <c r="FNO350" s="50"/>
      <c r="FNP350" s="50"/>
      <c r="FNQ350" s="50"/>
      <c r="FNR350" s="50"/>
      <c r="FNS350" s="50"/>
      <c r="FNT350" s="50"/>
      <c r="FNU350" s="50"/>
      <c r="FNV350" s="50"/>
      <c r="FNW350" s="50"/>
      <c r="FNX350" s="50"/>
      <c r="FNY350" s="50"/>
      <c r="FNZ350" s="50"/>
      <c r="FOA350" s="50"/>
      <c r="FOB350" s="50"/>
      <c r="FOC350" s="50"/>
      <c r="FOD350" s="50"/>
      <c r="FOE350" s="50"/>
      <c r="FOF350" s="50"/>
      <c r="FOG350" s="50"/>
      <c r="FOH350" s="50"/>
      <c r="FOI350" s="50"/>
      <c r="FOJ350" s="50"/>
      <c r="FOK350" s="50"/>
      <c r="FOL350" s="50"/>
      <c r="FOM350" s="50"/>
      <c r="FON350" s="50"/>
      <c r="FOO350" s="50"/>
      <c r="FOP350" s="50"/>
      <c r="FOQ350" s="50"/>
      <c r="FOR350" s="50"/>
      <c r="FOS350" s="50"/>
      <c r="FOT350" s="50"/>
      <c r="FOU350" s="50"/>
      <c r="FOV350" s="50"/>
      <c r="FOW350" s="50"/>
      <c r="FOX350" s="50"/>
      <c r="FOY350" s="50"/>
      <c r="FOZ350" s="50"/>
      <c r="FPA350" s="50"/>
      <c r="FPB350" s="50"/>
      <c r="FPC350" s="50"/>
      <c r="FPD350" s="50"/>
      <c r="FPE350" s="50"/>
      <c r="FPF350" s="50"/>
      <c r="FPG350" s="50"/>
      <c r="FPH350" s="50"/>
      <c r="FPI350" s="50"/>
      <c r="FPJ350" s="50"/>
      <c r="FPK350" s="50"/>
      <c r="FPL350" s="50"/>
      <c r="FPM350" s="50"/>
      <c r="FPN350" s="50"/>
      <c r="FPO350" s="50"/>
      <c r="FPP350" s="50"/>
      <c r="FPQ350" s="50"/>
      <c r="FPR350" s="50"/>
      <c r="FPS350" s="50"/>
      <c r="FPT350" s="50"/>
      <c r="FPU350" s="50"/>
      <c r="FPV350" s="50"/>
      <c r="FPW350" s="50"/>
      <c r="FPX350" s="50"/>
      <c r="FPY350" s="50"/>
      <c r="FPZ350" s="50"/>
      <c r="FQA350" s="50"/>
      <c r="FQB350" s="50"/>
      <c r="FQC350" s="50"/>
      <c r="FQD350" s="50"/>
      <c r="FQE350" s="50"/>
      <c r="FQF350" s="50"/>
      <c r="FQG350" s="50"/>
      <c r="FQH350" s="50"/>
      <c r="FQI350" s="50"/>
      <c r="FQJ350" s="50"/>
      <c r="FQK350" s="50"/>
      <c r="FQL350" s="50"/>
      <c r="FQM350" s="50"/>
      <c r="FQN350" s="50"/>
      <c r="FQO350" s="50"/>
      <c r="FQP350" s="50"/>
      <c r="FQQ350" s="50"/>
      <c r="FQR350" s="50"/>
      <c r="FQS350" s="50"/>
      <c r="FQT350" s="50"/>
      <c r="FQU350" s="50"/>
      <c r="FQV350" s="50"/>
      <c r="FQW350" s="50"/>
      <c r="FQX350" s="50"/>
      <c r="FQY350" s="50"/>
      <c r="FQZ350" s="50"/>
      <c r="FRA350" s="50"/>
      <c r="FRB350" s="50"/>
      <c r="FRC350" s="50"/>
      <c r="FRD350" s="50"/>
      <c r="FRE350" s="50"/>
      <c r="FRF350" s="50"/>
      <c r="FRG350" s="50"/>
      <c r="FRH350" s="50"/>
      <c r="FRI350" s="50"/>
      <c r="FRJ350" s="50"/>
      <c r="FRK350" s="50"/>
      <c r="FRL350" s="50"/>
      <c r="FRM350" s="50"/>
      <c r="FRN350" s="50"/>
      <c r="FRO350" s="50"/>
      <c r="FRP350" s="50"/>
      <c r="FRQ350" s="50"/>
      <c r="FRR350" s="50"/>
      <c r="FRS350" s="50"/>
      <c r="FRT350" s="50"/>
      <c r="FRU350" s="50"/>
      <c r="FRV350" s="50"/>
      <c r="FRW350" s="50"/>
      <c r="FRX350" s="50"/>
      <c r="FRY350" s="50"/>
      <c r="FRZ350" s="50"/>
      <c r="FSA350" s="50"/>
      <c r="FSB350" s="50"/>
      <c r="FSC350" s="50"/>
      <c r="FSD350" s="50"/>
      <c r="FSE350" s="50"/>
      <c r="FSF350" s="50"/>
      <c r="FSG350" s="50"/>
      <c r="FSH350" s="50"/>
      <c r="FSI350" s="50"/>
      <c r="FSJ350" s="50"/>
      <c r="FSK350" s="50"/>
      <c r="FSL350" s="50"/>
      <c r="FSM350" s="50"/>
      <c r="FSN350" s="50"/>
      <c r="FSO350" s="50"/>
      <c r="FSP350" s="50"/>
      <c r="FSQ350" s="50"/>
      <c r="FSR350" s="50"/>
      <c r="FSS350" s="50"/>
      <c r="FST350" s="50"/>
      <c r="FSU350" s="50"/>
      <c r="FSV350" s="50"/>
      <c r="FSW350" s="50"/>
      <c r="FSX350" s="50"/>
      <c r="FSY350" s="50"/>
      <c r="FSZ350" s="50"/>
      <c r="FTA350" s="50"/>
      <c r="FTB350" s="50"/>
      <c r="FTC350" s="50"/>
      <c r="FTD350" s="50"/>
      <c r="FTE350" s="50"/>
      <c r="FTF350" s="50"/>
      <c r="FTG350" s="50"/>
      <c r="FTH350" s="50"/>
      <c r="FTI350" s="50"/>
      <c r="FTJ350" s="50"/>
      <c r="FTK350" s="50"/>
      <c r="FTL350" s="50"/>
      <c r="FTM350" s="50"/>
      <c r="FTN350" s="50"/>
      <c r="FTO350" s="50"/>
      <c r="FTP350" s="50"/>
      <c r="FTQ350" s="50"/>
      <c r="FTR350" s="50"/>
      <c r="FTS350" s="50"/>
      <c r="FTT350" s="50"/>
      <c r="FTU350" s="50"/>
      <c r="FTV350" s="50"/>
      <c r="FTW350" s="50"/>
      <c r="FTX350" s="50"/>
      <c r="FTY350" s="50"/>
      <c r="FTZ350" s="50"/>
      <c r="FUA350" s="50"/>
      <c r="FUB350" s="50"/>
      <c r="FUC350" s="50"/>
      <c r="FUD350" s="50"/>
      <c r="FUE350" s="50"/>
      <c r="FUF350" s="50"/>
      <c r="FUG350" s="50"/>
      <c r="FUH350" s="50"/>
      <c r="FUI350" s="50"/>
      <c r="FUJ350" s="50"/>
      <c r="FUK350" s="50"/>
      <c r="FUL350" s="50"/>
      <c r="FUM350" s="50"/>
      <c r="FUN350" s="50"/>
      <c r="FUO350" s="50"/>
      <c r="FUP350" s="50"/>
      <c r="FUQ350" s="50"/>
      <c r="FUR350" s="50"/>
      <c r="FUS350" s="50"/>
      <c r="FUT350" s="50"/>
      <c r="FUU350" s="50"/>
      <c r="FUV350" s="50"/>
      <c r="FUW350" s="50"/>
      <c r="FUX350" s="50"/>
      <c r="FUY350" s="50"/>
      <c r="FUZ350" s="50"/>
      <c r="FVA350" s="50"/>
      <c r="FVB350" s="50"/>
      <c r="FVC350" s="50"/>
      <c r="FVD350" s="50"/>
      <c r="FVE350" s="50"/>
      <c r="FVF350" s="50"/>
      <c r="FVG350" s="50"/>
      <c r="FVH350" s="50"/>
      <c r="FVI350" s="50"/>
      <c r="FVJ350" s="50"/>
      <c r="FVK350" s="50"/>
      <c r="FVL350" s="50"/>
      <c r="FVM350" s="50"/>
      <c r="FVN350" s="50"/>
      <c r="FVO350" s="50"/>
      <c r="FVP350" s="50"/>
      <c r="FVQ350" s="50"/>
      <c r="FVR350" s="50"/>
      <c r="FVS350" s="50"/>
      <c r="FVT350" s="50"/>
      <c r="FVU350" s="50"/>
      <c r="FVV350" s="50"/>
      <c r="FVW350" s="50"/>
      <c r="FVX350" s="50"/>
      <c r="FVY350" s="50"/>
      <c r="FVZ350" s="50"/>
      <c r="FWA350" s="50"/>
      <c r="FWB350" s="50"/>
      <c r="FWC350" s="50"/>
      <c r="FWD350" s="50"/>
      <c r="FWE350" s="50"/>
      <c r="FWF350" s="50"/>
      <c r="FWG350" s="50"/>
      <c r="FWH350" s="50"/>
      <c r="FWI350" s="50"/>
      <c r="FWJ350" s="50"/>
      <c r="FWK350" s="50"/>
      <c r="FWL350" s="50"/>
      <c r="FWM350" s="50"/>
      <c r="FWN350" s="50"/>
      <c r="FWO350" s="50"/>
      <c r="FWP350" s="50"/>
      <c r="FWQ350" s="50"/>
      <c r="FWR350" s="50"/>
      <c r="FWS350" s="50"/>
      <c r="FWT350" s="50"/>
      <c r="FWU350" s="50"/>
      <c r="FWV350" s="50"/>
      <c r="FWW350" s="50"/>
      <c r="FWX350" s="50"/>
      <c r="FWY350" s="50"/>
      <c r="FWZ350" s="50"/>
      <c r="FXA350" s="50"/>
      <c r="FXB350" s="50"/>
      <c r="FXC350" s="50"/>
      <c r="FXD350" s="50"/>
      <c r="FXE350" s="50"/>
      <c r="FXF350" s="50"/>
      <c r="FXG350" s="50"/>
      <c r="FXH350" s="50"/>
      <c r="FXI350" s="50"/>
      <c r="FXJ350" s="50"/>
      <c r="FXK350" s="50"/>
      <c r="FXL350" s="50"/>
      <c r="FXM350" s="50"/>
      <c r="FXN350" s="50"/>
      <c r="FXO350" s="50"/>
      <c r="FXP350" s="50"/>
      <c r="FXQ350" s="50"/>
      <c r="FXR350" s="50"/>
      <c r="FXS350" s="50"/>
      <c r="FXT350" s="50"/>
      <c r="FXU350" s="50"/>
      <c r="FXV350" s="50"/>
      <c r="FXW350" s="50"/>
      <c r="FXX350" s="50"/>
      <c r="FXY350" s="50"/>
      <c r="FXZ350" s="50"/>
      <c r="FYA350" s="50"/>
      <c r="FYB350" s="50"/>
      <c r="FYC350" s="50"/>
      <c r="FYD350" s="50"/>
      <c r="FYE350" s="50"/>
      <c r="FYF350" s="50"/>
      <c r="FYG350" s="50"/>
      <c r="FYH350" s="50"/>
      <c r="FYI350" s="50"/>
      <c r="FYJ350" s="50"/>
      <c r="FYK350" s="50"/>
      <c r="FYL350" s="50"/>
      <c r="FYM350" s="50"/>
      <c r="FYN350" s="50"/>
      <c r="FYO350" s="50"/>
      <c r="FYP350" s="50"/>
      <c r="FYQ350" s="50"/>
      <c r="FYR350" s="50"/>
      <c r="FYS350" s="50"/>
      <c r="FYT350" s="50"/>
      <c r="FYU350" s="50"/>
      <c r="FYV350" s="50"/>
      <c r="FYW350" s="50"/>
      <c r="FYX350" s="50"/>
      <c r="FYY350" s="50"/>
      <c r="FYZ350" s="50"/>
      <c r="FZA350" s="50"/>
      <c r="FZB350" s="50"/>
      <c r="FZC350" s="50"/>
      <c r="FZD350" s="50"/>
      <c r="FZE350" s="50"/>
      <c r="FZF350" s="50"/>
      <c r="FZG350" s="50"/>
      <c r="FZH350" s="50"/>
      <c r="FZI350" s="50"/>
      <c r="FZJ350" s="50"/>
      <c r="FZK350" s="50"/>
      <c r="FZL350" s="50"/>
      <c r="FZM350" s="50"/>
      <c r="FZN350" s="50"/>
      <c r="FZO350" s="50"/>
      <c r="FZP350" s="50"/>
      <c r="FZQ350" s="50"/>
      <c r="FZR350" s="50"/>
      <c r="FZS350" s="50"/>
      <c r="FZT350" s="50"/>
      <c r="FZU350" s="50"/>
      <c r="FZV350" s="50"/>
      <c r="FZW350" s="50"/>
      <c r="FZX350" s="50"/>
      <c r="FZY350" s="50"/>
      <c r="FZZ350" s="50"/>
      <c r="GAA350" s="50"/>
      <c r="GAB350" s="50"/>
      <c r="GAC350" s="50"/>
      <c r="GAD350" s="50"/>
      <c r="GAE350" s="50"/>
      <c r="GAF350" s="50"/>
      <c r="GAG350" s="50"/>
      <c r="GAH350" s="50"/>
      <c r="GAI350" s="50"/>
      <c r="GAJ350" s="50"/>
      <c r="GAK350" s="50"/>
      <c r="GAL350" s="50"/>
      <c r="GAM350" s="50"/>
      <c r="GAN350" s="50"/>
      <c r="GAO350" s="50"/>
      <c r="GAP350" s="50"/>
      <c r="GAQ350" s="50"/>
      <c r="GAR350" s="50"/>
      <c r="GAS350" s="50"/>
      <c r="GAT350" s="50"/>
      <c r="GAU350" s="50"/>
      <c r="GAV350" s="50"/>
      <c r="GAW350" s="50"/>
      <c r="GAX350" s="50"/>
      <c r="GAY350" s="50"/>
      <c r="GAZ350" s="50"/>
      <c r="GBA350" s="50"/>
      <c r="GBB350" s="50"/>
      <c r="GBC350" s="50"/>
      <c r="GBD350" s="50"/>
      <c r="GBE350" s="50"/>
      <c r="GBF350" s="50"/>
      <c r="GBG350" s="50"/>
      <c r="GBH350" s="50"/>
      <c r="GBI350" s="50"/>
      <c r="GBJ350" s="50"/>
      <c r="GBK350" s="50"/>
      <c r="GBL350" s="50"/>
      <c r="GBM350" s="50"/>
      <c r="GBN350" s="50"/>
      <c r="GBO350" s="50"/>
      <c r="GBP350" s="50"/>
      <c r="GBQ350" s="50"/>
      <c r="GBR350" s="50"/>
      <c r="GBS350" s="50"/>
      <c r="GBT350" s="50"/>
      <c r="GBU350" s="50"/>
      <c r="GBV350" s="50"/>
      <c r="GBW350" s="50"/>
      <c r="GBX350" s="50"/>
      <c r="GBY350" s="50"/>
      <c r="GBZ350" s="50"/>
      <c r="GCA350" s="50"/>
      <c r="GCB350" s="50"/>
      <c r="GCC350" s="50"/>
      <c r="GCD350" s="50"/>
      <c r="GCE350" s="50"/>
      <c r="GCF350" s="50"/>
      <c r="GCG350" s="50"/>
      <c r="GCH350" s="50"/>
      <c r="GCI350" s="50"/>
      <c r="GCJ350" s="50"/>
      <c r="GCK350" s="50"/>
      <c r="GCL350" s="50"/>
      <c r="GCM350" s="50"/>
      <c r="GCN350" s="50"/>
      <c r="GCO350" s="50"/>
      <c r="GCP350" s="50"/>
      <c r="GCQ350" s="50"/>
      <c r="GCR350" s="50"/>
      <c r="GCS350" s="50"/>
      <c r="GCT350" s="50"/>
      <c r="GCU350" s="50"/>
      <c r="GCV350" s="50"/>
      <c r="GCW350" s="50"/>
      <c r="GCX350" s="50"/>
      <c r="GCY350" s="50"/>
      <c r="GCZ350" s="50"/>
      <c r="GDA350" s="50"/>
      <c r="GDB350" s="50"/>
      <c r="GDC350" s="50"/>
      <c r="GDD350" s="50"/>
      <c r="GDE350" s="50"/>
      <c r="GDF350" s="50"/>
      <c r="GDG350" s="50"/>
      <c r="GDH350" s="50"/>
      <c r="GDI350" s="50"/>
      <c r="GDJ350" s="50"/>
      <c r="GDK350" s="50"/>
      <c r="GDL350" s="50"/>
      <c r="GDM350" s="50"/>
      <c r="GDN350" s="50"/>
      <c r="GDO350" s="50"/>
      <c r="GDP350" s="50"/>
      <c r="GDQ350" s="50"/>
      <c r="GDR350" s="50"/>
      <c r="GDS350" s="50"/>
      <c r="GDT350" s="50"/>
      <c r="GDU350" s="50"/>
      <c r="GDV350" s="50"/>
      <c r="GDW350" s="50"/>
      <c r="GDX350" s="50"/>
      <c r="GDY350" s="50"/>
      <c r="GDZ350" s="50"/>
      <c r="GEA350" s="50"/>
      <c r="GEB350" s="50"/>
      <c r="GEC350" s="50"/>
      <c r="GED350" s="50"/>
      <c r="GEE350" s="50"/>
      <c r="GEF350" s="50"/>
      <c r="GEG350" s="50"/>
      <c r="GEH350" s="50"/>
      <c r="GEI350" s="50"/>
      <c r="GEJ350" s="50"/>
      <c r="GEK350" s="50"/>
      <c r="GEL350" s="50"/>
      <c r="GEM350" s="50"/>
      <c r="GEN350" s="50"/>
      <c r="GEO350" s="50"/>
      <c r="GEP350" s="50"/>
      <c r="GEQ350" s="50"/>
      <c r="GER350" s="50"/>
      <c r="GES350" s="50"/>
      <c r="GET350" s="50"/>
      <c r="GEU350" s="50"/>
      <c r="GEV350" s="50"/>
      <c r="GEW350" s="50"/>
      <c r="GEX350" s="50"/>
      <c r="GEY350" s="50"/>
      <c r="GEZ350" s="50"/>
      <c r="GFA350" s="50"/>
      <c r="GFB350" s="50"/>
      <c r="GFC350" s="50"/>
      <c r="GFD350" s="50"/>
      <c r="GFE350" s="50"/>
      <c r="GFF350" s="50"/>
      <c r="GFG350" s="50"/>
      <c r="GFH350" s="50"/>
      <c r="GFI350" s="50"/>
      <c r="GFJ350" s="50"/>
      <c r="GFK350" s="50"/>
      <c r="GFL350" s="50"/>
      <c r="GFM350" s="50"/>
      <c r="GFN350" s="50"/>
      <c r="GFO350" s="50"/>
      <c r="GFP350" s="50"/>
      <c r="GFQ350" s="50"/>
      <c r="GFR350" s="50"/>
      <c r="GFS350" s="50"/>
      <c r="GFT350" s="50"/>
      <c r="GFU350" s="50"/>
      <c r="GFV350" s="50"/>
      <c r="GFW350" s="50"/>
      <c r="GFX350" s="50"/>
      <c r="GFY350" s="50"/>
      <c r="GFZ350" s="50"/>
      <c r="GGA350" s="50"/>
      <c r="GGB350" s="50"/>
      <c r="GGC350" s="50"/>
      <c r="GGD350" s="50"/>
      <c r="GGE350" s="50"/>
      <c r="GGF350" s="50"/>
      <c r="GGG350" s="50"/>
      <c r="GGH350" s="50"/>
      <c r="GGI350" s="50"/>
      <c r="GGJ350" s="50"/>
      <c r="GGK350" s="50"/>
      <c r="GGL350" s="50"/>
      <c r="GGM350" s="50"/>
      <c r="GGN350" s="50"/>
      <c r="GGO350" s="50"/>
      <c r="GGP350" s="50"/>
      <c r="GGQ350" s="50"/>
      <c r="GGR350" s="50"/>
      <c r="GGS350" s="50"/>
      <c r="GGT350" s="50"/>
      <c r="GGU350" s="50"/>
      <c r="GGV350" s="50"/>
      <c r="GGW350" s="50"/>
      <c r="GGX350" s="50"/>
      <c r="GGY350" s="50"/>
      <c r="GGZ350" s="50"/>
      <c r="GHA350" s="50"/>
      <c r="GHB350" s="50"/>
      <c r="GHC350" s="50"/>
      <c r="GHD350" s="50"/>
      <c r="GHE350" s="50"/>
      <c r="GHF350" s="50"/>
      <c r="GHG350" s="50"/>
      <c r="GHH350" s="50"/>
      <c r="GHI350" s="50"/>
      <c r="GHJ350" s="50"/>
      <c r="GHK350" s="50"/>
      <c r="GHL350" s="50"/>
      <c r="GHM350" s="50"/>
      <c r="GHN350" s="50"/>
      <c r="GHO350" s="50"/>
      <c r="GHP350" s="50"/>
      <c r="GHQ350" s="50"/>
      <c r="GHR350" s="50"/>
      <c r="GHS350" s="50"/>
      <c r="GHT350" s="50"/>
      <c r="GHU350" s="50"/>
      <c r="GHV350" s="50"/>
      <c r="GHW350" s="50"/>
      <c r="GHX350" s="50"/>
      <c r="GHY350" s="50"/>
      <c r="GHZ350" s="50"/>
      <c r="GIA350" s="50"/>
      <c r="GIB350" s="50"/>
      <c r="GIC350" s="50"/>
      <c r="GID350" s="50"/>
      <c r="GIE350" s="50"/>
      <c r="GIF350" s="50"/>
      <c r="GIG350" s="50"/>
      <c r="GIH350" s="50"/>
      <c r="GII350" s="50"/>
      <c r="GIJ350" s="50"/>
      <c r="GIK350" s="50"/>
      <c r="GIL350" s="50"/>
      <c r="GIM350" s="50"/>
      <c r="GIN350" s="50"/>
      <c r="GIO350" s="50"/>
      <c r="GIP350" s="50"/>
      <c r="GIQ350" s="50"/>
      <c r="GIR350" s="50"/>
      <c r="GIS350" s="50"/>
      <c r="GIT350" s="50"/>
      <c r="GIU350" s="50"/>
      <c r="GIV350" s="50"/>
      <c r="GIW350" s="50"/>
      <c r="GIX350" s="50"/>
      <c r="GIY350" s="50"/>
      <c r="GIZ350" s="50"/>
      <c r="GJA350" s="50"/>
      <c r="GJB350" s="50"/>
      <c r="GJC350" s="50"/>
      <c r="GJD350" s="50"/>
      <c r="GJE350" s="50"/>
      <c r="GJF350" s="50"/>
      <c r="GJG350" s="50"/>
      <c r="GJH350" s="50"/>
      <c r="GJI350" s="50"/>
      <c r="GJJ350" s="50"/>
      <c r="GJK350" s="50"/>
      <c r="GJL350" s="50"/>
      <c r="GJM350" s="50"/>
      <c r="GJN350" s="50"/>
      <c r="GJO350" s="50"/>
      <c r="GJP350" s="50"/>
      <c r="GJQ350" s="50"/>
      <c r="GJR350" s="50"/>
      <c r="GJS350" s="50"/>
      <c r="GJT350" s="50"/>
      <c r="GJU350" s="50"/>
      <c r="GJV350" s="50"/>
      <c r="GJW350" s="50"/>
      <c r="GJX350" s="50"/>
      <c r="GJY350" s="50"/>
      <c r="GJZ350" s="50"/>
      <c r="GKA350" s="50"/>
      <c r="GKB350" s="50"/>
      <c r="GKC350" s="50"/>
      <c r="GKD350" s="50"/>
      <c r="GKE350" s="50"/>
      <c r="GKF350" s="50"/>
      <c r="GKG350" s="50"/>
      <c r="GKH350" s="50"/>
      <c r="GKI350" s="50"/>
      <c r="GKJ350" s="50"/>
      <c r="GKK350" s="50"/>
      <c r="GKL350" s="50"/>
      <c r="GKM350" s="50"/>
      <c r="GKN350" s="50"/>
      <c r="GKO350" s="50"/>
      <c r="GKP350" s="50"/>
      <c r="GKQ350" s="50"/>
      <c r="GKR350" s="50"/>
      <c r="GKS350" s="50"/>
      <c r="GKT350" s="50"/>
      <c r="GKU350" s="50"/>
      <c r="GKV350" s="50"/>
      <c r="GKW350" s="50"/>
      <c r="GKX350" s="50"/>
      <c r="GKY350" s="50"/>
      <c r="GKZ350" s="50"/>
      <c r="GLA350" s="50"/>
      <c r="GLB350" s="50"/>
      <c r="GLC350" s="50"/>
      <c r="GLD350" s="50"/>
      <c r="GLE350" s="50"/>
      <c r="GLF350" s="50"/>
      <c r="GLG350" s="50"/>
      <c r="GLH350" s="50"/>
      <c r="GLI350" s="50"/>
      <c r="GLJ350" s="50"/>
      <c r="GLK350" s="50"/>
      <c r="GLL350" s="50"/>
      <c r="GLM350" s="50"/>
      <c r="GLN350" s="50"/>
      <c r="GLO350" s="50"/>
      <c r="GLP350" s="50"/>
      <c r="GLQ350" s="50"/>
      <c r="GLR350" s="50"/>
      <c r="GLS350" s="50"/>
      <c r="GLT350" s="50"/>
      <c r="GLU350" s="50"/>
      <c r="GLV350" s="50"/>
      <c r="GLW350" s="50"/>
      <c r="GLX350" s="50"/>
      <c r="GLY350" s="50"/>
      <c r="GLZ350" s="50"/>
      <c r="GMA350" s="50"/>
      <c r="GMB350" s="50"/>
      <c r="GMC350" s="50"/>
      <c r="GMD350" s="50"/>
      <c r="GME350" s="50"/>
      <c r="GMF350" s="50"/>
      <c r="GMG350" s="50"/>
      <c r="GMH350" s="50"/>
      <c r="GMI350" s="50"/>
      <c r="GMJ350" s="50"/>
      <c r="GMK350" s="50"/>
      <c r="GML350" s="50"/>
      <c r="GMM350" s="50"/>
      <c r="GMN350" s="50"/>
      <c r="GMO350" s="50"/>
      <c r="GMP350" s="50"/>
      <c r="GMQ350" s="50"/>
      <c r="GMR350" s="50"/>
      <c r="GMS350" s="50"/>
      <c r="GMT350" s="50"/>
      <c r="GMU350" s="50"/>
      <c r="GMV350" s="50"/>
      <c r="GMW350" s="50"/>
      <c r="GMX350" s="50"/>
      <c r="GMY350" s="50"/>
      <c r="GMZ350" s="50"/>
      <c r="GNA350" s="50"/>
      <c r="GNB350" s="50"/>
      <c r="GNC350" s="50"/>
      <c r="GND350" s="50"/>
      <c r="GNE350" s="50"/>
      <c r="GNF350" s="50"/>
      <c r="GNG350" s="50"/>
      <c r="GNH350" s="50"/>
      <c r="GNI350" s="50"/>
      <c r="GNJ350" s="50"/>
      <c r="GNK350" s="50"/>
      <c r="GNL350" s="50"/>
      <c r="GNM350" s="50"/>
      <c r="GNN350" s="50"/>
      <c r="GNO350" s="50"/>
      <c r="GNP350" s="50"/>
      <c r="GNQ350" s="50"/>
      <c r="GNR350" s="50"/>
      <c r="GNS350" s="50"/>
      <c r="GNT350" s="50"/>
      <c r="GNU350" s="50"/>
      <c r="GNV350" s="50"/>
      <c r="GNW350" s="50"/>
      <c r="GNX350" s="50"/>
      <c r="GNY350" s="50"/>
      <c r="GNZ350" s="50"/>
      <c r="GOA350" s="50"/>
      <c r="GOB350" s="50"/>
      <c r="GOC350" s="50"/>
      <c r="GOD350" s="50"/>
      <c r="GOE350" s="50"/>
      <c r="GOF350" s="50"/>
      <c r="GOG350" s="50"/>
      <c r="GOH350" s="50"/>
      <c r="GOI350" s="50"/>
      <c r="GOJ350" s="50"/>
      <c r="GOK350" s="50"/>
      <c r="GOL350" s="50"/>
      <c r="GOM350" s="50"/>
      <c r="GON350" s="50"/>
      <c r="GOO350" s="50"/>
      <c r="GOP350" s="50"/>
      <c r="GOQ350" s="50"/>
      <c r="GOR350" s="50"/>
      <c r="GOS350" s="50"/>
      <c r="GOT350" s="50"/>
      <c r="GOU350" s="50"/>
      <c r="GOV350" s="50"/>
      <c r="GOW350" s="50"/>
      <c r="GOX350" s="50"/>
      <c r="GOY350" s="50"/>
      <c r="GOZ350" s="50"/>
      <c r="GPA350" s="50"/>
      <c r="GPB350" s="50"/>
      <c r="GPC350" s="50"/>
      <c r="GPD350" s="50"/>
      <c r="GPE350" s="50"/>
      <c r="GPF350" s="50"/>
      <c r="GPG350" s="50"/>
      <c r="GPH350" s="50"/>
      <c r="GPI350" s="50"/>
      <c r="GPJ350" s="50"/>
      <c r="GPK350" s="50"/>
      <c r="GPL350" s="50"/>
      <c r="GPM350" s="50"/>
      <c r="GPN350" s="50"/>
      <c r="GPO350" s="50"/>
      <c r="GPP350" s="50"/>
      <c r="GPQ350" s="50"/>
      <c r="GPR350" s="50"/>
      <c r="GPS350" s="50"/>
      <c r="GPT350" s="50"/>
      <c r="GPU350" s="50"/>
      <c r="GPV350" s="50"/>
      <c r="GPW350" s="50"/>
      <c r="GPX350" s="50"/>
      <c r="GPY350" s="50"/>
      <c r="GPZ350" s="50"/>
      <c r="GQA350" s="50"/>
      <c r="GQB350" s="50"/>
      <c r="GQC350" s="50"/>
      <c r="GQD350" s="50"/>
      <c r="GQE350" s="50"/>
      <c r="GQF350" s="50"/>
      <c r="GQG350" s="50"/>
      <c r="GQH350" s="50"/>
      <c r="GQI350" s="50"/>
      <c r="GQJ350" s="50"/>
      <c r="GQK350" s="50"/>
      <c r="GQL350" s="50"/>
      <c r="GQM350" s="50"/>
      <c r="GQN350" s="50"/>
      <c r="GQO350" s="50"/>
      <c r="GQP350" s="50"/>
      <c r="GQQ350" s="50"/>
      <c r="GQR350" s="50"/>
      <c r="GQS350" s="50"/>
      <c r="GQT350" s="50"/>
      <c r="GQU350" s="50"/>
      <c r="GQV350" s="50"/>
      <c r="GQW350" s="50"/>
      <c r="GQX350" s="50"/>
      <c r="GQY350" s="50"/>
      <c r="GQZ350" s="50"/>
      <c r="GRA350" s="50"/>
      <c r="GRB350" s="50"/>
      <c r="GRC350" s="50"/>
      <c r="GRD350" s="50"/>
      <c r="GRE350" s="50"/>
      <c r="GRF350" s="50"/>
      <c r="GRG350" s="50"/>
      <c r="GRH350" s="50"/>
      <c r="GRI350" s="50"/>
      <c r="GRJ350" s="50"/>
      <c r="GRK350" s="50"/>
      <c r="GRL350" s="50"/>
      <c r="GRM350" s="50"/>
      <c r="GRN350" s="50"/>
      <c r="GRO350" s="50"/>
      <c r="GRP350" s="50"/>
      <c r="GRQ350" s="50"/>
      <c r="GRR350" s="50"/>
      <c r="GRS350" s="50"/>
      <c r="GRT350" s="50"/>
      <c r="GRU350" s="50"/>
      <c r="GRV350" s="50"/>
      <c r="GRW350" s="50"/>
      <c r="GRX350" s="50"/>
      <c r="GRY350" s="50"/>
      <c r="GRZ350" s="50"/>
      <c r="GSA350" s="50"/>
      <c r="GSB350" s="50"/>
      <c r="GSC350" s="50"/>
      <c r="GSD350" s="50"/>
      <c r="GSE350" s="50"/>
      <c r="GSF350" s="50"/>
      <c r="GSG350" s="50"/>
      <c r="GSH350" s="50"/>
      <c r="GSI350" s="50"/>
      <c r="GSJ350" s="50"/>
      <c r="GSK350" s="50"/>
      <c r="GSL350" s="50"/>
      <c r="GSM350" s="50"/>
      <c r="GSN350" s="50"/>
      <c r="GSO350" s="50"/>
      <c r="GSP350" s="50"/>
      <c r="GSQ350" s="50"/>
      <c r="GSR350" s="50"/>
      <c r="GSS350" s="50"/>
      <c r="GST350" s="50"/>
      <c r="GSU350" s="50"/>
      <c r="GSV350" s="50"/>
      <c r="GSW350" s="50"/>
      <c r="GSX350" s="50"/>
      <c r="GSY350" s="50"/>
      <c r="GSZ350" s="50"/>
      <c r="GTA350" s="50"/>
      <c r="GTB350" s="50"/>
      <c r="GTC350" s="50"/>
      <c r="GTD350" s="50"/>
      <c r="GTE350" s="50"/>
      <c r="GTF350" s="50"/>
      <c r="GTG350" s="50"/>
      <c r="GTH350" s="50"/>
      <c r="GTI350" s="50"/>
      <c r="GTJ350" s="50"/>
      <c r="GTK350" s="50"/>
      <c r="GTL350" s="50"/>
      <c r="GTM350" s="50"/>
      <c r="GTN350" s="50"/>
      <c r="GTO350" s="50"/>
      <c r="GTP350" s="50"/>
      <c r="GTQ350" s="50"/>
      <c r="GTR350" s="50"/>
      <c r="GTS350" s="50"/>
      <c r="GTT350" s="50"/>
      <c r="GTU350" s="50"/>
      <c r="GTV350" s="50"/>
      <c r="GTW350" s="50"/>
      <c r="GTX350" s="50"/>
      <c r="GTY350" s="50"/>
      <c r="GTZ350" s="50"/>
      <c r="GUA350" s="50"/>
      <c r="GUB350" s="50"/>
      <c r="GUC350" s="50"/>
      <c r="GUD350" s="50"/>
      <c r="GUE350" s="50"/>
      <c r="GUF350" s="50"/>
      <c r="GUG350" s="50"/>
      <c r="GUH350" s="50"/>
      <c r="GUI350" s="50"/>
      <c r="GUJ350" s="50"/>
      <c r="GUK350" s="50"/>
      <c r="GUL350" s="50"/>
      <c r="GUM350" s="50"/>
      <c r="GUN350" s="50"/>
      <c r="GUO350" s="50"/>
      <c r="GUP350" s="50"/>
      <c r="GUQ350" s="50"/>
      <c r="GUR350" s="50"/>
      <c r="GUS350" s="50"/>
      <c r="GUT350" s="50"/>
      <c r="GUU350" s="50"/>
      <c r="GUV350" s="50"/>
      <c r="GUW350" s="50"/>
      <c r="GUX350" s="50"/>
      <c r="GUY350" s="50"/>
      <c r="GUZ350" s="50"/>
      <c r="GVA350" s="50"/>
      <c r="GVB350" s="50"/>
      <c r="GVC350" s="50"/>
      <c r="GVD350" s="50"/>
      <c r="GVE350" s="50"/>
      <c r="GVF350" s="50"/>
      <c r="GVG350" s="50"/>
      <c r="GVH350" s="50"/>
      <c r="GVI350" s="50"/>
      <c r="GVJ350" s="50"/>
      <c r="GVK350" s="50"/>
      <c r="GVL350" s="50"/>
      <c r="GVM350" s="50"/>
      <c r="GVN350" s="50"/>
      <c r="GVO350" s="50"/>
      <c r="GVP350" s="50"/>
      <c r="GVQ350" s="50"/>
      <c r="GVR350" s="50"/>
      <c r="GVS350" s="50"/>
      <c r="GVT350" s="50"/>
      <c r="GVU350" s="50"/>
      <c r="GVV350" s="50"/>
      <c r="GVW350" s="50"/>
      <c r="GVX350" s="50"/>
      <c r="GVY350" s="50"/>
      <c r="GVZ350" s="50"/>
      <c r="GWA350" s="50"/>
      <c r="GWB350" s="50"/>
      <c r="GWC350" s="50"/>
      <c r="GWD350" s="50"/>
      <c r="GWE350" s="50"/>
      <c r="GWF350" s="50"/>
      <c r="GWG350" s="50"/>
      <c r="GWH350" s="50"/>
      <c r="GWI350" s="50"/>
      <c r="GWJ350" s="50"/>
      <c r="GWK350" s="50"/>
      <c r="GWL350" s="50"/>
      <c r="GWM350" s="50"/>
      <c r="GWN350" s="50"/>
      <c r="GWO350" s="50"/>
      <c r="GWP350" s="50"/>
      <c r="GWQ350" s="50"/>
      <c r="GWR350" s="50"/>
      <c r="GWS350" s="50"/>
      <c r="GWT350" s="50"/>
      <c r="GWU350" s="50"/>
      <c r="GWV350" s="50"/>
      <c r="GWW350" s="50"/>
      <c r="GWX350" s="50"/>
      <c r="GWY350" s="50"/>
      <c r="GWZ350" s="50"/>
      <c r="GXA350" s="50"/>
      <c r="GXB350" s="50"/>
      <c r="GXC350" s="50"/>
      <c r="GXD350" s="50"/>
      <c r="GXE350" s="50"/>
      <c r="GXF350" s="50"/>
      <c r="GXG350" s="50"/>
      <c r="GXH350" s="50"/>
      <c r="GXI350" s="50"/>
      <c r="GXJ350" s="50"/>
      <c r="GXK350" s="50"/>
      <c r="GXL350" s="50"/>
      <c r="GXM350" s="50"/>
      <c r="GXN350" s="50"/>
      <c r="GXO350" s="50"/>
      <c r="GXP350" s="50"/>
      <c r="GXQ350" s="50"/>
      <c r="GXR350" s="50"/>
      <c r="GXS350" s="50"/>
      <c r="GXT350" s="50"/>
      <c r="GXU350" s="50"/>
      <c r="GXV350" s="50"/>
      <c r="GXW350" s="50"/>
      <c r="GXX350" s="50"/>
      <c r="GXY350" s="50"/>
      <c r="GXZ350" s="50"/>
      <c r="GYA350" s="50"/>
      <c r="GYB350" s="50"/>
      <c r="GYC350" s="50"/>
      <c r="GYD350" s="50"/>
      <c r="GYE350" s="50"/>
      <c r="GYF350" s="50"/>
      <c r="GYG350" s="50"/>
      <c r="GYH350" s="50"/>
      <c r="GYI350" s="50"/>
      <c r="GYJ350" s="50"/>
      <c r="GYK350" s="50"/>
      <c r="GYL350" s="50"/>
      <c r="GYM350" s="50"/>
      <c r="GYN350" s="50"/>
      <c r="GYO350" s="50"/>
      <c r="GYP350" s="50"/>
      <c r="GYQ350" s="50"/>
      <c r="GYR350" s="50"/>
      <c r="GYS350" s="50"/>
      <c r="GYT350" s="50"/>
      <c r="GYU350" s="50"/>
      <c r="GYV350" s="50"/>
      <c r="GYW350" s="50"/>
      <c r="GYX350" s="50"/>
      <c r="GYY350" s="50"/>
      <c r="GYZ350" s="50"/>
      <c r="GZA350" s="50"/>
      <c r="GZB350" s="50"/>
      <c r="GZC350" s="50"/>
      <c r="GZD350" s="50"/>
      <c r="GZE350" s="50"/>
      <c r="GZF350" s="50"/>
      <c r="GZG350" s="50"/>
      <c r="GZH350" s="50"/>
      <c r="GZI350" s="50"/>
      <c r="GZJ350" s="50"/>
      <c r="GZK350" s="50"/>
      <c r="GZL350" s="50"/>
      <c r="GZM350" s="50"/>
      <c r="GZN350" s="50"/>
      <c r="GZO350" s="50"/>
      <c r="GZP350" s="50"/>
      <c r="GZQ350" s="50"/>
      <c r="GZR350" s="50"/>
      <c r="GZS350" s="50"/>
      <c r="GZT350" s="50"/>
      <c r="GZU350" s="50"/>
      <c r="GZV350" s="50"/>
      <c r="GZW350" s="50"/>
      <c r="GZX350" s="50"/>
      <c r="GZY350" s="50"/>
      <c r="GZZ350" s="50"/>
      <c r="HAA350" s="50"/>
      <c r="HAB350" s="50"/>
      <c r="HAC350" s="50"/>
      <c r="HAD350" s="50"/>
      <c r="HAE350" s="50"/>
      <c r="HAF350" s="50"/>
      <c r="HAG350" s="50"/>
      <c r="HAH350" s="50"/>
      <c r="HAI350" s="50"/>
      <c r="HAJ350" s="50"/>
      <c r="HAK350" s="50"/>
      <c r="HAL350" s="50"/>
      <c r="HAM350" s="50"/>
      <c r="HAN350" s="50"/>
      <c r="HAO350" s="50"/>
      <c r="HAP350" s="50"/>
      <c r="HAQ350" s="50"/>
      <c r="HAR350" s="50"/>
      <c r="HAS350" s="50"/>
      <c r="HAT350" s="50"/>
      <c r="HAU350" s="50"/>
      <c r="HAV350" s="50"/>
      <c r="HAW350" s="50"/>
      <c r="HAX350" s="50"/>
      <c r="HAY350" s="50"/>
      <c r="HAZ350" s="50"/>
      <c r="HBA350" s="50"/>
      <c r="HBB350" s="50"/>
      <c r="HBC350" s="50"/>
      <c r="HBD350" s="50"/>
      <c r="HBE350" s="50"/>
      <c r="HBF350" s="50"/>
      <c r="HBG350" s="50"/>
      <c r="HBH350" s="50"/>
      <c r="HBI350" s="50"/>
      <c r="HBJ350" s="50"/>
      <c r="HBK350" s="50"/>
      <c r="HBL350" s="50"/>
      <c r="HBM350" s="50"/>
      <c r="HBN350" s="50"/>
      <c r="HBO350" s="50"/>
      <c r="HBP350" s="50"/>
      <c r="HBQ350" s="50"/>
      <c r="HBR350" s="50"/>
      <c r="HBS350" s="50"/>
      <c r="HBT350" s="50"/>
      <c r="HBU350" s="50"/>
      <c r="HBV350" s="50"/>
      <c r="HBW350" s="50"/>
      <c r="HBX350" s="50"/>
      <c r="HBY350" s="50"/>
      <c r="HBZ350" s="50"/>
      <c r="HCA350" s="50"/>
      <c r="HCB350" s="50"/>
      <c r="HCC350" s="50"/>
      <c r="HCD350" s="50"/>
      <c r="HCE350" s="50"/>
      <c r="HCF350" s="50"/>
      <c r="HCG350" s="50"/>
      <c r="HCH350" s="50"/>
      <c r="HCI350" s="50"/>
      <c r="HCJ350" s="50"/>
      <c r="HCK350" s="50"/>
      <c r="HCL350" s="50"/>
      <c r="HCM350" s="50"/>
      <c r="HCN350" s="50"/>
      <c r="HCO350" s="50"/>
      <c r="HCP350" s="50"/>
      <c r="HCQ350" s="50"/>
      <c r="HCR350" s="50"/>
      <c r="HCS350" s="50"/>
      <c r="HCT350" s="50"/>
      <c r="HCU350" s="50"/>
      <c r="HCV350" s="50"/>
      <c r="HCW350" s="50"/>
      <c r="HCX350" s="50"/>
      <c r="HCY350" s="50"/>
      <c r="HCZ350" s="50"/>
      <c r="HDA350" s="50"/>
      <c r="HDB350" s="50"/>
      <c r="HDC350" s="50"/>
      <c r="HDD350" s="50"/>
      <c r="HDE350" s="50"/>
      <c r="HDF350" s="50"/>
      <c r="HDG350" s="50"/>
      <c r="HDH350" s="50"/>
      <c r="HDI350" s="50"/>
      <c r="HDJ350" s="50"/>
      <c r="HDK350" s="50"/>
      <c r="HDL350" s="50"/>
      <c r="HDM350" s="50"/>
      <c r="HDN350" s="50"/>
      <c r="HDO350" s="50"/>
      <c r="HDP350" s="50"/>
      <c r="HDQ350" s="50"/>
      <c r="HDR350" s="50"/>
      <c r="HDS350" s="50"/>
      <c r="HDT350" s="50"/>
      <c r="HDU350" s="50"/>
      <c r="HDV350" s="50"/>
      <c r="HDW350" s="50"/>
      <c r="HDX350" s="50"/>
      <c r="HDY350" s="50"/>
      <c r="HDZ350" s="50"/>
      <c r="HEA350" s="50"/>
      <c r="HEB350" s="50"/>
      <c r="HEC350" s="50"/>
      <c r="HED350" s="50"/>
      <c r="HEE350" s="50"/>
      <c r="HEF350" s="50"/>
      <c r="HEG350" s="50"/>
      <c r="HEH350" s="50"/>
      <c r="HEI350" s="50"/>
      <c r="HEJ350" s="50"/>
      <c r="HEK350" s="50"/>
      <c r="HEL350" s="50"/>
      <c r="HEM350" s="50"/>
      <c r="HEN350" s="50"/>
      <c r="HEO350" s="50"/>
      <c r="HEP350" s="50"/>
      <c r="HEQ350" s="50"/>
      <c r="HER350" s="50"/>
      <c r="HES350" s="50"/>
      <c r="HET350" s="50"/>
      <c r="HEU350" s="50"/>
      <c r="HEV350" s="50"/>
      <c r="HEW350" s="50"/>
      <c r="HEX350" s="50"/>
      <c r="HEY350" s="50"/>
      <c r="HEZ350" s="50"/>
      <c r="HFA350" s="50"/>
      <c r="HFB350" s="50"/>
      <c r="HFC350" s="50"/>
      <c r="HFD350" s="50"/>
      <c r="HFE350" s="50"/>
      <c r="HFF350" s="50"/>
      <c r="HFG350" s="50"/>
      <c r="HFH350" s="50"/>
      <c r="HFI350" s="50"/>
      <c r="HFJ350" s="50"/>
      <c r="HFK350" s="50"/>
      <c r="HFL350" s="50"/>
      <c r="HFM350" s="50"/>
      <c r="HFN350" s="50"/>
      <c r="HFO350" s="50"/>
      <c r="HFP350" s="50"/>
      <c r="HFQ350" s="50"/>
      <c r="HFR350" s="50"/>
      <c r="HFS350" s="50"/>
      <c r="HFT350" s="50"/>
      <c r="HFU350" s="50"/>
      <c r="HFV350" s="50"/>
      <c r="HFW350" s="50"/>
      <c r="HFX350" s="50"/>
      <c r="HFY350" s="50"/>
      <c r="HFZ350" s="50"/>
      <c r="HGA350" s="50"/>
      <c r="HGB350" s="50"/>
      <c r="HGC350" s="50"/>
      <c r="HGD350" s="50"/>
      <c r="HGE350" s="50"/>
      <c r="HGF350" s="50"/>
      <c r="HGG350" s="50"/>
      <c r="HGH350" s="50"/>
      <c r="HGI350" s="50"/>
      <c r="HGJ350" s="50"/>
      <c r="HGK350" s="50"/>
      <c r="HGL350" s="50"/>
      <c r="HGM350" s="50"/>
      <c r="HGN350" s="50"/>
      <c r="HGO350" s="50"/>
      <c r="HGP350" s="50"/>
      <c r="HGQ350" s="50"/>
      <c r="HGR350" s="50"/>
      <c r="HGS350" s="50"/>
      <c r="HGT350" s="50"/>
      <c r="HGU350" s="50"/>
      <c r="HGV350" s="50"/>
      <c r="HGW350" s="50"/>
      <c r="HGX350" s="50"/>
      <c r="HGY350" s="50"/>
      <c r="HGZ350" s="50"/>
      <c r="HHA350" s="50"/>
      <c r="HHB350" s="50"/>
      <c r="HHC350" s="50"/>
      <c r="HHD350" s="50"/>
      <c r="HHE350" s="50"/>
      <c r="HHF350" s="50"/>
      <c r="HHG350" s="50"/>
      <c r="HHH350" s="50"/>
      <c r="HHI350" s="50"/>
      <c r="HHJ350" s="50"/>
      <c r="HHK350" s="50"/>
      <c r="HHL350" s="50"/>
      <c r="HHM350" s="50"/>
      <c r="HHN350" s="50"/>
      <c r="HHO350" s="50"/>
      <c r="HHP350" s="50"/>
      <c r="HHQ350" s="50"/>
      <c r="HHR350" s="50"/>
      <c r="HHS350" s="50"/>
      <c r="HHT350" s="50"/>
      <c r="HHU350" s="50"/>
      <c r="HHV350" s="50"/>
      <c r="HHW350" s="50"/>
      <c r="HHX350" s="50"/>
      <c r="HHY350" s="50"/>
      <c r="HHZ350" s="50"/>
      <c r="HIA350" s="50"/>
      <c r="HIB350" s="50"/>
      <c r="HIC350" s="50"/>
      <c r="HID350" s="50"/>
      <c r="HIE350" s="50"/>
      <c r="HIF350" s="50"/>
      <c r="HIG350" s="50"/>
      <c r="HIH350" s="50"/>
      <c r="HII350" s="50"/>
      <c r="HIJ350" s="50"/>
      <c r="HIK350" s="50"/>
      <c r="HIL350" s="50"/>
      <c r="HIM350" s="50"/>
      <c r="HIN350" s="50"/>
      <c r="HIO350" s="50"/>
      <c r="HIP350" s="50"/>
      <c r="HIQ350" s="50"/>
      <c r="HIR350" s="50"/>
      <c r="HIS350" s="50"/>
      <c r="HIT350" s="50"/>
      <c r="HIU350" s="50"/>
      <c r="HIV350" s="50"/>
      <c r="HIW350" s="50"/>
      <c r="HIX350" s="50"/>
      <c r="HIY350" s="50"/>
      <c r="HIZ350" s="50"/>
      <c r="HJA350" s="50"/>
      <c r="HJB350" s="50"/>
      <c r="HJC350" s="50"/>
      <c r="HJD350" s="50"/>
      <c r="HJE350" s="50"/>
      <c r="HJF350" s="50"/>
      <c r="HJG350" s="50"/>
      <c r="HJH350" s="50"/>
      <c r="HJI350" s="50"/>
      <c r="HJJ350" s="50"/>
      <c r="HJK350" s="50"/>
      <c r="HJL350" s="50"/>
      <c r="HJM350" s="50"/>
      <c r="HJN350" s="50"/>
      <c r="HJO350" s="50"/>
      <c r="HJP350" s="50"/>
      <c r="HJQ350" s="50"/>
      <c r="HJR350" s="50"/>
      <c r="HJS350" s="50"/>
      <c r="HJT350" s="50"/>
      <c r="HJU350" s="50"/>
      <c r="HJV350" s="50"/>
      <c r="HJW350" s="50"/>
      <c r="HJX350" s="50"/>
      <c r="HJY350" s="50"/>
      <c r="HJZ350" s="50"/>
      <c r="HKA350" s="50"/>
      <c r="HKB350" s="50"/>
      <c r="HKC350" s="50"/>
      <c r="HKD350" s="50"/>
      <c r="HKE350" s="50"/>
      <c r="HKF350" s="50"/>
      <c r="HKG350" s="50"/>
      <c r="HKH350" s="50"/>
      <c r="HKI350" s="50"/>
      <c r="HKJ350" s="50"/>
      <c r="HKK350" s="50"/>
      <c r="HKL350" s="50"/>
      <c r="HKM350" s="50"/>
      <c r="HKN350" s="50"/>
      <c r="HKO350" s="50"/>
      <c r="HKP350" s="50"/>
      <c r="HKQ350" s="50"/>
      <c r="HKR350" s="50"/>
      <c r="HKS350" s="50"/>
      <c r="HKT350" s="50"/>
      <c r="HKU350" s="50"/>
      <c r="HKV350" s="50"/>
      <c r="HKW350" s="50"/>
      <c r="HKX350" s="50"/>
      <c r="HKY350" s="50"/>
      <c r="HKZ350" s="50"/>
      <c r="HLA350" s="50"/>
      <c r="HLB350" s="50"/>
      <c r="HLC350" s="50"/>
      <c r="HLD350" s="50"/>
      <c r="HLE350" s="50"/>
      <c r="HLF350" s="50"/>
      <c r="HLG350" s="50"/>
      <c r="HLH350" s="50"/>
      <c r="HLI350" s="50"/>
      <c r="HLJ350" s="50"/>
      <c r="HLK350" s="50"/>
      <c r="HLL350" s="50"/>
      <c r="HLM350" s="50"/>
      <c r="HLN350" s="50"/>
      <c r="HLO350" s="50"/>
      <c r="HLP350" s="50"/>
      <c r="HLQ350" s="50"/>
      <c r="HLR350" s="50"/>
      <c r="HLS350" s="50"/>
      <c r="HLT350" s="50"/>
      <c r="HLU350" s="50"/>
      <c r="HLV350" s="50"/>
      <c r="HLW350" s="50"/>
      <c r="HLX350" s="50"/>
      <c r="HLY350" s="50"/>
      <c r="HLZ350" s="50"/>
      <c r="HMA350" s="50"/>
      <c r="HMB350" s="50"/>
      <c r="HMC350" s="50"/>
      <c r="HMD350" s="50"/>
      <c r="HME350" s="50"/>
      <c r="HMF350" s="50"/>
      <c r="HMG350" s="50"/>
      <c r="HMH350" s="50"/>
      <c r="HMI350" s="50"/>
      <c r="HMJ350" s="50"/>
      <c r="HMK350" s="50"/>
      <c r="HML350" s="50"/>
      <c r="HMM350" s="50"/>
      <c r="HMN350" s="50"/>
      <c r="HMO350" s="50"/>
      <c r="HMP350" s="50"/>
      <c r="HMQ350" s="50"/>
      <c r="HMR350" s="50"/>
      <c r="HMS350" s="50"/>
      <c r="HMT350" s="50"/>
      <c r="HMU350" s="50"/>
      <c r="HMV350" s="50"/>
      <c r="HMW350" s="50"/>
      <c r="HMX350" s="50"/>
      <c r="HMY350" s="50"/>
      <c r="HMZ350" s="50"/>
      <c r="HNA350" s="50"/>
      <c r="HNB350" s="50"/>
      <c r="HNC350" s="50"/>
      <c r="HND350" s="50"/>
      <c r="HNE350" s="50"/>
      <c r="HNF350" s="50"/>
      <c r="HNG350" s="50"/>
      <c r="HNH350" s="50"/>
      <c r="HNI350" s="50"/>
      <c r="HNJ350" s="50"/>
      <c r="HNK350" s="50"/>
      <c r="HNL350" s="50"/>
      <c r="HNM350" s="50"/>
      <c r="HNN350" s="50"/>
      <c r="HNO350" s="50"/>
      <c r="HNP350" s="50"/>
      <c r="HNQ350" s="50"/>
      <c r="HNR350" s="50"/>
      <c r="HNS350" s="50"/>
      <c r="HNT350" s="50"/>
      <c r="HNU350" s="50"/>
      <c r="HNV350" s="50"/>
      <c r="HNW350" s="50"/>
      <c r="HNX350" s="50"/>
      <c r="HNY350" s="50"/>
      <c r="HNZ350" s="50"/>
      <c r="HOA350" s="50"/>
      <c r="HOB350" s="50"/>
      <c r="HOC350" s="50"/>
      <c r="HOD350" s="50"/>
      <c r="HOE350" s="50"/>
      <c r="HOF350" s="50"/>
      <c r="HOG350" s="50"/>
      <c r="HOH350" s="50"/>
      <c r="HOI350" s="50"/>
      <c r="HOJ350" s="50"/>
      <c r="HOK350" s="50"/>
      <c r="HOL350" s="50"/>
      <c r="HOM350" s="50"/>
      <c r="HON350" s="50"/>
      <c r="HOO350" s="50"/>
      <c r="HOP350" s="50"/>
      <c r="HOQ350" s="50"/>
      <c r="HOR350" s="50"/>
      <c r="HOS350" s="50"/>
      <c r="HOT350" s="50"/>
      <c r="HOU350" s="50"/>
      <c r="HOV350" s="50"/>
      <c r="HOW350" s="50"/>
      <c r="HOX350" s="50"/>
      <c r="HOY350" s="50"/>
      <c r="HOZ350" s="50"/>
      <c r="HPA350" s="50"/>
      <c r="HPB350" s="50"/>
      <c r="HPC350" s="50"/>
      <c r="HPD350" s="50"/>
      <c r="HPE350" s="50"/>
      <c r="HPF350" s="50"/>
      <c r="HPG350" s="50"/>
      <c r="HPH350" s="50"/>
      <c r="HPI350" s="50"/>
      <c r="HPJ350" s="50"/>
      <c r="HPK350" s="50"/>
      <c r="HPL350" s="50"/>
      <c r="HPM350" s="50"/>
      <c r="HPN350" s="50"/>
      <c r="HPO350" s="50"/>
      <c r="HPP350" s="50"/>
      <c r="HPQ350" s="50"/>
      <c r="HPR350" s="50"/>
      <c r="HPS350" s="50"/>
      <c r="HPT350" s="50"/>
      <c r="HPU350" s="50"/>
      <c r="HPV350" s="50"/>
      <c r="HPW350" s="50"/>
      <c r="HPX350" s="50"/>
      <c r="HPY350" s="50"/>
      <c r="HPZ350" s="50"/>
      <c r="HQA350" s="50"/>
      <c r="HQB350" s="50"/>
      <c r="HQC350" s="50"/>
      <c r="HQD350" s="50"/>
      <c r="HQE350" s="50"/>
      <c r="HQF350" s="50"/>
      <c r="HQG350" s="50"/>
      <c r="HQH350" s="50"/>
      <c r="HQI350" s="50"/>
      <c r="HQJ350" s="50"/>
      <c r="HQK350" s="50"/>
      <c r="HQL350" s="50"/>
      <c r="HQM350" s="50"/>
      <c r="HQN350" s="50"/>
      <c r="HQO350" s="50"/>
      <c r="HQP350" s="50"/>
      <c r="HQQ350" s="50"/>
      <c r="HQR350" s="50"/>
      <c r="HQS350" s="50"/>
      <c r="HQT350" s="50"/>
      <c r="HQU350" s="50"/>
      <c r="HQV350" s="50"/>
      <c r="HQW350" s="50"/>
      <c r="HQX350" s="50"/>
      <c r="HQY350" s="50"/>
      <c r="HQZ350" s="50"/>
      <c r="HRA350" s="50"/>
      <c r="HRB350" s="50"/>
      <c r="HRC350" s="50"/>
      <c r="HRD350" s="50"/>
      <c r="HRE350" s="50"/>
      <c r="HRF350" s="50"/>
      <c r="HRG350" s="50"/>
      <c r="HRH350" s="50"/>
      <c r="HRI350" s="50"/>
      <c r="HRJ350" s="50"/>
      <c r="HRK350" s="50"/>
      <c r="HRL350" s="50"/>
      <c r="HRM350" s="50"/>
      <c r="HRN350" s="50"/>
      <c r="HRO350" s="50"/>
      <c r="HRP350" s="50"/>
      <c r="HRQ350" s="50"/>
      <c r="HRR350" s="50"/>
      <c r="HRS350" s="50"/>
      <c r="HRT350" s="50"/>
      <c r="HRU350" s="50"/>
      <c r="HRV350" s="50"/>
      <c r="HRW350" s="50"/>
      <c r="HRX350" s="50"/>
      <c r="HRY350" s="50"/>
      <c r="HRZ350" s="50"/>
      <c r="HSA350" s="50"/>
      <c r="HSB350" s="50"/>
      <c r="HSC350" s="50"/>
      <c r="HSD350" s="50"/>
      <c r="HSE350" s="50"/>
      <c r="HSF350" s="50"/>
      <c r="HSG350" s="50"/>
      <c r="HSH350" s="50"/>
      <c r="HSI350" s="50"/>
      <c r="HSJ350" s="50"/>
      <c r="HSK350" s="50"/>
      <c r="HSL350" s="50"/>
      <c r="HSM350" s="50"/>
      <c r="HSN350" s="50"/>
      <c r="HSO350" s="50"/>
      <c r="HSP350" s="50"/>
      <c r="HSQ350" s="50"/>
      <c r="HSR350" s="50"/>
      <c r="HSS350" s="50"/>
      <c r="HST350" s="50"/>
      <c r="HSU350" s="50"/>
      <c r="HSV350" s="50"/>
      <c r="HSW350" s="50"/>
      <c r="HSX350" s="50"/>
      <c r="HSY350" s="50"/>
      <c r="HSZ350" s="50"/>
      <c r="HTA350" s="50"/>
      <c r="HTB350" s="50"/>
      <c r="HTC350" s="50"/>
      <c r="HTD350" s="50"/>
      <c r="HTE350" s="50"/>
      <c r="HTF350" s="50"/>
      <c r="HTG350" s="50"/>
      <c r="HTH350" s="50"/>
      <c r="HTI350" s="50"/>
      <c r="HTJ350" s="50"/>
      <c r="HTK350" s="50"/>
      <c r="HTL350" s="50"/>
      <c r="HTM350" s="50"/>
      <c r="HTN350" s="50"/>
      <c r="HTO350" s="50"/>
      <c r="HTP350" s="50"/>
      <c r="HTQ350" s="50"/>
      <c r="HTR350" s="50"/>
      <c r="HTS350" s="50"/>
      <c r="HTT350" s="50"/>
      <c r="HTU350" s="50"/>
      <c r="HTV350" s="50"/>
      <c r="HTW350" s="50"/>
      <c r="HTX350" s="50"/>
      <c r="HTY350" s="50"/>
      <c r="HTZ350" s="50"/>
      <c r="HUA350" s="50"/>
      <c r="HUB350" s="50"/>
      <c r="HUC350" s="50"/>
      <c r="HUD350" s="50"/>
      <c r="HUE350" s="50"/>
      <c r="HUF350" s="50"/>
      <c r="HUG350" s="50"/>
      <c r="HUH350" s="50"/>
      <c r="HUI350" s="50"/>
      <c r="HUJ350" s="50"/>
      <c r="HUK350" s="50"/>
      <c r="HUL350" s="50"/>
      <c r="HUM350" s="50"/>
      <c r="HUN350" s="50"/>
      <c r="HUO350" s="50"/>
      <c r="HUP350" s="50"/>
      <c r="HUQ350" s="50"/>
      <c r="HUR350" s="50"/>
      <c r="HUS350" s="50"/>
      <c r="HUT350" s="50"/>
      <c r="HUU350" s="50"/>
      <c r="HUV350" s="50"/>
      <c r="HUW350" s="50"/>
      <c r="HUX350" s="50"/>
      <c r="HUY350" s="50"/>
      <c r="HUZ350" s="50"/>
      <c r="HVA350" s="50"/>
      <c r="HVB350" s="50"/>
      <c r="HVC350" s="50"/>
      <c r="HVD350" s="50"/>
      <c r="HVE350" s="50"/>
      <c r="HVF350" s="50"/>
      <c r="HVG350" s="50"/>
      <c r="HVH350" s="50"/>
      <c r="HVI350" s="50"/>
      <c r="HVJ350" s="50"/>
      <c r="HVK350" s="50"/>
      <c r="HVL350" s="50"/>
      <c r="HVM350" s="50"/>
      <c r="HVN350" s="50"/>
      <c r="HVO350" s="50"/>
      <c r="HVP350" s="50"/>
      <c r="HVQ350" s="50"/>
      <c r="HVR350" s="50"/>
      <c r="HVS350" s="50"/>
      <c r="HVT350" s="50"/>
      <c r="HVU350" s="50"/>
      <c r="HVV350" s="50"/>
      <c r="HVW350" s="50"/>
      <c r="HVX350" s="50"/>
      <c r="HVY350" s="50"/>
      <c r="HVZ350" s="50"/>
      <c r="HWA350" s="50"/>
      <c r="HWB350" s="50"/>
      <c r="HWC350" s="50"/>
      <c r="HWD350" s="50"/>
      <c r="HWE350" s="50"/>
      <c r="HWF350" s="50"/>
      <c r="HWG350" s="50"/>
      <c r="HWH350" s="50"/>
      <c r="HWI350" s="50"/>
      <c r="HWJ350" s="50"/>
      <c r="HWK350" s="50"/>
      <c r="HWL350" s="50"/>
      <c r="HWM350" s="50"/>
      <c r="HWN350" s="50"/>
      <c r="HWO350" s="50"/>
      <c r="HWP350" s="50"/>
      <c r="HWQ350" s="50"/>
      <c r="HWR350" s="50"/>
      <c r="HWS350" s="50"/>
      <c r="HWT350" s="50"/>
      <c r="HWU350" s="50"/>
      <c r="HWV350" s="50"/>
      <c r="HWW350" s="50"/>
      <c r="HWX350" s="50"/>
      <c r="HWY350" s="50"/>
      <c r="HWZ350" s="50"/>
      <c r="HXA350" s="50"/>
      <c r="HXB350" s="50"/>
      <c r="HXC350" s="50"/>
      <c r="HXD350" s="50"/>
      <c r="HXE350" s="50"/>
      <c r="HXF350" s="50"/>
      <c r="HXG350" s="50"/>
      <c r="HXH350" s="50"/>
      <c r="HXI350" s="50"/>
      <c r="HXJ350" s="50"/>
      <c r="HXK350" s="50"/>
      <c r="HXL350" s="50"/>
      <c r="HXM350" s="50"/>
      <c r="HXN350" s="50"/>
      <c r="HXO350" s="50"/>
      <c r="HXP350" s="50"/>
      <c r="HXQ350" s="50"/>
      <c r="HXR350" s="50"/>
      <c r="HXS350" s="50"/>
      <c r="HXT350" s="50"/>
      <c r="HXU350" s="50"/>
      <c r="HXV350" s="50"/>
      <c r="HXW350" s="50"/>
      <c r="HXX350" s="50"/>
      <c r="HXY350" s="50"/>
      <c r="HXZ350" s="50"/>
      <c r="HYA350" s="50"/>
      <c r="HYB350" s="50"/>
      <c r="HYC350" s="50"/>
      <c r="HYD350" s="50"/>
      <c r="HYE350" s="50"/>
      <c r="HYF350" s="50"/>
      <c r="HYG350" s="50"/>
      <c r="HYH350" s="50"/>
      <c r="HYI350" s="50"/>
      <c r="HYJ350" s="50"/>
      <c r="HYK350" s="50"/>
      <c r="HYL350" s="50"/>
      <c r="HYM350" s="50"/>
      <c r="HYN350" s="50"/>
      <c r="HYO350" s="50"/>
      <c r="HYP350" s="50"/>
      <c r="HYQ350" s="50"/>
      <c r="HYR350" s="50"/>
      <c r="HYS350" s="50"/>
      <c r="HYT350" s="50"/>
      <c r="HYU350" s="50"/>
      <c r="HYV350" s="50"/>
      <c r="HYW350" s="50"/>
      <c r="HYX350" s="50"/>
      <c r="HYY350" s="50"/>
      <c r="HYZ350" s="50"/>
      <c r="HZA350" s="50"/>
      <c r="HZB350" s="50"/>
      <c r="HZC350" s="50"/>
      <c r="HZD350" s="50"/>
      <c r="HZE350" s="50"/>
      <c r="HZF350" s="50"/>
      <c r="HZG350" s="50"/>
      <c r="HZH350" s="50"/>
      <c r="HZI350" s="50"/>
      <c r="HZJ350" s="50"/>
      <c r="HZK350" s="50"/>
      <c r="HZL350" s="50"/>
      <c r="HZM350" s="50"/>
      <c r="HZN350" s="50"/>
      <c r="HZO350" s="50"/>
      <c r="HZP350" s="50"/>
      <c r="HZQ350" s="50"/>
      <c r="HZR350" s="50"/>
      <c r="HZS350" s="50"/>
      <c r="HZT350" s="50"/>
      <c r="HZU350" s="50"/>
      <c r="HZV350" s="50"/>
      <c r="HZW350" s="50"/>
      <c r="HZX350" s="50"/>
      <c r="HZY350" s="50"/>
      <c r="HZZ350" s="50"/>
      <c r="IAA350" s="50"/>
      <c r="IAB350" s="50"/>
      <c r="IAC350" s="50"/>
      <c r="IAD350" s="50"/>
      <c r="IAE350" s="50"/>
      <c r="IAF350" s="50"/>
      <c r="IAG350" s="50"/>
      <c r="IAH350" s="50"/>
      <c r="IAI350" s="50"/>
      <c r="IAJ350" s="50"/>
      <c r="IAK350" s="50"/>
      <c r="IAL350" s="50"/>
      <c r="IAM350" s="50"/>
      <c r="IAN350" s="50"/>
      <c r="IAO350" s="50"/>
      <c r="IAP350" s="50"/>
      <c r="IAQ350" s="50"/>
      <c r="IAR350" s="50"/>
      <c r="IAS350" s="50"/>
      <c r="IAT350" s="50"/>
      <c r="IAU350" s="50"/>
      <c r="IAV350" s="50"/>
      <c r="IAW350" s="50"/>
      <c r="IAX350" s="50"/>
      <c r="IAY350" s="50"/>
      <c r="IAZ350" s="50"/>
      <c r="IBA350" s="50"/>
      <c r="IBB350" s="50"/>
      <c r="IBC350" s="50"/>
      <c r="IBD350" s="50"/>
      <c r="IBE350" s="50"/>
      <c r="IBF350" s="50"/>
      <c r="IBG350" s="50"/>
      <c r="IBH350" s="50"/>
      <c r="IBI350" s="50"/>
      <c r="IBJ350" s="50"/>
      <c r="IBK350" s="50"/>
      <c r="IBL350" s="50"/>
      <c r="IBM350" s="50"/>
      <c r="IBN350" s="50"/>
      <c r="IBO350" s="50"/>
      <c r="IBP350" s="50"/>
      <c r="IBQ350" s="50"/>
      <c r="IBR350" s="50"/>
      <c r="IBS350" s="50"/>
      <c r="IBT350" s="50"/>
      <c r="IBU350" s="50"/>
      <c r="IBV350" s="50"/>
      <c r="IBW350" s="50"/>
      <c r="IBX350" s="50"/>
      <c r="IBY350" s="50"/>
      <c r="IBZ350" s="50"/>
      <c r="ICA350" s="50"/>
      <c r="ICB350" s="50"/>
      <c r="ICC350" s="50"/>
      <c r="ICD350" s="50"/>
      <c r="ICE350" s="50"/>
      <c r="ICF350" s="50"/>
      <c r="ICG350" s="50"/>
      <c r="ICH350" s="50"/>
      <c r="ICI350" s="50"/>
      <c r="ICJ350" s="50"/>
      <c r="ICK350" s="50"/>
      <c r="ICL350" s="50"/>
      <c r="ICM350" s="50"/>
      <c r="ICN350" s="50"/>
      <c r="ICO350" s="50"/>
      <c r="ICP350" s="50"/>
      <c r="ICQ350" s="50"/>
      <c r="ICR350" s="50"/>
      <c r="ICS350" s="50"/>
      <c r="ICT350" s="50"/>
      <c r="ICU350" s="50"/>
      <c r="ICV350" s="50"/>
      <c r="ICW350" s="50"/>
      <c r="ICX350" s="50"/>
      <c r="ICY350" s="50"/>
      <c r="ICZ350" s="50"/>
      <c r="IDA350" s="50"/>
      <c r="IDB350" s="50"/>
      <c r="IDC350" s="50"/>
      <c r="IDD350" s="50"/>
      <c r="IDE350" s="50"/>
      <c r="IDF350" s="50"/>
      <c r="IDG350" s="50"/>
      <c r="IDH350" s="50"/>
      <c r="IDI350" s="50"/>
      <c r="IDJ350" s="50"/>
      <c r="IDK350" s="50"/>
      <c r="IDL350" s="50"/>
      <c r="IDM350" s="50"/>
      <c r="IDN350" s="50"/>
      <c r="IDO350" s="50"/>
      <c r="IDP350" s="50"/>
      <c r="IDQ350" s="50"/>
      <c r="IDR350" s="50"/>
      <c r="IDS350" s="50"/>
      <c r="IDT350" s="50"/>
      <c r="IDU350" s="50"/>
      <c r="IDV350" s="50"/>
      <c r="IDW350" s="50"/>
      <c r="IDX350" s="50"/>
      <c r="IDY350" s="50"/>
      <c r="IDZ350" s="50"/>
      <c r="IEA350" s="50"/>
      <c r="IEB350" s="50"/>
      <c r="IEC350" s="50"/>
      <c r="IED350" s="50"/>
      <c r="IEE350" s="50"/>
      <c r="IEF350" s="50"/>
      <c r="IEG350" s="50"/>
      <c r="IEH350" s="50"/>
      <c r="IEI350" s="50"/>
      <c r="IEJ350" s="50"/>
      <c r="IEK350" s="50"/>
      <c r="IEL350" s="50"/>
      <c r="IEM350" s="50"/>
      <c r="IEN350" s="50"/>
      <c r="IEO350" s="50"/>
      <c r="IEP350" s="50"/>
      <c r="IEQ350" s="50"/>
      <c r="IER350" s="50"/>
      <c r="IES350" s="50"/>
      <c r="IET350" s="50"/>
      <c r="IEU350" s="50"/>
      <c r="IEV350" s="50"/>
      <c r="IEW350" s="50"/>
      <c r="IEX350" s="50"/>
      <c r="IEY350" s="50"/>
      <c r="IEZ350" s="50"/>
      <c r="IFA350" s="50"/>
      <c r="IFB350" s="50"/>
      <c r="IFC350" s="50"/>
      <c r="IFD350" s="50"/>
      <c r="IFE350" s="50"/>
      <c r="IFF350" s="50"/>
      <c r="IFG350" s="50"/>
      <c r="IFH350" s="50"/>
      <c r="IFI350" s="50"/>
      <c r="IFJ350" s="50"/>
      <c r="IFK350" s="50"/>
      <c r="IFL350" s="50"/>
      <c r="IFM350" s="50"/>
      <c r="IFN350" s="50"/>
      <c r="IFO350" s="50"/>
      <c r="IFP350" s="50"/>
      <c r="IFQ350" s="50"/>
      <c r="IFR350" s="50"/>
      <c r="IFS350" s="50"/>
      <c r="IFT350" s="50"/>
      <c r="IFU350" s="50"/>
      <c r="IFV350" s="50"/>
      <c r="IFW350" s="50"/>
      <c r="IFX350" s="50"/>
      <c r="IFY350" s="50"/>
      <c r="IFZ350" s="50"/>
      <c r="IGA350" s="50"/>
      <c r="IGB350" s="50"/>
      <c r="IGC350" s="50"/>
      <c r="IGD350" s="50"/>
      <c r="IGE350" s="50"/>
      <c r="IGF350" s="50"/>
      <c r="IGG350" s="50"/>
      <c r="IGH350" s="50"/>
      <c r="IGI350" s="50"/>
      <c r="IGJ350" s="50"/>
      <c r="IGK350" s="50"/>
      <c r="IGL350" s="50"/>
      <c r="IGM350" s="50"/>
      <c r="IGN350" s="50"/>
      <c r="IGO350" s="50"/>
      <c r="IGP350" s="50"/>
      <c r="IGQ350" s="50"/>
      <c r="IGR350" s="50"/>
      <c r="IGS350" s="50"/>
      <c r="IGT350" s="50"/>
      <c r="IGU350" s="50"/>
      <c r="IGV350" s="50"/>
      <c r="IGW350" s="50"/>
      <c r="IGX350" s="50"/>
      <c r="IGY350" s="50"/>
      <c r="IGZ350" s="50"/>
      <c r="IHA350" s="50"/>
      <c r="IHB350" s="50"/>
      <c r="IHC350" s="50"/>
      <c r="IHD350" s="50"/>
      <c r="IHE350" s="50"/>
      <c r="IHF350" s="50"/>
      <c r="IHG350" s="50"/>
      <c r="IHH350" s="50"/>
      <c r="IHI350" s="50"/>
      <c r="IHJ350" s="50"/>
      <c r="IHK350" s="50"/>
      <c r="IHL350" s="50"/>
      <c r="IHM350" s="50"/>
      <c r="IHN350" s="50"/>
      <c r="IHO350" s="50"/>
      <c r="IHP350" s="50"/>
      <c r="IHQ350" s="50"/>
      <c r="IHR350" s="50"/>
      <c r="IHS350" s="50"/>
      <c r="IHT350" s="50"/>
      <c r="IHU350" s="50"/>
      <c r="IHV350" s="50"/>
      <c r="IHW350" s="50"/>
      <c r="IHX350" s="50"/>
      <c r="IHY350" s="50"/>
      <c r="IHZ350" s="50"/>
      <c r="IIA350" s="50"/>
      <c r="IIB350" s="50"/>
      <c r="IIC350" s="50"/>
      <c r="IID350" s="50"/>
      <c r="IIE350" s="50"/>
      <c r="IIF350" s="50"/>
      <c r="IIG350" s="50"/>
      <c r="IIH350" s="50"/>
      <c r="III350" s="50"/>
      <c r="IIJ350" s="50"/>
      <c r="IIK350" s="50"/>
      <c r="IIL350" s="50"/>
      <c r="IIM350" s="50"/>
      <c r="IIN350" s="50"/>
      <c r="IIO350" s="50"/>
      <c r="IIP350" s="50"/>
      <c r="IIQ350" s="50"/>
      <c r="IIR350" s="50"/>
      <c r="IIS350" s="50"/>
      <c r="IIT350" s="50"/>
      <c r="IIU350" s="50"/>
      <c r="IIV350" s="50"/>
      <c r="IIW350" s="50"/>
      <c r="IIX350" s="50"/>
      <c r="IIY350" s="50"/>
      <c r="IIZ350" s="50"/>
      <c r="IJA350" s="50"/>
      <c r="IJB350" s="50"/>
      <c r="IJC350" s="50"/>
      <c r="IJD350" s="50"/>
      <c r="IJE350" s="50"/>
      <c r="IJF350" s="50"/>
      <c r="IJG350" s="50"/>
      <c r="IJH350" s="50"/>
      <c r="IJI350" s="50"/>
      <c r="IJJ350" s="50"/>
      <c r="IJK350" s="50"/>
      <c r="IJL350" s="50"/>
      <c r="IJM350" s="50"/>
      <c r="IJN350" s="50"/>
      <c r="IJO350" s="50"/>
      <c r="IJP350" s="50"/>
      <c r="IJQ350" s="50"/>
      <c r="IJR350" s="50"/>
      <c r="IJS350" s="50"/>
      <c r="IJT350" s="50"/>
      <c r="IJU350" s="50"/>
      <c r="IJV350" s="50"/>
      <c r="IJW350" s="50"/>
      <c r="IJX350" s="50"/>
      <c r="IJY350" s="50"/>
      <c r="IJZ350" s="50"/>
      <c r="IKA350" s="50"/>
      <c r="IKB350" s="50"/>
      <c r="IKC350" s="50"/>
      <c r="IKD350" s="50"/>
      <c r="IKE350" s="50"/>
      <c r="IKF350" s="50"/>
      <c r="IKG350" s="50"/>
      <c r="IKH350" s="50"/>
      <c r="IKI350" s="50"/>
      <c r="IKJ350" s="50"/>
      <c r="IKK350" s="50"/>
      <c r="IKL350" s="50"/>
      <c r="IKM350" s="50"/>
      <c r="IKN350" s="50"/>
      <c r="IKO350" s="50"/>
      <c r="IKP350" s="50"/>
      <c r="IKQ350" s="50"/>
      <c r="IKR350" s="50"/>
      <c r="IKS350" s="50"/>
      <c r="IKT350" s="50"/>
      <c r="IKU350" s="50"/>
      <c r="IKV350" s="50"/>
      <c r="IKW350" s="50"/>
      <c r="IKX350" s="50"/>
      <c r="IKY350" s="50"/>
      <c r="IKZ350" s="50"/>
      <c r="ILA350" s="50"/>
      <c r="ILB350" s="50"/>
      <c r="ILC350" s="50"/>
      <c r="ILD350" s="50"/>
      <c r="ILE350" s="50"/>
      <c r="ILF350" s="50"/>
      <c r="ILG350" s="50"/>
      <c r="ILH350" s="50"/>
      <c r="ILI350" s="50"/>
      <c r="ILJ350" s="50"/>
      <c r="ILK350" s="50"/>
      <c r="ILL350" s="50"/>
      <c r="ILM350" s="50"/>
      <c r="ILN350" s="50"/>
      <c r="ILO350" s="50"/>
      <c r="ILP350" s="50"/>
      <c r="ILQ350" s="50"/>
      <c r="ILR350" s="50"/>
      <c r="ILS350" s="50"/>
      <c r="ILT350" s="50"/>
      <c r="ILU350" s="50"/>
      <c r="ILV350" s="50"/>
      <c r="ILW350" s="50"/>
      <c r="ILX350" s="50"/>
      <c r="ILY350" s="50"/>
      <c r="ILZ350" s="50"/>
      <c r="IMA350" s="50"/>
      <c r="IMB350" s="50"/>
      <c r="IMC350" s="50"/>
      <c r="IMD350" s="50"/>
      <c r="IME350" s="50"/>
      <c r="IMF350" s="50"/>
      <c r="IMG350" s="50"/>
      <c r="IMH350" s="50"/>
      <c r="IMI350" s="50"/>
      <c r="IMJ350" s="50"/>
      <c r="IMK350" s="50"/>
      <c r="IML350" s="50"/>
      <c r="IMM350" s="50"/>
      <c r="IMN350" s="50"/>
      <c r="IMO350" s="50"/>
      <c r="IMP350" s="50"/>
      <c r="IMQ350" s="50"/>
      <c r="IMR350" s="50"/>
      <c r="IMS350" s="50"/>
      <c r="IMT350" s="50"/>
      <c r="IMU350" s="50"/>
      <c r="IMV350" s="50"/>
      <c r="IMW350" s="50"/>
      <c r="IMX350" s="50"/>
      <c r="IMY350" s="50"/>
      <c r="IMZ350" s="50"/>
      <c r="INA350" s="50"/>
      <c r="INB350" s="50"/>
      <c r="INC350" s="50"/>
      <c r="IND350" s="50"/>
      <c r="INE350" s="50"/>
      <c r="INF350" s="50"/>
      <c r="ING350" s="50"/>
      <c r="INH350" s="50"/>
      <c r="INI350" s="50"/>
      <c r="INJ350" s="50"/>
      <c r="INK350" s="50"/>
      <c r="INL350" s="50"/>
      <c r="INM350" s="50"/>
      <c r="INN350" s="50"/>
      <c r="INO350" s="50"/>
      <c r="INP350" s="50"/>
      <c r="INQ350" s="50"/>
      <c r="INR350" s="50"/>
      <c r="INS350" s="50"/>
      <c r="INT350" s="50"/>
      <c r="INU350" s="50"/>
      <c r="INV350" s="50"/>
      <c r="INW350" s="50"/>
      <c r="INX350" s="50"/>
      <c r="INY350" s="50"/>
      <c r="INZ350" s="50"/>
      <c r="IOA350" s="50"/>
      <c r="IOB350" s="50"/>
      <c r="IOC350" s="50"/>
      <c r="IOD350" s="50"/>
      <c r="IOE350" s="50"/>
      <c r="IOF350" s="50"/>
      <c r="IOG350" s="50"/>
      <c r="IOH350" s="50"/>
      <c r="IOI350" s="50"/>
      <c r="IOJ350" s="50"/>
      <c r="IOK350" s="50"/>
      <c r="IOL350" s="50"/>
      <c r="IOM350" s="50"/>
      <c r="ION350" s="50"/>
      <c r="IOO350" s="50"/>
      <c r="IOP350" s="50"/>
      <c r="IOQ350" s="50"/>
      <c r="IOR350" s="50"/>
      <c r="IOS350" s="50"/>
      <c r="IOT350" s="50"/>
      <c r="IOU350" s="50"/>
      <c r="IOV350" s="50"/>
      <c r="IOW350" s="50"/>
      <c r="IOX350" s="50"/>
      <c r="IOY350" s="50"/>
      <c r="IOZ350" s="50"/>
      <c r="IPA350" s="50"/>
      <c r="IPB350" s="50"/>
      <c r="IPC350" s="50"/>
      <c r="IPD350" s="50"/>
      <c r="IPE350" s="50"/>
      <c r="IPF350" s="50"/>
      <c r="IPG350" s="50"/>
      <c r="IPH350" s="50"/>
      <c r="IPI350" s="50"/>
      <c r="IPJ350" s="50"/>
      <c r="IPK350" s="50"/>
      <c r="IPL350" s="50"/>
      <c r="IPM350" s="50"/>
      <c r="IPN350" s="50"/>
      <c r="IPO350" s="50"/>
      <c r="IPP350" s="50"/>
      <c r="IPQ350" s="50"/>
      <c r="IPR350" s="50"/>
      <c r="IPS350" s="50"/>
      <c r="IPT350" s="50"/>
      <c r="IPU350" s="50"/>
      <c r="IPV350" s="50"/>
      <c r="IPW350" s="50"/>
      <c r="IPX350" s="50"/>
      <c r="IPY350" s="50"/>
      <c r="IPZ350" s="50"/>
      <c r="IQA350" s="50"/>
      <c r="IQB350" s="50"/>
      <c r="IQC350" s="50"/>
      <c r="IQD350" s="50"/>
      <c r="IQE350" s="50"/>
      <c r="IQF350" s="50"/>
      <c r="IQG350" s="50"/>
      <c r="IQH350" s="50"/>
      <c r="IQI350" s="50"/>
      <c r="IQJ350" s="50"/>
      <c r="IQK350" s="50"/>
      <c r="IQL350" s="50"/>
      <c r="IQM350" s="50"/>
      <c r="IQN350" s="50"/>
      <c r="IQO350" s="50"/>
      <c r="IQP350" s="50"/>
      <c r="IQQ350" s="50"/>
      <c r="IQR350" s="50"/>
      <c r="IQS350" s="50"/>
      <c r="IQT350" s="50"/>
      <c r="IQU350" s="50"/>
      <c r="IQV350" s="50"/>
      <c r="IQW350" s="50"/>
      <c r="IQX350" s="50"/>
      <c r="IQY350" s="50"/>
      <c r="IQZ350" s="50"/>
      <c r="IRA350" s="50"/>
      <c r="IRB350" s="50"/>
      <c r="IRC350" s="50"/>
      <c r="IRD350" s="50"/>
      <c r="IRE350" s="50"/>
      <c r="IRF350" s="50"/>
      <c r="IRG350" s="50"/>
      <c r="IRH350" s="50"/>
      <c r="IRI350" s="50"/>
      <c r="IRJ350" s="50"/>
      <c r="IRK350" s="50"/>
      <c r="IRL350" s="50"/>
      <c r="IRM350" s="50"/>
      <c r="IRN350" s="50"/>
      <c r="IRO350" s="50"/>
      <c r="IRP350" s="50"/>
      <c r="IRQ350" s="50"/>
      <c r="IRR350" s="50"/>
      <c r="IRS350" s="50"/>
      <c r="IRT350" s="50"/>
      <c r="IRU350" s="50"/>
      <c r="IRV350" s="50"/>
      <c r="IRW350" s="50"/>
      <c r="IRX350" s="50"/>
      <c r="IRY350" s="50"/>
      <c r="IRZ350" s="50"/>
      <c r="ISA350" s="50"/>
      <c r="ISB350" s="50"/>
      <c r="ISC350" s="50"/>
      <c r="ISD350" s="50"/>
      <c r="ISE350" s="50"/>
      <c r="ISF350" s="50"/>
      <c r="ISG350" s="50"/>
      <c r="ISH350" s="50"/>
      <c r="ISI350" s="50"/>
      <c r="ISJ350" s="50"/>
      <c r="ISK350" s="50"/>
      <c r="ISL350" s="50"/>
      <c r="ISM350" s="50"/>
      <c r="ISN350" s="50"/>
      <c r="ISO350" s="50"/>
      <c r="ISP350" s="50"/>
      <c r="ISQ350" s="50"/>
      <c r="ISR350" s="50"/>
      <c r="ISS350" s="50"/>
      <c r="IST350" s="50"/>
      <c r="ISU350" s="50"/>
      <c r="ISV350" s="50"/>
      <c r="ISW350" s="50"/>
      <c r="ISX350" s="50"/>
      <c r="ISY350" s="50"/>
      <c r="ISZ350" s="50"/>
      <c r="ITA350" s="50"/>
      <c r="ITB350" s="50"/>
      <c r="ITC350" s="50"/>
      <c r="ITD350" s="50"/>
      <c r="ITE350" s="50"/>
      <c r="ITF350" s="50"/>
      <c r="ITG350" s="50"/>
      <c r="ITH350" s="50"/>
      <c r="ITI350" s="50"/>
      <c r="ITJ350" s="50"/>
      <c r="ITK350" s="50"/>
      <c r="ITL350" s="50"/>
      <c r="ITM350" s="50"/>
      <c r="ITN350" s="50"/>
      <c r="ITO350" s="50"/>
      <c r="ITP350" s="50"/>
      <c r="ITQ350" s="50"/>
      <c r="ITR350" s="50"/>
      <c r="ITS350" s="50"/>
      <c r="ITT350" s="50"/>
      <c r="ITU350" s="50"/>
      <c r="ITV350" s="50"/>
      <c r="ITW350" s="50"/>
      <c r="ITX350" s="50"/>
      <c r="ITY350" s="50"/>
      <c r="ITZ350" s="50"/>
      <c r="IUA350" s="50"/>
      <c r="IUB350" s="50"/>
      <c r="IUC350" s="50"/>
      <c r="IUD350" s="50"/>
      <c r="IUE350" s="50"/>
      <c r="IUF350" s="50"/>
      <c r="IUG350" s="50"/>
      <c r="IUH350" s="50"/>
      <c r="IUI350" s="50"/>
      <c r="IUJ350" s="50"/>
      <c r="IUK350" s="50"/>
      <c r="IUL350" s="50"/>
      <c r="IUM350" s="50"/>
      <c r="IUN350" s="50"/>
      <c r="IUO350" s="50"/>
      <c r="IUP350" s="50"/>
      <c r="IUQ350" s="50"/>
      <c r="IUR350" s="50"/>
      <c r="IUS350" s="50"/>
      <c r="IUT350" s="50"/>
      <c r="IUU350" s="50"/>
      <c r="IUV350" s="50"/>
      <c r="IUW350" s="50"/>
      <c r="IUX350" s="50"/>
      <c r="IUY350" s="50"/>
      <c r="IUZ350" s="50"/>
      <c r="IVA350" s="50"/>
      <c r="IVB350" s="50"/>
      <c r="IVC350" s="50"/>
      <c r="IVD350" s="50"/>
      <c r="IVE350" s="50"/>
      <c r="IVF350" s="50"/>
      <c r="IVG350" s="50"/>
      <c r="IVH350" s="50"/>
      <c r="IVI350" s="50"/>
      <c r="IVJ350" s="50"/>
      <c r="IVK350" s="50"/>
      <c r="IVL350" s="50"/>
      <c r="IVM350" s="50"/>
      <c r="IVN350" s="50"/>
      <c r="IVO350" s="50"/>
      <c r="IVP350" s="50"/>
      <c r="IVQ350" s="50"/>
      <c r="IVR350" s="50"/>
      <c r="IVS350" s="50"/>
      <c r="IVT350" s="50"/>
      <c r="IVU350" s="50"/>
      <c r="IVV350" s="50"/>
      <c r="IVW350" s="50"/>
      <c r="IVX350" s="50"/>
      <c r="IVY350" s="50"/>
      <c r="IVZ350" s="50"/>
      <c r="IWA350" s="50"/>
      <c r="IWB350" s="50"/>
      <c r="IWC350" s="50"/>
      <c r="IWD350" s="50"/>
      <c r="IWE350" s="50"/>
      <c r="IWF350" s="50"/>
      <c r="IWG350" s="50"/>
      <c r="IWH350" s="50"/>
      <c r="IWI350" s="50"/>
      <c r="IWJ350" s="50"/>
      <c r="IWK350" s="50"/>
      <c r="IWL350" s="50"/>
      <c r="IWM350" s="50"/>
      <c r="IWN350" s="50"/>
      <c r="IWO350" s="50"/>
      <c r="IWP350" s="50"/>
      <c r="IWQ350" s="50"/>
      <c r="IWR350" s="50"/>
      <c r="IWS350" s="50"/>
      <c r="IWT350" s="50"/>
      <c r="IWU350" s="50"/>
      <c r="IWV350" s="50"/>
      <c r="IWW350" s="50"/>
      <c r="IWX350" s="50"/>
      <c r="IWY350" s="50"/>
      <c r="IWZ350" s="50"/>
      <c r="IXA350" s="50"/>
      <c r="IXB350" s="50"/>
      <c r="IXC350" s="50"/>
      <c r="IXD350" s="50"/>
      <c r="IXE350" s="50"/>
      <c r="IXF350" s="50"/>
      <c r="IXG350" s="50"/>
      <c r="IXH350" s="50"/>
      <c r="IXI350" s="50"/>
      <c r="IXJ350" s="50"/>
      <c r="IXK350" s="50"/>
      <c r="IXL350" s="50"/>
      <c r="IXM350" s="50"/>
      <c r="IXN350" s="50"/>
      <c r="IXO350" s="50"/>
      <c r="IXP350" s="50"/>
      <c r="IXQ350" s="50"/>
      <c r="IXR350" s="50"/>
      <c r="IXS350" s="50"/>
      <c r="IXT350" s="50"/>
      <c r="IXU350" s="50"/>
      <c r="IXV350" s="50"/>
      <c r="IXW350" s="50"/>
      <c r="IXX350" s="50"/>
      <c r="IXY350" s="50"/>
      <c r="IXZ350" s="50"/>
      <c r="IYA350" s="50"/>
      <c r="IYB350" s="50"/>
      <c r="IYC350" s="50"/>
      <c r="IYD350" s="50"/>
      <c r="IYE350" s="50"/>
      <c r="IYF350" s="50"/>
      <c r="IYG350" s="50"/>
      <c r="IYH350" s="50"/>
      <c r="IYI350" s="50"/>
      <c r="IYJ350" s="50"/>
      <c r="IYK350" s="50"/>
      <c r="IYL350" s="50"/>
      <c r="IYM350" s="50"/>
      <c r="IYN350" s="50"/>
      <c r="IYO350" s="50"/>
      <c r="IYP350" s="50"/>
      <c r="IYQ350" s="50"/>
      <c r="IYR350" s="50"/>
      <c r="IYS350" s="50"/>
      <c r="IYT350" s="50"/>
      <c r="IYU350" s="50"/>
      <c r="IYV350" s="50"/>
      <c r="IYW350" s="50"/>
      <c r="IYX350" s="50"/>
      <c r="IYY350" s="50"/>
      <c r="IYZ350" s="50"/>
      <c r="IZA350" s="50"/>
      <c r="IZB350" s="50"/>
      <c r="IZC350" s="50"/>
      <c r="IZD350" s="50"/>
      <c r="IZE350" s="50"/>
      <c r="IZF350" s="50"/>
      <c r="IZG350" s="50"/>
      <c r="IZH350" s="50"/>
      <c r="IZI350" s="50"/>
      <c r="IZJ350" s="50"/>
      <c r="IZK350" s="50"/>
      <c r="IZL350" s="50"/>
      <c r="IZM350" s="50"/>
      <c r="IZN350" s="50"/>
      <c r="IZO350" s="50"/>
      <c r="IZP350" s="50"/>
      <c r="IZQ350" s="50"/>
      <c r="IZR350" s="50"/>
      <c r="IZS350" s="50"/>
      <c r="IZT350" s="50"/>
      <c r="IZU350" s="50"/>
      <c r="IZV350" s="50"/>
      <c r="IZW350" s="50"/>
      <c r="IZX350" s="50"/>
      <c r="IZY350" s="50"/>
      <c r="IZZ350" s="50"/>
      <c r="JAA350" s="50"/>
      <c r="JAB350" s="50"/>
      <c r="JAC350" s="50"/>
      <c r="JAD350" s="50"/>
      <c r="JAE350" s="50"/>
      <c r="JAF350" s="50"/>
      <c r="JAG350" s="50"/>
      <c r="JAH350" s="50"/>
      <c r="JAI350" s="50"/>
      <c r="JAJ350" s="50"/>
      <c r="JAK350" s="50"/>
      <c r="JAL350" s="50"/>
      <c r="JAM350" s="50"/>
      <c r="JAN350" s="50"/>
      <c r="JAO350" s="50"/>
      <c r="JAP350" s="50"/>
      <c r="JAQ350" s="50"/>
      <c r="JAR350" s="50"/>
      <c r="JAS350" s="50"/>
      <c r="JAT350" s="50"/>
      <c r="JAU350" s="50"/>
      <c r="JAV350" s="50"/>
      <c r="JAW350" s="50"/>
      <c r="JAX350" s="50"/>
      <c r="JAY350" s="50"/>
      <c r="JAZ350" s="50"/>
      <c r="JBA350" s="50"/>
      <c r="JBB350" s="50"/>
      <c r="JBC350" s="50"/>
      <c r="JBD350" s="50"/>
      <c r="JBE350" s="50"/>
      <c r="JBF350" s="50"/>
      <c r="JBG350" s="50"/>
      <c r="JBH350" s="50"/>
      <c r="JBI350" s="50"/>
      <c r="JBJ350" s="50"/>
      <c r="JBK350" s="50"/>
      <c r="JBL350" s="50"/>
      <c r="JBM350" s="50"/>
      <c r="JBN350" s="50"/>
      <c r="JBO350" s="50"/>
      <c r="JBP350" s="50"/>
      <c r="JBQ350" s="50"/>
      <c r="JBR350" s="50"/>
      <c r="JBS350" s="50"/>
      <c r="JBT350" s="50"/>
      <c r="JBU350" s="50"/>
      <c r="JBV350" s="50"/>
      <c r="JBW350" s="50"/>
      <c r="JBX350" s="50"/>
      <c r="JBY350" s="50"/>
      <c r="JBZ350" s="50"/>
      <c r="JCA350" s="50"/>
      <c r="JCB350" s="50"/>
      <c r="JCC350" s="50"/>
      <c r="JCD350" s="50"/>
      <c r="JCE350" s="50"/>
      <c r="JCF350" s="50"/>
      <c r="JCG350" s="50"/>
      <c r="JCH350" s="50"/>
      <c r="JCI350" s="50"/>
      <c r="JCJ350" s="50"/>
      <c r="JCK350" s="50"/>
      <c r="JCL350" s="50"/>
      <c r="JCM350" s="50"/>
      <c r="JCN350" s="50"/>
      <c r="JCO350" s="50"/>
      <c r="JCP350" s="50"/>
      <c r="JCQ350" s="50"/>
      <c r="JCR350" s="50"/>
      <c r="JCS350" s="50"/>
      <c r="JCT350" s="50"/>
      <c r="JCU350" s="50"/>
      <c r="JCV350" s="50"/>
      <c r="JCW350" s="50"/>
      <c r="JCX350" s="50"/>
      <c r="JCY350" s="50"/>
      <c r="JCZ350" s="50"/>
      <c r="JDA350" s="50"/>
      <c r="JDB350" s="50"/>
      <c r="JDC350" s="50"/>
      <c r="JDD350" s="50"/>
      <c r="JDE350" s="50"/>
      <c r="JDF350" s="50"/>
      <c r="JDG350" s="50"/>
      <c r="JDH350" s="50"/>
      <c r="JDI350" s="50"/>
      <c r="JDJ350" s="50"/>
      <c r="JDK350" s="50"/>
      <c r="JDL350" s="50"/>
      <c r="JDM350" s="50"/>
      <c r="JDN350" s="50"/>
      <c r="JDO350" s="50"/>
      <c r="JDP350" s="50"/>
      <c r="JDQ350" s="50"/>
      <c r="JDR350" s="50"/>
      <c r="JDS350" s="50"/>
      <c r="JDT350" s="50"/>
      <c r="JDU350" s="50"/>
      <c r="JDV350" s="50"/>
      <c r="JDW350" s="50"/>
      <c r="JDX350" s="50"/>
      <c r="JDY350" s="50"/>
      <c r="JDZ350" s="50"/>
      <c r="JEA350" s="50"/>
      <c r="JEB350" s="50"/>
      <c r="JEC350" s="50"/>
      <c r="JED350" s="50"/>
      <c r="JEE350" s="50"/>
      <c r="JEF350" s="50"/>
      <c r="JEG350" s="50"/>
      <c r="JEH350" s="50"/>
      <c r="JEI350" s="50"/>
      <c r="JEJ350" s="50"/>
      <c r="JEK350" s="50"/>
      <c r="JEL350" s="50"/>
      <c r="JEM350" s="50"/>
      <c r="JEN350" s="50"/>
      <c r="JEO350" s="50"/>
      <c r="JEP350" s="50"/>
      <c r="JEQ350" s="50"/>
      <c r="JER350" s="50"/>
      <c r="JES350" s="50"/>
      <c r="JET350" s="50"/>
      <c r="JEU350" s="50"/>
      <c r="JEV350" s="50"/>
      <c r="JEW350" s="50"/>
      <c r="JEX350" s="50"/>
      <c r="JEY350" s="50"/>
      <c r="JEZ350" s="50"/>
      <c r="JFA350" s="50"/>
      <c r="JFB350" s="50"/>
      <c r="JFC350" s="50"/>
      <c r="JFD350" s="50"/>
      <c r="JFE350" s="50"/>
      <c r="JFF350" s="50"/>
      <c r="JFG350" s="50"/>
      <c r="JFH350" s="50"/>
      <c r="JFI350" s="50"/>
      <c r="JFJ350" s="50"/>
      <c r="JFK350" s="50"/>
      <c r="JFL350" s="50"/>
      <c r="JFM350" s="50"/>
      <c r="JFN350" s="50"/>
      <c r="JFO350" s="50"/>
      <c r="JFP350" s="50"/>
      <c r="JFQ350" s="50"/>
      <c r="JFR350" s="50"/>
      <c r="JFS350" s="50"/>
      <c r="JFT350" s="50"/>
      <c r="JFU350" s="50"/>
      <c r="JFV350" s="50"/>
      <c r="JFW350" s="50"/>
      <c r="JFX350" s="50"/>
      <c r="JFY350" s="50"/>
      <c r="JFZ350" s="50"/>
      <c r="JGA350" s="50"/>
      <c r="JGB350" s="50"/>
      <c r="JGC350" s="50"/>
      <c r="JGD350" s="50"/>
      <c r="JGE350" s="50"/>
      <c r="JGF350" s="50"/>
      <c r="JGG350" s="50"/>
      <c r="JGH350" s="50"/>
      <c r="JGI350" s="50"/>
      <c r="JGJ350" s="50"/>
      <c r="JGK350" s="50"/>
      <c r="JGL350" s="50"/>
      <c r="JGM350" s="50"/>
      <c r="JGN350" s="50"/>
      <c r="JGO350" s="50"/>
      <c r="JGP350" s="50"/>
      <c r="JGQ350" s="50"/>
      <c r="JGR350" s="50"/>
      <c r="JGS350" s="50"/>
      <c r="JGT350" s="50"/>
      <c r="JGU350" s="50"/>
      <c r="JGV350" s="50"/>
      <c r="JGW350" s="50"/>
      <c r="JGX350" s="50"/>
      <c r="JGY350" s="50"/>
      <c r="JGZ350" s="50"/>
      <c r="JHA350" s="50"/>
      <c r="JHB350" s="50"/>
      <c r="JHC350" s="50"/>
      <c r="JHD350" s="50"/>
      <c r="JHE350" s="50"/>
      <c r="JHF350" s="50"/>
      <c r="JHG350" s="50"/>
      <c r="JHH350" s="50"/>
      <c r="JHI350" s="50"/>
      <c r="JHJ350" s="50"/>
      <c r="JHK350" s="50"/>
      <c r="JHL350" s="50"/>
      <c r="JHM350" s="50"/>
      <c r="JHN350" s="50"/>
      <c r="JHO350" s="50"/>
      <c r="JHP350" s="50"/>
      <c r="JHQ350" s="50"/>
      <c r="JHR350" s="50"/>
      <c r="JHS350" s="50"/>
      <c r="JHT350" s="50"/>
      <c r="JHU350" s="50"/>
      <c r="JHV350" s="50"/>
      <c r="JHW350" s="50"/>
      <c r="JHX350" s="50"/>
      <c r="JHY350" s="50"/>
      <c r="JHZ350" s="50"/>
      <c r="JIA350" s="50"/>
      <c r="JIB350" s="50"/>
      <c r="JIC350" s="50"/>
      <c r="JID350" s="50"/>
      <c r="JIE350" s="50"/>
      <c r="JIF350" s="50"/>
      <c r="JIG350" s="50"/>
      <c r="JIH350" s="50"/>
      <c r="JII350" s="50"/>
      <c r="JIJ350" s="50"/>
      <c r="JIK350" s="50"/>
      <c r="JIL350" s="50"/>
      <c r="JIM350" s="50"/>
      <c r="JIN350" s="50"/>
      <c r="JIO350" s="50"/>
      <c r="JIP350" s="50"/>
      <c r="JIQ350" s="50"/>
      <c r="JIR350" s="50"/>
      <c r="JIS350" s="50"/>
      <c r="JIT350" s="50"/>
      <c r="JIU350" s="50"/>
      <c r="JIV350" s="50"/>
      <c r="JIW350" s="50"/>
      <c r="JIX350" s="50"/>
      <c r="JIY350" s="50"/>
      <c r="JIZ350" s="50"/>
      <c r="JJA350" s="50"/>
      <c r="JJB350" s="50"/>
      <c r="JJC350" s="50"/>
      <c r="JJD350" s="50"/>
      <c r="JJE350" s="50"/>
      <c r="JJF350" s="50"/>
      <c r="JJG350" s="50"/>
      <c r="JJH350" s="50"/>
      <c r="JJI350" s="50"/>
      <c r="JJJ350" s="50"/>
      <c r="JJK350" s="50"/>
      <c r="JJL350" s="50"/>
      <c r="JJM350" s="50"/>
      <c r="JJN350" s="50"/>
      <c r="JJO350" s="50"/>
      <c r="JJP350" s="50"/>
      <c r="JJQ350" s="50"/>
      <c r="JJR350" s="50"/>
      <c r="JJS350" s="50"/>
      <c r="JJT350" s="50"/>
      <c r="JJU350" s="50"/>
      <c r="JJV350" s="50"/>
      <c r="JJW350" s="50"/>
      <c r="JJX350" s="50"/>
      <c r="JJY350" s="50"/>
      <c r="JJZ350" s="50"/>
      <c r="JKA350" s="50"/>
      <c r="JKB350" s="50"/>
      <c r="JKC350" s="50"/>
      <c r="JKD350" s="50"/>
      <c r="JKE350" s="50"/>
      <c r="JKF350" s="50"/>
      <c r="JKG350" s="50"/>
      <c r="JKH350" s="50"/>
      <c r="JKI350" s="50"/>
      <c r="JKJ350" s="50"/>
      <c r="JKK350" s="50"/>
      <c r="JKL350" s="50"/>
      <c r="JKM350" s="50"/>
      <c r="JKN350" s="50"/>
      <c r="JKO350" s="50"/>
      <c r="JKP350" s="50"/>
      <c r="JKQ350" s="50"/>
      <c r="JKR350" s="50"/>
      <c r="JKS350" s="50"/>
      <c r="JKT350" s="50"/>
      <c r="JKU350" s="50"/>
      <c r="JKV350" s="50"/>
      <c r="JKW350" s="50"/>
      <c r="JKX350" s="50"/>
      <c r="JKY350" s="50"/>
      <c r="JKZ350" s="50"/>
      <c r="JLA350" s="50"/>
      <c r="JLB350" s="50"/>
      <c r="JLC350" s="50"/>
      <c r="JLD350" s="50"/>
      <c r="JLE350" s="50"/>
      <c r="JLF350" s="50"/>
      <c r="JLG350" s="50"/>
      <c r="JLH350" s="50"/>
      <c r="JLI350" s="50"/>
      <c r="JLJ350" s="50"/>
      <c r="JLK350" s="50"/>
      <c r="JLL350" s="50"/>
      <c r="JLM350" s="50"/>
      <c r="JLN350" s="50"/>
      <c r="JLO350" s="50"/>
      <c r="JLP350" s="50"/>
      <c r="JLQ350" s="50"/>
      <c r="JLR350" s="50"/>
      <c r="JLS350" s="50"/>
      <c r="JLT350" s="50"/>
      <c r="JLU350" s="50"/>
      <c r="JLV350" s="50"/>
      <c r="JLW350" s="50"/>
      <c r="JLX350" s="50"/>
      <c r="JLY350" s="50"/>
      <c r="JLZ350" s="50"/>
      <c r="JMA350" s="50"/>
      <c r="JMB350" s="50"/>
      <c r="JMC350" s="50"/>
      <c r="JMD350" s="50"/>
      <c r="JME350" s="50"/>
      <c r="JMF350" s="50"/>
      <c r="JMG350" s="50"/>
      <c r="JMH350" s="50"/>
      <c r="JMI350" s="50"/>
      <c r="JMJ350" s="50"/>
      <c r="JMK350" s="50"/>
      <c r="JML350" s="50"/>
      <c r="JMM350" s="50"/>
      <c r="JMN350" s="50"/>
      <c r="JMO350" s="50"/>
      <c r="JMP350" s="50"/>
      <c r="JMQ350" s="50"/>
      <c r="JMR350" s="50"/>
      <c r="JMS350" s="50"/>
      <c r="JMT350" s="50"/>
      <c r="JMU350" s="50"/>
      <c r="JMV350" s="50"/>
      <c r="JMW350" s="50"/>
      <c r="JMX350" s="50"/>
      <c r="JMY350" s="50"/>
      <c r="JMZ350" s="50"/>
      <c r="JNA350" s="50"/>
      <c r="JNB350" s="50"/>
      <c r="JNC350" s="50"/>
      <c r="JND350" s="50"/>
      <c r="JNE350" s="50"/>
      <c r="JNF350" s="50"/>
      <c r="JNG350" s="50"/>
      <c r="JNH350" s="50"/>
      <c r="JNI350" s="50"/>
      <c r="JNJ350" s="50"/>
      <c r="JNK350" s="50"/>
      <c r="JNL350" s="50"/>
      <c r="JNM350" s="50"/>
      <c r="JNN350" s="50"/>
      <c r="JNO350" s="50"/>
      <c r="JNP350" s="50"/>
      <c r="JNQ350" s="50"/>
      <c r="JNR350" s="50"/>
      <c r="JNS350" s="50"/>
      <c r="JNT350" s="50"/>
      <c r="JNU350" s="50"/>
      <c r="JNV350" s="50"/>
      <c r="JNW350" s="50"/>
      <c r="JNX350" s="50"/>
      <c r="JNY350" s="50"/>
      <c r="JNZ350" s="50"/>
      <c r="JOA350" s="50"/>
      <c r="JOB350" s="50"/>
      <c r="JOC350" s="50"/>
      <c r="JOD350" s="50"/>
      <c r="JOE350" s="50"/>
      <c r="JOF350" s="50"/>
      <c r="JOG350" s="50"/>
      <c r="JOH350" s="50"/>
      <c r="JOI350" s="50"/>
      <c r="JOJ350" s="50"/>
      <c r="JOK350" s="50"/>
      <c r="JOL350" s="50"/>
      <c r="JOM350" s="50"/>
      <c r="JON350" s="50"/>
      <c r="JOO350" s="50"/>
      <c r="JOP350" s="50"/>
      <c r="JOQ350" s="50"/>
      <c r="JOR350" s="50"/>
      <c r="JOS350" s="50"/>
      <c r="JOT350" s="50"/>
      <c r="JOU350" s="50"/>
      <c r="JOV350" s="50"/>
      <c r="JOW350" s="50"/>
      <c r="JOX350" s="50"/>
      <c r="JOY350" s="50"/>
      <c r="JOZ350" s="50"/>
      <c r="JPA350" s="50"/>
      <c r="JPB350" s="50"/>
      <c r="JPC350" s="50"/>
      <c r="JPD350" s="50"/>
      <c r="JPE350" s="50"/>
      <c r="JPF350" s="50"/>
      <c r="JPG350" s="50"/>
      <c r="JPH350" s="50"/>
      <c r="JPI350" s="50"/>
      <c r="JPJ350" s="50"/>
      <c r="JPK350" s="50"/>
      <c r="JPL350" s="50"/>
      <c r="JPM350" s="50"/>
      <c r="JPN350" s="50"/>
      <c r="JPO350" s="50"/>
      <c r="JPP350" s="50"/>
      <c r="JPQ350" s="50"/>
      <c r="JPR350" s="50"/>
      <c r="JPS350" s="50"/>
      <c r="JPT350" s="50"/>
      <c r="JPU350" s="50"/>
      <c r="JPV350" s="50"/>
      <c r="JPW350" s="50"/>
      <c r="JPX350" s="50"/>
      <c r="JPY350" s="50"/>
      <c r="JPZ350" s="50"/>
      <c r="JQA350" s="50"/>
      <c r="JQB350" s="50"/>
      <c r="JQC350" s="50"/>
      <c r="JQD350" s="50"/>
      <c r="JQE350" s="50"/>
      <c r="JQF350" s="50"/>
      <c r="JQG350" s="50"/>
      <c r="JQH350" s="50"/>
      <c r="JQI350" s="50"/>
      <c r="JQJ350" s="50"/>
      <c r="JQK350" s="50"/>
      <c r="JQL350" s="50"/>
      <c r="JQM350" s="50"/>
      <c r="JQN350" s="50"/>
      <c r="JQO350" s="50"/>
      <c r="JQP350" s="50"/>
      <c r="JQQ350" s="50"/>
      <c r="JQR350" s="50"/>
      <c r="JQS350" s="50"/>
      <c r="JQT350" s="50"/>
      <c r="JQU350" s="50"/>
      <c r="JQV350" s="50"/>
      <c r="JQW350" s="50"/>
      <c r="JQX350" s="50"/>
      <c r="JQY350" s="50"/>
      <c r="JQZ350" s="50"/>
      <c r="JRA350" s="50"/>
      <c r="JRB350" s="50"/>
      <c r="JRC350" s="50"/>
      <c r="JRD350" s="50"/>
      <c r="JRE350" s="50"/>
      <c r="JRF350" s="50"/>
      <c r="JRG350" s="50"/>
      <c r="JRH350" s="50"/>
      <c r="JRI350" s="50"/>
      <c r="JRJ350" s="50"/>
      <c r="JRK350" s="50"/>
      <c r="JRL350" s="50"/>
      <c r="JRM350" s="50"/>
      <c r="JRN350" s="50"/>
      <c r="JRO350" s="50"/>
      <c r="JRP350" s="50"/>
      <c r="JRQ350" s="50"/>
      <c r="JRR350" s="50"/>
      <c r="JRS350" s="50"/>
      <c r="JRT350" s="50"/>
      <c r="JRU350" s="50"/>
      <c r="JRV350" s="50"/>
      <c r="JRW350" s="50"/>
      <c r="JRX350" s="50"/>
      <c r="JRY350" s="50"/>
      <c r="JRZ350" s="50"/>
      <c r="JSA350" s="50"/>
      <c r="JSB350" s="50"/>
      <c r="JSC350" s="50"/>
      <c r="JSD350" s="50"/>
      <c r="JSE350" s="50"/>
      <c r="JSF350" s="50"/>
      <c r="JSG350" s="50"/>
      <c r="JSH350" s="50"/>
      <c r="JSI350" s="50"/>
      <c r="JSJ350" s="50"/>
      <c r="JSK350" s="50"/>
      <c r="JSL350" s="50"/>
      <c r="JSM350" s="50"/>
      <c r="JSN350" s="50"/>
      <c r="JSO350" s="50"/>
      <c r="JSP350" s="50"/>
      <c r="JSQ350" s="50"/>
      <c r="JSR350" s="50"/>
      <c r="JSS350" s="50"/>
      <c r="JST350" s="50"/>
      <c r="JSU350" s="50"/>
      <c r="JSV350" s="50"/>
      <c r="JSW350" s="50"/>
      <c r="JSX350" s="50"/>
      <c r="JSY350" s="50"/>
      <c r="JSZ350" s="50"/>
      <c r="JTA350" s="50"/>
      <c r="JTB350" s="50"/>
      <c r="JTC350" s="50"/>
      <c r="JTD350" s="50"/>
      <c r="JTE350" s="50"/>
      <c r="JTF350" s="50"/>
      <c r="JTG350" s="50"/>
      <c r="JTH350" s="50"/>
      <c r="JTI350" s="50"/>
      <c r="JTJ350" s="50"/>
      <c r="JTK350" s="50"/>
      <c r="JTL350" s="50"/>
      <c r="JTM350" s="50"/>
      <c r="JTN350" s="50"/>
      <c r="JTO350" s="50"/>
      <c r="JTP350" s="50"/>
      <c r="JTQ350" s="50"/>
      <c r="JTR350" s="50"/>
      <c r="JTS350" s="50"/>
      <c r="JTT350" s="50"/>
      <c r="JTU350" s="50"/>
      <c r="JTV350" s="50"/>
      <c r="JTW350" s="50"/>
      <c r="JTX350" s="50"/>
      <c r="JTY350" s="50"/>
      <c r="JTZ350" s="50"/>
      <c r="JUA350" s="50"/>
      <c r="JUB350" s="50"/>
      <c r="JUC350" s="50"/>
      <c r="JUD350" s="50"/>
      <c r="JUE350" s="50"/>
      <c r="JUF350" s="50"/>
      <c r="JUG350" s="50"/>
      <c r="JUH350" s="50"/>
      <c r="JUI350" s="50"/>
      <c r="JUJ350" s="50"/>
      <c r="JUK350" s="50"/>
      <c r="JUL350" s="50"/>
      <c r="JUM350" s="50"/>
      <c r="JUN350" s="50"/>
      <c r="JUO350" s="50"/>
      <c r="JUP350" s="50"/>
      <c r="JUQ350" s="50"/>
      <c r="JUR350" s="50"/>
      <c r="JUS350" s="50"/>
      <c r="JUT350" s="50"/>
      <c r="JUU350" s="50"/>
      <c r="JUV350" s="50"/>
      <c r="JUW350" s="50"/>
      <c r="JUX350" s="50"/>
      <c r="JUY350" s="50"/>
      <c r="JUZ350" s="50"/>
      <c r="JVA350" s="50"/>
      <c r="JVB350" s="50"/>
      <c r="JVC350" s="50"/>
      <c r="JVD350" s="50"/>
      <c r="JVE350" s="50"/>
      <c r="JVF350" s="50"/>
      <c r="JVG350" s="50"/>
      <c r="JVH350" s="50"/>
      <c r="JVI350" s="50"/>
      <c r="JVJ350" s="50"/>
      <c r="JVK350" s="50"/>
      <c r="JVL350" s="50"/>
      <c r="JVM350" s="50"/>
      <c r="JVN350" s="50"/>
      <c r="JVO350" s="50"/>
      <c r="JVP350" s="50"/>
      <c r="JVQ350" s="50"/>
      <c r="JVR350" s="50"/>
      <c r="JVS350" s="50"/>
      <c r="JVT350" s="50"/>
      <c r="JVU350" s="50"/>
      <c r="JVV350" s="50"/>
      <c r="JVW350" s="50"/>
      <c r="JVX350" s="50"/>
      <c r="JVY350" s="50"/>
      <c r="JVZ350" s="50"/>
      <c r="JWA350" s="50"/>
      <c r="JWB350" s="50"/>
      <c r="JWC350" s="50"/>
      <c r="JWD350" s="50"/>
      <c r="JWE350" s="50"/>
      <c r="JWF350" s="50"/>
      <c r="JWG350" s="50"/>
      <c r="JWH350" s="50"/>
      <c r="JWI350" s="50"/>
      <c r="JWJ350" s="50"/>
      <c r="JWK350" s="50"/>
      <c r="JWL350" s="50"/>
      <c r="JWM350" s="50"/>
      <c r="JWN350" s="50"/>
      <c r="JWO350" s="50"/>
      <c r="JWP350" s="50"/>
      <c r="JWQ350" s="50"/>
      <c r="JWR350" s="50"/>
      <c r="JWS350" s="50"/>
      <c r="JWT350" s="50"/>
      <c r="JWU350" s="50"/>
      <c r="JWV350" s="50"/>
      <c r="JWW350" s="50"/>
      <c r="JWX350" s="50"/>
      <c r="JWY350" s="50"/>
      <c r="JWZ350" s="50"/>
      <c r="JXA350" s="50"/>
      <c r="JXB350" s="50"/>
      <c r="JXC350" s="50"/>
      <c r="JXD350" s="50"/>
      <c r="JXE350" s="50"/>
      <c r="JXF350" s="50"/>
      <c r="JXG350" s="50"/>
      <c r="JXH350" s="50"/>
      <c r="JXI350" s="50"/>
      <c r="JXJ350" s="50"/>
      <c r="JXK350" s="50"/>
      <c r="JXL350" s="50"/>
      <c r="JXM350" s="50"/>
      <c r="JXN350" s="50"/>
      <c r="JXO350" s="50"/>
      <c r="JXP350" s="50"/>
      <c r="JXQ350" s="50"/>
      <c r="JXR350" s="50"/>
      <c r="JXS350" s="50"/>
      <c r="JXT350" s="50"/>
      <c r="JXU350" s="50"/>
      <c r="JXV350" s="50"/>
      <c r="JXW350" s="50"/>
      <c r="JXX350" s="50"/>
      <c r="JXY350" s="50"/>
      <c r="JXZ350" s="50"/>
      <c r="JYA350" s="50"/>
      <c r="JYB350" s="50"/>
      <c r="JYC350" s="50"/>
      <c r="JYD350" s="50"/>
      <c r="JYE350" s="50"/>
      <c r="JYF350" s="50"/>
      <c r="JYG350" s="50"/>
      <c r="JYH350" s="50"/>
      <c r="JYI350" s="50"/>
      <c r="JYJ350" s="50"/>
      <c r="JYK350" s="50"/>
      <c r="JYL350" s="50"/>
      <c r="JYM350" s="50"/>
      <c r="JYN350" s="50"/>
      <c r="JYO350" s="50"/>
      <c r="JYP350" s="50"/>
      <c r="JYQ350" s="50"/>
      <c r="JYR350" s="50"/>
      <c r="JYS350" s="50"/>
      <c r="JYT350" s="50"/>
      <c r="JYU350" s="50"/>
      <c r="JYV350" s="50"/>
      <c r="JYW350" s="50"/>
      <c r="JYX350" s="50"/>
      <c r="JYY350" s="50"/>
      <c r="JYZ350" s="50"/>
      <c r="JZA350" s="50"/>
      <c r="JZB350" s="50"/>
      <c r="JZC350" s="50"/>
      <c r="JZD350" s="50"/>
      <c r="JZE350" s="50"/>
      <c r="JZF350" s="50"/>
      <c r="JZG350" s="50"/>
      <c r="JZH350" s="50"/>
      <c r="JZI350" s="50"/>
      <c r="JZJ350" s="50"/>
      <c r="JZK350" s="50"/>
      <c r="JZL350" s="50"/>
      <c r="JZM350" s="50"/>
      <c r="JZN350" s="50"/>
      <c r="JZO350" s="50"/>
      <c r="JZP350" s="50"/>
      <c r="JZQ350" s="50"/>
      <c r="JZR350" s="50"/>
      <c r="JZS350" s="50"/>
      <c r="JZT350" s="50"/>
      <c r="JZU350" s="50"/>
      <c r="JZV350" s="50"/>
      <c r="JZW350" s="50"/>
      <c r="JZX350" s="50"/>
      <c r="JZY350" s="50"/>
      <c r="JZZ350" s="50"/>
      <c r="KAA350" s="50"/>
      <c r="KAB350" s="50"/>
      <c r="KAC350" s="50"/>
      <c r="KAD350" s="50"/>
      <c r="KAE350" s="50"/>
      <c r="KAF350" s="50"/>
      <c r="KAG350" s="50"/>
      <c r="KAH350" s="50"/>
      <c r="KAI350" s="50"/>
      <c r="KAJ350" s="50"/>
      <c r="KAK350" s="50"/>
      <c r="KAL350" s="50"/>
      <c r="KAM350" s="50"/>
      <c r="KAN350" s="50"/>
      <c r="KAO350" s="50"/>
      <c r="KAP350" s="50"/>
      <c r="KAQ350" s="50"/>
      <c r="KAR350" s="50"/>
      <c r="KAS350" s="50"/>
      <c r="KAT350" s="50"/>
      <c r="KAU350" s="50"/>
      <c r="KAV350" s="50"/>
      <c r="KAW350" s="50"/>
      <c r="KAX350" s="50"/>
      <c r="KAY350" s="50"/>
      <c r="KAZ350" s="50"/>
      <c r="KBA350" s="50"/>
      <c r="KBB350" s="50"/>
      <c r="KBC350" s="50"/>
      <c r="KBD350" s="50"/>
      <c r="KBE350" s="50"/>
      <c r="KBF350" s="50"/>
      <c r="KBG350" s="50"/>
      <c r="KBH350" s="50"/>
      <c r="KBI350" s="50"/>
      <c r="KBJ350" s="50"/>
      <c r="KBK350" s="50"/>
      <c r="KBL350" s="50"/>
      <c r="KBM350" s="50"/>
      <c r="KBN350" s="50"/>
      <c r="KBO350" s="50"/>
      <c r="KBP350" s="50"/>
      <c r="KBQ350" s="50"/>
      <c r="KBR350" s="50"/>
      <c r="KBS350" s="50"/>
      <c r="KBT350" s="50"/>
      <c r="KBU350" s="50"/>
      <c r="KBV350" s="50"/>
      <c r="KBW350" s="50"/>
      <c r="KBX350" s="50"/>
      <c r="KBY350" s="50"/>
      <c r="KBZ350" s="50"/>
      <c r="KCA350" s="50"/>
      <c r="KCB350" s="50"/>
      <c r="KCC350" s="50"/>
      <c r="KCD350" s="50"/>
      <c r="KCE350" s="50"/>
      <c r="KCF350" s="50"/>
      <c r="KCG350" s="50"/>
      <c r="KCH350" s="50"/>
      <c r="KCI350" s="50"/>
      <c r="KCJ350" s="50"/>
      <c r="KCK350" s="50"/>
      <c r="KCL350" s="50"/>
      <c r="KCM350" s="50"/>
      <c r="KCN350" s="50"/>
      <c r="KCO350" s="50"/>
      <c r="KCP350" s="50"/>
      <c r="KCQ350" s="50"/>
      <c r="KCR350" s="50"/>
      <c r="KCS350" s="50"/>
      <c r="KCT350" s="50"/>
      <c r="KCU350" s="50"/>
      <c r="KCV350" s="50"/>
      <c r="KCW350" s="50"/>
      <c r="KCX350" s="50"/>
      <c r="KCY350" s="50"/>
      <c r="KCZ350" s="50"/>
      <c r="KDA350" s="50"/>
      <c r="KDB350" s="50"/>
      <c r="KDC350" s="50"/>
      <c r="KDD350" s="50"/>
      <c r="KDE350" s="50"/>
      <c r="KDF350" s="50"/>
      <c r="KDG350" s="50"/>
      <c r="KDH350" s="50"/>
      <c r="KDI350" s="50"/>
      <c r="KDJ350" s="50"/>
      <c r="KDK350" s="50"/>
      <c r="KDL350" s="50"/>
      <c r="KDM350" s="50"/>
      <c r="KDN350" s="50"/>
      <c r="KDO350" s="50"/>
      <c r="KDP350" s="50"/>
      <c r="KDQ350" s="50"/>
      <c r="KDR350" s="50"/>
      <c r="KDS350" s="50"/>
      <c r="KDT350" s="50"/>
      <c r="KDU350" s="50"/>
      <c r="KDV350" s="50"/>
      <c r="KDW350" s="50"/>
      <c r="KDX350" s="50"/>
      <c r="KDY350" s="50"/>
      <c r="KDZ350" s="50"/>
      <c r="KEA350" s="50"/>
      <c r="KEB350" s="50"/>
      <c r="KEC350" s="50"/>
      <c r="KED350" s="50"/>
      <c r="KEE350" s="50"/>
      <c r="KEF350" s="50"/>
      <c r="KEG350" s="50"/>
      <c r="KEH350" s="50"/>
      <c r="KEI350" s="50"/>
      <c r="KEJ350" s="50"/>
      <c r="KEK350" s="50"/>
      <c r="KEL350" s="50"/>
      <c r="KEM350" s="50"/>
      <c r="KEN350" s="50"/>
      <c r="KEO350" s="50"/>
      <c r="KEP350" s="50"/>
      <c r="KEQ350" s="50"/>
      <c r="KER350" s="50"/>
      <c r="KES350" s="50"/>
      <c r="KET350" s="50"/>
      <c r="KEU350" s="50"/>
      <c r="KEV350" s="50"/>
      <c r="KEW350" s="50"/>
      <c r="KEX350" s="50"/>
      <c r="KEY350" s="50"/>
      <c r="KEZ350" s="50"/>
      <c r="KFA350" s="50"/>
      <c r="KFB350" s="50"/>
      <c r="KFC350" s="50"/>
      <c r="KFD350" s="50"/>
      <c r="KFE350" s="50"/>
      <c r="KFF350" s="50"/>
      <c r="KFG350" s="50"/>
      <c r="KFH350" s="50"/>
      <c r="KFI350" s="50"/>
      <c r="KFJ350" s="50"/>
      <c r="KFK350" s="50"/>
      <c r="KFL350" s="50"/>
      <c r="KFM350" s="50"/>
      <c r="KFN350" s="50"/>
      <c r="KFO350" s="50"/>
      <c r="KFP350" s="50"/>
      <c r="KFQ350" s="50"/>
      <c r="KFR350" s="50"/>
      <c r="KFS350" s="50"/>
      <c r="KFT350" s="50"/>
      <c r="KFU350" s="50"/>
      <c r="KFV350" s="50"/>
      <c r="KFW350" s="50"/>
      <c r="KFX350" s="50"/>
      <c r="KFY350" s="50"/>
      <c r="KFZ350" s="50"/>
      <c r="KGA350" s="50"/>
      <c r="KGB350" s="50"/>
      <c r="KGC350" s="50"/>
      <c r="KGD350" s="50"/>
      <c r="KGE350" s="50"/>
      <c r="KGF350" s="50"/>
      <c r="KGG350" s="50"/>
      <c r="KGH350" s="50"/>
      <c r="KGI350" s="50"/>
      <c r="KGJ350" s="50"/>
      <c r="KGK350" s="50"/>
      <c r="KGL350" s="50"/>
      <c r="KGM350" s="50"/>
      <c r="KGN350" s="50"/>
      <c r="KGO350" s="50"/>
      <c r="KGP350" s="50"/>
      <c r="KGQ350" s="50"/>
      <c r="KGR350" s="50"/>
      <c r="KGS350" s="50"/>
      <c r="KGT350" s="50"/>
      <c r="KGU350" s="50"/>
      <c r="KGV350" s="50"/>
      <c r="KGW350" s="50"/>
      <c r="KGX350" s="50"/>
      <c r="KGY350" s="50"/>
      <c r="KGZ350" s="50"/>
      <c r="KHA350" s="50"/>
      <c r="KHB350" s="50"/>
      <c r="KHC350" s="50"/>
      <c r="KHD350" s="50"/>
      <c r="KHE350" s="50"/>
      <c r="KHF350" s="50"/>
      <c r="KHG350" s="50"/>
      <c r="KHH350" s="50"/>
      <c r="KHI350" s="50"/>
      <c r="KHJ350" s="50"/>
      <c r="KHK350" s="50"/>
      <c r="KHL350" s="50"/>
      <c r="KHM350" s="50"/>
      <c r="KHN350" s="50"/>
      <c r="KHO350" s="50"/>
      <c r="KHP350" s="50"/>
      <c r="KHQ350" s="50"/>
      <c r="KHR350" s="50"/>
      <c r="KHS350" s="50"/>
      <c r="KHT350" s="50"/>
      <c r="KHU350" s="50"/>
      <c r="KHV350" s="50"/>
      <c r="KHW350" s="50"/>
      <c r="KHX350" s="50"/>
      <c r="KHY350" s="50"/>
      <c r="KHZ350" s="50"/>
      <c r="KIA350" s="50"/>
      <c r="KIB350" s="50"/>
      <c r="KIC350" s="50"/>
      <c r="KID350" s="50"/>
      <c r="KIE350" s="50"/>
      <c r="KIF350" s="50"/>
      <c r="KIG350" s="50"/>
      <c r="KIH350" s="50"/>
      <c r="KII350" s="50"/>
      <c r="KIJ350" s="50"/>
      <c r="KIK350" s="50"/>
      <c r="KIL350" s="50"/>
      <c r="KIM350" s="50"/>
      <c r="KIN350" s="50"/>
      <c r="KIO350" s="50"/>
      <c r="KIP350" s="50"/>
      <c r="KIQ350" s="50"/>
      <c r="KIR350" s="50"/>
      <c r="KIS350" s="50"/>
      <c r="KIT350" s="50"/>
      <c r="KIU350" s="50"/>
      <c r="KIV350" s="50"/>
      <c r="KIW350" s="50"/>
      <c r="KIX350" s="50"/>
      <c r="KIY350" s="50"/>
      <c r="KIZ350" s="50"/>
      <c r="KJA350" s="50"/>
      <c r="KJB350" s="50"/>
      <c r="KJC350" s="50"/>
      <c r="KJD350" s="50"/>
      <c r="KJE350" s="50"/>
      <c r="KJF350" s="50"/>
      <c r="KJG350" s="50"/>
      <c r="KJH350" s="50"/>
      <c r="KJI350" s="50"/>
      <c r="KJJ350" s="50"/>
      <c r="KJK350" s="50"/>
      <c r="KJL350" s="50"/>
      <c r="KJM350" s="50"/>
      <c r="KJN350" s="50"/>
      <c r="KJO350" s="50"/>
      <c r="KJP350" s="50"/>
      <c r="KJQ350" s="50"/>
      <c r="KJR350" s="50"/>
      <c r="KJS350" s="50"/>
      <c r="KJT350" s="50"/>
      <c r="KJU350" s="50"/>
      <c r="KJV350" s="50"/>
      <c r="KJW350" s="50"/>
      <c r="KJX350" s="50"/>
      <c r="KJY350" s="50"/>
      <c r="KJZ350" s="50"/>
      <c r="KKA350" s="50"/>
      <c r="KKB350" s="50"/>
      <c r="KKC350" s="50"/>
      <c r="KKD350" s="50"/>
      <c r="KKE350" s="50"/>
      <c r="KKF350" s="50"/>
      <c r="KKG350" s="50"/>
      <c r="KKH350" s="50"/>
      <c r="KKI350" s="50"/>
      <c r="KKJ350" s="50"/>
      <c r="KKK350" s="50"/>
      <c r="KKL350" s="50"/>
      <c r="KKM350" s="50"/>
      <c r="KKN350" s="50"/>
      <c r="KKO350" s="50"/>
      <c r="KKP350" s="50"/>
      <c r="KKQ350" s="50"/>
      <c r="KKR350" s="50"/>
      <c r="KKS350" s="50"/>
      <c r="KKT350" s="50"/>
      <c r="KKU350" s="50"/>
      <c r="KKV350" s="50"/>
      <c r="KKW350" s="50"/>
      <c r="KKX350" s="50"/>
      <c r="KKY350" s="50"/>
      <c r="KKZ350" s="50"/>
      <c r="KLA350" s="50"/>
      <c r="KLB350" s="50"/>
      <c r="KLC350" s="50"/>
      <c r="KLD350" s="50"/>
      <c r="KLE350" s="50"/>
      <c r="KLF350" s="50"/>
      <c r="KLG350" s="50"/>
      <c r="KLH350" s="50"/>
      <c r="KLI350" s="50"/>
      <c r="KLJ350" s="50"/>
      <c r="KLK350" s="50"/>
      <c r="KLL350" s="50"/>
      <c r="KLM350" s="50"/>
      <c r="KLN350" s="50"/>
      <c r="KLO350" s="50"/>
      <c r="KLP350" s="50"/>
      <c r="KLQ350" s="50"/>
      <c r="KLR350" s="50"/>
      <c r="KLS350" s="50"/>
      <c r="KLT350" s="50"/>
      <c r="KLU350" s="50"/>
      <c r="KLV350" s="50"/>
      <c r="KLW350" s="50"/>
      <c r="KLX350" s="50"/>
      <c r="KLY350" s="50"/>
      <c r="KLZ350" s="50"/>
      <c r="KMA350" s="50"/>
      <c r="KMB350" s="50"/>
      <c r="KMC350" s="50"/>
      <c r="KMD350" s="50"/>
      <c r="KME350" s="50"/>
      <c r="KMF350" s="50"/>
      <c r="KMG350" s="50"/>
      <c r="KMH350" s="50"/>
      <c r="KMI350" s="50"/>
      <c r="KMJ350" s="50"/>
      <c r="KMK350" s="50"/>
      <c r="KML350" s="50"/>
      <c r="KMM350" s="50"/>
      <c r="KMN350" s="50"/>
      <c r="KMO350" s="50"/>
      <c r="KMP350" s="50"/>
      <c r="KMQ350" s="50"/>
      <c r="KMR350" s="50"/>
      <c r="KMS350" s="50"/>
      <c r="KMT350" s="50"/>
      <c r="KMU350" s="50"/>
      <c r="KMV350" s="50"/>
      <c r="KMW350" s="50"/>
      <c r="KMX350" s="50"/>
      <c r="KMY350" s="50"/>
      <c r="KMZ350" s="50"/>
      <c r="KNA350" s="50"/>
      <c r="KNB350" s="50"/>
      <c r="KNC350" s="50"/>
      <c r="KND350" s="50"/>
      <c r="KNE350" s="50"/>
      <c r="KNF350" s="50"/>
      <c r="KNG350" s="50"/>
      <c r="KNH350" s="50"/>
      <c r="KNI350" s="50"/>
      <c r="KNJ350" s="50"/>
      <c r="KNK350" s="50"/>
      <c r="KNL350" s="50"/>
      <c r="KNM350" s="50"/>
      <c r="KNN350" s="50"/>
      <c r="KNO350" s="50"/>
      <c r="KNP350" s="50"/>
      <c r="KNQ350" s="50"/>
      <c r="KNR350" s="50"/>
      <c r="KNS350" s="50"/>
      <c r="KNT350" s="50"/>
      <c r="KNU350" s="50"/>
      <c r="KNV350" s="50"/>
      <c r="KNW350" s="50"/>
      <c r="KNX350" s="50"/>
      <c r="KNY350" s="50"/>
      <c r="KNZ350" s="50"/>
      <c r="KOA350" s="50"/>
      <c r="KOB350" s="50"/>
      <c r="KOC350" s="50"/>
      <c r="KOD350" s="50"/>
      <c r="KOE350" s="50"/>
      <c r="KOF350" s="50"/>
      <c r="KOG350" s="50"/>
      <c r="KOH350" s="50"/>
      <c r="KOI350" s="50"/>
      <c r="KOJ350" s="50"/>
      <c r="KOK350" s="50"/>
      <c r="KOL350" s="50"/>
      <c r="KOM350" s="50"/>
      <c r="KON350" s="50"/>
      <c r="KOO350" s="50"/>
      <c r="KOP350" s="50"/>
      <c r="KOQ350" s="50"/>
      <c r="KOR350" s="50"/>
      <c r="KOS350" s="50"/>
      <c r="KOT350" s="50"/>
      <c r="KOU350" s="50"/>
      <c r="KOV350" s="50"/>
      <c r="KOW350" s="50"/>
      <c r="KOX350" s="50"/>
      <c r="KOY350" s="50"/>
      <c r="KOZ350" s="50"/>
      <c r="KPA350" s="50"/>
      <c r="KPB350" s="50"/>
      <c r="KPC350" s="50"/>
      <c r="KPD350" s="50"/>
      <c r="KPE350" s="50"/>
      <c r="KPF350" s="50"/>
      <c r="KPG350" s="50"/>
      <c r="KPH350" s="50"/>
      <c r="KPI350" s="50"/>
      <c r="KPJ350" s="50"/>
      <c r="KPK350" s="50"/>
      <c r="KPL350" s="50"/>
      <c r="KPM350" s="50"/>
      <c r="KPN350" s="50"/>
      <c r="KPO350" s="50"/>
      <c r="KPP350" s="50"/>
      <c r="KPQ350" s="50"/>
      <c r="KPR350" s="50"/>
      <c r="KPS350" s="50"/>
      <c r="KPT350" s="50"/>
      <c r="KPU350" s="50"/>
      <c r="KPV350" s="50"/>
      <c r="KPW350" s="50"/>
      <c r="KPX350" s="50"/>
      <c r="KPY350" s="50"/>
      <c r="KPZ350" s="50"/>
      <c r="KQA350" s="50"/>
      <c r="KQB350" s="50"/>
      <c r="KQC350" s="50"/>
      <c r="KQD350" s="50"/>
      <c r="KQE350" s="50"/>
      <c r="KQF350" s="50"/>
      <c r="KQG350" s="50"/>
      <c r="KQH350" s="50"/>
      <c r="KQI350" s="50"/>
      <c r="KQJ350" s="50"/>
      <c r="KQK350" s="50"/>
      <c r="KQL350" s="50"/>
      <c r="KQM350" s="50"/>
      <c r="KQN350" s="50"/>
      <c r="KQO350" s="50"/>
      <c r="KQP350" s="50"/>
      <c r="KQQ350" s="50"/>
      <c r="KQR350" s="50"/>
      <c r="KQS350" s="50"/>
      <c r="KQT350" s="50"/>
      <c r="KQU350" s="50"/>
      <c r="KQV350" s="50"/>
      <c r="KQW350" s="50"/>
      <c r="KQX350" s="50"/>
      <c r="KQY350" s="50"/>
      <c r="KQZ350" s="50"/>
      <c r="KRA350" s="50"/>
      <c r="KRB350" s="50"/>
      <c r="KRC350" s="50"/>
      <c r="KRD350" s="50"/>
      <c r="KRE350" s="50"/>
      <c r="KRF350" s="50"/>
      <c r="KRG350" s="50"/>
      <c r="KRH350" s="50"/>
      <c r="KRI350" s="50"/>
      <c r="KRJ350" s="50"/>
      <c r="KRK350" s="50"/>
      <c r="KRL350" s="50"/>
      <c r="KRM350" s="50"/>
      <c r="KRN350" s="50"/>
      <c r="KRO350" s="50"/>
      <c r="KRP350" s="50"/>
      <c r="KRQ350" s="50"/>
      <c r="KRR350" s="50"/>
      <c r="KRS350" s="50"/>
      <c r="KRT350" s="50"/>
      <c r="KRU350" s="50"/>
      <c r="KRV350" s="50"/>
      <c r="KRW350" s="50"/>
      <c r="KRX350" s="50"/>
      <c r="KRY350" s="50"/>
      <c r="KRZ350" s="50"/>
      <c r="KSA350" s="50"/>
      <c r="KSB350" s="50"/>
      <c r="KSC350" s="50"/>
      <c r="KSD350" s="50"/>
      <c r="KSE350" s="50"/>
      <c r="KSF350" s="50"/>
      <c r="KSG350" s="50"/>
      <c r="KSH350" s="50"/>
      <c r="KSI350" s="50"/>
      <c r="KSJ350" s="50"/>
      <c r="KSK350" s="50"/>
      <c r="KSL350" s="50"/>
      <c r="KSM350" s="50"/>
      <c r="KSN350" s="50"/>
      <c r="KSO350" s="50"/>
      <c r="KSP350" s="50"/>
      <c r="KSQ350" s="50"/>
      <c r="KSR350" s="50"/>
      <c r="KSS350" s="50"/>
      <c r="KST350" s="50"/>
      <c r="KSU350" s="50"/>
      <c r="KSV350" s="50"/>
      <c r="KSW350" s="50"/>
      <c r="KSX350" s="50"/>
      <c r="KSY350" s="50"/>
      <c r="KSZ350" s="50"/>
      <c r="KTA350" s="50"/>
      <c r="KTB350" s="50"/>
      <c r="KTC350" s="50"/>
      <c r="KTD350" s="50"/>
      <c r="KTE350" s="50"/>
      <c r="KTF350" s="50"/>
      <c r="KTG350" s="50"/>
      <c r="KTH350" s="50"/>
      <c r="KTI350" s="50"/>
      <c r="KTJ350" s="50"/>
      <c r="KTK350" s="50"/>
      <c r="KTL350" s="50"/>
      <c r="KTM350" s="50"/>
      <c r="KTN350" s="50"/>
      <c r="KTO350" s="50"/>
      <c r="KTP350" s="50"/>
      <c r="KTQ350" s="50"/>
      <c r="KTR350" s="50"/>
      <c r="KTS350" s="50"/>
      <c r="KTT350" s="50"/>
      <c r="KTU350" s="50"/>
      <c r="KTV350" s="50"/>
      <c r="KTW350" s="50"/>
      <c r="KTX350" s="50"/>
      <c r="KTY350" s="50"/>
      <c r="KTZ350" s="50"/>
      <c r="KUA350" s="50"/>
      <c r="KUB350" s="50"/>
      <c r="KUC350" s="50"/>
      <c r="KUD350" s="50"/>
      <c r="KUE350" s="50"/>
      <c r="KUF350" s="50"/>
      <c r="KUG350" s="50"/>
      <c r="KUH350" s="50"/>
      <c r="KUI350" s="50"/>
      <c r="KUJ350" s="50"/>
      <c r="KUK350" s="50"/>
      <c r="KUL350" s="50"/>
      <c r="KUM350" s="50"/>
      <c r="KUN350" s="50"/>
      <c r="KUO350" s="50"/>
      <c r="KUP350" s="50"/>
      <c r="KUQ350" s="50"/>
      <c r="KUR350" s="50"/>
      <c r="KUS350" s="50"/>
      <c r="KUT350" s="50"/>
      <c r="KUU350" s="50"/>
      <c r="KUV350" s="50"/>
      <c r="KUW350" s="50"/>
      <c r="KUX350" s="50"/>
      <c r="KUY350" s="50"/>
      <c r="KUZ350" s="50"/>
      <c r="KVA350" s="50"/>
      <c r="KVB350" s="50"/>
      <c r="KVC350" s="50"/>
      <c r="KVD350" s="50"/>
      <c r="KVE350" s="50"/>
      <c r="KVF350" s="50"/>
      <c r="KVG350" s="50"/>
      <c r="KVH350" s="50"/>
      <c r="KVI350" s="50"/>
      <c r="KVJ350" s="50"/>
      <c r="KVK350" s="50"/>
      <c r="KVL350" s="50"/>
      <c r="KVM350" s="50"/>
      <c r="KVN350" s="50"/>
      <c r="KVO350" s="50"/>
      <c r="KVP350" s="50"/>
      <c r="KVQ350" s="50"/>
      <c r="KVR350" s="50"/>
      <c r="KVS350" s="50"/>
      <c r="KVT350" s="50"/>
      <c r="KVU350" s="50"/>
      <c r="KVV350" s="50"/>
      <c r="KVW350" s="50"/>
      <c r="KVX350" s="50"/>
      <c r="KVY350" s="50"/>
      <c r="KVZ350" s="50"/>
      <c r="KWA350" s="50"/>
      <c r="KWB350" s="50"/>
      <c r="KWC350" s="50"/>
      <c r="KWD350" s="50"/>
      <c r="KWE350" s="50"/>
      <c r="KWF350" s="50"/>
      <c r="KWG350" s="50"/>
      <c r="KWH350" s="50"/>
      <c r="KWI350" s="50"/>
      <c r="KWJ350" s="50"/>
      <c r="KWK350" s="50"/>
      <c r="KWL350" s="50"/>
      <c r="KWM350" s="50"/>
      <c r="KWN350" s="50"/>
      <c r="KWO350" s="50"/>
      <c r="KWP350" s="50"/>
      <c r="KWQ350" s="50"/>
      <c r="KWR350" s="50"/>
      <c r="KWS350" s="50"/>
      <c r="KWT350" s="50"/>
      <c r="KWU350" s="50"/>
      <c r="KWV350" s="50"/>
      <c r="KWW350" s="50"/>
      <c r="KWX350" s="50"/>
      <c r="KWY350" s="50"/>
      <c r="KWZ350" s="50"/>
      <c r="KXA350" s="50"/>
      <c r="KXB350" s="50"/>
      <c r="KXC350" s="50"/>
      <c r="KXD350" s="50"/>
      <c r="KXE350" s="50"/>
      <c r="KXF350" s="50"/>
      <c r="KXG350" s="50"/>
      <c r="KXH350" s="50"/>
      <c r="KXI350" s="50"/>
      <c r="KXJ350" s="50"/>
      <c r="KXK350" s="50"/>
      <c r="KXL350" s="50"/>
      <c r="KXM350" s="50"/>
      <c r="KXN350" s="50"/>
      <c r="KXO350" s="50"/>
      <c r="KXP350" s="50"/>
      <c r="KXQ350" s="50"/>
      <c r="KXR350" s="50"/>
      <c r="KXS350" s="50"/>
      <c r="KXT350" s="50"/>
      <c r="KXU350" s="50"/>
      <c r="KXV350" s="50"/>
      <c r="KXW350" s="50"/>
      <c r="KXX350" s="50"/>
      <c r="KXY350" s="50"/>
      <c r="KXZ350" s="50"/>
      <c r="KYA350" s="50"/>
      <c r="KYB350" s="50"/>
      <c r="KYC350" s="50"/>
      <c r="KYD350" s="50"/>
      <c r="KYE350" s="50"/>
      <c r="KYF350" s="50"/>
      <c r="KYG350" s="50"/>
      <c r="KYH350" s="50"/>
      <c r="KYI350" s="50"/>
      <c r="KYJ350" s="50"/>
      <c r="KYK350" s="50"/>
      <c r="KYL350" s="50"/>
      <c r="KYM350" s="50"/>
      <c r="KYN350" s="50"/>
      <c r="KYO350" s="50"/>
      <c r="KYP350" s="50"/>
      <c r="KYQ350" s="50"/>
      <c r="KYR350" s="50"/>
      <c r="KYS350" s="50"/>
      <c r="KYT350" s="50"/>
      <c r="KYU350" s="50"/>
      <c r="KYV350" s="50"/>
      <c r="KYW350" s="50"/>
      <c r="KYX350" s="50"/>
      <c r="KYY350" s="50"/>
      <c r="KYZ350" s="50"/>
      <c r="KZA350" s="50"/>
      <c r="KZB350" s="50"/>
      <c r="KZC350" s="50"/>
      <c r="KZD350" s="50"/>
      <c r="KZE350" s="50"/>
      <c r="KZF350" s="50"/>
      <c r="KZG350" s="50"/>
      <c r="KZH350" s="50"/>
      <c r="KZI350" s="50"/>
      <c r="KZJ350" s="50"/>
      <c r="KZK350" s="50"/>
      <c r="KZL350" s="50"/>
      <c r="KZM350" s="50"/>
      <c r="KZN350" s="50"/>
      <c r="KZO350" s="50"/>
      <c r="KZP350" s="50"/>
      <c r="KZQ350" s="50"/>
      <c r="KZR350" s="50"/>
      <c r="KZS350" s="50"/>
      <c r="KZT350" s="50"/>
      <c r="KZU350" s="50"/>
      <c r="KZV350" s="50"/>
      <c r="KZW350" s="50"/>
      <c r="KZX350" s="50"/>
      <c r="KZY350" s="50"/>
      <c r="KZZ350" s="50"/>
      <c r="LAA350" s="50"/>
      <c r="LAB350" s="50"/>
      <c r="LAC350" s="50"/>
      <c r="LAD350" s="50"/>
      <c r="LAE350" s="50"/>
      <c r="LAF350" s="50"/>
      <c r="LAG350" s="50"/>
      <c r="LAH350" s="50"/>
      <c r="LAI350" s="50"/>
      <c r="LAJ350" s="50"/>
      <c r="LAK350" s="50"/>
      <c r="LAL350" s="50"/>
      <c r="LAM350" s="50"/>
      <c r="LAN350" s="50"/>
      <c r="LAO350" s="50"/>
      <c r="LAP350" s="50"/>
      <c r="LAQ350" s="50"/>
      <c r="LAR350" s="50"/>
      <c r="LAS350" s="50"/>
      <c r="LAT350" s="50"/>
      <c r="LAU350" s="50"/>
      <c r="LAV350" s="50"/>
      <c r="LAW350" s="50"/>
      <c r="LAX350" s="50"/>
      <c r="LAY350" s="50"/>
      <c r="LAZ350" s="50"/>
      <c r="LBA350" s="50"/>
      <c r="LBB350" s="50"/>
      <c r="LBC350" s="50"/>
      <c r="LBD350" s="50"/>
      <c r="LBE350" s="50"/>
      <c r="LBF350" s="50"/>
      <c r="LBG350" s="50"/>
      <c r="LBH350" s="50"/>
      <c r="LBI350" s="50"/>
      <c r="LBJ350" s="50"/>
      <c r="LBK350" s="50"/>
      <c r="LBL350" s="50"/>
      <c r="LBM350" s="50"/>
      <c r="LBN350" s="50"/>
      <c r="LBO350" s="50"/>
      <c r="LBP350" s="50"/>
      <c r="LBQ350" s="50"/>
      <c r="LBR350" s="50"/>
      <c r="LBS350" s="50"/>
      <c r="LBT350" s="50"/>
      <c r="LBU350" s="50"/>
      <c r="LBV350" s="50"/>
      <c r="LBW350" s="50"/>
      <c r="LBX350" s="50"/>
      <c r="LBY350" s="50"/>
      <c r="LBZ350" s="50"/>
      <c r="LCA350" s="50"/>
      <c r="LCB350" s="50"/>
      <c r="LCC350" s="50"/>
      <c r="LCD350" s="50"/>
      <c r="LCE350" s="50"/>
      <c r="LCF350" s="50"/>
      <c r="LCG350" s="50"/>
      <c r="LCH350" s="50"/>
      <c r="LCI350" s="50"/>
      <c r="LCJ350" s="50"/>
      <c r="LCK350" s="50"/>
      <c r="LCL350" s="50"/>
      <c r="LCM350" s="50"/>
      <c r="LCN350" s="50"/>
      <c r="LCO350" s="50"/>
      <c r="LCP350" s="50"/>
      <c r="LCQ350" s="50"/>
      <c r="LCR350" s="50"/>
      <c r="LCS350" s="50"/>
      <c r="LCT350" s="50"/>
      <c r="LCU350" s="50"/>
      <c r="LCV350" s="50"/>
      <c r="LCW350" s="50"/>
      <c r="LCX350" s="50"/>
      <c r="LCY350" s="50"/>
      <c r="LCZ350" s="50"/>
      <c r="LDA350" s="50"/>
      <c r="LDB350" s="50"/>
      <c r="LDC350" s="50"/>
      <c r="LDD350" s="50"/>
      <c r="LDE350" s="50"/>
      <c r="LDF350" s="50"/>
      <c r="LDG350" s="50"/>
      <c r="LDH350" s="50"/>
      <c r="LDI350" s="50"/>
      <c r="LDJ350" s="50"/>
      <c r="LDK350" s="50"/>
      <c r="LDL350" s="50"/>
      <c r="LDM350" s="50"/>
      <c r="LDN350" s="50"/>
      <c r="LDO350" s="50"/>
      <c r="LDP350" s="50"/>
      <c r="LDQ350" s="50"/>
      <c r="LDR350" s="50"/>
      <c r="LDS350" s="50"/>
      <c r="LDT350" s="50"/>
      <c r="LDU350" s="50"/>
      <c r="LDV350" s="50"/>
      <c r="LDW350" s="50"/>
      <c r="LDX350" s="50"/>
      <c r="LDY350" s="50"/>
      <c r="LDZ350" s="50"/>
      <c r="LEA350" s="50"/>
      <c r="LEB350" s="50"/>
      <c r="LEC350" s="50"/>
      <c r="LED350" s="50"/>
      <c r="LEE350" s="50"/>
      <c r="LEF350" s="50"/>
      <c r="LEG350" s="50"/>
      <c r="LEH350" s="50"/>
      <c r="LEI350" s="50"/>
      <c r="LEJ350" s="50"/>
      <c r="LEK350" s="50"/>
      <c r="LEL350" s="50"/>
      <c r="LEM350" s="50"/>
      <c r="LEN350" s="50"/>
      <c r="LEO350" s="50"/>
      <c r="LEP350" s="50"/>
      <c r="LEQ350" s="50"/>
      <c r="LER350" s="50"/>
      <c r="LES350" s="50"/>
      <c r="LET350" s="50"/>
      <c r="LEU350" s="50"/>
      <c r="LEV350" s="50"/>
      <c r="LEW350" s="50"/>
      <c r="LEX350" s="50"/>
      <c r="LEY350" s="50"/>
      <c r="LEZ350" s="50"/>
      <c r="LFA350" s="50"/>
      <c r="LFB350" s="50"/>
      <c r="LFC350" s="50"/>
      <c r="LFD350" s="50"/>
      <c r="LFE350" s="50"/>
      <c r="LFF350" s="50"/>
      <c r="LFG350" s="50"/>
      <c r="LFH350" s="50"/>
      <c r="LFI350" s="50"/>
      <c r="LFJ350" s="50"/>
      <c r="LFK350" s="50"/>
      <c r="LFL350" s="50"/>
      <c r="LFM350" s="50"/>
      <c r="LFN350" s="50"/>
      <c r="LFO350" s="50"/>
      <c r="LFP350" s="50"/>
      <c r="LFQ350" s="50"/>
      <c r="LFR350" s="50"/>
      <c r="LFS350" s="50"/>
      <c r="LFT350" s="50"/>
      <c r="LFU350" s="50"/>
      <c r="LFV350" s="50"/>
      <c r="LFW350" s="50"/>
      <c r="LFX350" s="50"/>
      <c r="LFY350" s="50"/>
      <c r="LFZ350" s="50"/>
      <c r="LGA350" s="50"/>
      <c r="LGB350" s="50"/>
      <c r="LGC350" s="50"/>
      <c r="LGD350" s="50"/>
      <c r="LGE350" s="50"/>
      <c r="LGF350" s="50"/>
      <c r="LGG350" s="50"/>
      <c r="LGH350" s="50"/>
      <c r="LGI350" s="50"/>
      <c r="LGJ350" s="50"/>
      <c r="LGK350" s="50"/>
      <c r="LGL350" s="50"/>
      <c r="LGM350" s="50"/>
      <c r="LGN350" s="50"/>
      <c r="LGO350" s="50"/>
      <c r="LGP350" s="50"/>
      <c r="LGQ350" s="50"/>
      <c r="LGR350" s="50"/>
      <c r="LGS350" s="50"/>
      <c r="LGT350" s="50"/>
      <c r="LGU350" s="50"/>
      <c r="LGV350" s="50"/>
      <c r="LGW350" s="50"/>
      <c r="LGX350" s="50"/>
      <c r="LGY350" s="50"/>
      <c r="LGZ350" s="50"/>
      <c r="LHA350" s="50"/>
      <c r="LHB350" s="50"/>
      <c r="LHC350" s="50"/>
      <c r="LHD350" s="50"/>
      <c r="LHE350" s="50"/>
      <c r="LHF350" s="50"/>
      <c r="LHG350" s="50"/>
      <c r="LHH350" s="50"/>
      <c r="LHI350" s="50"/>
      <c r="LHJ350" s="50"/>
      <c r="LHK350" s="50"/>
      <c r="LHL350" s="50"/>
      <c r="LHM350" s="50"/>
      <c r="LHN350" s="50"/>
      <c r="LHO350" s="50"/>
      <c r="LHP350" s="50"/>
      <c r="LHQ350" s="50"/>
      <c r="LHR350" s="50"/>
      <c r="LHS350" s="50"/>
      <c r="LHT350" s="50"/>
      <c r="LHU350" s="50"/>
      <c r="LHV350" s="50"/>
      <c r="LHW350" s="50"/>
      <c r="LHX350" s="50"/>
      <c r="LHY350" s="50"/>
      <c r="LHZ350" s="50"/>
      <c r="LIA350" s="50"/>
      <c r="LIB350" s="50"/>
      <c r="LIC350" s="50"/>
      <c r="LID350" s="50"/>
      <c r="LIE350" s="50"/>
      <c r="LIF350" s="50"/>
      <c r="LIG350" s="50"/>
      <c r="LIH350" s="50"/>
      <c r="LII350" s="50"/>
      <c r="LIJ350" s="50"/>
      <c r="LIK350" s="50"/>
      <c r="LIL350" s="50"/>
      <c r="LIM350" s="50"/>
      <c r="LIN350" s="50"/>
      <c r="LIO350" s="50"/>
      <c r="LIP350" s="50"/>
      <c r="LIQ350" s="50"/>
      <c r="LIR350" s="50"/>
      <c r="LIS350" s="50"/>
      <c r="LIT350" s="50"/>
      <c r="LIU350" s="50"/>
      <c r="LIV350" s="50"/>
      <c r="LIW350" s="50"/>
      <c r="LIX350" s="50"/>
      <c r="LIY350" s="50"/>
      <c r="LIZ350" s="50"/>
      <c r="LJA350" s="50"/>
      <c r="LJB350" s="50"/>
      <c r="LJC350" s="50"/>
      <c r="LJD350" s="50"/>
      <c r="LJE350" s="50"/>
      <c r="LJF350" s="50"/>
      <c r="LJG350" s="50"/>
      <c r="LJH350" s="50"/>
      <c r="LJI350" s="50"/>
      <c r="LJJ350" s="50"/>
      <c r="LJK350" s="50"/>
      <c r="LJL350" s="50"/>
      <c r="LJM350" s="50"/>
      <c r="LJN350" s="50"/>
      <c r="LJO350" s="50"/>
      <c r="LJP350" s="50"/>
      <c r="LJQ350" s="50"/>
      <c r="LJR350" s="50"/>
      <c r="LJS350" s="50"/>
      <c r="LJT350" s="50"/>
      <c r="LJU350" s="50"/>
      <c r="LJV350" s="50"/>
      <c r="LJW350" s="50"/>
      <c r="LJX350" s="50"/>
      <c r="LJY350" s="50"/>
      <c r="LJZ350" s="50"/>
      <c r="LKA350" s="50"/>
      <c r="LKB350" s="50"/>
      <c r="LKC350" s="50"/>
      <c r="LKD350" s="50"/>
      <c r="LKE350" s="50"/>
      <c r="LKF350" s="50"/>
      <c r="LKG350" s="50"/>
      <c r="LKH350" s="50"/>
      <c r="LKI350" s="50"/>
      <c r="LKJ350" s="50"/>
      <c r="LKK350" s="50"/>
      <c r="LKL350" s="50"/>
      <c r="LKM350" s="50"/>
      <c r="LKN350" s="50"/>
      <c r="LKO350" s="50"/>
      <c r="LKP350" s="50"/>
      <c r="LKQ350" s="50"/>
      <c r="LKR350" s="50"/>
      <c r="LKS350" s="50"/>
      <c r="LKT350" s="50"/>
      <c r="LKU350" s="50"/>
      <c r="LKV350" s="50"/>
      <c r="LKW350" s="50"/>
      <c r="LKX350" s="50"/>
      <c r="LKY350" s="50"/>
      <c r="LKZ350" s="50"/>
      <c r="LLA350" s="50"/>
      <c r="LLB350" s="50"/>
      <c r="LLC350" s="50"/>
      <c r="LLD350" s="50"/>
      <c r="LLE350" s="50"/>
      <c r="LLF350" s="50"/>
      <c r="LLG350" s="50"/>
      <c r="LLH350" s="50"/>
      <c r="LLI350" s="50"/>
      <c r="LLJ350" s="50"/>
      <c r="LLK350" s="50"/>
      <c r="LLL350" s="50"/>
      <c r="LLM350" s="50"/>
      <c r="LLN350" s="50"/>
      <c r="LLO350" s="50"/>
      <c r="LLP350" s="50"/>
      <c r="LLQ350" s="50"/>
      <c r="LLR350" s="50"/>
      <c r="LLS350" s="50"/>
      <c r="LLT350" s="50"/>
      <c r="LLU350" s="50"/>
      <c r="LLV350" s="50"/>
      <c r="LLW350" s="50"/>
      <c r="LLX350" s="50"/>
      <c r="LLY350" s="50"/>
      <c r="LLZ350" s="50"/>
      <c r="LMA350" s="50"/>
      <c r="LMB350" s="50"/>
      <c r="LMC350" s="50"/>
      <c r="LMD350" s="50"/>
      <c r="LME350" s="50"/>
      <c r="LMF350" s="50"/>
      <c r="LMG350" s="50"/>
      <c r="LMH350" s="50"/>
      <c r="LMI350" s="50"/>
      <c r="LMJ350" s="50"/>
      <c r="LMK350" s="50"/>
      <c r="LML350" s="50"/>
      <c r="LMM350" s="50"/>
      <c r="LMN350" s="50"/>
      <c r="LMO350" s="50"/>
      <c r="LMP350" s="50"/>
      <c r="LMQ350" s="50"/>
      <c r="LMR350" s="50"/>
      <c r="LMS350" s="50"/>
      <c r="LMT350" s="50"/>
      <c r="LMU350" s="50"/>
      <c r="LMV350" s="50"/>
      <c r="LMW350" s="50"/>
      <c r="LMX350" s="50"/>
      <c r="LMY350" s="50"/>
      <c r="LMZ350" s="50"/>
      <c r="LNA350" s="50"/>
      <c r="LNB350" s="50"/>
      <c r="LNC350" s="50"/>
      <c r="LND350" s="50"/>
      <c r="LNE350" s="50"/>
      <c r="LNF350" s="50"/>
      <c r="LNG350" s="50"/>
      <c r="LNH350" s="50"/>
      <c r="LNI350" s="50"/>
      <c r="LNJ350" s="50"/>
      <c r="LNK350" s="50"/>
      <c r="LNL350" s="50"/>
      <c r="LNM350" s="50"/>
      <c r="LNN350" s="50"/>
      <c r="LNO350" s="50"/>
      <c r="LNP350" s="50"/>
      <c r="LNQ350" s="50"/>
      <c r="LNR350" s="50"/>
      <c r="LNS350" s="50"/>
      <c r="LNT350" s="50"/>
      <c r="LNU350" s="50"/>
      <c r="LNV350" s="50"/>
      <c r="LNW350" s="50"/>
      <c r="LNX350" s="50"/>
      <c r="LNY350" s="50"/>
      <c r="LNZ350" s="50"/>
      <c r="LOA350" s="50"/>
      <c r="LOB350" s="50"/>
      <c r="LOC350" s="50"/>
      <c r="LOD350" s="50"/>
      <c r="LOE350" s="50"/>
      <c r="LOF350" s="50"/>
      <c r="LOG350" s="50"/>
      <c r="LOH350" s="50"/>
      <c r="LOI350" s="50"/>
      <c r="LOJ350" s="50"/>
      <c r="LOK350" s="50"/>
      <c r="LOL350" s="50"/>
      <c r="LOM350" s="50"/>
      <c r="LON350" s="50"/>
      <c r="LOO350" s="50"/>
      <c r="LOP350" s="50"/>
      <c r="LOQ350" s="50"/>
      <c r="LOR350" s="50"/>
      <c r="LOS350" s="50"/>
      <c r="LOT350" s="50"/>
      <c r="LOU350" s="50"/>
      <c r="LOV350" s="50"/>
      <c r="LOW350" s="50"/>
      <c r="LOX350" s="50"/>
      <c r="LOY350" s="50"/>
      <c r="LOZ350" s="50"/>
      <c r="LPA350" s="50"/>
      <c r="LPB350" s="50"/>
      <c r="LPC350" s="50"/>
      <c r="LPD350" s="50"/>
      <c r="LPE350" s="50"/>
      <c r="LPF350" s="50"/>
      <c r="LPG350" s="50"/>
      <c r="LPH350" s="50"/>
      <c r="LPI350" s="50"/>
      <c r="LPJ350" s="50"/>
      <c r="LPK350" s="50"/>
      <c r="LPL350" s="50"/>
      <c r="LPM350" s="50"/>
      <c r="LPN350" s="50"/>
      <c r="LPO350" s="50"/>
      <c r="LPP350" s="50"/>
      <c r="LPQ350" s="50"/>
      <c r="LPR350" s="50"/>
      <c r="LPS350" s="50"/>
      <c r="LPT350" s="50"/>
      <c r="LPU350" s="50"/>
      <c r="LPV350" s="50"/>
      <c r="LPW350" s="50"/>
      <c r="LPX350" s="50"/>
      <c r="LPY350" s="50"/>
      <c r="LPZ350" s="50"/>
      <c r="LQA350" s="50"/>
      <c r="LQB350" s="50"/>
      <c r="LQC350" s="50"/>
      <c r="LQD350" s="50"/>
      <c r="LQE350" s="50"/>
      <c r="LQF350" s="50"/>
      <c r="LQG350" s="50"/>
      <c r="LQH350" s="50"/>
      <c r="LQI350" s="50"/>
      <c r="LQJ350" s="50"/>
      <c r="LQK350" s="50"/>
      <c r="LQL350" s="50"/>
      <c r="LQM350" s="50"/>
      <c r="LQN350" s="50"/>
      <c r="LQO350" s="50"/>
      <c r="LQP350" s="50"/>
      <c r="LQQ350" s="50"/>
      <c r="LQR350" s="50"/>
      <c r="LQS350" s="50"/>
      <c r="LQT350" s="50"/>
      <c r="LQU350" s="50"/>
      <c r="LQV350" s="50"/>
      <c r="LQW350" s="50"/>
      <c r="LQX350" s="50"/>
      <c r="LQY350" s="50"/>
      <c r="LQZ350" s="50"/>
      <c r="LRA350" s="50"/>
      <c r="LRB350" s="50"/>
      <c r="LRC350" s="50"/>
      <c r="LRD350" s="50"/>
      <c r="LRE350" s="50"/>
      <c r="LRF350" s="50"/>
      <c r="LRG350" s="50"/>
      <c r="LRH350" s="50"/>
      <c r="LRI350" s="50"/>
      <c r="LRJ350" s="50"/>
      <c r="LRK350" s="50"/>
      <c r="LRL350" s="50"/>
      <c r="LRM350" s="50"/>
      <c r="LRN350" s="50"/>
      <c r="LRO350" s="50"/>
      <c r="LRP350" s="50"/>
      <c r="LRQ350" s="50"/>
      <c r="LRR350" s="50"/>
      <c r="LRS350" s="50"/>
      <c r="LRT350" s="50"/>
      <c r="LRU350" s="50"/>
      <c r="LRV350" s="50"/>
      <c r="LRW350" s="50"/>
      <c r="LRX350" s="50"/>
      <c r="LRY350" s="50"/>
      <c r="LRZ350" s="50"/>
      <c r="LSA350" s="50"/>
      <c r="LSB350" s="50"/>
      <c r="LSC350" s="50"/>
      <c r="LSD350" s="50"/>
      <c r="LSE350" s="50"/>
      <c r="LSF350" s="50"/>
      <c r="LSG350" s="50"/>
      <c r="LSH350" s="50"/>
      <c r="LSI350" s="50"/>
      <c r="LSJ350" s="50"/>
      <c r="LSK350" s="50"/>
      <c r="LSL350" s="50"/>
      <c r="LSM350" s="50"/>
      <c r="LSN350" s="50"/>
      <c r="LSO350" s="50"/>
      <c r="LSP350" s="50"/>
      <c r="LSQ350" s="50"/>
      <c r="LSR350" s="50"/>
      <c r="LSS350" s="50"/>
      <c r="LST350" s="50"/>
      <c r="LSU350" s="50"/>
      <c r="LSV350" s="50"/>
      <c r="LSW350" s="50"/>
      <c r="LSX350" s="50"/>
      <c r="LSY350" s="50"/>
      <c r="LSZ350" s="50"/>
      <c r="LTA350" s="50"/>
      <c r="LTB350" s="50"/>
      <c r="LTC350" s="50"/>
      <c r="LTD350" s="50"/>
      <c r="LTE350" s="50"/>
      <c r="LTF350" s="50"/>
      <c r="LTG350" s="50"/>
      <c r="LTH350" s="50"/>
      <c r="LTI350" s="50"/>
      <c r="LTJ350" s="50"/>
      <c r="LTK350" s="50"/>
      <c r="LTL350" s="50"/>
      <c r="LTM350" s="50"/>
      <c r="LTN350" s="50"/>
      <c r="LTO350" s="50"/>
      <c r="LTP350" s="50"/>
      <c r="LTQ350" s="50"/>
      <c r="LTR350" s="50"/>
      <c r="LTS350" s="50"/>
      <c r="LTT350" s="50"/>
      <c r="LTU350" s="50"/>
      <c r="LTV350" s="50"/>
      <c r="LTW350" s="50"/>
      <c r="LTX350" s="50"/>
      <c r="LTY350" s="50"/>
      <c r="LTZ350" s="50"/>
      <c r="LUA350" s="50"/>
      <c r="LUB350" s="50"/>
      <c r="LUC350" s="50"/>
      <c r="LUD350" s="50"/>
      <c r="LUE350" s="50"/>
      <c r="LUF350" s="50"/>
      <c r="LUG350" s="50"/>
      <c r="LUH350" s="50"/>
      <c r="LUI350" s="50"/>
      <c r="LUJ350" s="50"/>
      <c r="LUK350" s="50"/>
      <c r="LUL350" s="50"/>
      <c r="LUM350" s="50"/>
      <c r="LUN350" s="50"/>
      <c r="LUO350" s="50"/>
      <c r="LUP350" s="50"/>
      <c r="LUQ350" s="50"/>
      <c r="LUR350" s="50"/>
      <c r="LUS350" s="50"/>
      <c r="LUT350" s="50"/>
      <c r="LUU350" s="50"/>
      <c r="LUV350" s="50"/>
      <c r="LUW350" s="50"/>
      <c r="LUX350" s="50"/>
      <c r="LUY350" s="50"/>
      <c r="LUZ350" s="50"/>
      <c r="LVA350" s="50"/>
      <c r="LVB350" s="50"/>
      <c r="LVC350" s="50"/>
      <c r="LVD350" s="50"/>
      <c r="LVE350" s="50"/>
      <c r="LVF350" s="50"/>
      <c r="LVG350" s="50"/>
      <c r="LVH350" s="50"/>
      <c r="LVI350" s="50"/>
      <c r="LVJ350" s="50"/>
      <c r="LVK350" s="50"/>
      <c r="LVL350" s="50"/>
      <c r="LVM350" s="50"/>
      <c r="LVN350" s="50"/>
      <c r="LVO350" s="50"/>
      <c r="LVP350" s="50"/>
      <c r="LVQ350" s="50"/>
      <c r="LVR350" s="50"/>
      <c r="LVS350" s="50"/>
      <c r="LVT350" s="50"/>
      <c r="LVU350" s="50"/>
      <c r="LVV350" s="50"/>
      <c r="LVW350" s="50"/>
      <c r="LVX350" s="50"/>
      <c r="LVY350" s="50"/>
      <c r="LVZ350" s="50"/>
      <c r="LWA350" s="50"/>
      <c r="LWB350" s="50"/>
      <c r="LWC350" s="50"/>
      <c r="LWD350" s="50"/>
      <c r="LWE350" s="50"/>
      <c r="LWF350" s="50"/>
      <c r="LWG350" s="50"/>
      <c r="LWH350" s="50"/>
      <c r="LWI350" s="50"/>
      <c r="LWJ350" s="50"/>
      <c r="LWK350" s="50"/>
      <c r="LWL350" s="50"/>
      <c r="LWM350" s="50"/>
      <c r="LWN350" s="50"/>
      <c r="LWO350" s="50"/>
      <c r="LWP350" s="50"/>
      <c r="LWQ350" s="50"/>
      <c r="LWR350" s="50"/>
      <c r="LWS350" s="50"/>
      <c r="LWT350" s="50"/>
      <c r="LWU350" s="50"/>
      <c r="LWV350" s="50"/>
      <c r="LWW350" s="50"/>
      <c r="LWX350" s="50"/>
      <c r="LWY350" s="50"/>
      <c r="LWZ350" s="50"/>
      <c r="LXA350" s="50"/>
      <c r="LXB350" s="50"/>
      <c r="LXC350" s="50"/>
      <c r="LXD350" s="50"/>
      <c r="LXE350" s="50"/>
      <c r="LXF350" s="50"/>
      <c r="LXG350" s="50"/>
      <c r="LXH350" s="50"/>
      <c r="LXI350" s="50"/>
      <c r="LXJ350" s="50"/>
      <c r="LXK350" s="50"/>
      <c r="LXL350" s="50"/>
      <c r="LXM350" s="50"/>
      <c r="LXN350" s="50"/>
      <c r="LXO350" s="50"/>
      <c r="LXP350" s="50"/>
      <c r="LXQ350" s="50"/>
      <c r="LXR350" s="50"/>
      <c r="LXS350" s="50"/>
      <c r="LXT350" s="50"/>
      <c r="LXU350" s="50"/>
      <c r="LXV350" s="50"/>
      <c r="LXW350" s="50"/>
      <c r="LXX350" s="50"/>
      <c r="LXY350" s="50"/>
      <c r="LXZ350" s="50"/>
      <c r="LYA350" s="50"/>
      <c r="LYB350" s="50"/>
      <c r="LYC350" s="50"/>
      <c r="LYD350" s="50"/>
      <c r="LYE350" s="50"/>
      <c r="LYF350" s="50"/>
      <c r="LYG350" s="50"/>
      <c r="LYH350" s="50"/>
      <c r="LYI350" s="50"/>
      <c r="LYJ350" s="50"/>
      <c r="LYK350" s="50"/>
      <c r="LYL350" s="50"/>
      <c r="LYM350" s="50"/>
      <c r="LYN350" s="50"/>
      <c r="LYO350" s="50"/>
      <c r="LYP350" s="50"/>
      <c r="LYQ350" s="50"/>
      <c r="LYR350" s="50"/>
      <c r="LYS350" s="50"/>
      <c r="LYT350" s="50"/>
      <c r="LYU350" s="50"/>
      <c r="LYV350" s="50"/>
      <c r="LYW350" s="50"/>
      <c r="LYX350" s="50"/>
      <c r="LYY350" s="50"/>
      <c r="LYZ350" s="50"/>
      <c r="LZA350" s="50"/>
      <c r="LZB350" s="50"/>
      <c r="LZC350" s="50"/>
      <c r="LZD350" s="50"/>
      <c r="LZE350" s="50"/>
      <c r="LZF350" s="50"/>
      <c r="LZG350" s="50"/>
      <c r="LZH350" s="50"/>
      <c r="LZI350" s="50"/>
      <c r="LZJ350" s="50"/>
      <c r="LZK350" s="50"/>
      <c r="LZL350" s="50"/>
      <c r="LZM350" s="50"/>
      <c r="LZN350" s="50"/>
      <c r="LZO350" s="50"/>
      <c r="LZP350" s="50"/>
      <c r="LZQ350" s="50"/>
      <c r="LZR350" s="50"/>
      <c r="LZS350" s="50"/>
      <c r="LZT350" s="50"/>
      <c r="LZU350" s="50"/>
      <c r="LZV350" s="50"/>
      <c r="LZW350" s="50"/>
      <c r="LZX350" s="50"/>
      <c r="LZY350" s="50"/>
      <c r="LZZ350" s="50"/>
      <c r="MAA350" s="50"/>
      <c r="MAB350" s="50"/>
      <c r="MAC350" s="50"/>
      <c r="MAD350" s="50"/>
      <c r="MAE350" s="50"/>
      <c r="MAF350" s="50"/>
      <c r="MAG350" s="50"/>
      <c r="MAH350" s="50"/>
      <c r="MAI350" s="50"/>
      <c r="MAJ350" s="50"/>
      <c r="MAK350" s="50"/>
      <c r="MAL350" s="50"/>
      <c r="MAM350" s="50"/>
      <c r="MAN350" s="50"/>
      <c r="MAO350" s="50"/>
      <c r="MAP350" s="50"/>
      <c r="MAQ350" s="50"/>
      <c r="MAR350" s="50"/>
      <c r="MAS350" s="50"/>
      <c r="MAT350" s="50"/>
      <c r="MAU350" s="50"/>
      <c r="MAV350" s="50"/>
      <c r="MAW350" s="50"/>
      <c r="MAX350" s="50"/>
      <c r="MAY350" s="50"/>
      <c r="MAZ350" s="50"/>
      <c r="MBA350" s="50"/>
      <c r="MBB350" s="50"/>
      <c r="MBC350" s="50"/>
      <c r="MBD350" s="50"/>
      <c r="MBE350" s="50"/>
      <c r="MBF350" s="50"/>
      <c r="MBG350" s="50"/>
      <c r="MBH350" s="50"/>
      <c r="MBI350" s="50"/>
      <c r="MBJ350" s="50"/>
      <c r="MBK350" s="50"/>
      <c r="MBL350" s="50"/>
      <c r="MBM350" s="50"/>
      <c r="MBN350" s="50"/>
      <c r="MBO350" s="50"/>
      <c r="MBP350" s="50"/>
      <c r="MBQ350" s="50"/>
      <c r="MBR350" s="50"/>
      <c r="MBS350" s="50"/>
      <c r="MBT350" s="50"/>
      <c r="MBU350" s="50"/>
      <c r="MBV350" s="50"/>
      <c r="MBW350" s="50"/>
      <c r="MBX350" s="50"/>
      <c r="MBY350" s="50"/>
      <c r="MBZ350" s="50"/>
      <c r="MCA350" s="50"/>
      <c r="MCB350" s="50"/>
      <c r="MCC350" s="50"/>
      <c r="MCD350" s="50"/>
      <c r="MCE350" s="50"/>
      <c r="MCF350" s="50"/>
      <c r="MCG350" s="50"/>
      <c r="MCH350" s="50"/>
      <c r="MCI350" s="50"/>
      <c r="MCJ350" s="50"/>
      <c r="MCK350" s="50"/>
      <c r="MCL350" s="50"/>
      <c r="MCM350" s="50"/>
      <c r="MCN350" s="50"/>
      <c r="MCO350" s="50"/>
      <c r="MCP350" s="50"/>
      <c r="MCQ350" s="50"/>
      <c r="MCR350" s="50"/>
      <c r="MCS350" s="50"/>
      <c r="MCT350" s="50"/>
      <c r="MCU350" s="50"/>
      <c r="MCV350" s="50"/>
      <c r="MCW350" s="50"/>
      <c r="MCX350" s="50"/>
      <c r="MCY350" s="50"/>
      <c r="MCZ350" s="50"/>
      <c r="MDA350" s="50"/>
      <c r="MDB350" s="50"/>
      <c r="MDC350" s="50"/>
      <c r="MDD350" s="50"/>
      <c r="MDE350" s="50"/>
      <c r="MDF350" s="50"/>
      <c r="MDG350" s="50"/>
      <c r="MDH350" s="50"/>
      <c r="MDI350" s="50"/>
      <c r="MDJ350" s="50"/>
      <c r="MDK350" s="50"/>
      <c r="MDL350" s="50"/>
      <c r="MDM350" s="50"/>
      <c r="MDN350" s="50"/>
      <c r="MDO350" s="50"/>
      <c r="MDP350" s="50"/>
      <c r="MDQ350" s="50"/>
      <c r="MDR350" s="50"/>
      <c r="MDS350" s="50"/>
      <c r="MDT350" s="50"/>
      <c r="MDU350" s="50"/>
      <c r="MDV350" s="50"/>
      <c r="MDW350" s="50"/>
      <c r="MDX350" s="50"/>
      <c r="MDY350" s="50"/>
      <c r="MDZ350" s="50"/>
      <c r="MEA350" s="50"/>
      <c r="MEB350" s="50"/>
      <c r="MEC350" s="50"/>
      <c r="MED350" s="50"/>
      <c r="MEE350" s="50"/>
      <c r="MEF350" s="50"/>
      <c r="MEG350" s="50"/>
      <c r="MEH350" s="50"/>
      <c r="MEI350" s="50"/>
      <c r="MEJ350" s="50"/>
      <c r="MEK350" s="50"/>
      <c r="MEL350" s="50"/>
      <c r="MEM350" s="50"/>
      <c r="MEN350" s="50"/>
      <c r="MEO350" s="50"/>
      <c r="MEP350" s="50"/>
      <c r="MEQ350" s="50"/>
      <c r="MER350" s="50"/>
      <c r="MES350" s="50"/>
      <c r="MET350" s="50"/>
      <c r="MEU350" s="50"/>
      <c r="MEV350" s="50"/>
      <c r="MEW350" s="50"/>
      <c r="MEX350" s="50"/>
      <c r="MEY350" s="50"/>
      <c r="MEZ350" s="50"/>
      <c r="MFA350" s="50"/>
      <c r="MFB350" s="50"/>
      <c r="MFC350" s="50"/>
      <c r="MFD350" s="50"/>
      <c r="MFE350" s="50"/>
      <c r="MFF350" s="50"/>
      <c r="MFG350" s="50"/>
      <c r="MFH350" s="50"/>
      <c r="MFI350" s="50"/>
      <c r="MFJ350" s="50"/>
      <c r="MFK350" s="50"/>
      <c r="MFL350" s="50"/>
      <c r="MFM350" s="50"/>
      <c r="MFN350" s="50"/>
      <c r="MFO350" s="50"/>
      <c r="MFP350" s="50"/>
      <c r="MFQ350" s="50"/>
      <c r="MFR350" s="50"/>
      <c r="MFS350" s="50"/>
      <c r="MFT350" s="50"/>
      <c r="MFU350" s="50"/>
      <c r="MFV350" s="50"/>
      <c r="MFW350" s="50"/>
      <c r="MFX350" s="50"/>
      <c r="MFY350" s="50"/>
      <c r="MFZ350" s="50"/>
      <c r="MGA350" s="50"/>
      <c r="MGB350" s="50"/>
      <c r="MGC350" s="50"/>
      <c r="MGD350" s="50"/>
      <c r="MGE350" s="50"/>
      <c r="MGF350" s="50"/>
      <c r="MGG350" s="50"/>
      <c r="MGH350" s="50"/>
      <c r="MGI350" s="50"/>
      <c r="MGJ350" s="50"/>
      <c r="MGK350" s="50"/>
      <c r="MGL350" s="50"/>
      <c r="MGM350" s="50"/>
      <c r="MGN350" s="50"/>
      <c r="MGO350" s="50"/>
      <c r="MGP350" s="50"/>
      <c r="MGQ350" s="50"/>
      <c r="MGR350" s="50"/>
      <c r="MGS350" s="50"/>
      <c r="MGT350" s="50"/>
      <c r="MGU350" s="50"/>
      <c r="MGV350" s="50"/>
      <c r="MGW350" s="50"/>
      <c r="MGX350" s="50"/>
      <c r="MGY350" s="50"/>
      <c r="MGZ350" s="50"/>
      <c r="MHA350" s="50"/>
      <c r="MHB350" s="50"/>
      <c r="MHC350" s="50"/>
      <c r="MHD350" s="50"/>
      <c r="MHE350" s="50"/>
      <c r="MHF350" s="50"/>
      <c r="MHG350" s="50"/>
      <c r="MHH350" s="50"/>
      <c r="MHI350" s="50"/>
      <c r="MHJ350" s="50"/>
      <c r="MHK350" s="50"/>
      <c r="MHL350" s="50"/>
      <c r="MHM350" s="50"/>
      <c r="MHN350" s="50"/>
      <c r="MHO350" s="50"/>
      <c r="MHP350" s="50"/>
      <c r="MHQ350" s="50"/>
      <c r="MHR350" s="50"/>
      <c r="MHS350" s="50"/>
      <c r="MHT350" s="50"/>
      <c r="MHU350" s="50"/>
      <c r="MHV350" s="50"/>
      <c r="MHW350" s="50"/>
      <c r="MHX350" s="50"/>
      <c r="MHY350" s="50"/>
      <c r="MHZ350" s="50"/>
      <c r="MIA350" s="50"/>
      <c r="MIB350" s="50"/>
      <c r="MIC350" s="50"/>
      <c r="MID350" s="50"/>
      <c r="MIE350" s="50"/>
      <c r="MIF350" s="50"/>
      <c r="MIG350" s="50"/>
      <c r="MIH350" s="50"/>
      <c r="MII350" s="50"/>
      <c r="MIJ350" s="50"/>
      <c r="MIK350" s="50"/>
      <c r="MIL350" s="50"/>
      <c r="MIM350" s="50"/>
      <c r="MIN350" s="50"/>
      <c r="MIO350" s="50"/>
      <c r="MIP350" s="50"/>
      <c r="MIQ350" s="50"/>
      <c r="MIR350" s="50"/>
      <c r="MIS350" s="50"/>
      <c r="MIT350" s="50"/>
      <c r="MIU350" s="50"/>
      <c r="MIV350" s="50"/>
      <c r="MIW350" s="50"/>
      <c r="MIX350" s="50"/>
      <c r="MIY350" s="50"/>
      <c r="MIZ350" s="50"/>
      <c r="MJA350" s="50"/>
      <c r="MJB350" s="50"/>
      <c r="MJC350" s="50"/>
      <c r="MJD350" s="50"/>
      <c r="MJE350" s="50"/>
      <c r="MJF350" s="50"/>
      <c r="MJG350" s="50"/>
      <c r="MJH350" s="50"/>
      <c r="MJI350" s="50"/>
      <c r="MJJ350" s="50"/>
      <c r="MJK350" s="50"/>
      <c r="MJL350" s="50"/>
      <c r="MJM350" s="50"/>
      <c r="MJN350" s="50"/>
      <c r="MJO350" s="50"/>
      <c r="MJP350" s="50"/>
      <c r="MJQ350" s="50"/>
      <c r="MJR350" s="50"/>
      <c r="MJS350" s="50"/>
      <c r="MJT350" s="50"/>
      <c r="MJU350" s="50"/>
      <c r="MJV350" s="50"/>
      <c r="MJW350" s="50"/>
      <c r="MJX350" s="50"/>
      <c r="MJY350" s="50"/>
      <c r="MJZ350" s="50"/>
      <c r="MKA350" s="50"/>
      <c r="MKB350" s="50"/>
      <c r="MKC350" s="50"/>
      <c r="MKD350" s="50"/>
      <c r="MKE350" s="50"/>
      <c r="MKF350" s="50"/>
      <c r="MKG350" s="50"/>
      <c r="MKH350" s="50"/>
      <c r="MKI350" s="50"/>
      <c r="MKJ350" s="50"/>
      <c r="MKK350" s="50"/>
      <c r="MKL350" s="50"/>
      <c r="MKM350" s="50"/>
      <c r="MKN350" s="50"/>
      <c r="MKO350" s="50"/>
      <c r="MKP350" s="50"/>
      <c r="MKQ350" s="50"/>
      <c r="MKR350" s="50"/>
      <c r="MKS350" s="50"/>
      <c r="MKT350" s="50"/>
      <c r="MKU350" s="50"/>
      <c r="MKV350" s="50"/>
      <c r="MKW350" s="50"/>
      <c r="MKX350" s="50"/>
      <c r="MKY350" s="50"/>
      <c r="MKZ350" s="50"/>
      <c r="MLA350" s="50"/>
      <c r="MLB350" s="50"/>
      <c r="MLC350" s="50"/>
      <c r="MLD350" s="50"/>
      <c r="MLE350" s="50"/>
      <c r="MLF350" s="50"/>
      <c r="MLG350" s="50"/>
      <c r="MLH350" s="50"/>
      <c r="MLI350" s="50"/>
      <c r="MLJ350" s="50"/>
      <c r="MLK350" s="50"/>
      <c r="MLL350" s="50"/>
      <c r="MLM350" s="50"/>
      <c r="MLN350" s="50"/>
      <c r="MLO350" s="50"/>
      <c r="MLP350" s="50"/>
      <c r="MLQ350" s="50"/>
      <c r="MLR350" s="50"/>
      <c r="MLS350" s="50"/>
      <c r="MLT350" s="50"/>
      <c r="MLU350" s="50"/>
      <c r="MLV350" s="50"/>
      <c r="MLW350" s="50"/>
      <c r="MLX350" s="50"/>
      <c r="MLY350" s="50"/>
      <c r="MLZ350" s="50"/>
      <c r="MMA350" s="50"/>
      <c r="MMB350" s="50"/>
      <c r="MMC350" s="50"/>
      <c r="MMD350" s="50"/>
      <c r="MME350" s="50"/>
      <c r="MMF350" s="50"/>
      <c r="MMG350" s="50"/>
      <c r="MMH350" s="50"/>
      <c r="MMI350" s="50"/>
      <c r="MMJ350" s="50"/>
      <c r="MMK350" s="50"/>
      <c r="MML350" s="50"/>
      <c r="MMM350" s="50"/>
      <c r="MMN350" s="50"/>
      <c r="MMO350" s="50"/>
      <c r="MMP350" s="50"/>
      <c r="MMQ350" s="50"/>
      <c r="MMR350" s="50"/>
      <c r="MMS350" s="50"/>
      <c r="MMT350" s="50"/>
      <c r="MMU350" s="50"/>
      <c r="MMV350" s="50"/>
      <c r="MMW350" s="50"/>
      <c r="MMX350" s="50"/>
      <c r="MMY350" s="50"/>
      <c r="MMZ350" s="50"/>
      <c r="MNA350" s="50"/>
      <c r="MNB350" s="50"/>
      <c r="MNC350" s="50"/>
      <c r="MND350" s="50"/>
      <c r="MNE350" s="50"/>
      <c r="MNF350" s="50"/>
      <c r="MNG350" s="50"/>
      <c r="MNH350" s="50"/>
      <c r="MNI350" s="50"/>
      <c r="MNJ350" s="50"/>
      <c r="MNK350" s="50"/>
      <c r="MNL350" s="50"/>
      <c r="MNM350" s="50"/>
      <c r="MNN350" s="50"/>
      <c r="MNO350" s="50"/>
      <c r="MNP350" s="50"/>
      <c r="MNQ350" s="50"/>
      <c r="MNR350" s="50"/>
      <c r="MNS350" s="50"/>
      <c r="MNT350" s="50"/>
      <c r="MNU350" s="50"/>
      <c r="MNV350" s="50"/>
      <c r="MNW350" s="50"/>
      <c r="MNX350" s="50"/>
      <c r="MNY350" s="50"/>
      <c r="MNZ350" s="50"/>
      <c r="MOA350" s="50"/>
      <c r="MOB350" s="50"/>
      <c r="MOC350" s="50"/>
      <c r="MOD350" s="50"/>
      <c r="MOE350" s="50"/>
      <c r="MOF350" s="50"/>
      <c r="MOG350" s="50"/>
      <c r="MOH350" s="50"/>
      <c r="MOI350" s="50"/>
      <c r="MOJ350" s="50"/>
      <c r="MOK350" s="50"/>
      <c r="MOL350" s="50"/>
      <c r="MOM350" s="50"/>
      <c r="MON350" s="50"/>
      <c r="MOO350" s="50"/>
      <c r="MOP350" s="50"/>
      <c r="MOQ350" s="50"/>
      <c r="MOR350" s="50"/>
      <c r="MOS350" s="50"/>
      <c r="MOT350" s="50"/>
      <c r="MOU350" s="50"/>
      <c r="MOV350" s="50"/>
      <c r="MOW350" s="50"/>
      <c r="MOX350" s="50"/>
      <c r="MOY350" s="50"/>
      <c r="MOZ350" s="50"/>
      <c r="MPA350" s="50"/>
      <c r="MPB350" s="50"/>
      <c r="MPC350" s="50"/>
      <c r="MPD350" s="50"/>
      <c r="MPE350" s="50"/>
      <c r="MPF350" s="50"/>
      <c r="MPG350" s="50"/>
      <c r="MPH350" s="50"/>
      <c r="MPI350" s="50"/>
      <c r="MPJ350" s="50"/>
      <c r="MPK350" s="50"/>
      <c r="MPL350" s="50"/>
      <c r="MPM350" s="50"/>
      <c r="MPN350" s="50"/>
      <c r="MPO350" s="50"/>
      <c r="MPP350" s="50"/>
      <c r="MPQ350" s="50"/>
      <c r="MPR350" s="50"/>
      <c r="MPS350" s="50"/>
      <c r="MPT350" s="50"/>
      <c r="MPU350" s="50"/>
      <c r="MPV350" s="50"/>
      <c r="MPW350" s="50"/>
      <c r="MPX350" s="50"/>
      <c r="MPY350" s="50"/>
      <c r="MPZ350" s="50"/>
      <c r="MQA350" s="50"/>
      <c r="MQB350" s="50"/>
      <c r="MQC350" s="50"/>
      <c r="MQD350" s="50"/>
      <c r="MQE350" s="50"/>
      <c r="MQF350" s="50"/>
      <c r="MQG350" s="50"/>
      <c r="MQH350" s="50"/>
      <c r="MQI350" s="50"/>
      <c r="MQJ350" s="50"/>
      <c r="MQK350" s="50"/>
      <c r="MQL350" s="50"/>
      <c r="MQM350" s="50"/>
      <c r="MQN350" s="50"/>
      <c r="MQO350" s="50"/>
      <c r="MQP350" s="50"/>
      <c r="MQQ350" s="50"/>
      <c r="MQR350" s="50"/>
      <c r="MQS350" s="50"/>
      <c r="MQT350" s="50"/>
      <c r="MQU350" s="50"/>
      <c r="MQV350" s="50"/>
      <c r="MQW350" s="50"/>
      <c r="MQX350" s="50"/>
      <c r="MQY350" s="50"/>
      <c r="MQZ350" s="50"/>
      <c r="MRA350" s="50"/>
      <c r="MRB350" s="50"/>
      <c r="MRC350" s="50"/>
      <c r="MRD350" s="50"/>
      <c r="MRE350" s="50"/>
      <c r="MRF350" s="50"/>
      <c r="MRG350" s="50"/>
      <c r="MRH350" s="50"/>
      <c r="MRI350" s="50"/>
      <c r="MRJ350" s="50"/>
      <c r="MRK350" s="50"/>
      <c r="MRL350" s="50"/>
      <c r="MRM350" s="50"/>
      <c r="MRN350" s="50"/>
      <c r="MRO350" s="50"/>
      <c r="MRP350" s="50"/>
      <c r="MRQ350" s="50"/>
      <c r="MRR350" s="50"/>
      <c r="MRS350" s="50"/>
      <c r="MRT350" s="50"/>
      <c r="MRU350" s="50"/>
      <c r="MRV350" s="50"/>
      <c r="MRW350" s="50"/>
      <c r="MRX350" s="50"/>
      <c r="MRY350" s="50"/>
      <c r="MRZ350" s="50"/>
      <c r="MSA350" s="50"/>
      <c r="MSB350" s="50"/>
      <c r="MSC350" s="50"/>
      <c r="MSD350" s="50"/>
      <c r="MSE350" s="50"/>
      <c r="MSF350" s="50"/>
      <c r="MSG350" s="50"/>
      <c r="MSH350" s="50"/>
      <c r="MSI350" s="50"/>
      <c r="MSJ350" s="50"/>
      <c r="MSK350" s="50"/>
      <c r="MSL350" s="50"/>
      <c r="MSM350" s="50"/>
      <c r="MSN350" s="50"/>
      <c r="MSO350" s="50"/>
      <c r="MSP350" s="50"/>
      <c r="MSQ350" s="50"/>
      <c r="MSR350" s="50"/>
      <c r="MSS350" s="50"/>
      <c r="MST350" s="50"/>
      <c r="MSU350" s="50"/>
      <c r="MSV350" s="50"/>
      <c r="MSW350" s="50"/>
      <c r="MSX350" s="50"/>
      <c r="MSY350" s="50"/>
      <c r="MSZ350" s="50"/>
      <c r="MTA350" s="50"/>
      <c r="MTB350" s="50"/>
      <c r="MTC350" s="50"/>
      <c r="MTD350" s="50"/>
      <c r="MTE350" s="50"/>
      <c r="MTF350" s="50"/>
      <c r="MTG350" s="50"/>
      <c r="MTH350" s="50"/>
      <c r="MTI350" s="50"/>
      <c r="MTJ350" s="50"/>
      <c r="MTK350" s="50"/>
      <c r="MTL350" s="50"/>
      <c r="MTM350" s="50"/>
      <c r="MTN350" s="50"/>
      <c r="MTO350" s="50"/>
      <c r="MTP350" s="50"/>
      <c r="MTQ350" s="50"/>
      <c r="MTR350" s="50"/>
      <c r="MTS350" s="50"/>
      <c r="MTT350" s="50"/>
      <c r="MTU350" s="50"/>
      <c r="MTV350" s="50"/>
      <c r="MTW350" s="50"/>
      <c r="MTX350" s="50"/>
      <c r="MTY350" s="50"/>
      <c r="MTZ350" s="50"/>
      <c r="MUA350" s="50"/>
      <c r="MUB350" s="50"/>
      <c r="MUC350" s="50"/>
      <c r="MUD350" s="50"/>
      <c r="MUE350" s="50"/>
      <c r="MUF350" s="50"/>
      <c r="MUG350" s="50"/>
      <c r="MUH350" s="50"/>
      <c r="MUI350" s="50"/>
      <c r="MUJ350" s="50"/>
      <c r="MUK350" s="50"/>
      <c r="MUL350" s="50"/>
      <c r="MUM350" s="50"/>
      <c r="MUN350" s="50"/>
      <c r="MUO350" s="50"/>
      <c r="MUP350" s="50"/>
      <c r="MUQ350" s="50"/>
      <c r="MUR350" s="50"/>
      <c r="MUS350" s="50"/>
      <c r="MUT350" s="50"/>
      <c r="MUU350" s="50"/>
      <c r="MUV350" s="50"/>
      <c r="MUW350" s="50"/>
      <c r="MUX350" s="50"/>
      <c r="MUY350" s="50"/>
      <c r="MUZ350" s="50"/>
      <c r="MVA350" s="50"/>
      <c r="MVB350" s="50"/>
      <c r="MVC350" s="50"/>
      <c r="MVD350" s="50"/>
      <c r="MVE350" s="50"/>
      <c r="MVF350" s="50"/>
      <c r="MVG350" s="50"/>
      <c r="MVH350" s="50"/>
      <c r="MVI350" s="50"/>
      <c r="MVJ350" s="50"/>
      <c r="MVK350" s="50"/>
      <c r="MVL350" s="50"/>
      <c r="MVM350" s="50"/>
      <c r="MVN350" s="50"/>
      <c r="MVO350" s="50"/>
      <c r="MVP350" s="50"/>
      <c r="MVQ350" s="50"/>
      <c r="MVR350" s="50"/>
      <c r="MVS350" s="50"/>
      <c r="MVT350" s="50"/>
      <c r="MVU350" s="50"/>
      <c r="MVV350" s="50"/>
      <c r="MVW350" s="50"/>
      <c r="MVX350" s="50"/>
      <c r="MVY350" s="50"/>
      <c r="MVZ350" s="50"/>
      <c r="MWA350" s="50"/>
      <c r="MWB350" s="50"/>
      <c r="MWC350" s="50"/>
      <c r="MWD350" s="50"/>
      <c r="MWE350" s="50"/>
      <c r="MWF350" s="50"/>
      <c r="MWG350" s="50"/>
      <c r="MWH350" s="50"/>
      <c r="MWI350" s="50"/>
      <c r="MWJ350" s="50"/>
      <c r="MWK350" s="50"/>
      <c r="MWL350" s="50"/>
      <c r="MWM350" s="50"/>
      <c r="MWN350" s="50"/>
      <c r="MWO350" s="50"/>
      <c r="MWP350" s="50"/>
      <c r="MWQ350" s="50"/>
      <c r="MWR350" s="50"/>
      <c r="MWS350" s="50"/>
      <c r="MWT350" s="50"/>
      <c r="MWU350" s="50"/>
      <c r="MWV350" s="50"/>
      <c r="MWW350" s="50"/>
      <c r="MWX350" s="50"/>
      <c r="MWY350" s="50"/>
      <c r="MWZ350" s="50"/>
      <c r="MXA350" s="50"/>
      <c r="MXB350" s="50"/>
      <c r="MXC350" s="50"/>
      <c r="MXD350" s="50"/>
      <c r="MXE350" s="50"/>
      <c r="MXF350" s="50"/>
      <c r="MXG350" s="50"/>
      <c r="MXH350" s="50"/>
      <c r="MXI350" s="50"/>
      <c r="MXJ350" s="50"/>
      <c r="MXK350" s="50"/>
      <c r="MXL350" s="50"/>
      <c r="MXM350" s="50"/>
      <c r="MXN350" s="50"/>
      <c r="MXO350" s="50"/>
      <c r="MXP350" s="50"/>
      <c r="MXQ350" s="50"/>
      <c r="MXR350" s="50"/>
      <c r="MXS350" s="50"/>
      <c r="MXT350" s="50"/>
      <c r="MXU350" s="50"/>
      <c r="MXV350" s="50"/>
      <c r="MXW350" s="50"/>
      <c r="MXX350" s="50"/>
      <c r="MXY350" s="50"/>
      <c r="MXZ350" s="50"/>
      <c r="MYA350" s="50"/>
      <c r="MYB350" s="50"/>
      <c r="MYC350" s="50"/>
      <c r="MYD350" s="50"/>
      <c r="MYE350" s="50"/>
      <c r="MYF350" s="50"/>
      <c r="MYG350" s="50"/>
      <c r="MYH350" s="50"/>
      <c r="MYI350" s="50"/>
      <c r="MYJ350" s="50"/>
      <c r="MYK350" s="50"/>
      <c r="MYL350" s="50"/>
      <c r="MYM350" s="50"/>
      <c r="MYN350" s="50"/>
      <c r="MYO350" s="50"/>
      <c r="MYP350" s="50"/>
      <c r="MYQ350" s="50"/>
      <c r="MYR350" s="50"/>
      <c r="MYS350" s="50"/>
      <c r="MYT350" s="50"/>
      <c r="MYU350" s="50"/>
      <c r="MYV350" s="50"/>
      <c r="MYW350" s="50"/>
      <c r="MYX350" s="50"/>
      <c r="MYY350" s="50"/>
      <c r="MYZ350" s="50"/>
      <c r="MZA350" s="50"/>
      <c r="MZB350" s="50"/>
      <c r="MZC350" s="50"/>
      <c r="MZD350" s="50"/>
      <c r="MZE350" s="50"/>
      <c r="MZF350" s="50"/>
      <c r="MZG350" s="50"/>
      <c r="MZH350" s="50"/>
      <c r="MZI350" s="50"/>
      <c r="MZJ350" s="50"/>
      <c r="MZK350" s="50"/>
      <c r="MZL350" s="50"/>
      <c r="MZM350" s="50"/>
      <c r="MZN350" s="50"/>
      <c r="MZO350" s="50"/>
      <c r="MZP350" s="50"/>
      <c r="MZQ350" s="50"/>
      <c r="MZR350" s="50"/>
      <c r="MZS350" s="50"/>
      <c r="MZT350" s="50"/>
      <c r="MZU350" s="50"/>
      <c r="MZV350" s="50"/>
      <c r="MZW350" s="50"/>
      <c r="MZX350" s="50"/>
      <c r="MZY350" s="50"/>
      <c r="MZZ350" s="50"/>
      <c r="NAA350" s="50"/>
      <c r="NAB350" s="50"/>
      <c r="NAC350" s="50"/>
      <c r="NAD350" s="50"/>
      <c r="NAE350" s="50"/>
      <c r="NAF350" s="50"/>
      <c r="NAG350" s="50"/>
      <c r="NAH350" s="50"/>
      <c r="NAI350" s="50"/>
      <c r="NAJ350" s="50"/>
      <c r="NAK350" s="50"/>
      <c r="NAL350" s="50"/>
      <c r="NAM350" s="50"/>
      <c r="NAN350" s="50"/>
      <c r="NAO350" s="50"/>
      <c r="NAP350" s="50"/>
      <c r="NAQ350" s="50"/>
      <c r="NAR350" s="50"/>
      <c r="NAS350" s="50"/>
      <c r="NAT350" s="50"/>
      <c r="NAU350" s="50"/>
      <c r="NAV350" s="50"/>
      <c r="NAW350" s="50"/>
      <c r="NAX350" s="50"/>
      <c r="NAY350" s="50"/>
      <c r="NAZ350" s="50"/>
      <c r="NBA350" s="50"/>
      <c r="NBB350" s="50"/>
      <c r="NBC350" s="50"/>
      <c r="NBD350" s="50"/>
      <c r="NBE350" s="50"/>
      <c r="NBF350" s="50"/>
      <c r="NBG350" s="50"/>
      <c r="NBH350" s="50"/>
      <c r="NBI350" s="50"/>
      <c r="NBJ350" s="50"/>
      <c r="NBK350" s="50"/>
      <c r="NBL350" s="50"/>
      <c r="NBM350" s="50"/>
      <c r="NBN350" s="50"/>
      <c r="NBO350" s="50"/>
      <c r="NBP350" s="50"/>
      <c r="NBQ350" s="50"/>
      <c r="NBR350" s="50"/>
      <c r="NBS350" s="50"/>
      <c r="NBT350" s="50"/>
      <c r="NBU350" s="50"/>
      <c r="NBV350" s="50"/>
      <c r="NBW350" s="50"/>
      <c r="NBX350" s="50"/>
      <c r="NBY350" s="50"/>
      <c r="NBZ350" s="50"/>
      <c r="NCA350" s="50"/>
      <c r="NCB350" s="50"/>
      <c r="NCC350" s="50"/>
      <c r="NCD350" s="50"/>
      <c r="NCE350" s="50"/>
      <c r="NCF350" s="50"/>
      <c r="NCG350" s="50"/>
      <c r="NCH350" s="50"/>
      <c r="NCI350" s="50"/>
      <c r="NCJ350" s="50"/>
      <c r="NCK350" s="50"/>
      <c r="NCL350" s="50"/>
      <c r="NCM350" s="50"/>
      <c r="NCN350" s="50"/>
      <c r="NCO350" s="50"/>
      <c r="NCP350" s="50"/>
      <c r="NCQ350" s="50"/>
      <c r="NCR350" s="50"/>
      <c r="NCS350" s="50"/>
      <c r="NCT350" s="50"/>
      <c r="NCU350" s="50"/>
      <c r="NCV350" s="50"/>
      <c r="NCW350" s="50"/>
      <c r="NCX350" s="50"/>
      <c r="NCY350" s="50"/>
      <c r="NCZ350" s="50"/>
      <c r="NDA350" s="50"/>
      <c r="NDB350" s="50"/>
      <c r="NDC350" s="50"/>
      <c r="NDD350" s="50"/>
      <c r="NDE350" s="50"/>
      <c r="NDF350" s="50"/>
      <c r="NDG350" s="50"/>
      <c r="NDH350" s="50"/>
      <c r="NDI350" s="50"/>
      <c r="NDJ350" s="50"/>
      <c r="NDK350" s="50"/>
      <c r="NDL350" s="50"/>
      <c r="NDM350" s="50"/>
      <c r="NDN350" s="50"/>
      <c r="NDO350" s="50"/>
      <c r="NDP350" s="50"/>
      <c r="NDQ350" s="50"/>
      <c r="NDR350" s="50"/>
      <c r="NDS350" s="50"/>
      <c r="NDT350" s="50"/>
      <c r="NDU350" s="50"/>
      <c r="NDV350" s="50"/>
      <c r="NDW350" s="50"/>
      <c r="NDX350" s="50"/>
      <c r="NDY350" s="50"/>
      <c r="NDZ350" s="50"/>
      <c r="NEA350" s="50"/>
      <c r="NEB350" s="50"/>
      <c r="NEC350" s="50"/>
      <c r="NED350" s="50"/>
      <c r="NEE350" s="50"/>
      <c r="NEF350" s="50"/>
      <c r="NEG350" s="50"/>
      <c r="NEH350" s="50"/>
      <c r="NEI350" s="50"/>
      <c r="NEJ350" s="50"/>
      <c r="NEK350" s="50"/>
      <c r="NEL350" s="50"/>
      <c r="NEM350" s="50"/>
      <c r="NEN350" s="50"/>
      <c r="NEO350" s="50"/>
      <c r="NEP350" s="50"/>
      <c r="NEQ350" s="50"/>
      <c r="NER350" s="50"/>
      <c r="NES350" s="50"/>
      <c r="NET350" s="50"/>
      <c r="NEU350" s="50"/>
      <c r="NEV350" s="50"/>
      <c r="NEW350" s="50"/>
      <c r="NEX350" s="50"/>
      <c r="NEY350" s="50"/>
      <c r="NEZ350" s="50"/>
      <c r="NFA350" s="50"/>
      <c r="NFB350" s="50"/>
      <c r="NFC350" s="50"/>
      <c r="NFD350" s="50"/>
      <c r="NFE350" s="50"/>
      <c r="NFF350" s="50"/>
      <c r="NFG350" s="50"/>
      <c r="NFH350" s="50"/>
      <c r="NFI350" s="50"/>
      <c r="NFJ350" s="50"/>
      <c r="NFK350" s="50"/>
      <c r="NFL350" s="50"/>
      <c r="NFM350" s="50"/>
      <c r="NFN350" s="50"/>
      <c r="NFO350" s="50"/>
      <c r="NFP350" s="50"/>
      <c r="NFQ350" s="50"/>
      <c r="NFR350" s="50"/>
      <c r="NFS350" s="50"/>
      <c r="NFT350" s="50"/>
      <c r="NFU350" s="50"/>
      <c r="NFV350" s="50"/>
      <c r="NFW350" s="50"/>
      <c r="NFX350" s="50"/>
      <c r="NFY350" s="50"/>
      <c r="NFZ350" s="50"/>
      <c r="NGA350" s="50"/>
      <c r="NGB350" s="50"/>
      <c r="NGC350" s="50"/>
      <c r="NGD350" s="50"/>
      <c r="NGE350" s="50"/>
      <c r="NGF350" s="50"/>
      <c r="NGG350" s="50"/>
      <c r="NGH350" s="50"/>
      <c r="NGI350" s="50"/>
      <c r="NGJ350" s="50"/>
      <c r="NGK350" s="50"/>
      <c r="NGL350" s="50"/>
      <c r="NGM350" s="50"/>
      <c r="NGN350" s="50"/>
      <c r="NGO350" s="50"/>
      <c r="NGP350" s="50"/>
      <c r="NGQ350" s="50"/>
      <c r="NGR350" s="50"/>
      <c r="NGS350" s="50"/>
      <c r="NGT350" s="50"/>
      <c r="NGU350" s="50"/>
      <c r="NGV350" s="50"/>
      <c r="NGW350" s="50"/>
      <c r="NGX350" s="50"/>
      <c r="NGY350" s="50"/>
      <c r="NGZ350" s="50"/>
      <c r="NHA350" s="50"/>
      <c r="NHB350" s="50"/>
      <c r="NHC350" s="50"/>
      <c r="NHD350" s="50"/>
      <c r="NHE350" s="50"/>
      <c r="NHF350" s="50"/>
      <c r="NHG350" s="50"/>
      <c r="NHH350" s="50"/>
      <c r="NHI350" s="50"/>
      <c r="NHJ350" s="50"/>
      <c r="NHK350" s="50"/>
      <c r="NHL350" s="50"/>
      <c r="NHM350" s="50"/>
      <c r="NHN350" s="50"/>
      <c r="NHO350" s="50"/>
      <c r="NHP350" s="50"/>
      <c r="NHQ350" s="50"/>
      <c r="NHR350" s="50"/>
      <c r="NHS350" s="50"/>
      <c r="NHT350" s="50"/>
      <c r="NHU350" s="50"/>
      <c r="NHV350" s="50"/>
      <c r="NHW350" s="50"/>
      <c r="NHX350" s="50"/>
      <c r="NHY350" s="50"/>
      <c r="NHZ350" s="50"/>
      <c r="NIA350" s="50"/>
      <c r="NIB350" s="50"/>
      <c r="NIC350" s="50"/>
      <c r="NID350" s="50"/>
      <c r="NIE350" s="50"/>
      <c r="NIF350" s="50"/>
      <c r="NIG350" s="50"/>
      <c r="NIH350" s="50"/>
      <c r="NII350" s="50"/>
      <c r="NIJ350" s="50"/>
      <c r="NIK350" s="50"/>
      <c r="NIL350" s="50"/>
      <c r="NIM350" s="50"/>
      <c r="NIN350" s="50"/>
      <c r="NIO350" s="50"/>
      <c r="NIP350" s="50"/>
      <c r="NIQ350" s="50"/>
      <c r="NIR350" s="50"/>
      <c r="NIS350" s="50"/>
      <c r="NIT350" s="50"/>
      <c r="NIU350" s="50"/>
      <c r="NIV350" s="50"/>
      <c r="NIW350" s="50"/>
      <c r="NIX350" s="50"/>
      <c r="NIY350" s="50"/>
      <c r="NIZ350" s="50"/>
      <c r="NJA350" s="50"/>
      <c r="NJB350" s="50"/>
      <c r="NJC350" s="50"/>
      <c r="NJD350" s="50"/>
      <c r="NJE350" s="50"/>
      <c r="NJF350" s="50"/>
      <c r="NJG350" s="50"/>
      <c r="NJH350" s="50"/>
      <c r="NJI350" s="50"/>
      <c r="NJJ350" s="50"/>
      <c r="NJK350" s="50"/>
      <c r="NJL350" s="50"/>
      <c r="NJM350" s="50"/>
      <c r="NJN350" s="50"/>
      <c r="NJO350" s="50"/>
      <c r="NJP350" s="50"/>
      <c r="NJQ350" s="50"/>
      <c r="NJR350" s="50"/>
      <c r="NJS350" s="50"/>
      <c r="NJT350" s="50"/>
      <c r="NJU350" s="50"/>
      <c r="NJV350" s="50"/>
      <c r="NJW350" s="50"/>
      <c r="NJX350" s="50"/>
      <c r="NJY350" s="50"/>
      <c r="NJZ350" s="50"/>
      <c r="NKA350" s="50"/>
      <c r="NKB350" s="50"/>
      <c r="NKC350" s="50"/>
      <c r="NKD350" s="50"/>
      <c r="NKE350" s="50"/>
      <c r="NKF350" s="50"/>
      <c r="NKG350" s="50"/>
      <c r="NKH350" s="50"/>
      <c r="NKI350" s="50"/>
      <c r="NKJ350" s="50"/>
      <c r="NKK350" s="50"/>
      <c r="NKL350" s="50"/>
      <c r="NKM350" s="50"/>
      <c r="NKN350" s="50"/>
      <c r="NKO350" s="50"/>
      <c r="NKP350" s="50"/>
      <c r="NKQ350" s="50"/>
      <c r="NKR350" s="50"/>
      <c r="NKS350" s="50"/>
      <c r="NKT350" s="50"/>
      <c r="NKU350" s="50"/>
      <c r="NKV350" s="50"/>
      <c r="NKW350" s="50"/>
      <c r="NKX350" s="50"/>
      <c r="NKY350" s="50"/>
      <c r="NKZ350" s="50"/>
      <c r="NLA350" s="50"/>
      <c r="NLB350" s="50"/>
      <c r="NLC350" s="50"/>
      <c r="NLD350" s="50"/>
      <c r="NLE350" s="50"/>
      <c r="NLF350" s="50"/>
      <c r="NLG350" s="50"/>
      <c r="NLH350" s="50"/>
      <c r="NLI350" s="50"/>
      <c r="NLJ350" s="50"/>
      <c r="NLK350" s="50"/>
      <c r="NLL350" s="50"/>
      <c r="NLM350" s="50"/>
      <c r="NLN350" s="50"/>
      <c r="NLO350" s="50"/>
      <c r="NLP350" s="50"/>
      <c r="NLQ350" s="50"/>
      <c r="NLR350" s="50"/>
      <c r="NLS350" s="50"/>
      <c r="NLT350" s="50"/>
      <c r="NLU350" s="50"/>
      <c r="NLV350" s="50"/>
      <c r="NLW350" s="50"/>
      <c r="NLX350" s="50"/>
      <c r="NLY350" s="50"/>
      <c r="NLZ350" s="50"/>
      <c r="NMA350" s="50"/>
      <c r="NMB350" s="50"/>
      <c r="NMC350" s="50"/>
      <c r="NMD350" s="50"/>
      <c r="NME350" s="50"/>
      <c r="NMF350" s="50"/>
      <c r="NMG350" s="50"/>
      <c r="NMH350" s="50"/>
      <c r="NMI350" s="50"/>
      <c r="NMJ350" s="50"/>
      <c r="NMK350" s="50"/>
      <c r="NML350" s="50"/>
      <c r="NMM350" s="50"/>
      <c r="NMN350" s="50"/>
      <c r="NMO350" s="50"/>
      <c r="NMP350" s="50"/>
      <c r="NMQ350" s="50"/>
      <c r="NMR350" s="50"/>
      <c r="NMS350" s="50"/>
      <c r="NMT350" s="50"/>
      <c r="NMU350" s="50"/>
      <c r="NMV350" s="50"/>
      <c r="NMW350" s="50"/>
      <c r="NMX350" s="50"/>
      <c r="NMY350" s="50"/>
      <c r="NMZ350" s="50"/>
      <c r="NNA350" s="50"/>
      <c r="NNB350" s="50"/>
      <c r="NNC350" s="50"/>
      <c r="NND350" s="50"/>
      <c r="NNE350" s="50"/>
      <c r="NNF350" s="50"/>
      <c r="NNG350" s="50"/>
      <c r="NNH350" s="50"/>
      <c r="NNI350" s="50"/>
      <c r="NNJ350" s="50"/>
      <c r="NNK350" s="50"/>
      <c r="NNL350" s="50"/>
      <c r="NNM350" s="50"/>
      <c r="NNN350" s="50"/>
      <c r="NNO350" s="50"/>
      <c r="NNP350" s="50"/>
      <c r="NNQ350" s="50"/>
      <c r="NNR350" s="50"/>
      <c r="NNS350" s="50"/>
      <c r="NNT350" s="50"/>
      <c r="NNU350" s="50"/>
      <c r="NNV350" s="50"/>
      <c r="NNW350" s="50"/>
      <c r="NNX350" s="50"/>
      <c r="NNY350" s="50"/>
      <c r="NNZ350" s="50"/>
      <c r="NOA350" s="50"/>
      <c r="NOB350" s="50"/>
      <c r="NOC350" s="50"/>
      <c r="NOD350" s="50"/>
      <c r="NOE350" s="50"/>
      <c r="NOF350" s="50"/>
      <c r="NOG350" s="50"/>
      <c r="NOH350" s="50"/>
      <c r="NOI350" s="50"/>
      <c r="NOJ350" s="50"/>
      <c r="NOK350" s="50"/>
      <c r="NOL350" s="50"/>
      <c r="NOM350" s="50"/>
      <c r="NON350" s="50"/>
      <c r="NOO350" s="50"/>
      <c r="NOP350" s="50"/>
      <c r="NOQ350" s="50"/>
      <c r="NOR350" s="50"/>
      <c r="NOS350" s="50"/>
      <c r="NOT350" s="50"/>
      <c r="NOU350" s="50"/>
      <c r="NOV350" s="50"/>
      <c r="NOW350" s="50"/>
      <c r="NOX350" s="50"/>
      <c r="NOY350" s="50"/>
      <c r="NOZ350" s="50"/>
      <c r="NPA350" s="50"/>
      <c r="NPB350" s="50"/>
      <c r="NPC350" s="50"/>
      <c r="NPD350" s="50"/>
      <c r="NPE350" s="50"/>
      <c r="NPF350" s="50"/>
      <c r="NPG350" s="50"/>
      <c r="NPH350" s="50"/>
      <c r="NPI350" s="50"/>
      <c r="NPJ350" s="50"/>
      <c r="NPK350" s="50"/>
      <c r="NPL350" s="50"/>
      <c r="NPM350" s="50"/>
      <c r="NPN350" s="50"/>
      <c r="NPO350" s="50"/>
      <c r="NPP350" s="50"/>
      <c r="NPQ350" s="50"/>
      <c r="NPR350" s="50"/>
      <c r="NPS350" s="50"/>
      <c r="NPT350" s="50"/>
      <c r="NPU350" s="50"/>
      <c r="NPV350" s="50"/>
      <c r="NPW350" s="50"/>
      <c r="NPX350" s="50"/>
      <c r="NPY350" s="50"/>
      <c r="NPZ350" s="50"/>
      <c r="NQA350" s="50"/>
      <c r="NQB350" s="50"/>
      <c r="NQC350" s="50"/>
      <c r="NQD350" s="50"/>
      <c r="NQE350" s="50"/>
      <c r="NQF350" s="50"/>
      <c r="NQG350" s="50"/>
      <c r="NQH350" s="50"/>
      <c r="NQI350" s="50"/>
      <c r="NQJ350" s="50"/>
      <c r="NQK350" s="50"/>
      <c r="NQL350" s="50"/>
      <c r="NQM350" s="50"/>
      <c r="NQN350" s="50"/>
      <c r="NQO350" s="50"/>
      <c r="NQP350" s="50"/>
      <c r="NQQ350" s="50"/>
      <c r="NQR350" s="50"/>
      <c r="NQS350" s="50"/>
      <c r="NQT350" s="50"/>
      <c r="NQU350" s="50"/>
      <c r="NQV350" s="50"/>
      <c r="NQW350" s="50"/>
      <c r="NQX350" s="50"/>
      <c r="NQY350" s="50"/>
      <c r="NQZ350" s="50"/>
      <c r="NRA350" s="50"/>
      <c r="NRB350" s="50"/>
      <c r="NRC350" s="50"/>
      <c r="NRD350" s="50"/>
      <c r="NRE350" s="50"/>
      <c r="NRF350" s="50"/>
      <c r="NRG350" s="50"/>
      <c r="NRH350" s="50"/>
      <c r="NRI350" s="50"/>
      <c r="NRJ350" s="50"/>
      <c r="NRK350" s="50"/>
      <c r="NRL350" s="50"/>
      <c r="NRM350" s="50"/>
      <c r="NRN350" s="50"/>
      <c r="NRO350" s="50"/>
      <c r="NRP350" s="50"/>
      <c r="NRQ350" s="50"/>
      <c r="NRR350" s="50"/>
      <c r="NRS350" s="50"/>
      <c r="NRT350" s="50"/>
      <c r="NRU350" s="50"/>
      <c r="NRV350" s="50"/>
      <c r="NRW350" s="50"/>
      <c r="NRX350" s="50"/>
      <c r="NRY350" s="50"/>
      <c r="NRZ350" s="50"/>
      <c r="NSA350" s="50"/>
      <c r="NSB350" s="50"/>
      <c r="NSC350" s="50"/>
      <c r="NSD350" s="50"/>
      <c r="NSE350" s="50"/>
      <c r="NSF350" s="50"/>
      <c r="NSG350" s="50"/>
      <c r="NSH350" s="50"/>
      <c r="NSI350" s="50"/>
      <c r="NSJ350" s="50"/>
      <c r="NSK350" s="50"/>
      <c r="NSL350" s="50"/>
      <c r="NSM350" s="50"/>
      <c r="NSN350" s="50"/>
      <c r="NSO350" s="50"/>
      <c r="NSP350" s="50"/>
      <c r="NSQ350" s="50"/>
      <c r="NSR350" s="50"/>
      <c r="NSS350" s="50"/>
      <c r="NST350" s="50"/>
      <c r="NSU350" s="50"/>
      <c r="NSV350" s="50"/>
      <c r="NSW350" s="50"/>
      <c r="NSX350" s="50"/>
      <c r="NSY350" s="50"/>
      <c r="NSZ350" s="50"/>
      <c r="NTA350" s="50"/>
      <c r="NTB350" s="50"/>
      <c r="NTC350" s="50"/>
      <c r="NTD350" s="50"/>
      <c r="NTE350" s="50"/>
      <c r="NTF350" s="50"/>
      <c r="NTG350" s="50"/>
      <c r="NTH350" s="50"/>
      <c r="NTI350" s="50"/>
      <c r="NTJ350" s="50"/>
      <c r="NTK350" s="50"/>
      <c r="NTL350" s="50"/>
      <c r="NTM350" s="50"/>
      <c r="NTN350" s="50"/>
      <c r="NTO350" s="50"/>
      <c r="NTP350" s="50"/>
      <c r="NTQ350" s="50"/>
      <c r="NTR350" s="50"/>
      <c r="NTS350" s="50"/>
      <c r="NTT350" s="50"/>
      <c r="NTU350" s="50"/>
      <c r="NTV350" s="50"/>
      <c r="NTW350" s="50"/>
      <c r="NTX350" s="50"/>
      <c r="NTY350" s="50"/>
      <c r="NTZ350" s="50"/>
      <c r="NUA350" s="50"/>
      <c r="NUB350" s="50"/>
      <c r="NUC350" s="50"/>
      <c r="NUD350" s="50"/>
      <c r="NUE350" s="50"/>
      <c r="NUF350" s="50"/>
      <c r="NUG350" s="50"/>
      <c r="NUH350" s="50"/>
      <c r="NUI350" s="50"/>
      <c r="NUJ350" s="50"/>
      <c r="NUK350" s="50"/>
      <c r="NUL350" s="50"/>
      <c r="NUM350" s="50"/>
      <c r="NUN350" s="50"/>
      <c r="NUO350" s="50"/>
      <c r="NUP350" s="50"/>
      <c r="NUQ350" s="50"/>
      <c r="NUR350" s="50"/>
      <c r="NUS350" s="50"/>
      <c r="NUT350" s="50"/>
      <c r="NUU350" s="50"/>
      <c r="NUV350" s="50"/>
      <c r="NUW350" s="50"/>
      <c r="NUX350" s="50"/>
      <c r="NUY350" s="50"/>
      <c r="NUZ350" s="50"/>
      <c r="NVA350" s="50"/>
      <c r="NVB350" s="50"/>
      <c r="NVC350" s="50"/>
      <c r="NVD350" s="50"/>
      <c r="NVE350" s="50"/>
      <c r="NVF350" s="50"/>
      <c r="NVG350" s="50"/>
      <c r="NVH350" s="50"/>
      <c r="NVI350" s="50"/>
      <c r="NVJ350" s="50"/>
      <c r="NVK350" s="50"/>
      <c r="NVL350" s="50"/>
      <c r="NVM350" s="50"/>
      <c r="NVN350" s="50"/>
      <c r="NVO350" s="50"/>
      <c r="NVP350" s="50"/>
      <c r="NVQ350" s="50"/>
      <c r="NVR350" s="50"/>
      <c r="NVS350" s="50"/>
      <c r="NVT350" s="50"/>
      <c r="NVU350" s="50"/>
      <c r="NVV350" s="50"/>
      <c r="NVW350" s="50"/>
      <c r="NVX350" s="50"/>
      <c r="NVY350" s="50"/>
      <c r="NVZ350" s="50"/>
      <c r="NWA350" s="50"/>
      <c r="NWB350" s="50"/>
      <c r="NWC350" s="50"/>
      <c r="NWD350" s="50"/>
      <c r="NWE350" s="50"/>
      <c r="NWF350" s="50"/>
      <c r="NWG350" s="50"/>
      <c r="NWH350" s="50"/>
      <c r="NWI350" s="50"/>
      <c r="NWJ350" s="50"/>
      <c r="NWK350" s="50"/>
      <c r="NWL350" s="50"/>
      <c r="NWM350" s="50"/>
      <c r="NWN350" s="50"/>
      <c r="NWO350" s="50"/>
      <c r="NWP350" s="50"/>
      <c r="NWQ350" s="50"/>
      <c r="NWR350" s="50"/>
      <c r="NWS350" s="50"/>
      <c r="NWT350" s="50"/>
      <c r="NWU350" s="50"/>
      <c r="NWV350" s="50"/>
      <c r="NWW350" s="50"/>
      <c r="NWX350" s="50"/>
      <c r="NWY350" s="50"/>
      <c r="NWZ350" s="50"/>
      <c r="NXA350" s="50"/>
      <c r="NXB350" s="50"/>
      <c r="NXC350" s="50"/>
      <c r="NXD350" s="50"/>
      <c r="NXE350" s="50"/>
      <c r="NXF350" s="50"/>
      <c r="NXG350" s="50"/>
      <c r="NXH350" s="50"/>
      <c r="NXI350" s="50"/>
      <c r="NXJ350" s="50"/>
      <c r="NXK350" s="50"/>
      <c r="NXL350" s="50"/>
      <c r="NXM350" s="50"/>
      <c r="NXN350" s="50"/>
      <c r="NXO350" s="50"/>
      <c r="NXP350" s="50"/>
      <c r="NXQ350" s="50"/>
      <c r="NXR350" s="50"/>
      <c r="NXS350" s="50"/>
      <c r="NXT350" s="50"/>
      <c r="NXU350" s="50"/>
      <c r="NXV350" s="50"/>
      <c r="NXW350" s="50"/>
      <c r="NXX350" s="50"/>
      <c r="NXY350" s="50"/>
      <c r="NXZ350" s="50"/>
      <c r="NYA350" s="50"/>
      <c r="NYB350" s="50"/>
      <c r="NYC350" s="50"/>
      <c r="NYD350" s="50"/>
      <c r="NYE350" s="50"/>
      <c r="NYF350" s="50"/>
      <c r="NYG350" s="50"/>
      <c r="NYH350" s="50"/>
      <c r="NYI350" s="50"/>
      <c r="NYJ350" s="50"/>
      <c r="NYK350" s="50"/>
      <c r="NYL350" s="50"/>
      <c r="NYM350" s="50"/>
      <c r="NYN350" s="50"/>
      <c r="NYO350" s="50"/>
      <c r="NYP350" s="50"/>
      <c r="NYQ350" s="50"/>
      <c r="NYR350" s="50"/>
      <c r="NYS350" s="50"/>
      <c r="NYT350" s="50"/>
      <c r="NYU350" s="50"/>
      <c r="NYV350" s="50"/>
      <c r="NYW350" s="50"/>
      <c r="NYX350" s="50"/>
      <c r="NYY350" s="50"/>
      <c r="NYZ350" s="50"/>
      <c r="NZA350" s="50"/>
      <c r="NZB350" s="50"/>
      <c r="NZC350" s="50"/>
      <c r="NZD350" s="50"/>
      <c r="NZE350" s="50"/>
      <c r="NZF350" s="50"/>
      <c r="NZG350" s="50"/>
      <c r="NZH350" s="50"/>
      <c r="NZI350" s="50"/>
      <c r="NZJ350" s="50"/>
      <c r="NZK350" s="50"/>
      <c r="NZL350" s="50"/>
      <c r="NZM350" s="50"/>
      <c r="NZN350" s="50"/>
      <c r="NZO350" s="50"/>
      <c r="NZP350" s="50"/>
      <c r="NZQ350" s="50"/>
      <c r="NZR350" s="50"/>
      <c r="NZS350" s="50"/>
      <c r="NZT350" s="50"/>
      <c r="NZU350" s="50"/>
      <c r="NZV350" s="50"/>
      <c r="NZW350" s="50"/>
      <c r="NZX350" s="50"/>
      <c r="NZY350" s="50"/>
      <c r="NZZ350" s="50"/>
      <c r="OAA350" s="50"/>
      <c r="OAB350" s="50"/>
      <c r="OAC350" s="50"/>
      <c r="OAD350" s="50"/>
      <c r="OAE350" s="50"/>
      <c r="OAF350" s="50"/>
      <c r="OAG350" s="50"/>
      <c r="OAH350" s="50"/>
      <c r="OAI350" s="50"/>
      <c r="OAJ350" s="50"/>
      <c r="OAK350" s="50"/>
      <c r="OAL350" s="50"/>
      <c r="OAM350" s="50"/>
      <c r="OAN350" s="50"/>
      <c r="OAO350" s="50"/>
      <c r="OAP350" s="50"/>
      <c r="OAQ350" s="50"/>
      <c r="OAR350" s="50"/>
      <c r="OAS350" s="50"/>
      <c r="OAT350" s="50"/>
      <c r="OAU350" s="50"/>
      <c r="OAV350" s="50"/>
      <c r="OAW350" s="50"/>
      <c r="OAX350" s="50"/>
      <c r="OAY350" s="50"/>
      <c r="OAZ350" s="50"/>
      <c r="OBA350" s="50"/>
      <c r="OBB350" s="50"/>
      <c r="OBC350" s="50"/>
      <c r="OBD350" s="50"/>
      <c r="OBE350" s="50"/>
      <c r="OBF350" s="50"/>
      <c r="OBG350" s="50"/>
      <c r="OBH350" s="50"/>
      <c r="OBI350" s="50"/>
      <c r="OBJ350" s="50"/>
      <c r="OBK350" s="50"/>
      <c r="OBL350" s="50"/>
      <c r="OBM350" s="50"/>
      <c r="OBN350" s="50"/>
      <c r="OBO350" s="50"/>
      <c r="OBP350" s="50"/>
      <c r="OBQ350" s="50"/>
      <c r="OBR350" s="50"/>
      <c r="OBS350" s="50"/>
      <c r="OBT350" s="50"/>
      <c r="OBU350" s="50"/>
      <c r="OBV350" s="50"/>
      <c r="OBW350" s="50"/>
      <c r="OBX350" s="50"/>
      <c r="OBY350" s="50"/>
      <c r="OBZ350" s="50"/>
      <c r="OCA350" s="50"/>
      <c r="OCB350" s="50"/>
      <c r="OCC350" s="50"/>
      <c r="OCD350" s="50"/>
      <c r="OCE350" s="50"/>
      <c r="OCF350" s="50"/>
      <c r="OCG350" s="50"/>
      <c r="OCH350" s="50"/>
      <c r="OCI350" s="50"/>
      <c r="OCJ350" s="50"/>
      <c r="OCK350" s="50"/>
      <c r="OCL350" s="50"/>
      <c r="OCM350" s="50"/>
      <c r="OCN350" s="50"/>
      <c r="OCO350" s="50"/>
      <c r="OCP350" s="50"/>
      <c r="OCQ350" s="50"/>
      <c r="OCR350" s="50"/>
      <c r="OCS350" s="50"/>
      <c r="OCT350" s="50"/>
      <c r="OCU350" s="50"/>
      <c r="OCV350" s="50"/>
      <c r="OCW350" s="50"/>
      <c r="OCX350" s="50"/>
      <c r="OCY350" s="50"/>
      <c r="OCZ350" s="50"/>
      <c r="ODA350" s="50"/>
      <c r="ODB350" s="50"/>
      <c r="ODC350" s="50"/>
      <c r="ODD350" s="50"/>
      <c r="ODE350" s="50"/>
      <c r="ODF350" s="50"/>
      <c r="ODG350" s="50"/>
      <c r="ODH350" s="50"/>
      <c r="ODI350" s="50"/>
      <c r="ODJ350" s="50"/>
      <c r="ODK350" s="50"/>
      <c r="ODL350" s="50"/>
      <c r="ODM350" s="50"/>
      <c r="ODN350" s="50"/>
      <c r="ODO350" s="50"/>
      <c r="ODP350" s="50"/>
      <c r="ODQ350" s="50"/>
      <c r="ODR350" s="50"/>
      <c r="ODS350" s="50"/>
      <c r="ODT350" s="50"/>
      <c r="ODU350" s="50"/>
      <c r="ODV350" s="50"/>
      <c r="ODW350" s="50"/>
      <c r="ODX350" s="50"/>
      <c r="ODY350" s="50"/>
      <c r="ODZ350" s="50"/>
      <c r="OEA350" s="50"/>
      <c r="OEB350" s="50"/>
      <c r="OEC350" s="50"/>
      <c r="OED350" s="50"/>
      <c r="OEE350" s="50"/>
      <c r="OEF350" s="50"/>
      <c r="OEG350" s="50"/>
      <c r="OEH350" s="50"/>
      <c r="OEI350" s="50"/>
      <c r="OEJ350" s="50"/>
      <c r="OEK350" s="50"/>
      <c r="OEL350" s="50"/>
      <c r="OEM350" s="50"/>
      <c r="OEN350" s="50"/>
      <c r="OEO350" s="50"/>
      <c r="OEP350" s="50"/>
      <c r="OEQ350" s="50"/>
      <c r="OER350" s="50"/>
      <c r="OES350" s="50"/>
      <c r="OET350" s="50"/>
      <c r="OEU350" s="50"/>
      <c r="OEV350" s="50"/>
      <c r="OEW350" s="50"/>
      <c r="OEX350" s="50"/>
      <c r="OEY350" s="50"/>
      <c r="OEZ350" s="50"/>
      <c r="OFA350" s="50"/>
      <c r="OFB350" s="50"/>
      <c r="OFC350" s="50"/>
      <c r="OFD350" s="50"/>
      <c r="OFE350" s="50"/>
      <c r="OFF350" s="50"/>
      <c r="OFG350" s="50"/>
      <c r="OFH350" s="50"/>
      <c r="OFI350" s="50"/>
      <c r="OFJ350" s="50"/>
      <c r="OFK350" s="50"/>
      <c r="OFL350" s="50"/>
      <c r="OFM350" s="50"/>
      <c r="OFN350" s="50"/>
      <c r="OFO350" s="50"/>
      <c r="OFP350" s="50"/>
      <c r="OFQ350" s="50"/>
      <c r="OFR350" s="50"/>
      <c r="OFS350" s="50"/>
      <c r="OFT350" s="50"/>
      <c r="OFU350" s="50"/>
      <c r="OFV350" s="50"/>
      <c r="OFW350" s="50"/>
      <c r="OFX350" s="50"/>
      <c r="OFY350" s="50"/>
      <c r="OFZ350" s="50"/>
      <c r="OGA350" s="50"/>
      <c r="OGB350" s="50"/>
      <c r="OGC350" s="50"/>
      <c r="OGD350" s="50"/>
      <c r="OGE350" s="50"/>
      <c r="OGF350" s="50"/>
      <c r="OGG350" s="50"/>
      <c r="OGH350" s="50"/>
      <c r="OGI350" s="50"/>
      <c r="OGJ350" s="50"/>
      <c r="OGK350" s="50"/>
      <c r="OGL350" s="50"/>
      <c r="OGM350" s="50"/>
      <c r="OGN350" s="50"/>
      <c r="OGO350" s="50"/>
      <c r="OGP350" s="50"/>
      <c r="OGQ350" s="50"/>
      <c r="OGR350" s="50"/>
      <c r="OGS350" s="50"/>
      <c r="OGT350" s="50"/>
      <c r="OGU350" s="50"/>
      <c r="OGV350" s="50"/>
      <c r="OGW350" s="50"/>
      <c r="OGX350" s="50"/>
      <c r="OGY350" s="50"/>
      <c r="OGZ350" s="50"/>
      <c r="OHA350" s="50"/>
      <c r="OHB350" s="50"/>
      <c r="OHC350" s="50"/>
      <c r="OHD350" s="50"/>
      <c r="OHE350" s="50"/>
      <c r="OHF350" s="50"/>
      <c r="OHG350" s="50"/>
      <c r="OHH350" s="50"/>
      <c r="OHI350" s="50"/>
      <c r="OHJ350" s="50"/>
      <c r="OHK350" s="50"/>
      <c r="OHL350" s="50"/>
      <c r="OHM350" s="50"/>
      <c r="OHN350" s="50"/>
      <c r="OHO350" s="50"/>
      <c r="OHP350" s="50"/>
      <c r="OHQ350" s="50"/>
      <c r="OHR350" s="50"/>
      <c r="OHS350" s="50"/>
      <c r="OHT350" s="50"/>
      <c r="OHU350" s="50"/>
      <c r="OHV350" s="50"/>
      <c r="OHW350" s="50"/>
      <c r="OHX350" s="50"/>
      <c r="OHY350" s="50"/>
      <c r="OHZ350" s="50"/>
      <c r="OIA350" s="50"/>
      <c r="OIB350" s="50"/>
      <c r="OIC350" s="50"/>
      <c r="OID350" s="50"/>
      <c r="OIE350" s="50"/>
      <c r="OIF350" s="50"/>
      <c r="OIG350" s="50"/>
      <c r="OIH350" s="50"/>
      <c r="OII350" s="50"/>
      <c r="OIJ350" s="50"/>
      <c r="OIK350" s="50"/>
      <c r="OIL350" s="50"/>
      <c r="OIM350" s="50"/>
      <c r="OIN350" s="50"/>
      <c r="OIO350" s="50"/>
      <c r="OIP350" s="50"/>
      <c r="OIQ350" s="50"/>
      <c r="OIR350" s="50"/>
      <c r="OIS350" s="50"/>
      <c r="OIT350" s="50"/>
      <c r="OIU350" s="50"/>
      <c r="OIV350" s="50"/>
      <c r="OIW350" s="50"/>
      <c r="OIX350" s="50"/>
      <c r="OIY350" s="50"/>
      <c r="OIZ350" s="50"/>
      <c r="OJA350" s="50"/>
      <c r="OJB350" s="50"/>
      <c r="OJC350" s="50"/>
      <c r="OJD350" s="50"/>
      <c r="OJE350" s="50"/>
      <c r="OJF350" s="50"/>
      <c r="OJG350" s="50"/>
      <c r="OJH350" s="50"/>
      <c r="OJI350" s="50"/>
      <c r="OJJ350" s="50"/>
      <c r="OJK350" s="50"/>
      <c r="OJL350" s="50"/>
      <c r="OJM350" s="50"/>
      <c r="OJN350" s="50"/>
      <c r="OJO350" s="50"/>
      <c r="OJP350" s="50"/>
      <c r="OJQ350" s="50"/>
      <c r="OJR350" s="50"/>
      <c r="OJS350" s="50"/>
      <c r="OJT350" s="50"/>
      <c r="OJU350" s="50"/>
      <c r="OJV350" s="50"/>
      <c r="OJW350" s="50"/>
      <c r="OJX350" s="50"/>
      <c r="OJY350" s="50"/>
      <c r="OJZ350" s="50"/>
      <c r="OKA350" s="50"/>
      <c r="OKB350" s="50"/>
      <c r="OKC350" s="50"/>
      <c r="OKD350" s="50"/>
      <c r="OKE350" s="50"/>
      <c r="OKF350" s="50"/>
      <c r="OKG350" s="50"/>
      <c r="OKH350" s="50"/>
      <c r="OKI350" s="50"/>
      <c r="OKJ350" s="50"/>
      <c r="OKK350" s="50"/>
      <c r="OKL350" s="50"/>
      <c r="OKM350" s="50"/>
      <c r="OKN350" s="50"/>
      <c r="OKO350" s="50"/>
      <c r="OKP350" s="50"/>
      <c r="OKQ350" s="50"/>
      <c r="OKR350" s="50"/>
      <c r="OKS350" s="50"/>
      <c r="OKT350" s="50"/>
      <c r="OKU350" s="50"/>
      <c r="OKV350" s="50"/>
      <c r="OKW350" s="50"/>
      <c r="OKX350" s="50"/>
      <c r="OKY350" s="50"/>
      <c r="OKZ350" s="50"/>
      <c r="OLA350" s="50"/>
      <c r="OLB350" s="50"/>
      <c r="OLC350" s="50"/>
      <c r="OLD350" s="50"/>
      <c r="OLE350" s="50"/>
      <c r="OLF350" s="50"/>
      <c r="OLG350" s="50"/>
      <c r="OLH350" s="50"/>
      <c r="OLI350" s="50"/>
      <c r="OLJ350" s="50"/>
      <c r="OLK350" s="50"/>
      <c r="OLL350" s="50"/>
      <c r="OLM350" s="50"/>
      <c r="OLN350" s="50"/>
      <c r="OLO350" s="50"/>
      <c r="OLP350" s="50"/>
      <c r="OLQ350" s="50"/>
      <c r="OLR350" s="50"/>
      <c r="OLS350" s="50"/>
      <c r="OLT350" s="50"/>
      <c r="OLU350" s="50"/>
      <c r="OLV350" s="50"/>
      <c r="OLW350" s="50"/>
      <c r="OLX350" s="50"/>
      <c r="OLY350" s="50"/>
      <c r="OLZ350" s="50"/>
      <c r="OMA350" s="50"/>
      <c r="OMB350" s="50"/>
      <c r="OMC350" s="50"/>
      <c r="OMD350" s="50"/>
      <c r="OME350" s="50"/>
      <c r="OMF350" s="50"/>
      <c r="OMG350" s="50"/>
      <c r="OMH350" s="50"/>
      <c r="OMI350" s="50"/>
      <c r="OMJ350" s="50"/>
      <c r="OMK350" s="50"/>
      <c r="OML350" s="50"/>
      <c r="OMM350" s="50"/>
      <c r="OMN350" s="50"/>
      <c r="OMO350" s="50"/>
      <c r="OMP350" s="50"/>
      <c r="OMQ350" s="50"/>
      <c r="OMR350" s="50"/>
      <c r="OMS350" s="50"/>
      <c r="OMT350" s="50"/>
      <c r="OMU350" s="50"/>
      <c r="OMV350" s="50"/>
      <c r="OMW350" s="50"/>
      <c r="OMX350" s="50"/>
      <c r="OMY350" s="50"/>
      <c r="OMZ350" s="50"/>
      <c r="ONA350" s="50"/>
      <c r="ONB350" s="50"/>
      <c r="ONC350" s="50"/>
      <c r="OND350" s="50"/>
      <c r="ONE350" s="50"/>
      <c r="ONF350" s="50"/>
      <c r="ONG350" s="50"/>
      <c r="ONH350" s="50"/>
      <c r="ONI350" s="50"/>
      <c r="ONJ350" s="50"/>
      <c r="ONK350" s="50"/>
      <c r="ONL350" s="50"/>
      <c r="ONM350" s="50"/>
      <c r="ONN350" s="50"/>
      <c r="ONO350" s="50"/>
      <c r="ONP350" s="50"/>
      <c r="ONQ350" s="50"/>
      <c r="ONR350" s="50"/>
      <c r="ONS350" s="50"/>
      <c r="ONT350" s="50"/>
      <c r="ONU350" s="50"/>
      <c r="ONV350" s="50"/>
      <c r="ONW350" s="50"/>
      <c r="ONX350" s="50"/>
      <c r="ONY350" s="50"/>
      <c r="ONZ350" s="50"/>
      <c r="OOA350" s="50"/>
      <c r="OOB350" s="50"/>
      <c r="OOC350" s="50"/>
      <c r="OOD350" s="50"/>
      <c r="OOE350" s="50"/>
      <c r="OOF350" s="50"/>
      <c r="OOG350" s="50"/>
      <c r="OOH350" s="50"/>
      <c r="OOI350" s="50"/>
      <c r="OOJ350" s="50"/>
      <c r="OOK350" s="50"/>
      <c r="OOL350" s="50"/>
      <c r="OOM350" s="50"/>
      <c r="OON350" s="50"/>
      <c r="OOO350" s="50"/>
      <c r="OOP350" s="50"/>
      <c r="OOQ350" s="50"/>
      <c r="OOR350" s="50"/>
      <c r="OOS350" s="50"/>
      <c r="OOT350" s="50"/>
      <c r="OOU350" s="50"/>
      <c r="OOV350" s="50"/>
      <c r="OOW350" s="50"/>
      <c r="OOX350" s="50"/>
      <c r="OOY350" s="50"/>
      <c r="OOZ350" s="50"/>
      <c r="OPA350" s="50"/>
      <c r="OPB350" s="50"/>
      <c r="OPC350" s="50"/>
      <c r="OPD350" s="50"/>
      <c r="OPE350" s="50"/>
      <c r="OPF350" s="50"/>
      <c r="OPG350" s="50"/>
      <c r="OPH350" s="50"/>
      <c r="OPI350" s="50"/>
      <c r="OPJ350" s="50"/>
      <c r="OPK350" s="50"/>
      <c r="OPL350" s="50"/>
      <c r="OPM350" s="50"/>
      <c r="OPN350" s="50"/>
      <c r="OPO350" s="50"/>
      <c r="OPP350" s="50"/>
      <c r="OPQ350" s="50"/>
      <c r="OPR350" s="50"/>
      <c r="OPS350" s="50"/>
      <c r="OPT350" s="50"/>
      <c r="OPU350" s="50"/>
      <c r="OPV350" s="50"/>
      <c r="OPW350" s="50"/>
      <c r="OPX350" s="50"/>
      <c r="OPY350" s="50"/>
      <c r="OPZ350" s="50"/>
      <c r="OQA350" s="50"/>
      <c r="OQB350" s="50"/>
      <c r="OQC350" s="50"/>
      <c r="OQD350" s="50"/>
      <c r="OQE350" s="50"/>
      <c r="OQF350" s="50"/>
      <c r="OQG350" s="50"/>
      <c r="OQH350" s="50"/>
      <c r="OQI350" s="50"/>
      <c r="OQJ350" s="50"/>
      <c r="OQK350" s="50"/>
      <c r="OQL350" s="50"/>
      <c r="OQM350" s="50"/>
      <c r="OQN350" s="50"/>
      <c r="OQO350" s="50"/>
      <c r="OQP350" s="50"/>
      <c r="OQQ350" s="50"/>
      <c r="OQR350" s="50"/>
      <c r="OQS350" s="50"/>
      <c r="OQT350" s="50"/>
      <c r="OQU350" s="50"/>
      <c r="OQV350" s="50"/>
      <c r="OQW350" s="50"/>
      <c r="OQX350" s="50"/>
      <c r="OQY350" s="50"/>
      <c r="OQZ350" s="50"/>
      <c r="ORA350" s="50"/>
      <c r="ORB350" s="50"/>
      <c r="ORC350" s="50"/>
      <c r="ORD350" s="50"/>
      <c r="ORE350" s="50"/>
      <c r="ORF350" s="50"/>
      <c r="ORG350" s="50"/>
      <c r="ORH350" s="50"/>
      <c r="ORI350" s="50"/>
      <c r="ORJ350" s="50"/>
      <c r="ORK350" s="50"/>
      <c r="ORL350" s="50"/>
      <c r="ORM350" s="50"/>
      <c r="ORN350" s="50"/>
      <c r="ORO350" s="50"/>
      <c r="ORP350" s="50"/>
      <c r="ORQ350" s="50"/>
      <c r="ORR350" s="50"/>
      <c r="ORS350" s="50"/>
      <c r="ORT350" s="50"/>
      <c r="ORU350" s="50"/>
      <c r="ORV350" s="50"/>
      <c r="ORW350" s="50"/>
      <c r="ORX350" s="50"/>
      <c r="ORY350" s="50"/>
      <c r="ORZ350" s="50"/>
      <c r="OSA350" s="50"/>
      <c r="OSB350" s="50"/>
      <c r="OSC350" s="50"/>
      <c r="OSD350" s="50"/>
      <c r="OSE350" s="50"/>
      <c r="OSF350" s="50"/>
      <c r="OSG350" s="50"/>
      <c r="OSH350" s="50"/>
      <c r="OSI350" s="50"/>
      <c r="OSJ350" s="50"/>
      <c r="OSK350" s="50"/>
      <c r="OSL350" s="50"/>
      <c r="OSM350" s="50"/>
      <c r="OSN350" s="50"/>
      <c r="OSO350" s="50"/>
      <c r="OSP350" s="50"/>
      <c r="OSQ350" s="50"/>
      <c r="OSR350" s="50"/>
      <c r="OSS350" s="50"/>
      <c r="OST350" s="50"/>
      <c r="OSU350" s="50"/>
      <c r="OSV350" s="50"/>
      <c r="OSW350" s="50"/>
      <c r="OSX350" s="50"/>
      <c r="OSY350" s="50"/>
      <c r="OSZ350" s="50"/>
      <c r="OTA350" s="50"/>
      <c r="OTB350" s="50"/>
      <c r="OTC350" s="50"/>
      <c r="OTD350" s="50"/>
      <c r="OTE350" s="50"/>
      <c r="OTF350" s="50"/>
      <c r="OTG350" s="50"/>
      <c r="OTH350" s="50"/>
      <c r="OTI350" s="50"/>
      <c r="OTJ350" s="50"/>
      <c r="OTK350" s="50"/>
      <c r="OTL350" s="50"/>
      <c r="OTM350" s="50"/>
      <c r="OTN350" s="50"/>
      <c r="OTO350" s="50"/>
      <c r="OTP350" s="50"/>
      <c r="OTQ350" s="50"/>
      <c r="OTR350" s="50"/>
      <c r="OTS350" s="50"/>
      <c r="OTT350" s="50"/>
      <c r="OTU350" s="50"/>
      <c r="OTV350" s="50"/>
      <c r="OTW350" s="50"/>
      <c r="OTX350" s="50"/>
      <c r="OTY350" s="50"/>
      <c r="OTZ350" s="50"/>
      <c r="OUA350" s="50"/>
      <c r="OUB350" s="50"/>
      <c r="OUC350" s="50"/>
      <c r="OUD350" s="50"/>
      <c r="OUE350" s="50"/>
      <c r="OUF350" s="50"/>
      <c r="OUG350" s="50"/>
      <c r="OUH350" s="50"/>
      <c r="OUI350" s="50"/>
      <c r="OUJ350" s="50"/>
      <c r="OUK350" s="50"/>
      <c r="OUL350" s="50"/>
      <c r="OUM350" s="50"/>
      <c r="OUN350" s="50"/>
      <c r="OUO350" s="50"/>
      <c r="OUP350" s="50"/>
      <c r="OUQ350" s="50"/>
      <c r="OUR350" s="50"/>
      <c r="OUS350" s="50"/>
      <c r="OUT350" s="50"/>
      <c r="OUU350" s="50"/>
      <c r="OUV350" s="50"/>
      <c r="OUW350" s="50"/>
      <c r="OUX350" s="50"/>
      <c r="OUY350" s="50"/>
      <c r="OUZ350" s="50"/>
      <c r="OVA350" s="50"/>
      <c r="OVB350" s="50"/>
      <c r="OVC350" s="50"/>
      <c r="OVD350" s="50"/>
      <c r="OVE350" s="50"/>
      <c r="OVF350" s="50"/>
      <c r="OVG350" s="50"/>
      <c r="OVH350" s="50"/>
      <c r="OVI350" s="50"/>
      <c r="OVJ350" s="50"/>
      <c r="OVK350" s="50"/>
      <c r="OVL350" s="50"/>
      <c r="OVM350" s="50"/>
      <c r="OVN350" s="50"/>
      <c r="OVO350" s="50"/>
      <c r="OVP350" s="50"/>
      <c r="OVQ350" s="50"/>
      <c r="OVR350" s="50"/>
      <c r="OVS350" s="50"/>
      <c r="OVT350" s="50"/>
      <c r="OVU350" s="50"/>
      <c r="OVV350" s="50"/>
      <c r="OVW350" s="50"/>
      <c r="OVX350" s="50"/>
      <c r="OVY350" s="50"/>
      <c r="OVZ350" s="50"/>
      <c r="OWA350" s="50"/>
      <c r="OWB350" s="50"/>
      <c r="OWC350" s="50"/>
      <c r="OWD350" s="50"/>
      <c r="OWE350" s="50"/>
      <c r="OWF350" s="50"/>
      <c r="OWG350" s="50"/>
      <c r="OWH350" s="50"/>
      <c r="OWI350" s="50"/>
      <c r="OWJ350" s="50"/>
      <c r="OWK350" s="50"/>
      <c r="OWL350" s="50"/>
      <c r="OWM350" s="50"/>
      <c r="OWN350" s="50"/>
      <c r="OWO350" s="50"/>
      <c r="OWP350" s="50"/>
      <c r="OWQ350" s="50"/>
      <c r="OWR350" s="50"/>
      <c r="OWS350" s="50"/>
      <c r="OWT350" s="50"/>
      <c r="OWU350" s="50"/>
      <c r="OWV350" s="50"/>
      <c r="OWW350" s="50"/>
      <c r="OWX350" s="50"/>
      <c r="OWY350" s="50"/>
      <c r="OWZ350" s="50"/>
      <c r="OXA350" s="50"/>
      <c r="OXB350" s="50"/>
      <c r="OXC350" s="50"/>
      <c r="OXD350" s="50"/>
      <c r="OXE350" s="50"/>
      <c r="OXF350" s="50"/>
      <c r="OXG350" s="50"/>
      <c r="OXH350" s="50"/>
      <c r="OXI350" s="50"/>
      <c r="OXJ350" s="50"/>
      <c r="OXK350" s="50"/>
      <c r="OXL350" s="50"/>
      <c r="OXM350" s="50"/>
      <c r="OXN350" s="50"/>
      <c r="OXO350" s="50"/>
      <c r="OXP350" s="50"/>
      <c r="OXQ350" s="50"/>
      <c r="OXR350" s="50"/>
      <c r="OXS350" s="50"/>
      <c r="OXT350" s="50"/>
      <c r="OXU350" s="50"/>
      <c r="OXV350" s="50"/>
      <c r="OXW350" s="50"/>
      <c r="OXX350" s="50"/>
      <c r="OXY350" s="50"/>
      <c r="OXZ350" s="50"/>
      <c r="OYA350" s="50"/>
      <c r="OYB350" s="50"/>
      <c r="OYC350" s="50"/>
      <c r="OYD350" s="50"/>
      <c r="OYE350" s="50"/>
      <c r="OYF350" s="50"/>
      <c r="OYG350" s="50"/>
      <c r="OYH350" s="50"/>
      <c r="OYI350" s="50"/>
      <c r="OYJ350" s="50"/>
      <c r="OYK350" s="50"/>
      <c r="OYL350" s="50"/>
      <c r="OYM350" s="50"/>
      <c r="OYN350" s="50"/>
      <c r="OYO350" s="50"/>
      <c r="OYP350" s="50"/>
      <c r="OYQ350" s="50"/>
      <c r="OYR350" s="50"/>
      <c r="OYS350" s="50"/>
      <c r="OYT350" s="50"/>
      <c r="OYU350" s="50"/>
      <c r="OYV350" s="50"/>
      <c r="OYW350" s="50"/>
      <c r="OYX350" s="50"/>
      <c r="OYY350" s="50"/>
      <c r="OYZ350" s="50"/>
      <c r="OZA350" s="50"/>
      <c r="OZB350" s="50"/>
      <c r="OZC350" s="50"/>
      <c r="OZD350" s="50"/>
      <c r="OZE350" s="50"/>
      <c r="OZF350" s="50"/>
      <c r="OZG350" s="50"/>
      <c r="OZH350" s="50"/>
      <c r="OZI350" s="50"/>
      <c r="OZJ350" s="50"/>
      <c r="OZK350" s="50"/>
      <c r="OZL350" s="50"/>
      <c r="OZM350" s="50"/>
      <c r="OZN350" s="50"/>
      <c r="OZO350" s="50"/>
      <c r="OZP350" s="50"/>
      <c r="OZQ350" s="50"/>
      <c r="OZR350" s="50"/>
      <c r="OZS350" s="50"/>
      <c r="OZT350" s="50"/>
      <c r="OZU350" s="50"/>
      <c r="OZV350" s="50"/>
      <c r="OZW350" s="50"/>
      <c r="OZX350" s="50"/>
      <c r="OZY350" s="50"/>
      <c r="OZZ350" s="50"/>
      <c r="PAA350" s="50"/>
      <c r="PAB350" s="50"/>
      <c r="PAC350" s="50"/>
      <c r="PAD350" s="50"/>
      <c r="PAE350" s="50"/>
      <c r="PAF350" s="50"/>
      <c r="PAG350" s="50"/>
      <c r="PAH350" s="50"/>
      <c r="PAI350" s="50"/>
      <c r="PAJ350" s="50"/>
      <c r="PAK350" s="50"/>
      <c r="PAL350" s="50"/>
      <c r="PAM350" s="50"/>
      <c r="PAN350" s="50"/>
      <c r="PAO350" s="50"/>
      <c r="PAP350" s="50"/>
      <c r="PAQ350" s="50"/>
      <c r="PAR350" s="50"/>
      <c r="PAS350" s="50"/>
      <c r="PAT350" s="50"/>
      <c r="PAU350" s="50"/>
      <c r="PAV350" s="50"/>
      <c r="PAW350" s="50"/>
      <c r="PAX350" s="50"/>
      <c r="PAY350" s="50"/>
      <c r="PAZ350" s="50"/>
      <c r="PBA350" s="50"/>
      <c r="PBB350" s="50"/>
      <c r="PBC350" s="50"/>
      <c r="PBD350" s="50"/>
      <c r="PBE350" s="50"/>
      <c r="PBF350" s="50"/>
      <c r="PBG350" s="50"/>
      <c r="PBH350" s="50"/>
      <c r="PBI350" s="50"/>
      <c r="PBJ350" s="50"/>
      <c r="PBK350" s="50"/>
      <c r="PBL350" s="50"/>
      <c r="PBM350" s="50"/>
      <c r="PBN350" s="50"/>
      <c r="PBO350" s="50"/>
      <c r="PBP350" s="50"/>
      <c r="PBQ350" s="50"/>
      <c r="PBR350" s="50"/>
      <c r="PBS350" s="50"/>
      <c r="PBT350" s="50"/>
      <c r="PBU350" s="50"/>
      <c r="PBV350" s="50"/>
      <c r="PBW350" s="50"/>
      <c r="PBX350" s="50"/>
      <c r="PBY350" s="50"/>
      <c r="PBZ350" s="50"/>
      <c r="PCA350" s="50"/>
      <c r="PCB350" s="50"/>
      <c r="PCC350" s="50"/>
      <c r="PCD350" s="50"/>
      <c r="PCE350" s="50"/>
      <c r="PCF350" s="50"/>
      <c r="PCG350" s="50"/>
      <c r="PCH350" s="50"/>
      <c r="PCI350" s="50"/>
      <c r="PCJ350" s="50"/>
      <c r="PCK350" s="50"/>
      <c r="PCL350" s="50"/>
      <c r="PCM350" s="50"/>
      <c r="PCN350" s="50"/>
      <c r="PCO350" s="50"/>
      <c r="PCP350" s="50"/>
      <c r="PCQ350" s="50"/>
      <c r="PCR350" s="50"/>
      <c r="PCS350" s="50"/>
      <c r="PCT350" s="50"/>
      <c r="PCU350" s="50"/>
      <c r="PCV350" s="50"/>
      <c r="PCW350" s="50"/>
      <c r="PCX350" s="50"/>
      <c r="PCY350" s="50"/>
      <c r="PCZ350" s="50"/>
      <c r="PDA350" s="50"/>
      <c r="PDB350" s="50"/>
      <c r="PDC350" s="50"/>
      <c r="PDD350" s="50"/>
      <c r="PDE350" s="50"/>
      <c r="PDF350" s="50"/>
      <c r="PDG350" s="50"/>
      <c r="PDH350" s="50"/>
      <c r="PDI350" s="50"/>
      <c r="PDJ350" s="50"/>
      <c r="PDK350" s="50"/>
      <c r="PDL350" s="50"/>
      <c r="PDM350" s="50"/>
      <c r="PDN350" s="50"/>
      <c r="PDO350" s="50"/>
      <c r="PDP350" s="50"/>
      <c r="PDQ350" s="50"/>
      <c r="PDR350" s="50"/>
      <c r="PDS350" s="50"/>
      <c r="PDT350" s="50"/>
      <c r="PDU350" s="50"/>
      <c r="PDV350" s="50"/>
      <c r="PDW350" s="50"/>
      <c r="PDX350" s="50"/>
      <c r="PDY350" s="50"/>
      <c r="PDZ350" s="50"/>
      <c r="PEA350" s="50"/>
      <c r="PEB350" s="50"/>
      <c r="PEC350" s="50"/>
      <c r="PED350" s="50"/>
      <c r="PEE350" s="50"/>
      <c r="PEF350" s="50"/>
      <c r="PEG350" s="50"/>
      <c r="PEH350" s="50"/>
      <c r="PEI350" s="50"/>
      <c r="PEJ350" s="50"/>
      <c r="PEK350" s="50"/>
      <c r="PEL350" s="50"/>
      <c r="PEM350" s="50"/>
      <c r="PEN350" s="50"/>
      <c r="PEO350" s="50"/>
      <c r="PEP350" s="50"/>
      <c r="PEQ350" s="50"/>
      <c r="PER350" s="50"/>
      <c r="PES350" s="50"/>
      <c r="PET350" s="50"/>
      <c r="PEU350" s="50"/>
      <c r="PEV350" s="50"/>
      <c r="PEW350" s="50"/>
      <c r="PEX350" s="50"/>
      <c r="PEY350" s="50"/>
      <c r="PEZ350" s="50"/>
      <c r="PFA350" s="50"/>
      <c r="PFB350" s="50"/>
      <c r="PFC350" s="50"/>
      <c r="PFD350" s="50"/>
      <c r="PFE350" s="50"/>
      <c r="PFF350" s="50"/>
      <c r="PFG350" s="50"/>
      <c r="PFH350" s="50"/>
      <c r="PFI350" s="50"/>
      <c r="PFJ350" s="50"/>
      <c r="PFK350" s="50"/>
      <c r="PFL350" s="50"/>
      <c r="PFM350" s="50"/>
      <c r="PFN350" s="50"/>
      <c r="PFO350" s="50"/>
      <c r="PFP350" s="50"/>
      <c r="PFQ350" s="50"/>
      <c r="PFR350" s="50"/>
      <c r="PFS350" s="50"/>
      <c r="PFT350" s="50"/>
      <c r="PFU350" s="50"/>
      <c r="PFV350" s="50"/>
      <c r="PFW350" s="50"/>
      <c r="PFX350" s="50"/>
      <c r="PFY350" s="50"/>
      <c r="PFZ350" s="50"/>
      <c r="PGA350" s="50"/>
      <c r="PGB350" s="50"/>
      <c r="PGC350" s="50"/>
      <c r="PGD350" s="50"/>
      <c r="PGE350" s="50"/>
      <c r="PGF350" s="50"/>
      <c r="PGG350" s="50"/>
      <c r="PGH350" s="50"/>
      <c r="PGI350" s="50"/>
      <c r="PGJ350" s="50"/>
      <c r="PGK350" s="50"/>
      <c r="PGL350" s="50"/>
      <c r="PGM350" s="50"/>
      <c r="PGN350" s="50"/>
      <c r="PGO350" s="50"/>
      <c r="PGP350" s="50"/>
      <c r="PGQ350" s="50"/>
      <c r="PGR350" s="50"/>
      <c r="PGS350" s="50"/>
      <c r="PGT350" s="50"/>
      <c r="PGU350" s="50"/>
      <c r="PGV350" s="50"/>
      <c r="PGW350" s="50"/>
      <c r="PGX350" s="50"/>
      <c r="PGY350" s="50"/>
      <c r="PGZ350" s="50"/>
      <c r="PHA350" s="50"/>
      <c r="PHB350" s="50"/>
      <c r="PHC350" s="50"/>
      <c r="PHD350" s="50"/>
      <c r="PHE350" s="50"/>
      <c r="PHF350" s="50"/>
      <c r="PHG350" s="50"/>
      <c r="PHH350" s="50"/>
      <c r="PHI350" s="50"/>
      <c r="PHJ350" s="50"/>
      <c r="PHK350" s="50"/>
      <c r="PHL350" s="50"/>
      <c r="PHM350" s="50"/>
      <c r="PHN350" s="50"/>
      <c r="PHO350" s="50"/>
      <c r="PHP350" s="50"/>
      <c r="PHQ350" s="50"/>
      <c r="PHR350" s="50"/>
      <c r="PHS350" s="50"/>
      <c r="PHT350" s="50"/>
      <c r="PHU350" s="50"/>
      <c r="PHV350" s="50"/>
      <c r="PHW350" s="50"/>
      <c r="PHX350" s="50"/>
      <c r="PHY350" s="50"/>
      <c r="PHZ350" s="50"/>
      <c r="PIA350" s="50"/>
      <c r="PIB350" s="50"/>
      <c r="PIC350" s="50"/>
      <c r="PID350" s="50"/>
      <c r="PIE350" s="50"/>
      <c r="PIF350" s="50"/>
      <c r="PIG350" s="50"/>
      <c r="PIH350" s="50"/>
      <c r="PII350" s="50"/>
      <c r="PIJ350" s="50"/>
      <c r="PIK350" s="50"/>
      <c r="PIL350" s="50"/>
      <c r="PIM350" s="50"/>
      <c r="PIN350" s="50"/>
      <c r="PIO350" s="50"/>
      <c r="PIP350" s="50"/>
      <c r="PIQ350" s="50"/>
      <c r="PIR350" s="50"/>
      <c r="PIS350" s="50"/>
      <c r="PIT350" s="50"/>
      <c r="PIU350" s="50"/>
      <c r="PIV350" s="50"/>
      <c r="PIW350" s="50"/>
      <c r="PIX350" s="50"/>
      <c r="PIY350" s="50"/>
      <c r="PIZ350" s="50"/>
      <c r="PJA350" s="50"/>
      <c r="PJB350" s="50"/>
      <c r="PJC350" s="50"/>
      <c r="PJD350" s="50"/>
      <c r="PJE350" s="50"/>
      <c r="PJF350" s="50"/>
      <c r="PJG350" s="50"/>
      <c r="PJH350" s="50"/>
      <c r="PJI350" s="50"/>
      <c r="PJJ350" s="50"/>
      <c r="PJK350" s="50"/>
      <c r="PJL350" s="50"/>
      <c r="PJM350" s="50"/>
      <c r="PJN350" s="50"/>
      <c r="PJO350" s="50"/>
      <c r="PJP350" s="50"/>
      <c r="PJQ350" s="50"/>
      <c r="PJR350" s="50"/>
      <c r="PJS350" s="50"/>
      <c r="PJT350" s="50"/>
      <c r="PJU350" s="50"/>
      <c r="PJV350" s="50"/>
      <c r="PJW350" s="50"/>
      <c r="PJX350" s="50"/>
      <c r="PJY350" s="50"/>
      <c r="PJZ350" s="50"/>
      <c r="PKA350" s="50"/>
      <c r="PKB350" s="50"/>
      <c r="PKC350" s="50"/>
      <c r="PKD350" s="50"/>
      <c r="PKE350" s="50"/>
      <c r="PKF350" s="50"/>
      <c r="PKG350" s="50"/>
      <c r="PKH350" s="50"/>
      <c r="PKI350" s="50"/>
      <c r="PKJ350" s="50"/>
      <c r="PKK350" s="50"/>
      <c r="PKL350" s="50"/>
      <c r="PKM350" s="50"/>
      <c r="PKN350" s="50"/>
      <c r="PKO350" s="50"/>
      <c r="PKP350" s="50"/>
      <c r="PKQ350" s="50"/>
      <c r="PKR350" s="50"/>
      <c r="PKS350" s="50"/>
      <c r="PKT350" s="50"/>
      <c r="PKU350" s="50"/>
      <c r="PKV350" s="50"/>
      <c r="PKW350" s="50"/>
      <c r="PKX350" s="50"/>
      <c r="PKY350" s="50"/>
      <c r="PKZ350" s="50"/>
      <c r="PLA350" s="50"/>
      <c r="PLB350" s="50"/>
      <c r="PLC350" s="50"/>
      <c r="PLD350" s="50"/>
      <c r="PLE350" s="50"/>
      <c r="PLF350" s="50"/>
      <c r="PLG350" s="50"/>
      <c r="PLH350" s="50"/>
      <c r="PLI350" s="50"/>
      <c r="PLJ350" s="50"/>
      <c r="PLK350" s="50"/>
      <c r="PLL350" s="50"/>
      <c r="PLM350" s="50"/>
      <c r="PLN350" s="50"/>
      <c r="PLO350" s="50"/>
      <c r="PLP350" s="50"/>
      <c r="PLQ350" s="50"/>
      <c r="PLR350" s="50"/>
      <c r="PLS350" s="50"/>
      <c r="PLT350" s="50"/>
      <c r="PLU350" s="50"/>
      <c r="PLV350" s="50"/>
      <c r="PLW350" s="50"/>
      <c r="PLX350" s="50"/>
      <c r="PLY350" s="50"/>
      <c r="PLZ350" s="50"/>
      <c r="PMA350" s="50"/>
      <c r="PMB350" s="50"/>
      <c r="PMC350" s="50"/>
      <c r="PMD350" s="50"/>
      <c r="PME350" s="50"/>
      <c r="PMF350" s="50"/>
      <c r="PMG350" s="50"/>
      <c r="PMH350" s="50"/>
      <c r="PMI350" s="50"/>
      <c r="PMJ350" s="50"/>
      <c r="PMK350" s="50"/>
      <c r="PML350" s="50"/>
      <c r="PMM350" s="50"/>
      <c r="PMN350" s="50"/>
      <c r="PMO350" s="50"/>
      <c r="PMP350" s="50"/>
      <c r="PMQ350" s="50"/>
      <c r="PMR350" s="50"/>
      <c r="PMS350" s="50"/>
      <c r="PMT350" s="50"/>
      <c r="PMU350" s="50"/>
      <c r="PMV350" s="50"/>
      <c r="PMW350" s="50"/>
      <c r="PMX350" s="50"/>
      <c r="PMY350" s="50"/>
      <c r="PMZ350" s="50"/>
      <c r="PNA350" s="50"/>
      <c r="PNB350" s="50"/>
      <c r="PNC350" s="50"/>
      <c r="PND350" s="50"/>
      <c r="PNE350" s="50"/>
      <c r="PNF350" s="50"/>
      <c r="PNG350" s="50"/>
      <c r="PNH350" s="50"/>
      <c r="PNI350" s="50"/>
      <c r="PNJ350" s="50"/>
      <c r="PNK350" s="50"/>
      <c r="PNL350" s="50"/>
      <c r="PNM350" s="50"/>
      <c r="PNN350" s="50"/>
      <c r="PNO350" s="50"/>
      <c r="PNP350" s="50"/>
      <c r="PNQ350" s="50"/>
      <c r="PNR350" s="50"/>
      <c r="PNS350" s="50"/>
      <c r="PNT350" s="50"/>
      <c r="PNU350" s="50"/>
      <c r="PNV350" s="50"/>
      <c r="PNW350" s="50"/>
      <c r="PNX350" s="50"/>
      <c r="PNY350" s="50"/>
      <c r="PNZ350" s="50"/>
      <c r="POA350" s="50"/>
      <c r="POB350" s="50"/>
      <c r="POC350" s="50"/>
      <c r="POD350" s="50"/>
      <c r="POE350" s="50"/>
      <c r="POF350" s="50"/>
      <c r="POG350" s="50"/>
      <c r="POH350" s="50"/>
      <c r="POI350" s="50"/>
      <c r="POJ350" s="50"/>
      <c r="POK350" s="50"/>
      <c r="POL350" s="50"/>
      <c r="POM350" s="50"/>
      <c r="PON350" s="50"/>
      <c r="POO350" s="50"/>
      <c r="POP350" s="50"/>
      <c r="POQ350" s="50"/>
      <c r="POR350" s="50"/>
      <c r="POS350" s="50"/>
      <c r="POT350" s="50"/>
      <c r="POU350" s="50"/>
      <c r="POV350" s="50"/>
      <c r="POW350" s="50"/>
      <c r="POX350" s="50"/>
      <c r="POY350" s="50"/>
      <c r="POZ350" s="50"/>
      <c r="PPA350" s="50"/>
      <c r="PPB350" s="50"/>
      <c r="PPC350" s="50"/>
      <c r="PPD350" s="50"/>
      <c r="PPE350" s="50"/>
      <c r="PPF350" s="50"/>
      <c r="PPG350" s="50"/>
      <c r="PPH350" s="50"/>
      <c r="PPI350" s="50"/>
      <c r="PPJ350" s="50"/>
      <c r="PPK350" s="50"/>
      <c r="PPL350" s="50"/>
      <c r="PPM350" s="50"/>
      <c r="PPN350" s="50"/>
      <c r="PPO350" s="50"/>
      <c r="PPP350" s="50"/>
      <c r="PPQ350" s="50"/>
      <c r="PPR350" s="50"/>
      <c r="PPS350" s="50"/>
      <c r="PPT350" s="50"/>
      <c r="PPU350" s="50"/>
      <c r="PPV350" s="50"/>
      <c r="PPW350" s="50"/>
      <c r="PPX350" s="50"/>
      <c r="PPY350" s="50"/>
      <c r="PPZ350" s="50"/>
      <c r="PQA350" s="50"/>
      <c r="PQB350" s="50"/>
      <c r="PQC350" s="50"/>
      <c r="PQD350" s="50"/>
      <c r="PQE350" s="50"/>
      <c r="PQF350" s="50"/>
      <c r="PQG350" s="50"/>
      <c r="PQH350" s="50"/>
      <c r="PQI350" s="50"/>
      <c r="PQJ350" s="50"/>
      <c r="PQK350" s="50"/>
      <c r="PQL350" s="50"/>
      <c r="PQM350" s="50"/>
      <c r="PQN350" s="50"/>
      <c r="PQO350" s="50"/>
      <c r="PQP350" s="50"/>
      <c r="PQQ350" s="50"/>
      <c r="PQR350" s="50"/>
      <c r="PQS350" s="50"/>
      <c r="PQT350" s="50"/>
      <c r="PQU350" s="50"/>
      <c r="PQV350" s="50"/>
      <c r="PQW350" s="50"/>
      <c r="PQX350" s="50"/>
      <c r="PQY350" s="50"/>
      <c r="PQZ350" s="50"/>
      <c r="PRA350" s="50"/>
      <c r="PRB350" s="50"/>
      <c r="PRC350" s="50"/>
      <c r="PRD350" s="50"/>
      <c r="PRE350" s="50"/>
      <c r="PRF350" s="50"/>
      <c r="PRG350" s="50"/>
      <c r="PRH350" s="50"/>
      <c r="PRI350" s="50"/>
      <c r="PRJ350" s="50"/>
      <c r="PRK350" s="50"/>
      <c r="PRL350" s="50"/>
      <c r="PRM350" s="50"/>
      <c r="PRN350" s="50"/>
      <c r="PRO350" s="50"/>
      <c r="PRP350" s="50"/>
      <c r="PRQ350" s="50"/>
      <c r="PRR350" s="50"/>
      <c r="PRS350" s="50"/>
      <c r="PRT350" s="50"/>
      <c r="PRU350" s="50"/>
      <c r="PRV350" s="50"/>
      <c r="PRW350" s="50"/>
      <c r="PRX350" s="50"/>
      <c r="PRY350" s="50"/>
      <c r="PRZ350" s="50"/>
      <c r="PSA350" s="50"/>
      <c r="PSB350" s="50"/>
      <c r="PSC350" s="50"/>
      <c r="PSD350" s="50"/>
      <c r="PSE350" s="50"/>
      <c r="PSF350" s="50"/>
      <c r="PSG350" s="50"/>
      <c r="PSH350" s="50"/>
      <c r="PSI350" s="50"/>
      <c r="PSJ350" s="50"/>
      <c r="PSK350" s="50"/>
      <c r="PSL350" s="50"/>
      <c r="PSM350" s="50"/>
      <c r="PSN350" s="50"/>
      <c r="PSO350" s="50"/>
      <c r="PSP350" s="50"/>
      <c r="PSQ350" s="50"/>
      <c r="PSR350" s="50"/>
      <c r="PSS350" s="50"/>
      <c r="PST350" s="50"/>
      <c r="PSU350" s="50"/>
      <c r="PSV350" s="50"/>
      <c r="PSW350" s="50"/>
      <c r="PSX350" s="50"/>
      <c r="PSY350" s="50"/>
      <c r="PSZ350" s="50"/>
      <c r="PTA350" s="50"/>
      <c r="PTB350" s="50"/>
      <c r="PTC350" s="50"/>
      <c r="PTD350" s="50"/>
      <c r="PTE350" s="50"/>
      <c r="PTF350" s="50"/>
      <c r="PTG350" s="50"/>
      <c r="PTH350" s="50"/>
      <c r="PTI350" s="50"/>
      <c r="PTJ350" s="50"/>
      <c r="PTK350" s="50"/>
      <c r="PTL350" s="50"/>
      <c r="PTM350" s="50"/>
      <c r="PTN350" s="50"/>
      <c r="PTO350" s="50"/>
      <c r="PTP350" s="50"/>
      <c r="PTQ350" s="50"/>
      <c r="PTR350" s="50"/>
      <c r="PTS350" s="50"/>
      <c r="PTT350" s="50"/>
      <c r="PTU350" s="50"/>
      <c r="PTV350" s="50"/>
      <c r="PTW350" s="50"/>
      <c r="PTX350" s="50"/>
      <c r="PTY350" s="50"/>
      <c r="PTZ350" s="50"/>
      <c r="PUA350" s="50"/>
      <c r="PUB350" s="50"/>
      <c r="PUC350" s="50"/>
      <c r="PUD350" s="50"/>
      <c r="PUE350" s="50"/>
      <c r="PUF350" s="50"/>
      <c r="PUG350" s="50"/>
      <c r="PUH350" s="50"/>
      <c r="PUI350" s="50"/>
      <c r="PUJ350" s="50"/>
      <c r="PUK350" s="50"/>
      <c r="PUL350" s="50"/>
      <c r="PUM350" s="50"/>
      <c r="PUN350" s="50"/>
      <c r="PUO350" s="50"/>
      <c r="PUP350" s="50"/>
      <c r="PUQ350" s="50"/>
      <c r="PUR350" s="50"/>
      <c r="PUS350" s="50"/>
      <c r="PUT350" s="50"/>
      <c r="PUU350" s="50"/>
      <c r="PUV350" s="50"/>
      <c r="PUW350" s="50"/>
      <c r="PUX350" s="50"/>
      <c r="PUY350" s="50"/>
      <c r="PUZ350" s="50"/>
      <c r="PVA350" s="50"/>
      <c r="PVB350" s="50"/>
      <c r="PVC350" s="50"/>
      <c r="PVD350" s="50"/>
      <c r="PVE350" s="50"/>
      <c r="PVF350" s="50"/>
      <c r="PVG350" s="50"/>
      <c r="PVH350" s="50"/>
      <c r="PVI350" s="50"/>
      <c r="PVJ350" s="50"/>
      <c r="PVK350" s="50"/>
      <c r="PVL350" s="50"/>
      <c r="PVM350" s="50"/>
      <c r="PVN350" s="50"/>
      <c r="PVO350" s="50"/>
      <c r="PVP350" s="50"/>
      <c r="PVQ350" s="50"/>
      <c r="PVR350" s="50"/>
      <c r="PVS350" s="50"/>
      <c r="PVT350" s="50"/>
      <c r="PVU350" s="50"/>
      <c r="PVV350" s="50"/>
      <c r="PVW350" s="50"/>
      <c r="PVX350" s="50"/>
      <c r="PVY350" s="50"/>
      <c r="PVZ350" s="50"/>
      <c r="PWA350" s="50"/>
      <c r="PWB350" s="50"/>
      <c r="PWC350" s="50"/>
      <c r="PWD350" s="50"/>
      <c r="PWE350" s="50"/>
      <c r="PWF350" s="50"/>
      <c r="PWG350" s="50"/>
      <c r="PWH350" s="50"/>
      <c r="PWI350" s="50"/>
      <c r="PWJ350" s="50"/>
      <c r="PWK350" s="50"/>
      <c r="PWL350" s="50"/>
      <c r="PWM350" s="50"/>
      <c r="PWN350" s="50"/>
      <c r="PWO350" s="50"/>
      <c r="PWP350" s="50"/>
      <c r="PWQ350" s="50"/>
      <c r="PWR350" s="50"/>
      <c r="PWS350" s="50"/>
      <c r="PWT350" s="50"/>
      <c r="PWU350" s="50"/>
      <c r="PWV350" s="50"/>
      <c r="PWW350" s="50"/>
      <c r="PWX350" s="50"/>
      <c r="PWY350" s="50"/>
      <c r="PWZ350" s="50"/>
      <c r="PXA350" s="50"/>
      <c r="PXB350" s="50"/>
      <c r="PXC350" s="50"/>
      <c r="PXD350" s="50"/>
      <c r="PXE350" s="50"/>
      <c r="PXF350" s="50"/>
      <c r="PXG350" s="50"/>
      <c r="PXH350" s="50"/>
      <c r="PXI350" s="50"/>
      <c r="PXJ350" s="50"/>
      <c r="PXK350" s="50"/>
      <c r="PXL350" s="50"/>
      <c r="PXM350" s="50"/>
      <c r="PXN350" s="50"/>
      <c r="PXO350" s="50"/>
      <c r="PXP350" s="50"/>
      <c r="PXQ350" s="50"/>
      <c r="PXR350" s="50"/>
      <c r="PXS350" s="50"/>
      <c r="PXT350" s="50"/>
      <c r="PXU350" s="50"/>
      <c r="PXV350" s="50"/>
      <c r="PXW350" s="50"/>
      <c r="PXX350" s="50"/>
      <c r="PXY350" s="50"/>
      <c r="PXZ350" s="50"/>
      <c r="PYA350" s="50"/>
      <c r="PYB350" s="50"/>
      <c r="PYC350" s="50"/>
      <c r="PYD350" s="50"/>
      <c r="PYE350" s="50"/>
      <c r="PYF350" s="50"/>
      <c r="PYG350" s="50"/>
      <c r="PYH350" s="50"/>
      <c r="PYI350" s="50"/>
      <c r="PYJ350" s="50"/>
      <c r="PYK350" s="50"/>
      <c r="PYL350" s="50"/>
      <c r="PYM350" s="50"/>
      <c r="PYN350" s="50"/>
      <c r="PYO350" s="50"/>
      <c r="PYP350" s="50"/>
      <c r="PYQ350" s="50"/>
      <c r="PYR350" s="50"/>
      <c r="PYS350" s="50"/>
      <c r="PYT350" s="50"/>
      <c r="PYU350" s="50"/>
      <c r="PYV350" s="50"/>
      <c r="PYW350" s="50"/>
      <c r="PYX350" s="50"/>
      <c r="PYY350" s="50"/>
      <c r="PYZ350" s="50"/>
      <c r="PZA350" s="50"/>
      <c r="PZB350" s="50"/>
      <c r="PZC350" s="50"/>
      <c r="PZD350" s="50"/>
      <c r="PZE350" s="50"/>
      <c r="PZF350" s="50"/>
      <c r="PZG350" s="50"/>
      <c r="PZH350" s="50"/>
      <c r="PZI350" s="50"/>
      <c r="PZJ350" s="50"/>
      <c r="PZK350" s="50"/>
      <c r="PZL350" s="50"/>
      <c r="PZM350" s="50"/>
      <c r="PZN350" s="50"/>
      <c r="PZO350" s="50"/>
      <c r="PZP350" s="50"/>
      <c r="PZQ350" s="50"/>
      <c r="PZR350" s="50"/>
      <c r="PZS350" s="50"/>
      <c r="PZT350" s="50"/>
      <c r="PZU350" s="50"/>
      <c r="PZV350" s="50"/>
      <c r="PZW350" s="50"/>
      <c r="PZX350" s="50"/>
      <c r="PZY350" s="50"/>
      <c r="PZZ350" s="50"/>
      <c r="QAA350" s="50"/>
      <c r="QAB350" s="50"/>
      <c r="QAC350" s="50"/>
      <c r="QAD350" s="50"/>
      <c r="QAE350" s="50"/>
      <c r="QAF350" s="50"/>
      <c r="QAG350" s="50"/>
      <c r="QAH350" s="50"/>
      <c r="QAI350" s="50"/>
      <c r="QAJ350" s="50"/>
      <c r="QAK350" s="50"/>
      <c r="QAL350" s="50"/>
      <c r="QAM350" s="50"/>
      <c r="QAN350" s="50"/>
      <c r="QAO350" s="50"/>
      <c r="QAP350" s="50"/>
      <c r="QAQ350" s="50"/>
      <c r="QAR350" s="50"/>
      <c r="QAS350" s="50"/>
      <c r="QAT350" s="50"/>
      <c r="QAU350" s="50"/>
      <c r="QAV350" s="50"/>
      <c r="QAW350" s="50"/>
      <c r="QAX350" s="50"/>
      <c r="QAY350" s="50"/>
      <c r="QAZ350" s="50"/>
      <c r="QBA350" s="50"/>
      <c r="QBB350" s="50"/>
      <c r="QBC350" s="50"/>
      <c r="QBD350" s="50"/>
      <c r="QBE350" s="50"/>
      <c r="QBF350" s="50"/>
      <c r="QBG350" s="50"/>
      <c r="QBH350" s="50"/>
      <c r="QBI350" s="50"/>
      <c r="QBJ350" s="50"/>
      <c r="QBK350" s="50"/>
      <c r="QBL350" s="50"/>
      <c r="QBM350" s="50"/>
      <c r="QBN350" s="50"/>
      <c r="QBO350" s="50"/>
      <c r="QBP350" s="50"/>
      <c r="QBQ350" s="50"/>
      <c r="QBR350" s="50"/>
      <c r="QBS350" s="50"/>
      <c r="QBT350" s="50"/>
      <c r="QBU350" s="50"/>
      <c r="QBV350" s="50"/>
      <c r="QBW350" s="50"/>
      <c r="QBX350" s="50"/>
      <c r="QBY350" s="50"/>
      <c r="QBZ350" s="50"/>
      <c r="QCA350" s="50"/>
      <c r="QCB350" s="50"/>
      <c r="QCC350" s="50"/>
      <c r="QCD350" s="50"/>
      <c r="QCE350" s="50"/>
      <c r="QCF350" s="50"/>
      <c r="QCG350" s="50"/>
      <c r="QCH350" s="50"/>
      <c r="QCI350" s="50"/>
      <c r="QCJ350" s="50"/>
      <c r="QCK350" s="50"/>
      <c r="QCL350" s="50"/>
      <c r="QCM350" s="50"/>
      <c r="QCN350" s="50"/>
      <c r="QCO350" s="50"/>
      <c r="QCP350" s="50"/>
      <c r="QCQ350" s="50"/>
      <c r="QCR350" s="50"/>
      <c r="QCS350" s="50"/>
      <c r="QCT350" s="50"/>
      <c r="QCU350" s="50"/>
      <c r="QCV350" s="50"/>
      <c r="QCW350" s="50"/>
      <c r="QCX350" s="50"/>
      <c r="QCY350" s="50"/>
      <c r="QCZ350" s="50"/>
      <c r="QDA350" s="50"/>
      <c r="QDB350" s="50"/>
      <c r="QDC350" s="50"/>
      <c r="QDD350" s="50"/>
      <c r="QDE350" s="50"/>
      <c r="QDF350" s="50"/>
      <c r="QDG350" s="50"/>
      <c r="QDH350" s="50"/>
      <c r="QDI350" s="50"/>
      <c r="QDJ350" s="50"/>
      <c r="QDK350" s="50"/>
      <c r="QDL350" s="50"/>
      <c r="QDM350" s="50"/>
      <c r="QDN350" s="50"/>
      <c r="QDO350" s="50"/>
      <c r="QDP350" s="50"/>
      <c r="QDQ350" s="50"/>
      <c r="QDR350" s="50"/>
      <c r="QDS350" s="50"/>
      <c r="QDT350" s="50"/>
      <c r="QDU350" s="50"/>
      <c r="QDV350" s="50"/>
      <c r="QDW350" s="50"/>
      <c r="QDX350" s="50"/>
      <c r="QDY350" s="50"/>
      <c r="QDZ350" s="50"/>
      <c r="QEA350" s="50"/>
      <c r="QEB350" s="50"/>
      <c r="QEC350" s="50"/>
      <c r="QED350" s="50"/>
      <c r="QEE350" s="50"/>
      <c r="QEF350" s="50"/>
      <c r="QEG350" s="50"/>
      <c r="QEH350" s="50"/>
      <c r="QEI350" s="50"/>
      <c r="QEJ350" s="50"/>
      <c r="QEK350" s="50"/>
      <c r="QEL350" s="50"/>
      <c r="QEM350" s="50"/>
      <c r="QEN350" s="50"/>
      <c r="QEO350" s="50"/>
      <c r="QEP350" s="50"/>
      <c r="QEQ350" s="50"/>
      <c r="QER350" s="50"/>
      <c r="QES350" s="50"/>
      <c r="QET350" s="50"/>
      <c r="QEU350" s="50"/>
      <c r="QEV350" s="50"/>
      <c r="QEW350" s="50"/>
      <c r="QEX350" s="50"/>
      <c r="QEY350" s="50"/>
      <c r="QEZ350" s="50"/>
      <c r="QFA350" s="50"/>
      <c r="QFB350" s="50"/>
      <c r="QFC350" s="50"/>
      <c r="QFD350" s="50"/>
      <c r="QFE350" s="50"/>
      <c r="QFF350" s="50"/>
      <c r="QFG350" s="50"/>
      <c r="QFH350" s="50"/>
      <c r="QFI350" s="50"/>
      <c r="QFJ350" s="50"/>
      <c r="QFK350" s="50"/>
      <c r="QFL350" s="50"/>
      <c r="QFM350" s="50"/>
      <c r="QFN350" s="50"/>
      <c r="QFO350" s="50"/>
      <c r="QFP350" s="50"/>
      <c r="QFQ350" s="50"/>
      <c r="QFR350" s="50"/>
      <c r="QFS350" s="50"/>
      <c r="QFT350" s="50"/>
      <c r="QFU350" s="50"/>
      <c r="QFV350" s="50"/>
      <c r="QFW350" s="50"/>
      <c r="QFX350" s="50"/>
      <c r="QFY350" s="50"/>
      <c r="QFZ350" s="50"/>
      <c r="QGA350" s="50"/>
      <c r="QGB350" s="50"/>
      <c r="QGC350" s="50"/>
      <c r="QGD350" s="50"/>
      <c r="QGE350" s="50"/>
      <c r="QGF350" s="50"/>
      <c r="QGG350" s="50"/>
      <c r="QGH350" s="50"/>
      <c r="QGI350" s="50"/>
      <c r="QGJ350" s="50"/>
      <c r="QGK350" s="50"/>
      <c r="QGL350" s="50"/>
      <c r="QGM350" s="50"/>
      <c r="QGN350" s="50"/>
      <c r="QGO350" s="50"/>
      <c r="QGP350" s="50"/>
      <c r="QGQ350" s="50"/>
      <c r="QGR350" s="50"/>
      <c r="QGS350" s="50"/>
      <c r="QGT350" s="50"/>
      <c r="QGU350" s="50"/>
      <c r="QGV350" s="50"/>
      <c r="QGW350" s="50"/>
      <c r="QGX350" s="50"/>
      <c r="QGY350" s="50"/>
      <c r="QGZ350" s="50"/>
      <c r="QHA350" s="50"/>
      <c r="QHB350" s="50"/>
      <c r="QHC350" s="50"/>
      <c r="QHD350" s="50"/>
      <c r="QHE350" s="50"/>
      <c r="QHF350" s="50"/>
      <c r="QHG350" s="50"/>
      <c r="QHH350" s="50"/>
      <c r="QHI350" s="50"/>
      <c r="QHJ350" s="50"/>
      <c r="QHK350" s="50"/>
      <c r="QHL350" s="50"/>
      <c r="QHM350" s="50"/>
      <c r="QHN350" s="50"/>
      <c r="QHO350" s="50"/>
      <c r="QHP350" s="50"/>
      <c r="QHQ350" s="50"/>
      <c r="QHR350" s="50"/>
      <c r="QHS350" s="50"/>
      <c r="QHT350" s="50"/>
      <c r="QHU350" s="50"/>
      <c r="QHV350" s="50"/>
      <c r="QHW350" s="50"/>
      <c r="QHX350" s="50"/>
      <c r="QHY350" s="50"/>
      <c r="QHZ350" s="50"/>
      <c r="QIA350" s="50"/>
      <c r="QIB350" s="50"/>
      <c r="QIC350" s="50"/>
      <c r="QID350" s="50"/>
      <c r="QIE350" s="50"/>
      <c r="QIF350" s="50"/>
      <c r="QIG350" s="50"/>
      <c r="QIH350" s="50"/>
      <c r="QII350" s="50"/>
      <c r="QIJ350" s="50"/>
      <c r="QIK350" s="50"/>
      <c r="QIL350" s="50"/>
      <c r="QIM350" s="50"/>
      <c r="QIN350" s="50"/>
      <c r="QIO350" s="50"/>
      <c r="QIP350" s="50"/>
      <c r="QIQ350" s="50"/>
      <c r="QIR350" s="50"/>
      <c r="QIS350" s="50"/>
      <c r="QIT350" s="50"/>
      <c r="QIU350" s="50"/>
      <c r="QIV350" s="50"/>
      <c r="QIW350" s="50"/>
      <c r="QIX350" s="50"/>
      <c r="QIY350" s="50"/>
      <c r="QIZ350" s="50"/>
      <c r="QJA350" s="50"/>
      <c r="QJB350" s="50"/>
      <c r="QJC350" s="50"/>
      <c r="QJD350" s="50"/>
      <c r="QJE350" s="50"/>
      <c r="QJF350" s="50"/>
      <c r="QJG350" s="50"/>
      <c r="QJH350" s="50"/>
      <c r="QJI350" s="50"/>
      <c r="QJJ350" s="50"/>
      <c r="QJK350" s="50"/>
      <c r="QJL350" s="50"/>
      <c r="QJM350" s="50"/>
      <c r="QJN350" s="50"/>
      <c r="QJO350" s="50"/>
      <c r="QJP350" s="50"/>
      <c r="QJQ350" s="50"/>
      <c r="QJR350" s="50"/>
      <c r="QJS350" s="50"/>
      <c r="QJT350" s="50"/>
      <c r="QJU350" s="50"/>
      <c r="QJV350" s="50"/>
      <c r="QJW350" s="50"/>
      <c r="QJX350" s="50"/>
      <c r="QJY350" s="50"/>
      <c r="QJZ350" s="50"/>
      <c r="QKA350" s="50"/>
      <c r="QKB350" s="50"/>
      <c r="QKC350" s="50"/>
      <c r="QKD350" s="50"/>
      <c r="QKE350" s="50"/>
      <c r="QKF350" s="50"/>
      <c r="QKG350" s="50"/>
      <c r="QKH350" s="50"/>
      <c r="QKI350" s="50"/>
      <c r="QKJ350" s="50"/>
      <c r="QKK350" s="50"/>
      <c r="QKL350" s="50"/>
      <c r="QKM350" s="50"/>
      <c r="QKN350" s="50"/>
      <c r="QKO350" s="50"/>
      <c r="QKP350" s="50"/>
      <c r="QKQ350" s="50"/>
      <c r="QKR350" s="50"/>
      <c r="QKS350" s="50"/>
      <c r="QKT350" s="50"/>
      <c r="QKU350" s="50"/>
      <c r="QKV350" s="50"/>
      <c r="QKW350" s="50"/>
      <c r="QKX350" s="50"/>
      <c r="QKY350" s="50"/>
      <c r="QKZ350" s="50"/>
      <c r="QLA350" s="50"/>
      <c r="QLB350" s="50"/>
      <c r="QLC350" s="50"/>
      <c r="QLD350" s="50"/>
      <c r="QLE350" s="50"/>
      <c r="QLF350" s="50"/>
      <c r="QLG350" s="50"/>
      <c r="QLH350" s="50"/>
      <c r="QLI350" s="50"/>
      <c r="QLJ350" s="50"/>
      <c r="QLK350" s="50"/>
      <c r="QLL350" s="50"/>
      <c r="QLM350" s="50"/>
      <c r="QLN350" s="50"/>
      <c r="QLO350" s="50"/>
      <c r="QLP350" s="50"/>
      <c r="QLQ350" s="50"/>
      <c r="QLR350" s="50"/>
      <c r="QLS350" s="50"/>
      <c r="QLT350" s="50"/>
      <c r="QLU350" s="50"/>
      <c r="QLV350" s="50"/>
      <c r="QLW350" s="50"/>
      <c r="QLX350" s="50"/>
      <c r="QLY350" s="50"/>
      <c r="QLZ350" s="50"/>
      <c r="QMA350" s="50"/>
      <c r="QMB350" s="50"/>
      <c r="QMC350" s="50"/>
      <c r="QMD350" s="50"/>
      <c r="QME350" s="50"/>
      <c r="QMF350" s="50"/>
      <c r="QMG350" s="50"/>
      <c r="QMH350" s="50"/>
      <c r="QMI350" s="50"/>
      <c r="QMJ350" s="50"/>
      <c r="QMK350" s="50"/>
      <c r="QML350" s="50"/>
      <c r="QMM350" s="50"/>
      <c r="QMN350" s="50"/>
      <c r="QMO350" s="50"/>
      <c r="QMP350" s="50"/>
      <c r="QMQ350" s="50"/>
      <c r="QMR350" s="50"/>
      <c r="QMS350" s="50"/>
      <c r="QMT350" s="50"/>
      <c r="QMU350" s="50"/>
      <c r="QMV350" s="50"/>
      <c r="QMW350" s="50"/>
      <c r="QMX350" s="50"/>
      <c r="QMY350" s="50"/>
      <c r="QMZ350" s="50"/>
      <c r="QNA350" s="50"/>
      <c r="QNB350" s="50"/>
      <c r="QNC350" s="50"/>
      <c r="QND350" s="50"/>
      <c r="QNE350" s="50"/>
      <c r="QNF350" s="50"/>
      <c r="QNG350" s="50"/>
      <c r="QNH350" s="50"/>
      <c r="QNI350" s="50"/>
      <c r="QNJ350" s="50"/>
      <c r="QNK350" s="50"/>
      <c r="QNL350" s="50"/>
      <c r="QNM350" s="50"/>
      <c r="QNN350" s="50"/>
      <c r="QNO350" s="50"/>
      <c r="QNP350" s="50"/>
      <c r="QNQ350" s="50"/>
      <c r="QNR350" s="50"/>
      <c r="QNS350" s="50"/>
      <c r="QNT350" s="50"/>
      <c r="QNU350" s="50"/>
      <c r="QNV350" s="50"/>
      <c r="QNW350" s="50"/>
      <c r="QNX350" s="50"/>
      <c r="QNY350" s="50"/>
      <c r="QNZ350" s="50"/>
      <c r="QOA350" s="50"/>
      <c r="QOB350" s="50"/>
      <c r="QOC350" s="50"/>
      <c r="QOD350" s="50"/>
      <c r="QOE350" s="50"/>
      <c r="QOF350" s="50"/>
      <c r="QOG350" s="50"/>
      <c r="QOH350" s="50"/>
      <c r="QOI350" s="50"/>
      <c r="QOJ350" s="50"/>
      <c r="QOK350" s="50"/>
      <c r="QOL350" s="50"/>
      <c r="QOM350" s="50"/>
      <c r="QON350" s="50"/>
      <c r="QOO350" s="50"/>
      <c r="QOP350" s="50"/>
      <c r="QOQ350" s="50"/>
      <c r="QOR350" s="50"/>
      <c r="QOS350" s="50"/>
      <c r="QOT350" s="50"/>
      <c r="QOU350" s="50"/>
      <c r="QOV350" s="50"/>
      <c r="QOW350" s="50"/>
      <c r="QOX350" s="50"/>
      <c r="QOY350" s="50"/>
      <c r="QOZ350" s="50"/>
      <c r="QPA350" s="50"/>
      <c r="QPB350" s="50"/>
      <c r="QPC350" s="50"/>
      <c r="QPD350" s="50"/>
      <c r="QPE350" s="50"/>
      <c r="QPF350" s="50"/>
      <c r="QPG350" s="50"/>
      <c r="QPH350" s="50"/>
      <c r="QPI350" s="50"/>
      <c r="QPJ350" s="50"/>
      <c r="QPK350" s="50"/>
      <c r="QPL350" s="50"/>
      <c r="QPM350" s="50"/>
      <c r="QPN350" s="50"/>
      <c r="QPO350" s="50"/>
      <c r="QPP350" s="50"/>
      <c r="QPQ350" s="50"/>
      <c r="QPR350" s="50"/>
      <c r="QPS350" s="50"/>
      <c r="QPT350" s="50"/>
      <c r="QPU350" s="50"/>
      <c r="QPV350" s="50"/>
      <c r="QPW350" s="50"/>
      <c r="QPX350" s="50"/>
      <c r="QPY350" s="50"/>
      <c r="QPZ350" s="50"/>
      <c r="QQA350" s="50"/>
      <c r="QQB350" s="50"/>
      <c r="QQC350" s="50"/>
      <c r="QQD350" s="50"/>
      <c r="QQE350" s="50"/>
      <c r="QQF350" s="50"/>
      <c r="QQG350" s="50"/>
      <c r="QQH350" s="50"/>
      <c r="QQI350" s="50"/>
      <c r="QQJ350" s="50"/>
      <c r="QQK350" s="50"/>
      <c r="QQL350" s="50"/>
      <c r="QQM350" s="50"/>
      <c r="QQN350" s="50"/>
      <c r="QQO350" s="50"/>
      <c r="QQP350" s="50"/>
      <c r="QQQ350" s="50"/>
      <c r="QQR350" s="50"/>
      <c r="QQS350" s="50"/>
      <c r="QQT350" s="50"/>
      <c r="QQU350" s="50"/>
      <c r="QQV350" s="50"/>
      <c r="QQW350" s="50"/>
      <c r="QQX350" s="50"/>
      <c r="QQY350" s="50"/>
      <c r="QQZ350" s="50"/>
      <c r="QRA350" s="50"/>
      <c r="QRB350" s="50"/>
      <c r="QRC350" s="50"/>
      <c r="QRD350" s="50"/>
      <c r="QRE350" s="50"/>
      <c r="QRF350" s="50"/>
      <c r="QRG350" s="50"/>
      <c r="QRH350" s="50"/>
      <c r="QRI350" s="50"/>
      <c r="QRJ350" s="50"/>
      <c r="QRK350" s="50"/>
      <c r="QRL350" s="50"/>
      <c r="QRM350" s="50"/>
      <c r="QRN350" s="50"/>
      <c r="QRO350" s="50"/>
      <c r="QRP350" s="50"/>
      <c r="QRQ350" s="50"/>
      <c r="QRR350" s="50"/>
      <c r="QRS350" s="50"/>
      <c r="QRT350" s="50"/>
      <c r="QRU350" s="50"/>
      <c r="QRV350" s="50"/>
      <c r="QRW350" s="50"/>
      <c r="QRX350" s="50"/>
      <c r="QRY350" s="50"/>
      <c r="QRZ350" s="50"/>
      <c r="QSA350" s="50"/>
      <c r="QSB350" s="50"/>
      <c r="QSC350" s="50"/>
      <c r="QSD350" s="50"/>
      <c r="QSE350" s="50"/>
      <c r="QSF350" s="50"/>
      <c r="QSG350" s="50"/>
      <c r="QSH350" s="50"/>
      <c r="QSI350" s="50"/>
      <c r="QSJ350" s="50"/>
      <c r="QSK350" s="50"/>
      <c r="QSL350" s="50"/>
      <c r="QSM350" s="50"/>
      <c r="QSN350" s="50"/>
      <c r="QSO350" s="50"/>
      <c r="QSP350" s="50"/>
      <c r="QSQ350" s="50"/>
      <c r="QSR350" s="50"/>
      <c r="QSS350" s="50"/>
      <c r="QST350" s="50"/>
      <c r="QSU350" s="50"/>
      <c r="QSV350" s="50"/>
      <c r="QSW350" s="50"/>
      <c r="QSX350" s="50"/>
      <c r="QSY350" s="50"/>
      <c r="QSZ350" s="50"/>
      <c r="QTA350" s="50"/>
      <c r="QTB350" s="50"/>
      <c r="QTC350" s="50"/>
      <c r="QTD350" s="50"/>
      <c r="QTE350" s="50"/>
      <c r="QTF350" s="50"/>
      <c r="QTG350" s="50"/>
      <c r="QTH350" s="50"/>
      <c r="QTI350" s="50"/>
      <c r="QTJ350" s="50"/>
      <c r="QTK350" s="50"/>
      <c r="QTL350" s="50"/>
      <c r="QTM350" s="50"/>
      <c r="QTN350" s="50"/>
      <c r="QTO350" s="50"/>
      <c r="QTP350" s="50"/>
      <c r="QTQ350" s="50"/>
      <c r="QTR350" s="50"/>
      <c r="QTS350" s="50"/>
      <c r="QTT350" s="50"/>
      <c r="QTU350" s="50"/>
      <c r="QTV350" s="50"/>
      <c r="QTW350" s="50"/>
      <c r="QTX350" s="50"/>
      <c r="QTY350" s="50"/>
      <c r="QTZ350" s="50"/>
      <c r="QUA350" s="50"/>
      <c r="QUB350" s="50"/>
      <c r="QUC350" s="50"/>
      <c r="QUD350" s="50"/>
      <c r="QUE350" s="50"/>
      <c r="QUF350" s="50"/>
      <c r="QUG350" s="50"/>
      <c r="QUH350" s="50"/>
      <c r="QUI350" s="50"/>
      <c r="QUJ350" s="50"/>
      <c r="QUK350" s="50"/>
      <c r="QUL350" s="50"/>
      <c r="QUM350" s="50"/>
      <c r="QUN350" s="50"/>
      <c r="QUO350" s="50"/>
      <c r="QUP350" s="50"/>
      <c r="QUQ350" s="50"/>
      <c r="QUR350" s="50"/>
      <c r="QUS350" s="50"/>
      <c r="QUT350" s="50"/>
      <c r="QUU350" s="50"/>
      <c r="QUV350" s="50"/>
      <c r="QUW350" s="50"/>
      <c r="QUX350" s="50"/>
      <c r="QUY350" s="50"/>
      <c r="QUZ350" s="50"/>
      <c r="QVA350" s="50"/>
      <c r="QVB350" s="50"/>
      <c r="QVC350" s="50"/>
      <c r="QVD350" s="50"/>
      <c r="QVE350" s="50"/>
      <c r="QVF350" s="50"/>
      <c r="QVG350" s="50"/>
      <c r="QVH350" s="50"/>
      <c r="QVI350" s="50"/>
      <c r="QVJ350" s="50"/>
      <c r="QVK350" s="50"/>
      <c r="QVL350" s="50"/>
      <c r="QVM350" s="50"/>
      <c r="QVN350" s="50"/>
      <c r="QVO350" s="50"/>
      <c r="QVP350" s="50"/>
      <c r="QVQ350" s="50"/>
      <c r="QVR350" s="50"/>
      <c r="QVS350" s="50"/>
      <c r="QVT350" s="50"/>
      <c r="QVU350" s="50"/>
      <c r="QVV350" s="50"/>
      <c r="QVW350" s="50"/>
      <c r="QVX350" s="50"/>
      <c r="QVY350" s="50"/>
      <c r="QVZ350" s="50"/>
      <c r="QWA350" s="50"/>
      <c r="QWB350" s="50"/>
      <c r="QWC350" s="50"/>
      <c r="QWD350" s="50"/>
      <c r="QWE350" s="50"/>
      <c r="QWF350" s="50"/>
      <c r="QWG350" s="50"/>
      <c r="QWH350" s="50"/>
      <c r="QWI350" s="50"/>
      <c r="QWJ350" s="50"/>
      <c r="QWK350" s="50"/>
      <c r="QWL350" s="50"/>
      <c r="QWM350" s="50"/>
      <c r="QWN350" s="50"/>
      <c r="QWO350" s="50"/>
      <c r="QWP350" s="50"/>
      <c r="QWQ350" s="50"/>
      <c r="QWR350" s="50"/>
      <c r="QWS350" s="50"/>
      <c r="QWT350" s="50"/>
      <c r="QWU350" s="50"/>
      <c r="QWV350" s="50"/>
      <c r="QWW350" s="50"/>
      <c r="QWX350" s="50"/>
      <c r="QWY350" s="50"/>
      <c r="QWZ350" s="50"/>
      <c r="QXA350" s="50"/>
      <c r="QXB350" s="50"/>
      <c r="QXC350" s="50"/>
      <c r="QXD350" s="50"/>
      <c r="QXE350" s="50"/>
      <c r="QXF350" s="50"/>
      <c r="QXG350" s="50"/>
      <c r="QXH350" s="50"/>
      <c r="QXI350" s="50"/>
      <c r="QXJ350" s="50"/>
      <c r="QXK350" s="50"/>
      <c r="QXL350" s="50"/>
      <c r="QXM350" s="50"/>
      <c r="QXN350" s="50"/>
      <c r="QXO350" s="50"/>
      <c r="QXP350" s="50"/>
      <c r="QXQ350" s="50"/>
      <c r="QXR350" s="50"/>
      <c r="QXS350" s="50"/>
      <c r="QXT350" s="50"/>
      <c r="QXU350" s="50"/>
      <c r="QXV350" s="50"/>
      <c r="QXW350" s="50"/>
      <c r="QXX350" s="50"/>
      <c r="QXY350" s="50"/>
      <c r="QXZ350" s="50"/>
      <c r="QYA350" s="50"/>
      <c r="QYB350" s="50"/>
      <c r="QYC350" s="50"/>
      <c r="QYD350" s="50"/>
      <c r="QYE350" s="50"/>
      <c r="QYF350" s="50"/>
      <c r="QYG350" s="50"/>
      <c r="QYH350" s="50"/>
      <c r="QYI350" s="50"/>
      <c r="QYJ350" s="50"/>
      <c r="QYK350" s="50"/>
      <c r="QYL350" s="50"/>
      <c r="QYM350" s="50"/>
      <c r="QYN350" s="50"/>
      <c r="QYO350" s="50"/>
      <c r="QYP350" s="50"/>
      <c r="QYQ350" s="50"/>
      <c r="QYR350" s="50"/>
      <c r="QYS350" s="50"/>
      <c r="QYT350" s="50"/>
      <c r="QYU350" s="50"/>
      <c r="QYV350" s="50"/>
      <c r="QYW350" s="50"/>
      <c r="QYX350" s="50"/>
      <c r="QYY350" s="50"/>
      <c r="QYZ350" s="50"/>
      <c r="QZA350" s="50"/>
      <c r="QZB350" s="50"/>
      <c r="QZC350" s="50"/>
      <c r="QZD350" s="50"/>
      <c r="QZE350" s="50"/>
      <c r="QZF350" s="50"/>
      <c r="QZG350" s="50"/>
      <c r="QZH350" s="50"/>
      <c r="QZI350" s="50"/>
      <c r="QZJ350" s="50"/>
      <c r="QZK350" s="50"/>
      <c r="QZL350" s="50"/>
      <c r="QZM350" s="50"/>
      <c r="QZN350" s="50"/>
      <c r="QZO350" s="50"/>
      <c r="QZP350" s="50"/>
      <c r="QZQ350" s="50"/>
      <c r="QZR350" s="50"/>
      <c r="QZS350" s="50"/>
      <c r="QZT350" s="50"/>
      <c r="QZU350" s="50"/>
      <c r="QZV350" s="50"/>
      <c r="QZW350" s="50"/>
      <c r="QZX350" s="50"/>
      <c r="QZY350" s="50"/>
      <c r="QZZ350" s="50"/>
      <c r="RAA350" s="50"/>
      <c r="RAB350" s="50"/>
      <c r="RAC350" s="50"/>
      <c r="RAD350" s="50"/>
      <c r="RAE350" s="50"/>
      <c r="RAF350" s="50"/>
      <c r="RAG350" s="50"/>
      <c r="RAH350" s="50"/>
      <c r="RAI350" s="50"/>
      <c r="RAJ350" s="50"/>
      <c r="RAK350" s="50"/>
      <c r="RAL350" s="50"/>
      <c r="RAM350" s="50"/>
      <c r="RAN350" s="50"/>
      <c r="RAO350" s="50"/>
      <c r="RAP350" s="50"/>
      <c r="RAQ350" s="50"/>
      <c r="RAR350" s="50"/>
      <c r="RAS350" s="50"/>
      <c r="RAT350" s="50"/>
      <c r="RAU350" s="50"/>
      <c r="RAV350" s="50"/>
      <c r="RAW350" s="50"/>
      <c r="RAX350" s="50"/>
      <c r="RAY350" s="50"/>
      <c r="RAZ350" s="50"/>
      <c r="RBA350" s="50"/>
      <c r="RBB350" s="50"/>
      <c r="RBC350" s="50"/>
      <c r="RBD350" s="50"/>
      <c r="RBE350" s="50"/>
      <c r="RBF350" s="50"/>
      <c r="RBG350" s="50"/>
      <c r="RBH350" s="50"/>
      <c r="RBI350" s="50"/>
      <c r="RBJ350" s="50"/>
      <c r="RBK350" s="50"/>
      <c r="RBL350" s="50"/>
      <c r="RBM350" s="50"/>
      <c r="RBN350" s="50"/>
      <c r="RBO350" s="50"/>
      <c r="RBP350" s="50"/>
      <c r="RBQ350" s="50"/>
      <c r="RBR350" s="50"/>
      <c r="RBS350" s="50"/>
      <c r="RBT350" s="50"/>
      <c r="RBU350" s="50"/>
      <c r="RBV350" s="50"/>
      <c r="RBW350" s="50"/>
      <c r="RBX350" s="50"/>
      <c r="RBY350" s="50"/>
      <c r="RBZ350" s="50"/>
      <c r="RCA350" s="50"/>
      <c r="RCB350" s="50"/>
      <c r="RCC350" s="50"/>
      <c r="RCD350" s="50"/>
      <c r="RCE350" s="50"/>
      <c r="RCF350" s="50"/>
      <c r="RCG350" s="50"/>
      <c r="RCH350" s="50"/>
      <c r="RCI350" s="50"/>
      <c r="RCJ350" s="50"/>
      <c r="RCK350" s="50"/>
      <c r="RCL350" s="50"/>
      <c r="RCM350" s="50"/>
      <c r="RCN350" s="50"/>
      <c r="RCO350" s="50"/>
      <c r="RCP350" s="50"/>
      <c r="RCQ350" s="50"/>
      <c r="RCR350" s="50"/>
      <c r="RCS350" s="50"/>
      <c r="RCT350" s="50"/>
      <c r="RCU350" s="50"/>
      <c r="RCV350" s="50"/>
      <c r="RCW350" s="50"/>
      <c r="RCX350" s="50"/>
      <c r="RCY350" s="50"/>
      <c r="RCZ350" s="50"/>
      <c r="RDA350" s="50"/>
      <c r="RDB350" s="50"/>
      <c r="RDC350" s="50"/>
      <c r="RDD350" s="50"/>
      <c r="RDE350" s="50"/>
      <c r="RDF350" s="50"/>
      <c r="RDG350" s="50"/>
      <c r="RDH350" s="50"/>
      <c r="RDI350" s="50"/>
      <c r="RDJ350" s="50"/>
      <c r="RDK350" s="50"/>
      <c r="RDL350" s="50"/>
      <c r="RDM350" s="50"/>
      <c r="RDN350" s="50"/>
      <c r="RDO350" s="50"/>
      <c r="RDP350" s="50"/>
      <c r="RDQ350" s="50"/>
      <c r="RDR350" s="50"/>
      <c r="RDS350" s="50"/>
      <c r="RDT350" s="50"/>
      <c r="RDU350" s="50"/>
      <c r="RDV350" s="50"/>
      <c r="RDW350" s="50"/>
      <c r="RDX350" s="50"/>
      <c r="RDY350" s="50"/>
      <c r="RDZ350" s="50"/>
      <c r="REA350" s="50"/>
      <c r="REB350" s="50"/>
      <c r="REC350" s="50"/>
      <c r="RED350" s="50"/>
      <c r="REE350" s="50"/>
      <c r="REF350" s="50"/>
      <c r="REG350" s="50"/>
      <c r="REH350" s="50"/>
      <c r="REI350" s="50"/>
      <c r="REJ350" s="50"/>
      <c r="REK350" s="50"/>
      <c r="REL350" s="50"/>
      <c r="REM350" s="50"/>
      <c r="REN350" s="50"/>
      <c r="REO350" s="50"/>
      <c r="REP350" s="50"/>
      <c r="REQ350" s="50"/>
      <c r="RER350" s="50"/>
      <c r="RES350" s="50"/>
      <c r="RET350" s="50"/>
      <c r="REU350" s="50"/>
      <c r="REV350" s="50"/>
      <c r="REW350" s="50"/>
      <c r="REX350" s="50"/>
      <c r="REY350" s="50"/>
      <c r="REZ350" s="50"/>
      <c r="RFA350" s="50"/>
      <c r="RFB350" s="50"/>
      <c r="RFC350" s="50"/>
      <c r="RFD350" s="50"/>
      <c r="RFE350" s="50"/>
      <c r="RFF350" s="50"/>
      <c r="RFG350" s="50"/>
      <c r="RFH350" s="50"/>
      <c r="RFI350" s="50"/>
      <c r="RFJ350" s="50"/>
      <c r="RFK350" s="50"/>
      <c r="RFL350" s="50"/>
      <c r="RFM350" s="50"/>
      <c r="RFN350" s="50"/>
      <c r="RFO350" s="50"/>
      <c r="RFP350" s="50"/>
      <c r="RFQ350" s="50"/>
      <c r="RFR350" s="50"/>
      <c r="RFS350" s="50"/>
      <c r="RFT350" s="50"/>
      <c r="RFU350" s="50"/>
      <c r="RFV350" s="50"/>
      <c r="RFW350" s="50"/>
      <c r="RFX350" s="50"/>
      <c r="RFY350" s="50"/>
      <c r="RFZ350" s="50"/>
      <c r="RGA350" s="50"/>
      <c r="RGB350" s="50"/>
      <c r="RGC350" s="50"/>
      <c r="RGD350" s="50"/>
      <c r="RGE350" s="50"/>
      <c r="RGF350" s="50"/>
      <c r="RGG350" s="50"/>
      <c r="RGH350" s="50"/>
      <c r="RGI350" s="50"/>
      <c r="RGJ350" s="50"/>
      <c r="RGK350" s="50"/>
      <c r="RGL350" s="50"/>
      <c r="RGM350" s="50"/>
      <c r="RGN350" s="50"/>
      <c r="RGO350" s="50"/>
      <c r="RGP350" s="50"/>
      <c r="RGQ350" s="50"/>
      <c r="RGR350" s="50"/>
      <c r="RGS350" s="50"/>
      <c r="RGT350" s="50"/>
      <c r="RGU350" s="50"/>
      <c r="RGV350" s="50"/>
      <c r="RGW350" s="50"/>
      <c r="RGX350" s="50"/>
      <c r="RGY350" s="50"/>
      <c r="RGZ350" s="50"/>
      <c r="RHA350" s="50"/>
      <c r="RHB350" s="50"/>
      <c r="RHC350" s="50"/>
      <c r="RHD350" s="50"/>
      <c r="RHE350" s="50"/>
      <c r="RHF350" s="50"/>
      <c r="RHG350" s="50"/>
      <c r="RHH350" s="50"/>
      <c r="RHI350" s="50"/>
      <c r="RHJ350" s="50"/>
      <c r="RHK350" s="50"/>
      <c r="RHL350" s="50"/>
      <c r="RHM350" s="50"/>
      <c r="RHN350" s="50"/>
      <c r="RHO350" s="50"/>
      <c r="RHP350" s="50"/>
      <c r="RHQ350" s="50"/>
      <c r="RHR350" s="50"/>
      <c r="RHS350" s="50"/>
      <c r="RHT350" s="50"/>
      <c r="RHU350" s="50"/>
      <c r="RHV350" s="50"/>
      <c r="RHW350" s="50"/>
      <c r="RHX350" s="50"/>
      <c r="RHY350" s="50"/>
      <c r="RHZ350" s="50"/>
      <c r="RIA350" s="50"/>
      <c r="RIB350" s="50"/>
      <c r="RIC350" s="50"/>
      <c r="RID350" s="50"/>
      <c r="RIE350" s="50"/>
      <c r="RIF350" s="50"/>
      <c r="RIG350" s="50"/>
      <c r="RIH350" s="50"/>
      <c r="RII350" s="50"/>
      <c r="RIJ350" s="50"/>
      <c r="RIK350" s="50"/>
      <c r="RIL350" s="50"/>
      <c r="RIM350" s="50"/>
      <c r="RIN350" s="50"/>
      <c r="RIO350" s="50"/>
      <c r="RIP350" s="50"/>
      <c r="RIQ350" s="50"/>
      <c r="RIR350" s="50"/>
      <c r="RIS350" s="50"/>
      <c r="RIT350" s="50"/>
      <c r="RIU350" s="50"/>
      <c r="RIV350" s="50"/>
      <c r="RIW350" s="50"/>
      <c r="RIX350" s="50"/>
      <c r="RIY350" s="50"/>
      <c r="RIZ350" s="50"/>
      <c r="RJA350" s="50"/>
      <c r="RJB350" s="50"/>
      <c r="RJC350" s="50"/>
      <c r="RJD350" s="50"/>
      <c r="RJE350" s="50"/>
      <c r="RJF350" s="50"/>
      <c r="RJG350" s="50"/>
      <c r="RJH350" s="50"/>
      <c r="RJI350" s="50"/>
      <c r="RJJ350" s="50"/>
      <c r="RJK350" s="50"/>
      <c r="RJL350" s="50"/>
      <c r="RJM350" s="50"/>
      <c r="RJN350" s="50"/>
      <c r="RJO350" s="50"/>
      <c r="RJP350" s="50"/>
      <c r="RJQ350" s="50"/>
      <c r="RJR350" s="50"/>
      <c r="RJS350" s="50"/>
      <c r="RJT350" s="50"/>
      <c r="RJU350" s="50"/>
      <c r="RJV350" s="50"/>
      <c r="RJW350" s="50"/>
      <c r="RJX350" s="50"/>
      <c r="RJY350" s="50"/>
      <c r="RJZ350" s="50"/>
      <c r="RKA350" s="50"/>
      <c r="RKB350" s="50"/>
      <c r="RKC350" s="50"/>
      <c r="RKD350" s="50"/>
      <c r="RKE350" s="50"/>
      <c r="RKF350" s="50"/>
      <c r="RKG350" s="50"/>
      <c r="RKH350" s="50"/>
      <c r="RKI350" s="50"/>
      <c r="RKJ350" s="50"/>
      <c r="RKK350" s="50"/>
      <c r="RKL350" s="50"/>
      <c r="RKM350" s="50"/>
      <c r="RKN350" s="50"/>
      <c r="RKO350" s="50"/>
      <c r="RKP350" s="50"/>
      <c r="RKQ350" s="50"/>
      <c r="RKR350" s="50"/>
      <c r="RKS350" s="50"/>
      <c r="RKT350" s="50"/>
      <c r="RKU350" s="50"/>
      <c r="RKV350" s="50"/>
      <c r="RKW350" s="50"/>
      <c r="RKX350" s="50"/>
      <c r="RKY350" s="50"/>
      <c r="RKZ350" s="50"/>
      <c r="RLA350" s="50"/>
      <c r="RLB350" s="50"/>
      <c r="RLC350" s="50"/>
      <c r="RLD350" s="50"/>
      <c r="RLE350" s="50"/>
      <c r="RLF350" s="50"/>
      <c r="RLG350" s="50"/>
      <c r="RLH350" s="50"/>
      <c r="RLI350" s="50"/>
      <c r="RLJ350" s="50"/>
      <c r="RLK350" s="50"/>
      <c r="RLL350" s="50"/>
      <c r="RLM350" s="50"/>
      <c r="RLN350" s="50"/>
      <c r="RLO350" s="50"/>
      <c r="RLP350" s="50"/>
      <c r="RLQ350" s="50"/>
      <c r="RLR350" s="50"/>
      <c r="RLS350" s="50"/>
      <c r="RLT350" s="50"/>
      <c r="RLU350" s="50"/>
      <c r="RLV350" s="50"/>
      <c r="RLW350" s="50"/>
      <c r="RLX350" s="50"/>
      <c r="RLY350" s="50"/>
      <c r="RLZ350" s="50"/>
      <c r="RMA350" s="50"/>
      <c r="RMB350" s="50"/>
      <c r="RMC350" s="50"/>
      <c r="RMD350" s="50"/>
      <c r="RME350" s="50"/>
      <c r="RMF350" s="50"/>
      <c r="RMG350" s="50"/>
      <c r="RMH350" s="50"/>
      <c r="RMI350" s="50"/>
      <c r="RMJ350" s="50"/>
      <c r="RMK350" s="50"/>
      <c r="RML350" s="50"/>
      <c r="RMM350" s="50"/>
      <c r="RMN350" s="50"/>
      <c r="RMO350" s="50"/>
      <c r="RMP350" s="50"/>
      <c r="RMQ350" s="50"/>
      <c r="RMR350" s="50"/>
      <c r="RMS350" s="50"/>
      <c r="RMT350" s="50"/>
      <c r="RMU350" s="50"/>
      <c r="RMV350" s="50"/>
      <c r="RMW350" s="50"/>
      <c r="RMX350" s="50"/>
      <c r="RMY350" s="50"/>
      <c r="RMZ350" s="50"/>
      <c r="RNA350" s="50"/>
      <c r="RNB350" s="50"/>
      <c r="RNC350" s="50"/>
      <c r="RND350" s="50"/>
      <c r="RNE350" s="50"/>
      <c r="RNF350" s="50"/>
      <c r="RNG350" s="50"/>
      <c r="RNH350" s="50"/>
      <c r="RNI350" s="50"/>
      <c r="RNJ350" s="50"/>
      <c r="RNK350" s="50"/>
      <c r="RNL350" s="50"/>
      <c r="RNM350" s="50"/>
      <c r="RNN350" s="50"/>
      <c r="RNO350" s="50"/>
      <c r="RNP350" s="50"/>
      <c r="RNQ350" s="50"/>
      <c r="RNR350" s="50"/>
      <c r="RNS350" s="50"/>
      <c r="RNT350" s="50"/>
      <c r="RNU350" s="50"/>
      <c r="RNV350" s="50"/>
      <c r="RNW350" s="50"/>
      <c r="RNX350" s="50"/>
      <c r="RNY350" s="50"/>
      <c r="RNZ350" s="50"/>
      <c r="ROA350" s="50"/>
      <c r="ROB350" s="50"/>
      <c r="ROC350" s="50"/>
      <c r="ROD350" s="50"/>
      <c r="ROE350" s="50"/>
      <c r="ROF350" s="50"/>
      <c r="ROG350" s="50"/>
      <c r="ROH350" s="50"/>
      <c r="ROI350" s="50"/>
      <c r="ROJ350" s="50"/>
      <c r="ROK350" s="50"/>
      <c r="ROL350" s="50"/>
      <c r="ROM350" s="50"/>
      <c r="RON350" s="50"/>
      <c r="ROO350" s="50"/>
      <c r="ROP350" s="50"/>
      <c r="ROQ350" s="50"/>
      <c r="ROR350" s="50"/>
      <c r="ROS350" s="50"/>
      <c r="ROT350" s="50"/>
      <c r="ROU350" s="50"/>
      <c r="ROV350" s="50"/>
      <c r="ROW350" s="50"/>
      <c r="ROX350" s="50"/>
      <c r="ROY350" s="50"/>
      <c r="ROZ350" s="50"/>
      <c r="RPA350" s="50"/>
      <c r="RPB350" s="50"/>
      <c r="RPC350" s="50"/>
      <c r="RPD350" s="50"/>
      <c r="RPE350" s="50"/>
      <c r="RPF350" s="50"/>
      <c r="RPG350" s="50"/>
      <c r="RPH350" s="50"/>
      <c r="RPI350" s="50"/>
      <c r="RPJ350" s="50"/>
      <c r="RPK350" s="50"/>
      <c r="RPL350" s="50"/>
      <c r="RPM350" s="50"/>
      <c r="RPN350" s="50"/>
      <c r="RPO350" s="50"/>
      <c r="RPP350" s="50"/>
      <c r="RPQ350" s="50"/>
      <c r="RPR350" s="50"/>
      <c r="RPS350" s="50"/>
      <c r="RPT350" s="50"/>
      <c r="RPU350" s="50"/>
      <c r="RPV350" s="50"/>
      <c r="RPW350" s="50"/>
      <c r="RPX350" s="50"/>
      <c r="RPY350" s="50"/>
      <c r="RPZ350" s="50"/>
      <c r="RQA350" s="50"/>
      <c r="RQB350" s="50"/>
      <c r="RQC350" s="50"/>
      <c r="RQD350" s="50"/>
      <c r="RQE350" s="50"/>
      <c r="RQF350" s="50"/>
      <c r="RQG350" s="50"/>
      <c r="RQH350" s="50"/>
      <c r="RQI350" s="50"/>
      <c r="RQJ350" s="50"/>
      <c r="RQK350" s="50"/>
      <c r="RQL350" s="50"/>
      <c r="RQM350" s="50"/>
      <c r="RQN350" s="50"/>
      <c r="RQO350" s="50"/>
      <c r="RQP350" s="50"/>
      <c r="RQQ350" s="50"/>
      <c r="RQR350" s="50"/>
      <c r="RQS350" s="50"/>
      <c r="RQT350" s="50"/>
      <c r="RQU350" s="50"/>
      <c r="RQV350" s="50"/>
      <c r="RQW350" s="50"/>
      <c r="RQX350" s="50"/>
      <c r="RQY350" s="50"/>
      <c r="RQZ350" s="50"/>
      <c r="RRA350" s="50"/>
      <c r="RRB350" s="50"/>
      <c r="RRC350" s="50"/>
      <c r="RRD350" s="50"/>
      <c r="RRE350" s="50"/>
      <c r="RRF350" s="50"/>
      <c r="RRG350" s="50"/>
      <c r="RRH350" s="50"/>
      <c r="RRI350" s="50"/>
      <c r="RRJ350" s="50"/>
      <c r="RRK350" s="50"/>
      <c r="RRL350" s="50"/>
      <c r="RRM350" s="50"/>
      <c r="RRN350" s="50"/>
      <c r="RRO350" s="50"/>
      <c r="RRP350" s="50"/>
      <c r="RRQ350" s="50"/>
      <c r="RRR350" s="50"/>
      <c r="RRS350" s="50"/>
      <c r="RRT350" s="50"/>
      <c r="RRU350" s="50"/>
      <c r="RRV350" s="50"/>
      <c r="RRW350" s="50"/>
      <c r="RRX350" s="50"/>
      <c r="RRY350" s="50"/>
      <c r="RRZ350" s="50"/>
      <c r="RSA350" s="50"/>
      <c r="RSB350" s="50"/>
      <c r="RSC350" s="50"/>
      <c r="RSD350" s="50"/>
      <c r="RSE350" s="50"/>
      <c r="RSF350" s="50"/>
      <c r="RSG350" s="50"/>
      <c r="RSH350" s="50"/>
      <c r="RSI350" s="50"/>
      <c r="RSJ350" s="50"/>
      <c r="RSK350" s="50"/>
      <c r="RSL350" s="50"/>
      <c r="RSM350" s="50"/>
      <c r="RSN350" s="50"/>
      <c r="RSO350" s="50"/>
      <c r="RSP350" s="50"/>
      <c r="RSQ350" s="50"/>
      <c r="RSR350" s="50"/>
      <c r="RSS350" s="50"/>
      <c r="RST350" s="50"/>
      <c r="RSU350" s="50"/>
      <c r="RSV350" s="50"/>
      <c r="RSW350" s="50"/>
      <c r="RSX350" s="50"/>
      <c r="RSY350" s="50"/>
      <c r="RSZ350" s="50"/>
      <c r="RTA350" s="50"/>
      <c r="RTB350" s="50"/>
      <c r="RTC350" s="50"/>
      <c r="RTD350" s="50"/>
      <c r="RTE350" s="50"/>
      <c r="RTF350" s="50"/>
      <c r="RTG350" s="50"/>
      <c r="RTH350" s="50"/>
      <c r="RTI350" s="50"/>
      <c r="RTJ350" s="50"/>
      <c r="RTK350" s="50"/>
      <c r="RTL350" s="50"/>
      <c r="RTM350" s="50"/>
      <c r="RTN350" s="50"/>
      <c r="RTO350" s="50"/>
      <c r="RTP350" s="50"/>
      <c r="RTQ350" s="50"/>
      <c r="RTR350" s="50"/>
      <c r="RTS350" s="50"/>
      <c r="RTT350" s="50"/>
      <c r="RTU350" s="50"/>
      <c r="RTV350" s="50"/>
      <c r="RTW350" s="50"/>
      <c r="RTX350" s="50"/>
      <c r="RTY350" s="50"/>
      <c r="RTZ350" s="50"/>
      <c r="RUA350" s="50"/>
      <c r="RUB350" s="50"/>
      <c r="RUC350" s="50"/>
      <c r="RUD350" s="50"/>
      <c r="RUE350" s="50"/>
      <c r="RUF350" s="50"/>
      <c r="RUG350" s="50"/>
      <c r="RUH350" s="50"/>
      <c r="RUI350" s="50"/>
      <c r="RUJ350" s="50"/>
      <c r="RUK350" s="50"/>
      <c r="RUL350" s="50"/>
      <c r="RUM350" s="50"/>
      <c r="RUN350" s="50"/>
      <c r="RUO350" s="50"/>
      <c r="RUP350" s="50"/>
      <c r="RUQ350" s="50"/>
      <c r="RUR350" s="50"/>
      <c r="RUS350" s="50"/>
      <c r="RUT350" s="50"/>
      <c r="RUU350" s="50"/>
      <c r="RUV350" s="50"/>
      <c r="RUW350" s="50"/>
      <c r="RUX350" s="50"/>
      <c r="RUY350" s="50"/>
      <c r="RUZ350" s="50"/>
      <c r="RVA350" s="50"/>
      <c r="RVB350" s="50"/>
      <c r="RVC350" s="50"/>
      <c r="RVD350" s="50"/>
      <c r="RVE350" s="50"/>
      <c r="RVF350" s="50"/>
      <c r="RVG350" s="50"/>
      <c r="RVH350" s="50"/>
      <c r="RVI350" s="50"/>
      <c r="RVJ350" s="50"/>
      <c r="RVK350" s="50"/>
      <c r="RVL350" s="50"/>
      <c r="RVM350" s="50"/>
      <c r="RVN350" s="50"/>
      <c r="RVO350" s="50"/>
      <c r="RVP350" s="50"/>
      <c r="RVQ350" s="50"/>
      <c r="RVR350" s="50"/>
      <c r="RVS350" s="50"/>
      <c r="RVT350" s="50"/>
      <c r="RVU350" s="50"/>
      <c r="RVV350" s="50"/>
      <c r="RVW350" s="50"/>
      <c r="RVX350" s="50"/>
      <c r="RVY350" s="50"/>
      <c r="RVZ350" s="50"/>
      <c r="RWA350" s="50"/>
      <c r="RWB350" s="50"/>
      <c r="RWC350" s="50"/>
      <c r="RWD350" s="50"/>
      <c r="RWE350" s="50"/>
      <c r="RWF350" s="50"/>
      <c r="RWG350" s="50"/>
      <c r="RWH350" s="50"/>
      <c r="RWI350" s="50"/>
      <c r="RWJ350" s="50"/>
      <c r="RWK350" s="50"/>
      <c r="RWL350" s="50"/>
      <c r="RWM350" s="50"/>
      <c r="RWN350" s="50"/>
      <c r="RWO350" s="50"/>
      <c r="RWP350" s="50"/>
      <c r="RWQ350" s="50"/>
      <c r="RWR350" s="50"/>
      <c r="RWS350" s="50"/>
      <c r="RWT350" s="50"/>
      <c r="RWU350" s="50"/>
      <c r="RWV350" s="50"/>
      <c r="RWW350" s="50"/>
      <c r="RWX350" s="50"/>
      <c r="RWY350" s="50"/>
      <c r="RWZ350" s="50"/>
      <c r="RXA350" s="50"/>
      <c r="RXB350" s="50"/>
      <c r="RXC350" s="50"/>
      <c r="RXD350" s="50"/>
      <c r="RXE350" s="50"/>
      <c r="RXF350" s="50"/>
      <c r="RXG350" s="50"/>
      <c r="RXH350" s="50"/>
      <c r="RXI350" s="50"/>
      <c r="RXJ350" s="50"/>
      <c r="RXK350" s="50"/>
      <c r="RXL350" s="50"/>
      <c r="RXM350" s="50"/>
      <c r="RXN350" s="50"/>
      <c r="RXO350" s="50"/>
      <c r="RXP350" s="50"/>
      <c r="RXQ350" s="50"/>
      <c r="RXR350" s="50"/>
      <c r="RXS350" s="50"/>
      <c r="RXT350" s="50"/>
      <c r="RXU350" s="50"/>
      <c r="RXV350" s="50"/>
      <c r="RXW350" s="50"/>
      <c r="RXX350" s="50"/>
      <c r="RXY350" s="50"/>
      <c r="RXZ350" s="50"/>
      <c r="RYA350" s="50"/>
      <c r="RYB350" s="50"/>
      <c r="RYC350" s="50"/>
      <c r="RYD350" s="50"/>
      <c r="RYE350" s="50"/>
      <c r="RYF350" s="50"/>
      <c r="RYG350" s="50"/>
      <c r="RYH350" s="50"/>
      <c r="RYI350" s="50"/>
      <c r="RYJ350" s="50"/>
      <c r="RYK350" s="50"/>
      <c r="RYL350" s="50"/>
      <c r="RYM350" s="50"/>
      <c r="RYN350" s="50"/>
      <c r="RYO350" s="50"/>
      <c r="RYP350" s="50"/>
      <c r="RYQ350" s="50"/>
      <c r="RYR350" s="50"/>
      <c r="RYS350" s="50"/>
      <c r="RYT350" s="50"/>
      <c r="RYU350" s="50"/>
      <c r="RYV350" s="50"/>
      <c r="RYW350" s="50"/>
      <c r="RYX350" s="50"/>
      <c r="RYY350" s="50"/>
      <c r="RYZ350" s="50"/>
      <c r="RZA350" s="50"/>
      <c r="RZB350" s="50"/>
      <c r="RZC350" s="50"/>
      <c r="RZD350" s="50"/>
      <c r="RZE350" s="50"/>
      <c r="RZF350" s="50"/>
      <c r="RZG350" s="50"/>
      <c r="RZH350" s="50"/>
      <c r="RZI350" s="50"/>
      <c r="RZJ350" s="50"/>
      <c r="RZK350" s="50"/>
      <c r="RZL350" s="50"/>
      <c r="RZM350" s="50"/>
      <c r="RZN350" s="50"/>
      <c r="RZO350" s="50"/>
      <c r="RZP350" s="50"/>
      <c r="RZQ350" s="50"/>
      <c r="RZR350" s="50"/>
      <c r="RZS350" s="50"/>
      <c r="RZT350" s="50"/>
      <c r="RZU350" s="50"/>
      <c r="RZV350" s="50"/>
      <c r="RZW350" s="50"/>
      <c r="RZX350" s="50"/>
      <c r="RZY350" s="50"/>
      <c r="RZZ350" s="50"/>
      <c r="SAA350" s="50"/>
      <c r="SAB350" s="50"/>
      <c r="SAC350" s="50"/>
      <c r="SAD350" s="50"/>
      <c r="SAE350" s="50"/>
      <c r="SAF350" s="50"/>
      <c r="SAG350" s="50"/>
      <c r="SAH350" s="50"/>
      <c r="SAI350" s="50"/>
      <c r="SAJ350" s="50"/>
      <c r="SAK350" s="50"/>
      <c r="SAL350" s="50"/>
      <c r="SAM350" s="50"/>
      <c r="SAN350" s="50"/>
      <c r="SAO350" s="50"/>
      <c r="SAP350" s="50"/>
      <c r="SAQ350" s="50"/>
      <c r="SAR350" s="50"/>
      <c r="SAS350" s="50"/>
      <c r="SAT350" s="50"/>
      <c r="SAU350" s="50"/>
      <c r="SAV350" s="50"/>
      <c r="SAW350" s="50"/>
      <c r="SAX350" s="50"/>
      <c r="SAY350" s="50"/>
      <c r="SAZ350" s="50"/>
      <c r="SBA350" s="50"/>
      <c r="SBB350" s="50"/>
      <c r="SBC350" s="50"/>
      <c r="SBD350" s="50"/>
      <c r="SBE350" s="50"/>
      <c r="SBF350" s="50"/>
      <c r="SBG350" s="50"/>
      <c r="SBH350" s="50"/>
      <c r="SBI350" s="50"/>
      <c r="SBJ350" s="50"/>
      <c r="SBK350" s="50"/>
      <c r="SBL350" s="50"/>
      <c r="SBM350" s="50"/>
      <c r="SBN350" s="50"/>
      <c r="SBO350" s="50"/>
      <c r="SBP350" s="50"/>
      <c r="SBQ350" s="50"/>
      <c r="SBR350" s="50"/>
      <c r="SBS350" s="50"/>
      <c r="SBT350" s="50"/>
      <c r="SBU350" s="50"/>
      <c r="SBV350" s="50"/>
      <c r="SBW350" s="50"/>
      <c r="SBX350" s="50"/>
      <c r="SBY350" s="50"/>
      <c r="SBZ350" s="50"/>
      <c r="SCA350" s="50"/>
      <c r="SCB350" s="50"/>
      <c r="SCC350" s="50"/>
      <c r="SCD350" s="50"/>
      <c r="SCE350" s="50"/>
      <c r="SCF350" s="50"/>
      <c r="SCG350" s="50"/>
      <c r="SCH350" s="50"/>
      <c r="SCI350" s="50"/>
      <c r="SCJ350" s="50"/>
      <c r="SCK350" s="50"/>
      <c r="SCL350" s="50"/>
      <c r="SCM350" s="50"/>
      <c r="SCN350" s="50"/>
      <c r="SCO350" s="50"/>
      <c r="SCP350" s="50"/>
      <c r="SCQ350" s="50"/>
      <c r="SCR350" s="50"/>
      <c r="SCS350" s="50"/>
      <c r="SCT350" s="50"/>
      <c r="SCU350" s="50"/>
      <c r="SCV350" s="50"/>
      <c r="SCW350" s="50"/>
      <c r="SCX350" s="50"/>
      <c r="SCY350" s="50"/>
      <c r="SCZ350" s="50"/>
      <c r="SDA350" s="50"/>
      <c r="SDB350" s="50"/>
      <c r="SDC350" s="50"/>
      <c r="SDD350" s="50"/>
      <c r="SDE350" s="50"/>
      <c r="SDF350" s="50"/>
      <c r="SDG350" s="50"/>
      <c r="SDH350" s="50"/>
      <c r="SDI350" s="50"/>
      <c r="SDJ350" s="50"/>
      <c r="SDK350" s="50"/>
      <c r="SDL350" s="50"/>
      <c r="SDM350" s="50"/>
      <c r="SDN350" s="50"/>
      <c r="SDO350" s="50"/>
      <c r="SDP350" s="50"/>
      <c r="SDQ350" s="50"/>
      <c r="SDR350" s="50"/>
      <c r="SDS350" s="50"/>
      <c r="SDT350" s="50"/>
      <c r="SDU350" s="50"/>
      <c r="SDV350" s="50"/>
      <c r="SDW350" s="50"/>
      <c r="SDX350" s="50"/>
      <c r="SDY350" s="50"/>
      <c r="SDZ350" s="50"/>
      <c r="SEA350" s="50"/>
      <c r="SEB350" s="50"/>
      <c r="SEC350" s="50"/>
      <c r="SED350" s="50"/>
      <c r="SEE350" s="50"/>
      <c r="SEF350" s="50"/>
      <c r="SEG350" s="50"/>
      <c r="SEH350" s="50"/>
      <c r="SEI350" s="50"/>
      <c r="SEJ350" s="50"/>
      <c r="SEK350" s="50"/>
      <c r="SEL350" s="50"/>
      <c r="SEM350" s="50"/>
      <c r="SEN350" s="50"/>
      <c r="SEO350" s="50"/>
      <c r="SEP350" s="50"/>
      <c r="SEQ350" s="50"/>
      <c r="SER350" s="50"/>
      <c r="SES350" s="50"/>
      <c r="SET350" s="50"/>
      <c r="SEU350" s="50"/>
      <c r="SEV350" s="50"/>
      <c r="SEW350" s="50"/>
      <c r="SEX350" s="50"/>
      <c r="SEY350" s="50"/>
      <c r="SEZ350" s="50"/>
      <c r="SFA350" s="50"/>
      <c r="SFB350" s="50"/>
      <c r="SFC350" s="50"/>
      <c r="SFD350" s="50"/>
      <c r="SFE350" s="50"/>
      <c r="SFF350" s="50"/>
      <c r="SFG350" s="50"/>
      <c r="SFH350" s="50"/>
      <c r="SFI350" s="50"/>
      <c r="SFJ350" s="50"/>
      <c r="SFK350" s="50"/>
      <c r="SFL350" s="50"/>
      <c r="SFM350" s="50"/>
      <c r="SFN350" s="50"/>
      <c r="SFO350" s="50"/>
      <c r="SFP350" s="50"/>
      <c r="SFQ350" s="50"/>
      <c r="SFR350" s="50"/>
      <c r="SFS350" s="50"/>
      <c r="SFT350" s="50"/>
      <c r="SFU350" s="50"/>
      <c r="SFV350" s="50"/>
      <c r="SFW350" s="50"/>
      <c r="SFX350" s="50"/>
      <c r="SFY350" s="50"/>
      <c r="SFZ350" s="50"/>
      <c r="SGA350" s="50"/>
      <c r="SGB350" s="50"/>
      <c r="SGC350" s="50"/>
      <c r="SGD350" s="50"/>
      <c r="SGE350" s="50"/>
      <c r="SGF350" s="50"/>
      <c r="SGG350" s="50"/>
      <c r="SGH350" s="50"/>
      <c r="SGI350" s="50"/>
      <c r="SGJ350" s="50"/>
      <c r="SGK350" s="50"/>
      <c r="SGL350" s="50"/>
      <c r="SGM350" s="50"/>
      <c r="SGN350" s="50"/>
      <c r="SGO350" s="50"/>
      <c r="SGP350" s="50"/>
      <c r="SGQ350" s="50"/>
      <c r="SGR350" s="50"/>
      <c r="SGS350" s="50"/>
      <c r="SGT350" s="50"/>
      <c r="SGU350" s="50"/>
      <c r="SGV350" s="50"/>
      <c r="SGW350" s="50"/>
      <c r="SGX350" s="50"/>
      <c r="SGY350" s="50"/>
      <c r="SGZ350" s="50"/>
      <c r="SHA350" s="50"/>
      <c r="SHB350" s="50"/>
      <c r="SHC350" s="50"/>
      <c r="SHD350" s="50"/>
      <c r="SHE350" s="50"/>
      <c r="SHF350" s="50"/>
      <c r="SHG350" s="50"/>
      <c r="SHH350" s="50"/>
      <c r="SHI350" s="50"/>
      <c r="SHJ350" s="50"/>
      <c r="SHK350" s="50"/>
      <c r="SHL350" s="50"/>
      <c r="SHM350" s="50"/>
      <c r="SHN350" s="50"/>
      <c r="SHO350" s="50"/>
      <c r="SHP350" s="50"/>
      <c r="SHQ350" s="50"/>
      <c r="SHR350" s="50"/>
      <c r="SHS350" s="50"/>
      <c r="SHT350" s="50"/>
      <c r="SHU350" s="50"/>
      <c r="SHV350" s="50"/>
      <c r="SHW350" s="50"/>
      <c r="SHX350" s="50"/>
      <c r="SHY350" s="50"/>
      <c r="SHZ350" s="50"/>
      <c r="SIA350" s="50"/>
      <c r="SIB350" s="50"/>
      <c r="SIC350" s="50"/>
      <c r="SID350" s="50"/>
      <c r="SIE350" s="50"/>
      <c r="SIF350" s="50"/>
      <c r="SIG350" s="50"/>
      <c r="SIH350" s="50"/>
      <c r="SII350" s="50"/>
      <c r="SIJ350" s="50"/>
      <c r="SIK350" s="50"/>
      <c r="SIL350" s="50"/>
      <c r="SIM350" s="50"/>
      <c r="SIN350" s="50"/>
      <c r="SIO350" s="50"/>
      <c r="SIP350" s="50"/>
      <c r="SIQ350" s="50"/>
      <c r="SIR350" s="50"/>
      <c r="SIS350" s="50"/>
      <c r="SIT350" s="50"/>
      <c r="SIU350" s="50"/>
      <c r="SIV350" s="50"/>
      <c r="SIW350" s="50"/>
      <c r="SIX350" s="50"/>
      <c r="SIY350" s="50"/>
      <c r="SIZ350" s="50"/>
      <c r="SJA350" s="50"/>
      <c r="SJB350" s="50"/>
      <c r="SJC350" s="50"/>
      <c r="SJD350" s="50"/>
      <c r="SJE350" s="50"/>
      <c r="SJF350" s="50"/>
      <c r="SJG350" s="50"/>
      <c r="SJH350" s="50"/>
      <c r="SJI350" s="50"/>
      <c r="SJJ350" s="50"/>
      <c r="SJK350" s="50"/>
      <c r="SJL350" s="50"/>
      <c r="SJM350" s="50"/>
      <c r="SJN350" s="50"/>
      <c r="SJO350" s="50"/>
      <c r="SJP350" s="50"/>
      <c r="SJQ350" s="50"/>
      <c r="SJR350" s="50"/>
      <c r="SJS350" s="50"/>
      <c r="SJT350" s="50"/>
      <c r="SJU350" s="50"/>
      <c r="SJV350" s="50"/>
      <c r="SJW350" s="50"/>
      <c r="SJX350" s="50"/>
      <c r="SJY350" s="50"/>
      <c r="SJZ350" s="50"/>
      <c r="SKA350" s="50"/>
      <c r="SKB350" s="50"/>
      <c r="SKC350" s="50"/>
      <c r="SKD350" s="50"/>
      <c r="SKE350" s="50"/>
      <c r="SKF350" s="50"/>
      <c r="SKG350" s="50"/>
      <c r="SKH350" s="50"/>
      <c r="SKI350" s="50"/>
      <c r="SKJ350" s="50"/>
      <c r="SKK350" s="50"/>
      <c r="SKL350" s="50"/>
      <c r="SKM350" s="50"/>
      <c r="SKN350" s="50"/>
      <c r="SKO350" s="50"/>
      <c r="SKP350" s="50"/>
      <c r="SKQ350" s="50"/>
      <c r="SKR350" s="50"/>
      <c r="SKS350" s="50"/>
      <c r="SKT350" s="50"/>
      <c r="SKU350" s="50"/>
      <c r="SKV350" s="50"/>
      <c r="SKW350" s="50"/>
      <c r="SKX350" s="50"/>
      <c r="SKY350" s="50"/>
      <c r="SKZ350" s="50"/>
      <c r="SLA350" s="50"/>
      <c r="SLB350" s="50"/>
      <c r="SLC350" s="50"/>
      <c r="SLD350" s="50"/>
      <c r="SLE350" s="50"/>
      <c r="SLF350" s="50"/>
      <c r="SLG350" s="50"/>
      <c r="SLH350" s="50"/>
      <c r="SLI350" s="50"/>
      <c r="SLJ350" s="50"/>
      <c r="SLK350" s="50"/>
      <c r="SLL350" s="50"/>
      <c r="SLM350" s="50"/>
      <c r="SLN350" s="50"/>
      <c r="SLO350" s="50"/>
      <c r="SLP350" s="50"/>
      <c r="SLQ350" s="50"/>
      <c r="SLR350" s="50"/>
      <c r="SLS350" s="50"/>
      <c r="SLT350" s="50"/>
      <c r="SLU350" s="50"/>
      <c r="SLV350" s="50"/>
      <c r="SLW350" s="50"/>
      <c r="SLX350" s="50"/>
      <c r="SLY350" s="50"/>
      <c r="SLZ350" s="50"/>
      <c r="SMA350" s="50"/>
      <c r="SMB350" s="50"/>
      <c r="SMC350" s="50"/>
      <c r="SMD350" s="50"/>
      <c r="SME350" s="50"/>
      <c r="SMF350" s="50"/>
      <c r="SMG350" s="50"/>
      <c r="SMH350" s="50"/>
      <c r="SMI350" s="50"/>
      <c r="SMJ350" s="50"/>
      <c r="SMK350" s="50"/>
      <c r="SML350" s="50"/>
      <c r="SMM350" s="50"/>
      <c r="SMN350" s="50"/>
      <c r="SMO350" s="50"/>
      <c r="SMP350" s="50"/>
      <c r="SMQ350" s="50"/>
      <c r="SMR350" s="50"/>
      <c r="SMS350" s="50"/>
      <c r="SMT350" s="50"/>
      <c r="SMU350" s="50"/>
      <c r="SMV350" s="50"/>
      <c r="SMW350" s="50"/>
      <c r="SMX350" s="50"/>
      <c r="SMY350" s="50"/>
      <c r="SMZ350" s="50"/>
      <c r="SNA350" s="50"/>
      <c r="SNB350" s="50"/>
      <c r="SNC350" s="50"/>
      <c r="SND350" s="50"/>
      <c r="SNE350" s="50"/>
      <c r="SNF350" s="50"/>
      <c r="SNG350" s="50"/>
      <c r="SNH350" s="50"/>
      <c r="SNI350" s="50"/>
      <c r="SNJ350" s="50"/>
      <c r="SNK350" s="50"/>
      <c r="SNL350" s="50"/>
      <c r="SNM350" s="50"/>
      <c r="SNN350" s="50"/>
      <c r="SNO350" s="50"/>
      <c r="SNP350" s="50"/>
      <c r="SNQ350" s="50"/>
      <c r="SNR350" s="50"/>
      <c r="SNS350" s="50"/>
      <c r="SNT350" s="50"/>
      <c r="SNU350" s="50"/>
      <c r="SNV350" s="50"/>
      <c r="SNW350" s="50"/>
      <c r="SNX350" s="50"/>
      <c r="SNY350" s="50"/>
      <c r="SNZ350" s="50"/>
      <c r="SOA350" s="50"/>
      <c r="SOB350" s="50"/>
      <c r="SOC350" s="50"/>
      <c r="SOD350" s="50"/>
      <c r="SOE350" s="50"/>
      <c r="SOF350" s="50"/>
      <c r="SOG350" s="50"/>
      <c r="SOH350" s="50"/>
      <c r="SOI350" s="50"/>
      <c r="SOJ350" s="50"/>
      <c r="SOK350" s="50"/>
      <c r="SOL350" s="50"/>
      <c r="SOM350" s="50"/>
      <c r="SON350" s="50"/>
      <c r="SOO350" s="50"/>
      <c r="SOP350" s="50"/>
      <c r="SOQ350" s="50"/>
      <c r="SOR350" s="50"/>
      <c r="SOS350" s="50"/>
      <c r="SOT350" s="50"/>
      <c r="SOU350" s="50"/>
      <c r="SOV350" s="50"/>
      <c r="SOW350" s="50"/>
      <c r="SOX350" s="50"/>
      <c r="SOY350" s="50"/>
      <c r="SOZ350" s="50"/>
      <c r="SPA350" s="50"/>
      <c r="SPB350" s="50"/>
      <c r="SPC350" s="50"/>
      <c r="SPD350" s="50"/>
      <c r="SPE350" s="50"/>
      <c r="SPF350" s="50"/>
      <c r="SPG350" s="50"/>
      <c r="SPH350" s="50"/>
      <c r="SPI350" s="50"/>
      <c r="SPJ350" s="50"/>
      <c r="SPK350" s="50"/>
      <c r="SPL350" s="50"/>
      <c r="SPM350" s="50"/>
      <c r="SPN350" s="50"/>
      <c r="SPO350" s="50"/>
      <c r="SPP350" s="50"/>
      <c r="SPQ350" s="50"/>
      <c r="SPR350" s="50"/>
      <c r="SPS350" s="50"/>
      <c r="SPT350" s="50"/>
      <c r="SPU350" s="50"/>
      <c r="SPV350" s="50"/>
      <c r="SPW350" s="50"/>
      <c r="SPX350" s="50"/>
      <c r="SPY350" s="50"/>
      <c r="SPZ350" s="50"/>
      <c r="SQA350" s="50"/>
      <c r="SQB350" s="50"/>
      <c r="SQC350" s="50"/>
      <c r="SQD350" s="50"/>
      <c r="SQE350" s="50"/>
      <c r="SQF350" s="50"/>
      <c r="SQG350" s="50"/>
      <c r="SQH350" s="50"/>
      <c r="SQI350" s="50"/>
      <c r="SQJ350" s="50"/>
      <c r="SQK350" s="50"/>
      <c r="SQL350" s="50"/>
      <c r="SQM350" s="50"/>
      <c r="SQN350" s="50"/>
      <c r="SQO350" s="50"/>
      <c r="SQP350" s="50"/>
      <c r="SQQ350" s="50"/>
      <c r="SQR350" s="50"/>
      <c r="SQS350" s="50"/>
      <c r="SQT350" s="50"/>
      <c r="SQU350" s="50"/>
      <c r="SQV350" s="50"/>
      <c r="SQW350" s="50"/>
      <c r="SQX350" s="50"/>
      <c r="SQY350" s="50"/>
      <c r="SQZ350" s="50"/>
      <c r="SRA350" s="50"/>
      <c r="SRB350" s="50"/>
      <c r="SRC350" s="50"/>
      <c r="SRD350" s="50"/>
      <c r="SRE350" s="50"/>
      <c r="SRF350" s="50"/>
      <c r="SRG350" s="50"/>
      <c r="SRH350" s="50"/>
      <c r="SRI350" s="50"/>
      <c r="SRJ350" s="50"/>
      <c r="SRK350" s="50"/>
      <c r="SRL350" s="50"/>
      <c r="SRM350" s="50"/>
      <c r="SRN350" s="50"/>
      <c r="SRO350" s="50"/>
      <c r="SRP350" s="50"/>
      <c r="SRQ350" s="50"/>
      <c r="SRR350" s="50"/>
      <c r="SRS350" s="50"/>
      <c r="SRT350" s="50"/>
      <c r="SRU350" s="50"/>
      <c r="SRV350" s="50"/>
      <c r="SRW350" s="50"/>
      <c r="SRX350" s="50"/>
      <c r="SRY350" s="50"/>
      <c r="SRZ350" s="50"/>
      <c r="SSA350" s="50"/>
      <c r="SSB350" s="50"/>
      <c r="SSC350" s="50"/>
      <c r="SSD350" s="50"/>
      <c r="SSE350" s="50"/>
      <c r="SSF350" s="50"/>
      <c r="SSG350" s="50"/>
      <c r="SSH350" s="50"/>
      <c r="SSI350" s="50"/>
      <c r="SSJ350" s="50"/>
      <c r="SSK350" s="50"/>
      <c r="SSL350" s="50"/>
      <c r="SSM350" s="50"/>
      <c r="SSN350" s="50"/>
      <c r="SSO350" s="50"/>
      <c r="SSP350" s="50"/>
      <c r="SSQ350" s="50"/>
      <c r="SSR350" s="50"/>
      <c r="SSS350" s="50"/>
      <c r="SST350" s="50"/>
      <c r="SSU350" s="50"/>
      <c r="SSV350" s="50"/>
      <c r="SSW350" s="50"/>
      <c r="SSX350" s="50"/>
      <c r="SSY350" s="50"/>
      <c r="SSZ350" s="50"/>
      <c r="STA350" s="50"/>
      <c r="STB350" s="50"/>
      <c r="STC350" s="50"/>
      <c r="STD350" s="50"/>
      <c r="STE350" s="50"/>
      <c r="STF350" s="50"/>
      <c r="STG350" s="50"/>
      <c r="STH350" s="50"/>
      <c r="STI350" s="50"/>
      <c r="STJ350" s="50"/>
      <c r="STK350" s="50"/>
      <c r="STL350" s="50"/>
      <c r="STM350" s="50"/>
      <c r="STN350" s="50"/>
      <c r="STO350" s="50"/>
      <c r="STP350" s="50"/>
      <c r="STQ350" s="50"/>
      <c r="STR350" s="50"/>
      <c r="STS350" s="50"/>
      <c r="STT350" s="50"/>
      <c r="STU350" s="50"/>
      <c r="STV350" s="50"/>
      <c r="STW350" s="50"/>
      <c r="STX350" s="50"/>
      <c r="STY350" s="50"/>
      <c r="STZ350" s="50"/>
      <c r="SUA350" s="50"/>
      <c r="SUB350" s="50"/>
      <c r="SUC350" s="50"/>
      <c r="SUD350" s="50"/>
      <c r="SUE350" s="50"/>
      <c r="SUF350" s="50"/>
      <c r="SUG350" s="50"/>
      <c r="SUH350" s="50"/>
      <c r="SUI350" s="50"/>
      <c r="SUJ350" s="50"/>
      <c r="SUK350" s="50"/>
      <c r="SUL350" s="50"/>
      <c r="SUM350" s="50"/>
      <c r="SUN350" s="50"/>
      <c r="SUO350" s="50"/>
      <c r="SUP350" s="50"/>
      <c r="SUQ350" s="50"/>
      <c r="SUR350" s="50"/>
      <c r="SUS350" s="50"/>
      <c r="SUT350" s="50"/>
      <c r="SUU350" s="50"/>
      <c r="SUV350" s="50"/>
      <c r="SUW350" s="50"/>
      <c r="SUX350" s="50"/>
      <c r="SUY350" s="50"/>
      <c r="SUZ350" s="50"/>
      <c r="SVA350" s="50"/>
      <c r="SVB350" s="50"/>
      <c r="SVC350" s="50"/>
      <c r="SVD350" s="50"/>
      <c r="SVE350" s="50"/>
      <c r="SVF350" s="50"/>
      <c r="SVG350" s="50"/>
      <c r="SVH350" s="50"/>
      <c r="SVI350" s="50"/>
      <c r="SVJ350" s="50"/>
      <c r="SVK350" s="50"/>
      <c r="SVL350" s="50"/>
      <c r="SVM350" s="50"/>
      <c r="SVN350" s="50"/>
      <c r="SVO350" s="50"/>
      <c r="SVP350" s="50"/>
      <c r="SVQ350" s="50"/>
      <c r="SVR350" s="50"/>
      <c r="SVS350" s="50"/>
      <c r="SVT350" s="50"/>
      <c r="SVU350" s="50"/>
      <c r="SVV350" s="50"/>
      <c r="SVW350" s="50"/>
      <c r="SVX350" s="50"/>
      <c r="SVY350" s="50"/>
      <c r="SVZ350" s="50"/>
      <c r="SWA350" s="50"/>
      <c r="SWB350" s="50"/>
      <c r="SWC350" s="50"/>
      <c r="SWD350" s="50"/>
      <c r="SWE350" s="50"/>
      <c r="SWF350" s="50"/>
      <c r="SWG350" s="50"/>
      <c r="SWH350" s="50"/>
      <c r="SWI350" s="50"/>
      <c r="SWJ350" s="50"/>
      <c r="SWK350" s="50"/>
      <c r="SWL350" s="50"/>
      <c r="SWM350" s="50"/>
      <c r="SWN350" s="50"/>
      <c r="SWO350" s="50"/>
      <c r="SWP350" s="50"/>
      <c r="SWQ350" s="50"/>
      <c r="SWR350" s="50"/>
      <c r="SWS350" s="50"/>
      <c r="SWT350" s="50"/>
      <c r="SWU350" s="50"/>
      <c r="SWV350" s="50"/>
      <c r="SWW350" s="50"/>
      <c r="SWX350" s="50"/>
      <c r="SWY350" s="50"/>
      <c r="SWZ350" s="50"/>
      <c r="SXA350" s="50"/>
      <c r="SXB350" s="50"/>
      <c r="SXC350" s="50"/>
      <c r="SXD350" s="50"/>
      <c r="SXE350" s="50"/>
      <c r="SXF350" s="50"/>
      <c r="SXG350" s="50"/>
      <c r="SXH350" s="50"/>
      <c r="SXI350" s="50"/>
      <c r="SXJ350" s="50"/>
      <c r="SXK350" s="50"/>
      <c r="SXL350" s="50"/>
      <c r="SXM350" s="50"/>
      <c r="SXN350" s="50"/>
      <c r="SXO350" s="50"/>
      <c r="SXP350" s="50"/>
      <c r="SXQ350" s="50"/>
      <c r="SXR350" s="50"/>
      <c r="SXS350" s="50"/>
      <c r="SXT350" s="50"/>
      <c r="SXU350" s="50"/>
      <c r="SXV350" s="50"/>
      <c r="SXW350" s="50"/>
      <c r="SXX350" s="50"/>
      <c r="SXY350" s="50"/>
      <c r="SXZ350" s="50"/>
      <c r="SYA350" s="50"/>
      <c r="SYB350" s="50"/>
      <c r="SYC350" s="50"/>
      <c r="SYD350" s="50"/>
      <c r="SYE350" s="50"/>
      <c r="SYF350" s="50"/>
      <c r="SYG350" s="50"/>
      <c r="SYH350" s="50"/>
      <c r="SYI350" s="50"/>
      <c r="SYJ350" s="50"/>
      <c r="SYK350" s="50"/>
      <c r="SYL350" s="50"/>
      <c r="SYM350" s="50"/>
      <c r="SYN350" s="50"/>
      <c r="SYO350" s="50"/>
      <c r="SYP350" s="50"/>
      <c r="SYQ350" s="50"/>
      <c r="SYR350" s="50"/>
      <c r="SYS350" s="50"/>
      <c r="SYT350" s="50"/>
      <c r="SYU350" s="50"/>
      <c r="SYV350" s="50"/>
      <c r="SYW350" s="50"/>
      <c r="SYX350" s="50"/>
      <c r="SYY350" s="50"/>
      <c r="SYZ350" s="50"/>
      <c r="SZA350" s="50"/>
      <c r="SZB350" s="50"/>
      <c r="SZC350" s="50"/>
      <c r="SZD350" s="50"/>
      <c r="SZE350" s="50"/>
      <c r="SZF350" s="50"/>
      <c r="SZG350" s="50"/>
      <c r="SZH350" s="50"/>
      <c r="SZI350" s="50"/>
      <c r="SZJ350" s="50"/>
      <c r="SZK350" s="50"/>
      <c r="SZL350" s="50"/>
      <c r="SZM350" s="50"/>
      <c r="SZN350" s="50"/>
      <c r="SZO350" s="50"/>
      <c r="SZP350" s="50"/>
      <c r="SZQ350" s="50"/>
      <c r="SZR350" s="50"/>
      <c r="SZS350" s="50"/>
      <c r="SZT350" s="50"/>
      <c r="SZU350" s="50"/>
      <c r="SZV350" s="50"/>
      <c r="SZW350" s="50"/>
      <c r="SZX350" s="50"/>
      <c r="SZY350" s="50"/>
      <c r="SZZ350" s="50"/>
      <c r="TAA350" s="50"/>
      <c r="TAB350" s="50"/>
      <c r="TAC350" s="50"/>
      <c r="TAD350" s="50"/>
      <c r="TAE350" s="50"/>
      <c r="TAF350" s="50"/>
      <c r="TAG350" s="50"/>
      <c r="TAH350" s="50"/>
      <c r="TAI350" s="50"/>
      <c r="TAJ350" s="50"/>
      <c r="TAK350" s="50"/>
      <c r="TAL350" s="50"/>
      <c r="TAM350" s="50"/>
      <c r="TAN350" s="50"/>
      <c r="TAO350" s="50"/>
      <c r="TAP350" s="50"/>
      <c r="TAQ350" s="50"/>
      <c r="TAR350" s="50"/>
      <c r="TAS350" s="50"/>
      <c r="TAT350" s="50"/>
      <c r="TAU350" s="50"/>
      <c r="TAV350" s="50"/>
      <c r="TAW350" s="50"/>
      <c r="TAX350" s="50"/>
      <c r="TAY350" s="50"/>
      <c r="TAZ350" s="50"/>
      <c r="TBA350" s="50"/>
      <c r="TBB350" s="50"/>
      <c r="TBC350" s="50"/>
      <c r="TBD350" s="50"/>
      <c r="TBE350" s="50"/>
      <c r="TBF350" s="50"/>
      <c r="TBG350" s="50"/>
      <c r="TBH350" s="50"/>
      <c r="TBI350" s="50"/>
      <c r="TBJ350" s="50"/>
      <c r="TBK350" s="50"/>
      <c r="TBL350" s="50"/>
      <c r="TBM350" s="50"/>
      <c r="TBN350" s="50"/>
      <c r="TBO350" s="50"/>
      <c r="TBP350" s="50"/>
      <c r="TBQ350" s="50"/>
      <c r="TBR350" s="50"/>
      <c r="TBS350" s="50"/>
      <c r="TBT350" s="50"/>
      <c r="TBU350" s="50"/>
      <c r="TBV350" s="50"/>
      <c r="TBW350" s="50"/>
      <c r="TBX350" s="50"/>
      <c r="TBY350" s="50"/>
      <c r="TBZ350" s="50"/>
      <c r="TCA350" s="50"/>
      <c r="TCB350" s="50"/>
      <c r="TCC350" s="50"/>
      <c r="TCD350" s="50"/>
      <c r="TCE350" s="50"/>
      <c r="TCF350" s="50"/>
      <c r="TCG350" s="50"/>
      <c r="TCH350" s="50"/>
      <c r="TCI350" s="50"/>
      <c r="TCJ350" s="50"/>
      <c r="TCK350" s="50"/>
      <c r="TCL350" s="50"/>
      <c r="TCM350" s="50"/>
      <c r="TCN350" s="50"/>
      <c r="TCO350" s="50"/>
      <c r="TCP350" s="50"/>
      <c r="TCQ350" s="50"/>
      <c r="TCR350" s="50"/>
      <c r="TCS350" s="50"/>
      <c r="TCT350" s="50"/>
      <c r="TCU350" s="50"/>
      <c r="TCV350" s="50"/>
      <c r="TCW350" s="50"/>
      <c r="TCX350" s="50"/>
      <c r="TCY350" s="50"/>
      <c r="TCZ350" s="50"/>
      <c r="TDA350" s="50"/>
      <c r="TDB350" s="50"/>
      <c r="TDC350" s="50"/>
      <c r="TDD350" s="50"/>
      <c r="TDE350" s="50"/>
      <c r="TDF350" s="50"/>
      <c r="TDG350" s="50"/>
      <c r="TDH350" s="50"/>
      <c r="TDI350" s="50"/>
      <c r="TDJ350" s="50"/>
      <c r="TDK350" s="50"/>
      <c r="TDL350" s="50"/>
      <c r="TDM350" s="50"/>
      <c r="TDN350" s="50"/>
      <c r="TDO350" s="50"/>
      <c r="TDP350" s="50"/>
      <c r="TDQ350" s="50"/>
      <c r="TDR350" s="50"/>
      <c r="TDS350" s="50"/>
      <c r="TDT350" s="50"/>
      <c r="TDU350" s="50"/>
      <c r="TDV350" s="50"/>
      <c r="TDW350" s="50"/>
      <c r="TDX350" s="50"/>
      <c r="TDY350" s="50"/>
      <c r="TDZ350" s="50"/>
      <c r="TEA350" s="50"/>
      <c r="TEB350" s="50"/>
      <c r="TEC350" s="50"/>
      <c r="TED350" s="50"/>
      <c r="TEE350" s="50"/>
      <c r="TEF350" s="50"/>
      <c r="TEG350" s="50"/>
      <c r="TEH350" s="50"/>
      <c r="TEI350" s="50"/>
      <c r="TEJ350" s="50"/>
      <c r="TEK350" s="50"/>
      <c r="TEL350" s="50"/>
      <c r="TEM350" s="50"/>
      <c r="TEN350" s="50"/>
      <c r="TEO350" s="50"/>
      <c r="TEP350" s="50"/>
      <c r="TEQ350" s="50"/>
      <c r="TER350" s="50"/>
      <c r="TES350" s="50"/>
      <c r="TET350" s="50"/>
      <c r="TEU350" s="50"/>
      <c r="TEV350" s="50"/>
      <c r="TEW350" s="50"/>
      <c r="TEX350" s="50"/>
      <c r="TEY350" s="50"/>
      <c r="TEZ350" s="50"/>
      <c r="TFA350" s="50"/>
      <c r="TFB350" s="50"/>
      <c r="TFC350" s="50"/>
      <c r="TFD350" s="50"/>
      <c r="TFE350" s="50"/>
      <c r="TFF350" s="50"/>
      <c r="TFG350" s="50"/>
      <c r="TFH350" s="50"/>
      <c r="TFI350" s="50"/>
      <c r="TFJ350" s="50"/>
      <c r="TFK350" s="50"/>
      <c r="TFL350" s="50"/>
      <c r="TFM350" s="50"/>
      <c r="TFN350" s="50"/>
      <c r="TFO350" s="50"/>
      <c r="TFP350" s="50"/>
      <c r="TFQ350" s="50"/>
      <c r="TFR350" s="50"/>
      <c r="TFS350" s="50"/>
      <c r="TFT350" s="50"/>
      <c r="TFU350" s="50"/>
      <c r="TFV350" s="50"/>
      <c r="TFW350" s="50"/>
      <c r="TFX350" s="50"/>
      <c r="TFY350" s="50"/>
      <c r="TFZ350" s="50"/>
      <c r="TGA350" s="50"/>
      <c r="TGB350" s="50"/>
      <c r="TGC350" s="50"/>
      <c r="TGD350" s="50"/>
      <c r="TGE350" s="50"/>
      <c r="TGF350" s="50"/>
      <c r="TGG350" s="50"/>
      <c r="TGH350" s="50"/>
      <c r="TGI350" s="50"/>
      <c r="TGJ350" s="50"/>
      <c r="TGK350" s="50"/>
      <c r="TGL350" s="50"/>
      <c r="TGM350" s="50"/>
      <c r="TGN350" s="50"/>
      <c r="TGO350" s="50"/>
      <c r="TGP350" s="50"/>
      <c r="TGQ350" s="50"/>
      <c r="TGR350" s="50"/>
      <c r="TGS350" s="50"/>
      <c r="TGT350" s="50"/>
      <c r="TGU350" s="50"/>
      <c r="TGV350" s="50"/>
      <c r="TGW350" s="50"/>
      <c r="TGX350" s="50"/>
      <c r="TGY350" s="50"/>
      <c r="TGZ350" s="50"/>
      <c r="THA350" s="50"/>
      <c r="THB350" s="50"/>
      <c r="THC350" s="50"/>
      <c r="THD350" s="50"/>
      <c r="THE350" s="50"/>
      <c r="THF350" s="50"/>
      <c r="THG350" s="50"/>
      <c r="THH350" s="50"/>
      <c r="THI350" s="50"/>
      <c r="THJ350" s="50"/>
      <c r="THK350" s="50"/>
      <c r="THL350" s="50"/>
      <c r="THM350" s="50"/>
      <c r="THN350" s="50"/>
      <c r="THO350" s="50"/>
      <c r="THP350" s="50"/>
      <c r="THQ350" s="50"/>
      <c r="THR350" s="50"/>
      <c r="THS350" s="50"/>
      <c r="THT350" s="50"/>
      <c r="THU350" s="50"/>
      <c r="THV350" s="50"/>
      <c r="THW350" s="50"/>
      <c r="THX350" s="50"/>
      <c r="THY350" s="50"/>
      <c r="THZ350" s="50"/>
      <c r="TIA350" s="50"/>
      <c r="TIB350" s="50"/>
      <c r="TIC350" s="50"/>
      <c r="TID350" s="50"/>
      <c r="TIE350" s="50"/>
      <c r="TIF350" s="50"/>
      <c r="TIG350" s="50"/>
      <c r="TIH350" s="50"/>
      <c r="TII350" s="50"/>
      <c r="TIJ350" s="50"/>
      <c r="TIK350" s="50"/>
      <c r="TIL350" s="50"/>
      <c r="TIM350" s="50"/>
      <c r="TIN350" s="50"/>
      <c r="TIO350" s="50"/>
      <c r="TIP350" s="50"/>
      <c r="TIQ350" s="50"/>
      <c r="TIR350" s="50"/>
      <c r="TIS350" s="50"/>
      <c r="TIT350" s="50"/>
      <c r="TIU350" s="50"/>
      <c r="TIV350" s="50"/>
      <c r="TIW350" s="50"/>
      <c r="TIX350" s="50"/>
      <c r="TIY350" s="50"/>
      <c r="TIZ350" s="50"/>
      <c r="TJA350" s="50"/>
      <c r="TJB350" s="50"/>
      <c r="TJC350" s="50"/>
      <c r="TJD350" s="50"/>
      <c r="TJE350" s="50"/>
      <c r="TJF350" s="50"/>
      <c r="TJG350" s="50"/>
      <c r="TJH350" s="50"/>
      <c r="TJI350" s="50"/>
      <c r="TJJ350" s="50"/>
      <c r="TJK350" s="50"/>
      <c r="TJL350" s="50"/>
      <c r="TJM350" s="50"/>
      <c r="TJN350" s="50"/>
      <c r="TJO350" s="50"/>
      <c r="TJP350" s="50"/>
      <c r="TJQ350" s="50"/>
      <c r="TJR350" s="50"/>
      <c r="TJS350" s="50"/>
      <c r="TJT350" s="50"/>
      <c r="TJU350" s="50"/>
      <c r="TJV350" s="50"/>
      <c r="TJW350" s="50"/>
      <c r="TJX350" s="50"/>
      <c r="TJY350" s="50"/>
      <c r="TJZ350" s="50"/>
      <c r="TKA350" s="50"/>
      <c r="TKB350" s="50"/>
      <c r="TKC350" s="50"/>
      <c r="TKD350" s="50"/>
      <c r="TKE350" s="50"/>
      <c r="TKF350" s="50"/>
      <c r="TKG350" s="50"/>
      <c r="TKH350" s="50"/>
      <c r="TKI350" s="50"/>
      <c r="TKJ350" s="50"/>
      <c r="TKK350" s="50"/>
      <c r="TKL350" s="50"/>
      <c r="TKM350" s="50"/>
      <c r="TKN350" s="50"/>
      <c r="TKO350" s="50"/>
      <c r="TKP350" s="50"/>
      <c r="TKQ350" s="50"/>
      <c r="TKR350" s="50"/>
      <c r="TKS350" s="50"/>
      <c r="TKT350" s="50"/>
      <c r="TKU350" s="50"/>
      <c r="TKV350" s="50"/>
      <c r="TKW350" s="50"/>
      <c r="TKX350" s="50"/>
      <c r="TKY350" s="50"/>
      <c r="TKZ350" s="50"/>
      <c r="TLA350" s="50"/>
      <c r="TLB350" s="50"/>
      <c r="TLC350" s="50"/>
      <c r="TLD350" s="50"/>
      <c r="TLE350" s="50"/>
      <c r="TLF350" s="50"/>
      <c r="TLG350" s="50"/>
      <c r="TLH350" s="50"/>
      <c r="TLI350" s="50"/>
      <c r="TLJ350" s="50"/>
      <c r="TLK350" s="50"/>
      <c r="TLL350" s="50"/>
      <c r="TLM350" s="50"/>
      <c r="TLN350" s="50"/>
      <c r="TLO350" s="50"/>
      <c r="TLP350" s="50"/>
      <c r="TLQ350" s="50"/>
      <c r="TLR350" s="50"/>
      <c r="TLS350" s="50"/>
      <c r="TLT350" s="50"/>
      <c r="TLU350" s="50"/>
      <c r="TLV350" s="50"/>
      <c r="TLW350" s="50"/>
      <c r="TLX350" s="50"/>
      <c r="TLY350" s="50"/>
      <c r="TLZ350" s="50"/>
      <c r="TMA350" s="50"/>
      <c r="TMB350" s="50"/>
      <c r="TMC350" s="50"/>
      <c r="TMD350" s="50"/>
      <c r="TME350" s="50"/>
      <c r="TMF350" s="50"/>
      <c r="TMG350" s="50"/>
      <c r="TMH350" s="50"/>
      <c r="TMI350" s="50"/>
      <c r="TMJ350" s="50"/>
      <c r="TMK350" s="50"/>
      <c r="TML350" s="50"/>
      <c r="TMM350" s="50"/>
      <c r="TMN350" s="50"/>
      <c r="TMO350" s="50"/>
      <c r="TMP350" s="50"/>
      <c r="TMQ350" s="50"/>
      <c r="TMR350" s="50"/>
      <c r="TMS350" s="50"/>
      <c r="TMT350" s="50"/>
      <c r="TMU350" s="50"/>
      <c r="TMV350" s="50"/>
      <c r="TMW350" s="50"/>
      <c r="TMX350" s="50"/>
      <c r="TMY350" s="50"/>
      <c r="TMZ350" s="50"/>
      <c r="TNA350" s="50"/>
      <c r="TNB350" s="50"/>
      <c r="TNC350" s="50"/>
      <c r="TND350" s="50"/>
      <c r="TNE350" s="50"/>
      <c r="TNF350" s="50"/>
      <c r="TNG350" s="50"/>
      <c r="TNH350" s="50"/>
      <c r="TNI350" s="50"/>
      <c r="TNJ350" s="50"/>
      <c r="TNK350" s="50"/>
      <c r="TNL350" s="50"/>
      <c r="TNM350" s="50"/>
      <c r="TNN350" s="50"/>
      <c r="TNO350" s="50"/>
      <c r="TNP350" s="50"/>
      <c r="TNQ350" s="50"/>
      <c r="TNR350" s="50"/>
      <c r="TNS350" s="50"/>
      <c r="TNT350" s="50"/>
      <c r="TNU350" s="50"/>
      <c r="TNV350" s="50"/>
      <c r="TNW350" s="50"/>
      <c r="TNX350" s="50"/>
      <c r="TNY350" s="50"/>
      <c r="TNZ350" s="50"/>
      <c r="TOA350" s="50"/>
      <c r="TOB350" s="50"/>
      <c r="TOC350" s="50"/>
      <c r="TOD350" s="50"/>
      <c r="TOE350" s="50"/>
      <c r="TOF350" s="50"/>
      <c r="TOG350" s="50"/>
      <c r="TOH350" s="50"/>
      <c r="TOI350" s="50"/>
      <c r="TOJ350" s="50"/>
      <c r="TOK350" s="50"/>
      <c r="TOL350" s="50"/>
      <c r="TOM350" s="50"/>
      <c r="TON350" s="50"/>
      <c r="TOO350" s="50"/>
      <c r="TOP350" s="50"/>
      <c r="TOQ350" s="50"/>
      <c r="TOR350" s="50"/>
      <c r="TOS350" s="50"/>
      <c r="TOT350" s="50"/>
      <c r="TOU350" s="50"/>
      <c r="TOV350" s="50"/>
      <c r="TOW350" s="50"/>
      <c r="TOX350" s="50"/>
      <c r="TOY350" s="50"/>
      <c r="TOZ350" s="50"/>
      <c r="TPA350" s="50"/>
      <c r="TPB350" s="50"/>
      <c r="TPC350" s="50"/>
      <c r="TPD350" s="50"/>
      <c r="TPE350" s="50"/>
      <c r="TPF350" s="50"/>
      <c r="TPG350" s="50"/>
      <c r="TPH350" s="50"/>
      <c r="TPI350" s="50"/>
      <c r="TPJ350" s="50"/>
      <c r="TPK350" s="50"/>
      <c r="TPL350" s="50"/>
      <c r="TPM350" s="50"/>
      <c r="TPN350" s="50"/>
      <c r="TPO350" s="50"/>
      <c r="TPP350" s="50"/>
      <c r="TPQ350" s="50"/>
      <c r="TPR350" s="50"/>
      <c r="TPS350" s="50"/>
      <c r="TPT350" s="50"/>
      <c r="TPU350" s="50"/>
      <c r="TPV350" s="50"/>
      <c r="TPW350" s="50"/>
      <c r="TPX350" s="50"/>
      <c r="TPY350" s="50"/>
      <c r="TPZ350" s="50"/>
      <c r="TQA350" s="50"/>
      <c r="TQB350" s="50"/>
      <c r="TQC350" s="50"/>
      <c r="TQD350" s="50"/>
      <c r="TQE350" s="50"/>
      <c r="TQF350" s="50"/>
      <c r="TQG350" s="50"/>
      <c r="TQH350" s="50"/>
      <c r="TQI350" s="50"/>
      <c r="TQJ350" s="50"/>
      <c r="TQK350" s="50"/>
      <c r="TQL350" s="50"/>
      <c r="TQM350" s="50"/>
      <c r="TQN350" s="50"/>
      <c r="TQO350" s="50"/>
      <c r="TQP350" s="50"/>
      <c r="TQQ350" s="50"/>
      <c r="TQR350" s="50"/>
      <c r="TQS350" s="50"/>
      <c r="TQT350" s="50"/>
      <c r="TQU350" s="50"/>
      <c r="TQV350" s="50"/>
      <c r="TQW350" s="50"/>
      <c r="TQX350" s="50"/>
      <c r="TQY350" s="50"/>
      <c r="TQZ350" s="50"/>
      <c r="TRA350" s="50"/>
      <c r="TRB350" s="50"/>
      <c r="TRC350" s="50"/>
      <c r="TRD350" s="50"/>
      <c r="TRE350" s="50"/>
      <c r="TRF350" s="50"/>
      <c r="TRG350" s="50"/>
      <c r="TRH350" s="50"/>
      <c r="TRI350" s="50"/>
      <c r="TRJ350" s="50"/>
      <c r="TRK350" s="50"/>
      <c r="TRL350" s="50"/>
      <c r="TRM350" s="50"/>
      <c r="TRN350" s="50"/>
      <c r="TRO350" s="50"/>
      <c r="TRP350" s="50"/>
      <c r="TRQ350" s="50"/>
      <c r="TRR350" s="50"/>
      <c r="TRS350" s="50"/>
      <c r="TRT350" s="50"/>
      <c r="TRU350" s="50"/>
      <c r="TRV350" s="50"/>
      <c r="TRW350" s="50"/>
      <c r="TRX350" s="50"/>
      <c r="TRY350" s="50"/>
      <c r="TRZ350" s="50"/>
      <c r="TSA350" s="50"/>
      <c r="TSB350" s="50"/>
      <c r="TSC350" s="50"/>
      <c r="TSD350" s="50"/>
      <c r="TSE350" s="50"/>
      <c r="TSF350" s="50"/>
      <c r="TSG350" s="50"/>
      <c r="TSH350" s="50"/>
      <c r="TSI350" s="50"/>
      <c r="TSJ350" s="50"/>
      <c r="TSK350" s="50"/>
      <c r="TSL350" s="50"/>
      <c r="TSM350" s="50"/>
      <c r="TSN350" s="50"/>
      <c r="TSO350" s="50"/>
      <c r="TSP350" s="50"/>
      <c r="TSQ350" s="50"/>
      <c r="TSR350" s="50"/>
      <c r="TSS350" s="50"/>
      <c r="TST350" s="50"/>
      <c r="TSU350" s="50"/>
      <c r="TSV350" s="50"/>
      <c r="TSW350" s="50"/>
      <c r="TSX350" s="50"/>
      <c r="TSY350" s="50"/>
      <c r="TSZ350" s="50"/>
      <c r="TTA350" s="50"/>
      <c r="TTB350" s="50"/>
      <c r="TTC350" s="50"/>
      <c r="TTD350" s="50"/>
      <c r="TTE350" s="50"/>
      <c r="TTF350" s="50"/>
      <c r="TTG350" s="50"/>
      <c r="TTH350" s="50"/>
      <c r="TTI350" s="50"/>
      <c r="TTJ350" s="50"/>
      <c r="TTK350" s="50"/>
      <c r="TTL350" s="50"/>
      <c r="TTM350" s="50"/>
      <c r="TTN350" s="50"/>
      <c r="TTO350" s="50"/>
      <c r="TTP350" s="50"/>
      <c r="TTQ350" s="50"/>
      <c r="TTR350" s="50"/>
      <c r="TTS350" s="50"/>
      <c r="TTT350" s="50"/>
      <c r="TTU350" s="50"/>
      <c r="TTV350" s="50"/>
      <c r="TTW350" s="50"/>
      <c r="TTX350" s="50"/>
      <c r="TTY350" s="50"/>
      <c r="TTZ350" s="50"/>
      <c r="TUA350" s="50"/>
      <c r="TUB350" s="50"/>
      <c r="TUC350" s="50"/>
      <c r="TUD350" s="50"/>
      <c r="TUE350" s="50"/>
      <c r="TUF350" s="50"/>
      <c r="TUG350" s="50"/>
      <c r="TUH350" s="50"/>
      <c r="TUI350" s="50"/>
      <c r="TUJ350" s="50"/>
      <c r="TUK350" s="50"/>
      <c r="TUL350" s="50"/>
      <c r="TUM350" s="50"/>
      <c r="TUN350" s="50"/>
      <c r="TUO350" s="50"/>
      <c r="TUP350" s="50"/>
      <c r="TUQ350" s="50"/>
      <c r="TUR350" s="50"/>
      <c r="TUS350" s="50"/>
      <c r="TUT350" s="50"/>
      <c r="TUU350" s="50"/>
      <c r="TUV350" s="50"/>
      <c r="TUW350" s="50"/>
      <c r="TUX350" s="50"/>
      <c r="TUY350" s="50"/>
      <c r="TUZ350" s="50"/>
      <c r="TVA350" s="50"/>
      <c r="TVB350" s="50"/>
      <c r="TVC350" s="50"/>
      <c r="TVD350" s="50"/>
      <c r="TVE350" s="50"/>
      <c r="TVF350" s="50"/>
      <c r="TVG350" s="50"/>
      <c r="TVH350" s="50"/>
      <c r="TVI350" s="50"/>
      <c r="TVJ350" s="50"/>
      <c r="TVK350" s="50"/>
      <c r="TVL350" s="50"/>
      <c r="TVM350" s="50"/>
      <c r="TVN350" s="50"/>
      <c r="TVO350" s="50"/>
      <c r="TVP350" s="50"/>
      <c r="TVQ350" s="50"/>
      <c r="TVR350" s="50"/>
      <c r="TVS350" s="50"/>
      <c r="TVT350" s="50"/>
      <c r="TVU350" s="50"/>
      <c r="TVV350" s="50"/>
      <c r="TVW350" s="50"/>
      <c r="TVX350" s="50"/>
      <c r="TVY350" s="50"/>
      <c r="TVZ350" s="50"/>
      <c r="TWA350" s="50"/>
      <c r="TWB350" s="50"/>
      <c r="TWC350" s="50"/>
      <c r="TWD350" s="50"/>
      <c r="TWE350" s="50"/>
      <c r="TWF350" s="50"/>
      <c r="TWG350" s="50"/>
      <c r="TWH350" s="50"/>
      <c r="TWI350" s="50"/>
      <c r="TWJ350" s="50"/>
      <c r="TWK350" s="50"/>
      <c r="TWL350" s="50"/>
      <c r="TWM350" s="50"/>
      <c r="TWN350" s="50"/>
      <c r="TWO350" s="50"/>
      <c r="TWP350" s="50"/>
      <c r="TWQ350" s="50"/>
      <c r="TWR350" s="50"/>
      <c r="TWS350" s="50"/>
      <c r="TWT350" s="50"/>
      <c r="TWU350" s="50"/>
      <c r="TWV350" s="50"/>
      <c r="TWW350" s="50"/>
      <c r="TWX350" s="50"/>
      <c r="TWY350" s="50"/>
      <c r="TWZ350" s="50"/>
      <c r="TXA350" s="50"/>
      <c r="TXB350" s="50"/>
      <c r="TXC350" s="50"/>
      <c r="TXD350" s="50"/>
      <c r="TXE350" s="50"/>
      <c r="TXF350" s="50"/>
      <c r="TXG350" s="50"/>
      <c r="TXH350" s="50"/>
      <c r="TXI350" s="50"/>
      <c r="TXJ350" s="50"/>
      <c r="TXK350" s="50"/>
      <c r="TXL350" s="50"/>
      <c r="TXM350" s="50"/>
      <c r="TXN350" s="50"/>
      <c r="TXO350" s="50"/>
      <c r="TXP350" s="50"/>
      <c r="TXQ350" s="50"/>
      <c r="TXR350" s="50"/>
      <c r="TXS350" s="50"/>
      <c r="TXT350" s="50"/>
      <c r="TXU350" s="50"/>
      <c r="TXV350" s="50"/>
      <c r="TXW350" s="50"/>
      <c r="TXX350" s="50"/>
      <c r="TXY350" s="50"/>
      <c r="TXZ350" s="50"/>
      <c r="TYA350" s="50"/>
      <c r="TYB350" s="50"/>
      <c r="TYC350" s="50"/>
      <c r="TYD350" s="50"/>
      <c r="TYE350" s="50"/>
      <c r="TYF350" s="50"/>
      <c r="TYG350" s="50"/>
      <c r="TYH350" s="50"/>
      <c r="TYI350" s="50"/>
      <c r="TYJ350" s="50"/>
      <c r="TYK350" s="50"/>
      <c r="TYL350" s="50"/>
      <c r="TYM350" s="50"/>
      <c r="TYN350" s="50"/>
      <c r="TYO350" s="50"/>
      <c r="TYP350" s="50"/>
      <c r="TYQ350" s="50"/>
      <c r="TYR350" s="50"/>
      <c r="TYS350" s="50"/>
      <c r="TYT350" s="50"/>
      <c r="TYU350" s="50"/>
      <c r="TYV350" s="50"/>
      <c r="TYW350" s="50"/>
      <c r="TYX350" s="50"/>
      <c r="TYY350" s="50"/>
      <c r="TYZ350" s="50"/>
      <c r="TZA350" s="50"/>
      <c r="TZB350" s="50"/>
      <c r="TZC350" s="50"/>
      <c r="TZD350" s="50"/>
      <c r="TZE350" s="50"/>
      <c r="TZF350" s="50"/>
      <c r="TZG350" s="50"/>
      <c r="TZH350" s="50"/>
      <c r="TZI350" s="50"/>
      <c r="TZJ350" s="50"/>
      <c r="TZK350" s="50"/>
      <c r="TZL350" s="50"/>
      <c r="TZM350" s="50"/>
      <c r="TZN350" s="50"/>
      <c r="TZO350" s="50"/>
      <c r="TZP350" s="50"/>
      <c r="TZQ350" s="50"/>
      <c r="TZR350" s="50"/>
      <c r="TZS350" s="50"/>
      <c r="TZT350" s="50"/>
      <c r="TZU350" s="50"/>
      <c r="TZV350" s="50"/>
      <c r="TZW350" s="50"/>
      <c r="TZX350" s="50"/>
      <c r="TZY350" s="50"/>
      <c r="TZZ350" s="50"/>
      <c r="UAA350" s="50"/>
      <c r="UAB350" s="50"/>
      <c r="UAC350" s="50"/>
      <c r="UAD350" s="50"/>
      <c r="UAE350" s="50"/>
      <c r="UAF350" s="50"/>
      <c r="UAG350" s="50"/>
      <c r="UAH350" s="50"/>
      <c r="UAI350" s="50"/>
      <c r="UAJ350" s="50"/>
      <c r="UAK350" s="50"/>
      <c r="UAL350" s="50"/>
      <c r="UAM350" s="50"/>
      <c r="UAN350" s="50"/>
      <c r="UAO350" s="50"/>
      <c r="UAP350" s="50"/>
      <c r="UAQ350" s="50"/>
      <c r="UAR350" s="50"/>
      <c r="UAS350" s="50"/>
      <c r="UAT350" s="50"/>
      <c r="UAU350" s="50"/>
      <c r="UAV350" s="50"/>
      <c r="UAW350" s="50"/>
      <c r="UAX350" s="50"/>
      <c r="UAY350" s="50"/>
      <c r="UAZ350" s="50"/>
      <c r="UBA350" s="50"/>
      <c r="UBB350" s="50"/>
      <c r="UBC350" s="50"/>
      <c r="UBD350" s="50"/>
      <c r="UBE350" s="50"/>
      <c r="UBF350" s="50"/>
      <c r="UBG350" s="50"/>
      <c r="UBH350" s="50"/>
      <c r="UBI350" s="50"/>
      <c r="UBJ350" s="50"/>
      <c r="UBK350" s="50"/>
      <c r="UBL350" s="50"/>
      <c r="UBM350" s="50"/>
      <c r="UBN350" s="50"/>
      <c r="UBO350" s="50"/>
      <c r="UBP350" s="50"/>
      <c r="UBQ350" s="50"/>
      <c r="UBR350" s="50"/>
      <c r="UBS350" s="50"/>
      <c r="UBT350" s="50"/>
      <c r="UBU350" s="50"/>
      <c r="UBV350" s="50"/>
      <c r="UBW350" s="50"/>
      <c r="UBX350" s="50"/>
      <c r="UBY350" s="50"/>
      <c r="UBZ350" s="50"/>
      <c r="UCA350" s="50"/>
      <c r="UCB350" s="50"/>
      <c r="UCC350" s="50"/>
      <c r="UCD350" s="50"/>
      <c r="UCE350" s="50"/>
      <c r="UCF350" s="50"/>
      <c r="UCG350" s="50"/>
      <c r="UCH350" s="50"/>
      <c r="UCI350" s="50"/>
      <c r="UCJ350" s="50"/>
      <c r="UCK350" s="50"/>
      <c r="UCL350" s="50"/>
      <c r="UCM350" s="50"/>
      <c r="UCN350" s="50"/>
      <c r="UCO350" s="50"/>
      <c r="UCP350" s="50"/>
      <c r="UCQ350" s="50"/>
      <c r="UCR350" s="50"/>
      <c r="UCS350" s="50"/>
      <c r="UCT350" s="50"/>
      <c r="UCU350" s="50"/>
      <c r="UCV350" s="50"/>
      <c r="UCW350" s="50"/>
      <c r="UCX350" s="50"/>
      <c r="UCY350" s="50"/>
      <c r="UCZ350" s="50"/>
      <c r="UDA350" s="50"/>
      <c r="UDB350" s="50"/>
      <c r="UDC350" s="50"/>
      <c r="UDD350" s="50"/>
      <c r="UDE350" s="50"/>
      <c r="UDF350" s="50"/>
      <c r="UDG350" s="50"/>
      <c r="UDH350" s="50"/>
      <c r="UDI350" s="50"/>
      <c r="UDJ350" s="50"/>
      <c r="UDK350" s="50"/>
      <c r="UDL350" s="50"/>
      <c r="UDM350" s="50"/>
      <c r="UDN350" s="50"/>
      <c r="UDO350" s="50"/>
      <c r="UDP350" s="50"/>
      <c r="UDQ350" s="50"/>
      <c r="UDR350" s="50"/>
      <c r="UDS350" s="50"/>
      <c r="UDT350" s="50"/>
      <c r="UDU350" s="50"/>
      <c r="UDV350" s="50"/>
      <c r="UDW350" s="50"/>
      <c r="UDX350" s="50"/>
      <c r="UDY350" s="50"/>
      <c r="UDZ350" s="50"/>
      <c r="UEA350" s="50"/>
      <c r="UEB350" s="50"/>
      <c r="UEC350" s="50"/>
      <c r="UED350" s="50"/>
      <c r="UEE350" s="50"/>
      <c r="UEF350" s="50"/>
      <c r="UEG350" s="50"/>
      <c r="UEH350" s="50"/>
      <c r="UEI350" s="50"/>
      <c r="UEJ350" s="50"/>
      <c r="UEK350" s="50"/>
      <c r="UEL350" s="50"/>
      <c r="UEM350" s="50"/>
      <c r="UEN350" s="50"/>
      <c r="UEO350" s="50"/>
      <c r="UEP350" s="50"/>
      <c r="UEQ350" s="50"/>
      <c r="UER350" s="50"/>
      <c r="UES350" s="50"/>
      <c r="UET350" s="50"/>
      <c r="UEU350" s="50"/>
      <c r="UEV350" s="50"/>
      <c r="UEW350" s="50"/>
      <c r="UEX350" s="50"/>
      <c r="UEY350" s="50"/>
      <c r="UEZ350" s="50"/>
      <c r="UFA350" s="50"/>
      <c r="UFB350" s="50"/>
      <c r="UFC350" s="50"/>
      <c r="UFD350" s="50"/>
      <c r="UFE350" s="50"/>
      <c r="UFF350" s="50"/>
      <c r="UFG350" s="50"/>
      <c r="UFH350" s="50"/>
      <c r="UFI350" s="50"/>
      <c r="UFJ350" s="50"/>
      <c r="UFK350" s="50"/>
      <c r="UFL350" s="50"/>
      <c r="UFM350" s="50"/>
      <c r="UFN350" s="50"/>
      <c r="UFO350" s="50"/>
      <c r="UFP350" s="50"/>
      <c r="UFQ350" s="50"/>
      <c r="UFR350" s="50"/>
      <c r="UFS350" s="50"/>
      <c r="UFT350" s="50"/>
      <c r="UFU350" s="50"/>
      <c r="UFV350" s="50"/>
      <c r="UFW350" s="50"/>
      <c r="UFX350" s="50"/>
      <c r="UFY350" s="50"/>
      <c r="UFZ350" s="50"/>
      <c r="UGA350" s="50"/>
      <c r="UGB350" s="50"/>
      <c r="UGC350" s="50"/>
      <c r="UGD350" s="50"/>
      <c r="UGE350" s="50"/>
      <c r="UGF350" s="50"/>
      <c r="UGG350" s="50"/>
      <c r="UGH350" s="50"/>
      <c r="UGI350" s="50"/>
      <c r="UGJ350" s="50"/>
      <c r="UGK350" s="50"/>
      <c r="UGL350" s="50"/>
      <c r="UGM350" s="50"/>
      <c r="UGN350" s="50"/>
      <c r="UGO350" s="50"/>
      <c r="UGP350" s="50"/>
      <c r="UGQ350" s="50"/>
      <c r="UGR350" s="50"/>
      <c r="UGS350" s="50"/>
      <c r="UGT350" s="50"/>
      <c r="UGU350" s="50"/>
      <c r="UGV350" s="50"/>
      <c r="UGW350" s="50"/>
      <c r="UGX350" s="50"/>
      <c r="UGY350" s="50"/>
      <c r="UGZ350" s="50"/>
      <c r="UHA350" s="50"/>
      <c r="UHB350" s="50"/>
      <c r="UHC350" s="50"/>
      <c r="UHD350" s="50"/>
      <c r="UHE350" s="50"/>
      <c r="UHF350" s="50"/>
      <c r="UHG350" s="50"/>
      <c r="UHH350" s="50"/>
      <c r="UHI350" s="50"/>
      <c r="UHJ350" s="50"/>
      <c r="UHK350" s="50"/>
      <c r="UHL350" s="50"/>
      <c r="UHM350" s="50"/>
      <c r="UHN350" s="50"/>
      <c r="UHO350" s="50"/>
      <c r="UHP350" s="50"/>
      <c r="UHQ350" s="50"/>
      <c r="UHR350" s="50"/>
      <c r="UHS350" s="50"/>
      <c r="UHT350" s="50"/>
      <c r="UHU350" s="50"/>
      <c r="UHV350" s="50"/>
      <c r="UHW350" s="50"/>
      <c r="UHX350" s="50"/>
      <c r="UHY350" s="50"/>
      <c r="UHZ350" s="50"/>
      <c r="UIA350" s="50"/>
      <c r="UIB350" s="50"/>
      <c r="UIC350" s="50"/>
      <c r="UID350" s="50"/>
      <c r="UIE350" s="50"/>
      <c r="UIF350" s="50"/>
      <c r="UIG350" s="50"/>
      <c r="UIH350" s="50"/>
      <c r="UII350" s="50"/>
      <c r="UIJ350" s="50"/>
      <c r="UIK350" s="50"/>
      <c r="UIL350" s="50"/>
      <c r="UIM350" s="50"/>
      <c r="UIN350" s="50"/>
      <c r="UIO350" s="50"/>
      <c r="UIP350" s="50"/>
      <c r="UIQ350" s="50"/>
      <c r="UIR350" s="50"/>
      <c r="UIS350" s="50"/>
      <c r="UIT350" s="50"/>
      <c r="UIU350" s="50"/>
      <c r="UIV350" s="50"/>
      <c r="UIW350" s="50"/>
      <c r="UIX350" s="50"/>
      <c r="UIY350" s="50"/>
      <c r="UIZ350" s="50"/>
      <c r="UJA350" s="50"/>
      <c r="UJB350" s="50"/>
      <c r="UJC350" s="50"/>
      <c r="UJD350" s="50"/>
      <c r="UJE350" s="50"/>
      <c r="UJF350" s="50"/>
      <c r="UJG350" s="50"/>
      <c r="UJH350" s="50"/>
      <c r="UJI350" s="50"/>
      <c r="UJJ350" s="50"/>
      <c r="UJK350" s="50"/>
      <c r="UJL350" s="50"/>
      <c r="UJM350" s="50"/>
      <c r="UJN350" s="50"/>
      <c r="UJO350" s="50"/>
      <c r="UJP350" s="50"/>
      <c r="UJQ350" s="50"/>
      <c r="UJR350" s="50"/>
      <c r="UJS350" s="50"/>
      <c r="UJT350" s="50"/>
      <c r="UJU350" s="50"/>
      <c r="UJV350" s="50"/>
      <c r="UJW350" s="50"/>
      <c r="UJX350" s="50"/>
      <c r="UJY350" s="50"/>
      <c r="UJZ350" s="50"/>
      <c r="UKA350" s="50"/>
      <c r="UKB350" s="50"/>
      <c r="UKC350" s="50"/>
      <c r="UKD350" s="50"/>
      <c r="UKE350" s="50"/>
      <c r="UKF350" s="50"/>
      <c r="UKG350" s="50"/>
      <c r="UKH350" s="50"/>
      <c r="UKI350" s="50"/>
      <c r="UKJ350" s="50"/>
      <c r="UKK350" s="50"/>
      <c r="UKL350" s="50"/>
      <c r="UKM350" s="50"/>
      <c r="UKN350" s="50"/>
      <c r="UKO350" s="50"/>
      <c r="UKP350" s="50"/>
      <c r="UKQ350" s="50"/>
      <c r="UKR350" s="50"/>
      <c r="UKS350" s="50"/>
      <c r="UKT350" s="50"/>
      <c r="UKU350" s="50"/>
      <c r="UKV350" s="50"/>
      <c r="UKW350" s="50"/>
      <c r="UKX350" s="50"/>
      <c r="UKY350" s="50"/>
      <c r="UKZ350" s="50"/>
      <c r="ULA350" s="50"/>
      <c r="ULB350" s="50"/>
      <c r="ULC350" s="50"/>
      <c r="ULD350" s="50"/>
      <c r="ULE350" s="50"/>
      <c r="ULF350" s="50"/>
      <c r="ULG350" s="50"/>
      <c r="ULH350" s="50"/>
      <c r="ULI350" s="50"/>
      <c r="ULJ350" s="50"/>
      <c r="ULK350" s="50"/>
      <c r="ULL350" s="50"/>
      <c r="ULM350" s="50"/>
      <c r="ULN350" s="50"/>
      <c r="ULO350" s="50"/>
      <c r="ULP350" s="50"/>
      <c r="ULQ350" s="50"/>
      <c r="ULR350" s="50"/>
      <c r="ULS350" s="50"/>
      <c r="ULT350" s="50"/>
      <c r="ULU350" s="50"/>
      <c r="ULV350" s="50"/>
      <c r="ULW350" s="50"/>
      <c r="ULX350" s="50"/>
      <c r="ULY350" s="50"/>
      <c r="ULZ350" s="50"/>
      <c r="UMA350" s="50"/>
      <c r="UMB350" s="50"/>
      <c r="UMC350" s="50"/>
      <c r="UMD350" s="50"/>
      <c r="UME350" s="50"/>
      <c r="UMF350" s="50"/>
      <c r="UMG350" s="50"/>
      <c r="UMH350" s="50"/>
      <c r="UMI350" s="50"/>
      <c r="UMJ350" s="50"/>
      <c r="UMK350" s="50"/>
      <c r="UML350" s="50"/>
      <c r="UMM350" s="50"/>
      <c r="UMN350" s="50"/>
      <c r="UMO350" s="50"/>
      <c r="UMP350" s="50"/>
      <c r="UMQ350" s="50"/>
      <c r="UMR350" s="50"/>
      <c r="UMS350" s="50"/>
      <c r="UMT350" s="50"/>
      <c r="UMU350" s="50"/>
      <c r="UMV350" s="50"/>
      <c r="UMW350" s="50"/>
      <c r="UMX350" s="50"/>
      <c r="UMY350" s="50"/>
      <c r="UMZ350" s="50"/>
      <c r="UNA350" s="50"/>
      <c r="UNB350" s="50"/>
      <c r="UNC350" s="50"/>
      <c r="UND350" s="50"/>
      <c r="UNE350" s="50"/>
      <c r="UNF350" s="50"/>
      <c r="UNG350" s="50"/>
      <c r="UNH350" s="50"/>
      <c r="UNI350" s="50"/>
      <c r="UNJ350" s="50"/>
      <c r="UNK350" s="50"/>
      <c r="UNL350" s="50"/>
      <c r="UNM350" s="50"/>
      <c r="UNN350" s="50"/>
      <c r="UNO350" s="50"/>
      <c r="UNP350" s="50"/>
      <c r="UNQ350" s="50"/>
      <c r="UNR350" s="50"/>
      <c r="UNS350" s="50"/>
      <c r="UNT350" s="50"/>
      <c r="UNU350" s="50"/>
      <c r="UNV350" s="50"/>
      <c r="UNW350" s="50"/>
      <c r="UNX350" s="50"/>
      <c r="UNY350" s="50"/>
      <c r="UNZ350" s="50"/>
      <c r="UOA350" s="50"/>
      <c r="UOB350" s="50"/>
      <c r="UOC350" s="50"/>
      <c r="UOD350" s="50"/>
      <c r="UOE350" s="50"/>
      <c r="UOF350" s="50"/>
      <c r="UOG350" s="50"/>
      <c r="UOH350" s="50"/>
      <c r="UOI350" s="50"/>
      <c r="UOJ350" s="50"/>
      <c r="UOK350" s="50"/>
      <c r="UOL350" s="50"/>
      <c r="UOM350" s="50"/>
      <c r="UON350" s="50"/>
      <c r="UOO350" s="50"/>
      <c r="UOP350" s="50"/>
      <c r="UOQ350" s="50"/>
      <c r="UOR350" s="50"/>
      <c r="UOS350" s="50"/>
      <c r="UOT350" s="50"/>
      <c r="UOU350" s="50"/>
      <c r="UOV350" s="50"/>
      <c r="UOW350" s="50"/>
      <c r="UOX350" s="50"/>
      <c r="UOY350" s="50"/>
      <c r="UOZ350" s="50"/>
      <c r="UPA350" s="50"/>
      <c r="UPB350" s="50"/>
      <c r="UPC350" s="50"/>
      <c r="UPD350" s="50"/>
      <c r="UPE350" s="50"/>
      <c r="UPF350" s="50"/>
      <c r="UPG350" s="50"/>
      <c r="UPH350" s="50"/>
      <c r="UPI350" s="50"/>
      <c r="UPJ350" s="50"/>
      <c r="UPK350" s="50"/>
      <c r="UPL350" s="50"/>
      <c r="UPM350" s="50"/>
      <c r="UPN350" s="50"/>
      <c r="UPO350" s="50"/>
      <c r="UPP350" s="50"/>
      <c r="UPQ350" s="50"/>
      <c r="UPR350" s="50"/>
      <c r="UPS350" s="50"/>
      <c r="UPT350" s="50"/>
      <c r="UPU350" s="50"/>
      <c r="UPV350" s="50"/>
      <c r="UPW350" s="50"/>
      <c r="UPX350" s="50"/>
      <c r="UPY350" s="50"/>
      <c r="UPZ350" s="50"/>
      <c r="UQA350" s="50"/>
      <c r="UQB350" s="50"/>
      <c r="UQC350" s="50"/>
      <c r="UQD350" s="50"/>
      <c r="UQE350" s="50"/>
      <c r="UQF350" s="50"/>
      <c r="UQG350" s="50"/>
      <c r="UQH350" s="50"/>
      <c r="UQI350" s="50"/>
      <c r="UQJ350" s="50"/>
      <c r="UQK350" s="50"/>
      <c r="UQL350" s="50"/>
      <c r="UQM350" s="50"/>
      <c r="UQN350" s="50"/>
      <c r="UQO350" s="50"/>
      <c r="UQP350" s="50"/>
      <c r="UQQ350" s="50"/>
      <c r="UQR350" s="50"/>
      <c r="UQS350" s="50"/>
      <c r="UQT350" s="50"/>
      <c r="UQU350" s="50"/>
      <c r="UQV350" s="50"/>
      <c r="UQW350" s="50"/>
      <c r="UQX350" s="50"/>
      <c r="UQY350" s="50"/>
      <c r="UQZ350" s="50"/>
      <c r="URA350" s="50"/>
      <c r="URB350" s="50"/>
      <c r="URC350" s="50"/>
      <c r="URD350" s="50"/>
      <c r="URE350" s="50"/>
      <c r="URF350" s="50"/>
      <c r="URG350" s="50"/>
      <c r="URH350" s="50"/>
      <c r="URI350" s="50"/>
      <c r="URJ350" s="50"/>
      <c r="URK350" s="50"/>
      <c r="URL350" s="50"/>
      <c r="URM350" s="50"/>
      <c r="URN350" s="50"/>
      <c r="URO350" s="50"/>
      <c r="URP350" s="50"/>
      <c r="URQ350" s="50"/>
      <c r="URR350" s="50"/>
      <c r="URS350" s="50"/>
      <c r="URT350" s="50"/>
      <c r="URU350" s="50"/>
      <c r="URV350" s="50"/>
      <c r="URW350" s="50"/>
      <c r="URX350" s="50"/>
      <c r="URY350" s="50"/>
      <c r="URZ350" s="50"/>
      <c r="USA350" s="50"/>
      <c r="USB350" s="50"/>
      <c r="USC350" s="50"/>
      <c r="USD350" s="50"/>
      <c r="USE350" s="50"/>
      <c r="USF350" s="50"/>
      <c r="USG350" s="50"/>
      <c r="USH350" s="50"/>
      <c r="USI350" s="50"/>
      <c r="USJ350" s="50"/>
      <c r="USK350" s="50"/>
      <c r="USL350" s="50"/>
      <c r="USM350" s="50"/>
      <c r="USN350" s="50"/>
      <c r="USO350" s="50"/>
      <c r="USP350" s="50"/>
      <c r="USQ350" s="50"/>
      <c r="USR350" s="50"/>
      <c r="USS350" s="50"/>
      <c r="UST350" s="50"/>
      <c r="USU350" s="50"/>
      <c r="USV350" s="50"/>
      <c r="USW350" s="50"/>
      <c r="USX350" s="50"/>
      <c r="USY350" s="50"/>
      <c r="USZ350" s="50"/>
      <c r="UTA350" s="50"/>
      <c r="UTB350" s="50"/>
      <c r="UTC350" s="50"/>
      <c r="UTD350" s="50"/>
      <c r="UTE350" s="50"/>
      <c r="UTF350" s="50"/>
      <c r="UTG350" s="50"/>
      <c r="UTH350" s="50"/>
      <c r="UTI350" s="50"/>
      <c r="UTJ350" s="50"/>
      <c r="UTK350" s="50"/>
      <c r="UTL350" s="50"/>
      <c r="UTM350" s="50"/>
      <c r="UTN350" s="50"/>
      <c r="UTO350" s="50"/>
      <c r="UTP350" s="50"/>
      <c r="UTQ350" s="50"/>
      <c r="UTR350" s="50"/>
      <c r="UTS350" s="50"/>
      <c r="UTT350" s="50"/>
      <c r="UTU350" s="50"/>
      <c r="UTV350" s="50"/>
      <c r="UTW350" s="50"/>
      <c r="UTX350" s="50"/>
      <c r="UTY350" s="50"/>
      <c r="UTZ350" s="50"/>
      <c r="UUA350" s="50"/>
      <c r="UUB350" s="50"/>
      <c r="UUC350" s="50"/>
      <c r="UUD350" s="50"/>
      <c r="UUE350" s="50"/>
      <c r="UUF350" s="50"/>
      <c r="UUG350" s="50"/>
      <c r="UUH350" s="50"/>
      <c r="UUI350" s="50"/>
      <c r="UUJ350" s="50"/>
      <c r="UUK350" s="50"/>
      <c r="UUL350" s="50"/>
      <c r="UUM350" s="50"/>
      <c r="UUN350" s="50"/>
      <c r="UUO350" s="50"/>
      <c r="UUP350" s="50"/>
      <c r="UUQ350" s="50"/>
      <c r="UUR350" s="50"/>
      <c r="UUS350" s="50"/>
      <c r="UUT350" s="50"/>
      <c r="UUU350" s="50"/>
      <c r="UUV350" s="50"/>
      <c r="UUW350" s="50"/>
      <c r="UUX350" s="50"/>
      <c r="UUY350" s="50"/>
      <c r="UUZ350" s="50"/>
      <c r="UVA350" s="50"/>
      <c r="UVB350" s="50"/>
      <c r="UVC350" s="50"/>
      <c r="UVD350" s="50"/>
      <c r="UVE350" s="50"/>
      <c r="UVF350" s="50"/>
      <c r="UVG350" s="50"/>
      <c r="UVH350" s="50"/>
      <c r="UVI350" s="50"/>
      <c r="UVJ350" s="50"/>
      <c r="UVK350" s="50"/>
      <c r="UVL350" s="50"/>
      <c r="UVM350" s="50"/>
      <c r="UVN350" s="50"/>
      <c r="UVO350" s="50"/>
      <c r="UVP350" s="50"/>
      <c r="UVQ350" s="50"/>
      <c r="UVR350" s="50"/>
      <c r="UVS350" s="50"/>
      <c r="UVT350" s="50"/>
      <c r="UVU350" s="50"/>
      <c r="UVV350" s="50"/>
      <c r="UVW350" s="50"/>
      <c r="UVX350" s="50"/>
      <c r="UVY350" s="50"/>
      <c r="UVZ350" s="50"/>
      <c r="UWA350" s="50"/>
      <c r="UWB350" s="50"/>
      <c r="UWC350" s="50"/>
      <c r="UWD350" s="50"/>
      <c r="UWE350" s="50"/>
      <c r="UWF350" s="50"/>
      <c r="UWG350" s="50"/>
      <c r="UWH350" s="50"/>
      <c r="UWI350" s="50"/>
      <c r="UWJ350" s="50"/>
      <c r="UWK350" s="50"/>
      <c r="UWL350" s="50"/>
      <c r="UWM350" s="50"/>
      <c r="UWN350" s="50"/>
      <c r="UWO350" s="50"/>
      <c r="UWP350" s="50"/>
      <c r="UWQ350" s="50"/>
      <c r="UWR350" s="50"/>
      <c r="UWS350" s="50"/>
      <c r="UWT350" s="50"/>
      <c r="UWU350" s="50"/>
      <c r="UWV350" s="50"/>
      <c r="UWW350" s="50"/>
      <c r="UWX350" s="50"/>
      <c r="UWY350" s="50"/>
      <c r="UWZ350" s="50"/>
      <c r="UXA350" s="50"/>
      <c r="UXB350" s="50"/>
      <c r="UXC350" s="50"/>
      <c r="UXD350" s="50"/>
      <c r="UXE350" s="50"/>
      <c r="UXF350" s="50"/>
      <c r="UXG350" s="50"/>
      <c r="UXH350" s="50"/>
      <c r="UXI350" s="50"/>
      <c r="UXJ350" s="50"/>
      <c r="UXK350" s="50"/>
      <c r="UXL350" s="50"/>
      <c r="UXM350" s="50"/>
      <c r="UXN350" s="50"/>
      <c r="UXO350" s="50"/>
      <c r="UXP350" s="50"/>
      <c r="UXQ350" s="50"/>
      <c r="UXR350" s="50"/>
      <c r="UXS350" s="50"/>
      <c r="UXT350" s="50"/>
      <c r="UXU350" s="50"/>
      <c r="UXV350" s="50"/>
      <c r="UXW350" s="50"/>
      <c r="UXX350" s="50"/>
      <c r="UXY350" s="50"/>
      <c r="UXZ350" s="50"/>
      <c r="UYA350" s="50"/>
      <c r="UYB350" s="50"/>
      <c r="UYC350" s="50"/>
      <c r="UYD350" s="50"/>
      <c r="UYE350" s="50"/>
      <c r="UYF350" s="50"/>
      <c r="UYG350" s="50"/>
      <c r="UYH350" s="50"/>
      <c r="UYI350" s="50"/>
      <c r="UYJ350" s="50"/>
      <c r="UYK350" s="50"/>
      <c r="UYL350" s="50"/>
      <c r="UYM350" s="50"/>
      <c r="UYN350" s="50"/>
      <c r="UYO350" s="50"/>
      <c r="UYP350" s="50"/>
      <c r="UYQ350" s="50"/>
      <c r="UYR350" s="50"/>
      <c r="UYS350" s="50"/>
      <c r="UYT350" s="50"/>
      <c r="UYU350" s="50"/>
      <c r="UYV350" s="50"/>
      <c r="UYW350" s="50"/>
      <c r="UYX350" s="50"/>
      <c r="UYY350" s="50"/>
      <c r="UYZ350" s="50"/>
      <c r="UZA350" s="50"/>
      <c r="UZB350" s="50"/>
      <c r="UZC350" s="50"/>
      <c r="UZD350" s="50"/>
      <c r="UZE350" s="50"/>
      <c r="UZF350" s="50"/>
      <c r="UZG350" s="50"/>
      <c r="UZH350" s="50"/>
      <c r="UZI350" s="50"/>
      <c r="UZJ350" s="50"/>
      <c r="UZK350" s="50"/>
      <c r="UZL350" s="50"/>
      <c r="UZM350" s="50"/>
      <c r="UZN350" s="50"/>
      <c r="UZO350" s="50"/>
      <c r="UZP350" s="50"/>
      <c r="UZQ350" s="50"/>
      <c r="UZR350" s="50"/>
      <c r="UZS350" s="50"/>
      <c r="UZT350" s="50"/>
      <c r="UZU350" s="50"/>
      <c r="UZV350" s="50"/>
      <c r="UZW350" s="50"/>
      <c r="UZX350" s="50"/>
      <c r="UZY350" s="50"/>
      <c r="UZZ350" s="50"/>
      <c r="VAA350" s="50"/>
      <c r="VAB350" s="50"/>
      <c r="VAC350" s="50"/>
      <c r="VAD350" s="50"/>
      <c r="VAE350" s="50"/>
      <c r="VAF350" s="50"/>
      <c r="VAG350" s="50"/>
      <c r="VAH350" s="50"/>
      <c r="VAI350" s="50"/>
      <c r="VAJ350" s="50"/>
      <c r="VAK350" s="50"/>
      <c r="VAL350" s="50"/>
      <c r="VAM350" s="50"/>
      <c r="VAN350" s="50"/>
      <c r="VAO350" s="50"/>
      <c r="VAP350" s="50"/>
      <c r="VAQ350" s="50"/>
      <c r="VAR350" s="50"/>
      <c r="VAS350" s="50"/>
      <c r="VAT350" s="50"/>
      <c r="VAU350" s="50"/>
      <c r="VAV350" s="50"/>
      <c r="VAW350" s="50"/>
      <c r="VAX350" s="50"/>
      <c r="VAY350" s="50"/>
      <c r="VAZ350" s="50"/>
      <c r="VBA350" s="50"/>
      <c r="VBB350" s="50"/>
      <c r="VBC350" s="50"/>
      <c r="VBD350" s="50"/>
      <c r="VBE350" s="50"/>
      <c r="VBF350" s="50"/>
      <c r="VBG350" s="50"/>
      <c r="VBH350" s="50"/>
      <c r="VBI350" s="50"/>
      <c r="VBJ350" s="50"/>
      <c r="VBK350" s="50"/>
      <c r="VBL350" s="50"/>
      <c r="VBM350" s="50"/>
      <c r="VBN350" s="50"/>
      <c r="VBO350" s="50"/>
      <c r="VBP350" s="50"/>
      <c r="VBQ350" s="50"/>
      <c r="VBR350" s="50"/>
      <c r="VBS350" s="50"/>
      <c r="VBT350" s="50"/>
      <c r="VBU350" s="50"/>
      <c r="VBV350" s="50"/>
      <c r="VBW350" s="50"/>
      <c r="VBX350" s="50"/>
      <c r="VBY350" s="50"/>
      <c r="VBZ350" s="50"/>
      <c r="VCA350" s="50"/>
      <c r="VCB350" s="50"/>
      <c r="VCC350" s="50"/>
      <c r="VCD350" s="50"/>
      <c r="VCE350" s="50"/>
      <c r="VCF350" s="50"/>
      <c r="VCG350" s="50"/>
      <c r="VCH350" s="50"/>
      <c r="VCI350" s="50"/>
      <c r="VCJ350" s="50"/>
      <c r="VCK350" s="50"/>
      <c r="VCL350" s="50"/>
      <c r="VCM350" s="50"/>
      <c r="VCN350" s="50"/>
      <c r="VCO350" s="50"/>
      <c r="VCP350" s="50"/>
      <c r="VCQ350" s="50"/>
      <c r="VCR350" s="50"/>
      <c r="VCS350" s="50"/>
      <c r="VCT350" s="50"/>
      <c r="VCU350" s="50"/>
      <c r="VCV350" s="50"/>
      <c r="VCW350" s="50"/>
      <c r="VCX350" s="50"/>
      <c r="VCY350" s="50"/>
      <c r="VCZ350" s="50"/>
      <c r="VDA350" s="50"/>
      <c r="VDB350" s="50"/>
      <c r="VDC350" s="50"/>
      <c r="VDD350" s="50"/>
      <c r="VDE350" s="50"/>
      <c r="VDF350" s="50"/>
      <c r="VDG350" s="50"/>
      <c r="VDH350" s="50"/>
      <c r="VDI350" s="50"/>
      <c r="VDJ350" s="50"/>
      <c r="VDK350" s="50"/>
      <c r="VDL350" s="50"/>
      <c r="VDM350" s="50"/>
      <c r="VDN350" s="50"/>
      <c r="VDO350" s="50"/>
      <c r="VDP350" s="50"/>
      <c r="VDQ350" s="50"/>
      <c r="VDR350" s="50"/>
      <c r="VDS350" s="50"/>
      <c r="VDT350" s="50"/>
      <c r="VDU350" s="50"/>
      <c r="VDV350" s="50"/>
      <c r="VDW350" s="50"/>
      <c r="VDX350" s="50"/>
      <c r="VDY350" s="50"/>
      <c r="VDZ350" s="50"/>
      <c r="VEA350" s="50"/>
      <c r="VEB350" s="50"/>
      <c r="VEC350" s="50"/>
      <c r="VED350" s="50"/>
      <c r="VEE350" s="50"/>
      <c r="VEF350" s="50"/>
      <c r="VEG350" s="50"/>
      <c r="VEH350" s="50"/>
      <c r="VEI350" s="50"/>
      <c r="VEJ350" s="50"/>
      <c r="VEK350" s="50"/>
      <c r="VEL350" s="50"/>
      <c r="VEM350" s="50"/>
      <c r="VEN350" s="50"/>
      <c r="VEO350" s="50"/>
      <c r="VEP350" s="50"/>
      <c r="VEQ350" s="50"/>
      <c r="VER350" s="50"/>
      <c r="VES350" s="50"/>
      <c r="VET350" s="50"/>
      <c r="VEU350" s="50"/>
      <c r="VEV350" s="50"/>
      <c r="VEW350" s="50"/>
      <c r="VEX350" s="50"/>
      <c r="VEY350" s="50"/>
      <c r="VEZ350" s="50"/>
      <c r="VFA350" s="50"/>
      <c r="VFB350" s="50"/>
      <c r="VFC350" s="50"/>
      <c r="VFD350" s="50"/>
      <c r="VFE350" s="50"/>
      <c r="VFF350" s="50"/>
      <c r="VFG350" s="50"/>
      <c r="VFH350" s="50"/>
      <c r="VFI350" s="50"/>
      <c r="VFJ350" s="50"/>
      <c r="VFK350" s="50"/>
      <c r="VFL350" s="50"/>
      <c r="VFM350" s="50"/>
      <c r="VFN350" s="50"/>
      <c r="VFO350" s="50"/>
      <c r="VFP350" s="50"/>
      <c r="VFQ350" s="50"/>
      <c r="VFR350" s="50"/>
      <c r="VFS350" s="50"/>
      <c r="VFT350" s="50"/>
      <c r="VFU350" s="50"/>
      <c r="VFV350" s="50"/>
      <c r="VFW350" s="50"/>
      <c r="VFX350" s="50"/>
      <c r="VFY350" s="50"/>
      <c r="VFZ350" s="50"/>
      <c r="VGA350" s="50"/>
      <c r="VGB350" s="50"/>
      <c r="VGC350" s="50"/>
      <c r="VGD350" s="50"/>
      <c r="VGE350" s="50"/>
      <c r="VGF350" s="50"/>
      <c r="VGG350" s="50"/>
      <c r="VGH350" s="50"/>
      <c r="VGI350" s="50"/>
      <c r="VGJ350" s="50"/>
      <c r="VGK350" s="50"/>
      <c r="VGL350" s="50"/>
      <c r="VGM350" s="50"/>
      <c r="VGN350" s="50"/>
      <c r="VGO350" s="50"/>
      <c r="VGP350" s="50"/>
      <c r="VGQ350" s="50"/>
      <c r="VGR350" s="50"/>
      <c r="VGS350" s="50"/>
      <c r="VGT350" s="50"/>
      <c r="VGU350" s="50"/>
      <c r="VGV350" s="50"/>
      <c r="VGW350" s="50"/>
      <c r="VGX350" s="50"/>
      <c r="VGY350" s="50"/>
      <c r="VGZ350" s="50"/>
      <c r="VHA350" s="50"/>
      <c r="VHB350" s="50"/>
      <c r="VHC350" s="50"/>
      <c r="VHD350" s="50"/>
      <c r="VHE350" s="50"/>
      <c r="VHF350" s="50"/>
      <c r="VHG350" s="50"/>
      <c r="VHH350" s="50"/>
      <c r="VHI350" s="50"/>
      <c r="VHJ350" s="50"/>
      <c r="VHK350" s="50"/>
      <c r="VHL350" s="50"/>
      <c r="VHM350" s="50"/>
      <c r="VHN350" s="50"/>
      <c r="VHO350" s="50"/>
      <c r="VHP350" s="50"/>
      <c r="VHQ350" s="50"/>
      <c r="VHR350" s="50"/>
      <c r="VHS350" s="50"/>
      <c r="VHT350" s="50"/>
      <c r="VHU350" s="50"/>
      <c r="VHV350" s="50"/>
      <c r="VHW350" s="50"/>
      <c r="VHX350" s="50"/>
      <c r="VHY350" s="50"/>
      <c r="VHZ350" s="50"/>
      <c r="VIA350" s="50"/>
      <c r="VIB350" s="50"/>
      <c r="VIC350" s="50"/>
      <c r="VID350" s="50"/>
      <c r="VIE350" s="50"/>
      <c r="VIF350" s="50"/>
      <c r="VIG350" s="50"/>
      <c r="VIH350" s="50"/>
      <c r="VII350" s="50"/>
      <c r="VIJ350" s="50"/>
      <c r="VIK350" s="50"/>
      <c r="VIL350" s="50"/>
      <c r="VIM350" s="50"/>
      <c r="VIN350" s="50"/>
      <c r="VIO350" s="50"/>
      <c r="VIP350" s="50"/>
      <c r="VIQ350" s="50"/>
      <c r="VIR350" s="50"/>
      <c r="VIS350" s="50"/>
      <c r="VIT350" s="50"/>
      <c r="VIU350" s="50"/>
      <c r="VIV350" s="50"/>
      <c r="VIW350" s="50"/>
      <c r="VIX350" s="50"/>
      <c r="VIY350" s="50"/>
      <c r="VIZ350" s="50"/>
      <c r="VJA350" s="50"/>
      <c r="VJB350" s="50"/>
      <c r="VJC350" s="50"/>
      <c r="VJD350" s="50"/>
      <c r="VJE350" s="50"/>
      <c r="VJF350" s="50"/>
      <c r="VJG350" s="50"/>
      <c r="VJH350" s="50"/>
      <c r="VJI350" s="50"/>
      <c r="VJJ350" s="50"/>
      <c r="VJK350" s="50"/>
      <c r="VJL350" s="50"/>
      <c r="VJM350" s="50"/>
      <c r="VJN350" s="50"/>
      <c r="VJO350" s="50"/>
      <c r="VJP350" s="50"/>
      <c r="VJQ350" s="50"/>
      <c r="VJR350" s="50"/>
      <c r="VJS350" s="50"/>
      <c r="VJT350" s="50"/>
      <c r="VJU350" s="50"/>
      <c r="VJV350" s="50"/>
      <c r="VJW350" s="50"/>
      <c r="VJX350" s="50"/>
      <c r="VJY350" s="50"/>
      <c r="VJZ350" s="50"/>
      <c r="VKA350" s="50"/>
      <c r="VKB350" s="50"/>
      <c r="VKC350" s="50"/>
      <c r="VKD350" s="50"/>
      <c r="VKE350" s="50"/>
      <c r="VKF350" s="50"/>
      <c r="VKG350" s="50"/>
      <c r="VKH350" s="50"/>
      <c r="VKI350" s="50"/>
      <c r="VKJ350" s="50"/>
      <c r="VKK350" s="50"/>
      <c r="VKL350" s="50"/>
      <c r="VKM350" s="50"/>
      <c r="VKN350" s="50"/>
      <c r="VKO350" s="50"/>
      <c r="VKP350" s="50"/>
      <c r="VKQ350" s="50"/>
      <c r="VKR350" s="50"/>
      <c r="VKS350" s="50"/>
      <c r="VKT350" s="50"/>
      <c r="VKU350" s="50"/>
      <c r="VKV350" s="50"/>
      <c r="VKW350" s="50"/>
      <c r="VKX350" s="50"/>
      <c r="VKY350" s="50"/>
      <c r="VKZ350" s="50"/>
      <c r="VLA350" s="50"/>
      <c r="VLB350" s="50"/>
      <c r="VLC350" s="50"/>
      <c r="VLD350" s="50"/>
      <c r="VLE350" s="50"/>
      <c r="VLF350" s="50"/>
      <c r="VLG350" s="50"/>
      <c r="VLH350" s="50"/>
      <c r="VLI350" s="50"/>
      <c r="VLJ350" s="50"/>
      <c r="VLK350" s="50"/>
      <c r="VLL350" s="50"/>
      <c r="VLM350" s="50"/>
      <c r="VLN350" s="50"/>
      <c r="VLO350" s="50"/>
      <c r="VLP350" s="50"/>
      <c r="VLQ350" s="50"/>
      <c r="VLR350" s="50"/>
      <c r="VLS350" s="50"/>
      <c r="VLT350" s="50"/>
      <c r="VLU350" s="50"/>
      <c r="VLV350" s="50"/>
      <c r="VLW350" s="50"/>
      <c r="VLX350" s="50"/>
      <c r="VLY350" s="50"/>
      <c r="VLZ350" s="50"/>
      <c r="VMA350" s="50"/>
      <c r="VMB350" s="50"/>
      <c r="VMC350" s="50"/>
      <c r="VMD350" s="50"/>
      <c r="VME350" s="50"/>
      <c r="VMF350" s="50"/>
      <c r="VMG350" s="50"/>
      <c r="VMH350" s="50"/>
      <c r="VMI350" s="50"/>
      <c r="VMJ350" s="50"/>
      <c r="VMK350" s="50"/>
      <c r="VML350" s="50"/>
      <c r="VMM350" s="50"/>
      <c r="VMN350" s="50"/>
      <c r="VMO350" s="50"/>
      <c r="VMP350" s="50"/>
      <c r="VMQ350" s="50"/>
      <c r="VMR350" s="50"/>
      <c r="VMS350" s="50"/>
      <c r="VMT350" s="50"/>
      <c r="VMU350" s="50"/>
      <c r="VMV350" s="50"/>
      <c r="VMW350" s="50"/>
      <c r="VMX350" s="50"/>
      <c r="VMY350" s="50"/>
      <c r="VMZ350" s="50"/>
      <c r="VNA350" s="50"/>
      <c r="VNB350" s="50"/>
      <c r="VNC350" s="50"/>
      <c r="VND350" s="50"/>
      <c r="VNE350" s="50"/>
      <c r="VNF350" s="50"/>
      <c r="VNG350" s="50"/>
      <c r="VNH350" s="50"/>
      <c r="VNI350" s="50"/>
      <c r="VNJ350" s="50"/>
      <c r="VNK350" s="50"/>
      <c r="VNL350" s="50"/>
      <c r="VNM350" s="50"/>
      <c r="VNN350" s="50"/>
      <c r="VNO350" s="50"/>
      <c r="VNP350" s="50"/>
      <c r="VNQ350" s="50"/>
      <c r="VNR350" s="50"/>
      <c r="VNS350" s="50"/>
      <c r="VNT350" s="50"/>
      <c r="VNU350" s="50"/>
      <c r="VNV350" s="50"/>
      <c r="VNW350" s="50"/>
      <c r="VNX350" s="50"/>
      <c r="VNY350" s="50"/>
      <c r="VNZ350" s="50"/>
      <c r="VOA350" s="50"/>
      <c r="VOB350" s="50"/>
      <c r="VOC350" s="50"/>
      <c r="VOD350" s="50"/>
      <c r="VOE350" s="50"/>
      <c r="VOF350" s="50"/>
      <c r="VOG350" s="50"/>
      <c r="VOH350" s="50"/>
      <c r="VOI350" s="50"/>
      <c r="VOJ350" s="50"/>
      <c r="VOK350" s="50"/>
      <c r="VOL350" s="50"/>
      <c r="VOM350" s="50"/>
      <c r="VON350" s="50"/>
      <c r="VOO350" s="50"/>
      <c r="VOP350" s="50"/>
      <c r="VOQ350" s="50"/>
      <c r="VOR350" s="50"/>
      <c r="VOS350" s="50"/>
      <c r="VOT350" s="50"/>
      <c r="VOU350" s="50"/>
      <c r="VOV350" s="50"/>
      <c r="VOW350" s="50"/>
      <c r="VOX350" s="50"/>
      <c r="VOY350" s="50"/>
      <c r="VOZ350" s="50"/>
      <c r="VPA350" s="50"/>
      <c r="VPB350" s="50"/>
      <c r="VPC350" s="50"/>
      <c r="VPD350" s="50"/>
      <c r="VPE350" s="50"/>
      <c r="VPF350" s="50"/>
      <c r="VPG350" s="50"/>
      <c r="VPH350" s="50"/>
      <c r="VPI350" s="50"/>
      <c r="VPJ350" s="50"/>
      <c r="VPK350" s="50"/>
      <c r="VPL350" s="50"/>
      <c r="VPM350" s="50"/>
      <c r="VPN350" s="50"/>
      <c r="VPO350" s="50"/>
      <c r="VPP350" s="50"/>
      <c r="VPQ350" s="50"/>
      <c r="VPR350" s="50"/>
      <c r="VPS350" s="50"/>
      <c r="VPT350" s="50"/>
      <c r="VPU350" s="50"/>
      <c r="VPV350" s="50"/>
      <c r="VPW350" s="50"/>
      <c r="VPX350" s="50"/>
      <c r="VPY350" s="50"/>
      <c r="VPZ350" s="50"/>
      <c r="VQA350" s="50"/>
      <c r="VQB350" s="50"/>
      <c r="VQC350" s="50"/>
      <c r="VQD350" s="50"/>
      <c r="VQE350" s="50"/>
      <c r="VQF350" s="50"/>
      <c r="VQG350" s="50"/>
      <c r="VQH350" s="50"/>
      <c r="VQI350" s="50"/>
      <c r="VQJ350" s="50"/>
      <c r="VQK350" s="50"/>
      <c r="VQL350" s="50"/>
      <c r="VQM350" s="50"/>
      <c r="VQN350" s="50"/>
      <c r="VQO350" s="50"/>
      <c r="VQP350" s="50"/>
      <c r="VQQ350" s="50"/>
      <c r="VQR350" s="50"/>
      <c r="VQS350" s="50"/>
      <c r="VQT350" s="50"/>
      <c r="VQU350" s="50"/>
      <c r="VQV350" s="50"/>
      <c r="VQW350" s="50"/>
      <c r="VQX350" s="50"/>
      <c r="VQY350" s="50"/>
      <c r="VQZ350" s="50"/>
      <c r="VRA350" s="50"/>
      <c r="VRB350" s="50"/>
      <c r="VRC350" s="50"/>
      <c r="VRD350" s="50"/>
      <c r="VRE350" s="50"/>
      <c r="VRF350" s="50"/>
      <c r="VRG350" s="50"/>
      <c r="VRH350" s="50"/>
      <c r="VRI350" s="50"/>
      <c r="VRJ350" s="50"/>
      <c r="VRK350" s="50"/>
      <c r="VRL350" s="50"/>
      <c r="VRM350" s="50"/>
      <c r="VRN350" s="50"/>
      <c r="VRO350" s="50"/>
      <c r="VRP350" s="50"/>
      <c r="VRQ350" s="50"/>
      <c r="VRR350" s="50"/>
      <c r="VRS350" s="50"/>
      <c r="VRT350" s="50"/>
      <c r="VRU350" s="50"/>
      <c r="VRV350" s="50"/>
      <c r="VRW350" s="50"/>
      <c r="VRX350" s="50"/>
      <c r="VRY350" s="50"/>
      <c r="VRZ350" s="50"/>
      <c r="VSA350" s="50"/>
      <c r="VSB350" s="50"/>
      <c r="VSC350" s="50"/>
      <c r="VSD350" s="50"/>
      <c r="VSE350" s="50"/>
      <c r="VSF350" s="50"/>
      <c r="VSG350" s="50"/>
      <c r="VSH350" s="50"/>
      <c r="VSI350" s="50"/>
      <c r="VSJ350" s="50"/>
      <c r="VSK350" s="50"/>
      <c r="VSL350" s="50"/>
      <c r="VSM350" s="50"/>
      <c r="VSN350" s="50"/>
      <c r="VSO350" s="50"/>
      <c r="VSP350" s="50"/>
      <c r="VSQ350" s="50"/>
      <c r="VSR350" s="50"/>
      <c r="VSS350" s="50"/>
      <c r="VST350" s="50"/>
      <c r="VSU350" s="50"/>
      <c r="VSV350" s="50"/>
      <c r="VSW350" s="50"/>
      <c r="VSX350" s="50"/>
      <c r="VSY350" s="50"/>
      <c r="VSZ350" s="50"/>
      <c r="VTA350" s="50"/>
      <c r="VTB350" s="50"/>
      <c r="VTC350" s="50"/>
      <c r="VTD350" s="50"/>
      <c r="VTE350" s="50"/>
      <c r="VTF350" s="50"/>
      <c r="VTG350" s="50"/>
      <c r="VTH350" s="50"/>
      <c r="VTI350" s="50"/>
      <c r="VTJ350" s="50"/>
      <c r="VTK350" s="50"/>
      <c r="VTL350" s="50"/>
      <c r="VTM350" s="50"/>
      <c r="VTN350" s="50"/>
      <c r="VTO350" s="50"/>
      <c r="VTP350" s="50"/>
      <c r="VTQ350" s="50"/>
      <c r="VTR350" s="50"/>
      <c r="VTS350" s="50"/>
      <c r="VTT350" s="50"/>
      <c r="VTU350" s="50"/>
      <c r="VTV350" s="50"/>
      <c r="VTW350" s="50"/>
      <c r="VTX350" s="50"/>
      <c r="VTY350" s="50"/>
      <c r="VTZ350" s="50"/>
      <c r="VUA350" s="50"/>
      <c r="VUB350" s="50"/>
      <c r="VUC350" s="50"/>
      <c r="VUD350" s="50"/>
      <c r="VUE350" s="50"/>
      <c r="VUF350" s="50"/>
      <c r="VUG350" s="50"/>
      <c r="VUH350" s="50"/>
      <c r="VUI350" s="50"/>
      <c r="VUJ350" s="50"/>
      <c r="VUK350" s="50"/>
      <c r="VUL350" s="50"/>
      <c r="VUM350" s="50"/>
      <c r="VUN350" s="50"/>
      <c r="VUO350" s="50"/>
      <c r="VUP350" s="50"/>
      <c r="VUQ350" s="50"/>
      <c r="VUR350" s="50"/>
      <c r="VUS350" s="50"/>
      <c r="VUT350" s="50"/>
      <c r="VUU350" s="50"/>
      <c r="VUV350" s="50"/>
      <c r="VUW350" s="50"/>
      <c r="VUX350" s="50"/>
      <c r="VUY350" s="50"/>
      <c r="VUZ350" s="50"/>
      <c r="VVA350" s="50"/>
      <c r="VVB350" s="50"/>
      <c r="VVC350" s="50"/>
      <c r="VVD350" s="50"/>
      <c r="VVE350" s="50"/>
      <c r="VVF350" s="50"/>
      <c r="VVG350" s="50"/>
      <c r="VVH350" s="50"/>
      <c r="VVI350" s="50"/>
      <c r="VVJ350" s="50"/>
      <c r="VVK350" s="50"/>
      <c r="VVL350" s="50"/>
      <c r="VVM350" s="50"/>
      <c r="VVN350" s="50"/>
      <c r="VVO350" s="50"/>
      <c r="VVP350" s="50"/>
      <c r="VVQ350" s="50"/>
      <c r="VVR350" s="50"/>
      <c r="VVS350" s="50"/>
      <c r="VVT350" s="50"/>
      <c r="VVU350" s="50"/>
      <c r="VVV350" s="50"/>
      <c r="VVW350" s="50"/>
      <c r="VVX350" s="50"/>
      <c r="VVY350" s="50"/>
      <c r="VVZ350" s="50"/>
      <c r="VWA350" s="50"/>
      <c r="VWB350" s="50"/>
      <c r="VWC350" s="50"/>
      <c r="VWD350" s="50"/>
      <c r="VWE350" s="50"/>
      <c r="VWF350" s="50"/>
      <c r="VWG350" s="50"/>
      <c r="VWH350" s="50"/>
      <c r="VWI350" s="50"/>
      <c r="VWJ350" s="50"/>
      <c r="VWK350" s="50"/>
      <c r="VWL350" s="50"/>
      <c r="VWM350" s="50"/>
      <c r="VWN350" s="50"/>
      <c r="VWO350" s="50"/>
      <c r="VWP350" s="50"/>
      <c r="VWQ350" s="50"/>
      <c r="VWR350" s="50"/>
      <c r="VWS350" s="50"/>
      <c r="VWT350" s="50"/>
      <c r="VWU350" s="50"/>
      <c r="VWV350" s="50"/>
      <c r="VWW350" s="50"/>
      <c r="VWX350" s="50"/>
      <c r="VWY350" s="50"/>
      <c r="VWZ350" s="50"/>
      <c r="VXA350" s="50"/>
      <c r="VXB350" s="50"/>
      <c r="VXC350" s="50"/>
      <c r="VXD350" s="50"/>
      <c r="VXE350" s="50"/>
      <c r="VXF350" s="50"/>
      <c r="VXG350" s="50"/>
      <c r="VXH350" s="50"/>
      <c r="VXI350" s="50"/>
      <c r="VXJ350" s="50"/>
      <c r="VXK350" s="50"/>
      <c r="VXL350" s="50"/>
      <c r="VXM350" s="50"/>
      <c r="VXN350" s="50"/>
      <c r="VXO350" s="50"/>
      <c r="VXP350" s="50"/>
      <c r="VXQ350" s="50"/>
      <c r="VXR350" s="50"/>
      <c r="VXS350" s="50"/>
      <c r="VXT350" s="50"/>
      <c r="VXU350" s="50"/>
      <c r="VXV350" s="50"/>
      <c r="VXW350" s="50"/>
      <c r="VXX350" s="50"/>
      <c r="VXY350" s="50"/>
      <c r="VXZ350" s="50"/>
      <c r="VYA350" s="50"/>
      <c r="VYB350" s="50"/>
      <c r="VYC350" s="50"/>
      <c r="VYD350" s="50"/>
      <c r="VYE350" s="50"/>
      <c r="VYF350" s="50"/>
      <c r="VYG350" s="50"/>
      <c r="VYH350" s="50"/>
      <c r="VYI350" s="50"/>
      <c r="VYJ350" s="50"/>
      <c r="VYK350" s="50"/>
      <c r="VYL350" s="50"/>
      <c r="VYM350" s="50"/>
      <c r="VYN350" s="50"/>
      <c r="VYO350" s="50"/>
      <c r="VYP350" s="50"/>
      <c r="VYQ350" s="50"/>
      <c r="VYR350" s="50"/>
      <c r="VYS350" s="50"/>
      <c r="VYT350" s="50"/>
      <c r="VYU350" s="50"/>
      <c r="VYV350" s="50"/>
      <c r="VYW350" s="50"/>
      <c r="VYX350" s="50"/>
      <c r="VYY350" s="50"/>
      <c r="VYZ350" s="50"/>
      <c r="VZA350" s="50"/>
      <c r="VZB350" s="50"/>
      <c r="VZC350" s="50"/>
      <c r="VZD350" s="50"/>
      <c r="VZE350" s="50"/>
      <c r="VZF350" s="50"/>
      <c r="VZG350" s="50"/>
      <c r="VZH350" s="50"/>
      <c r="VZI350" s="50"/>
      <c r="VZJ350" s="50"/>
      <c r="VZK350" s="50"/>
      <c r="VZL350" s="50"/>
      <c r="VZM350" s="50"/>
      <c r="VZN350" s="50"/>
      <c r="VZO350" s="50"/>
      <c r="VZP350" s="50"/>
      <c r="VZQ350" s="50"/>
      <c r="VZR350" s="50"/>
      <c r="VZS350" s="50"/>
      <c r="VZT350" s="50"/>
      <c r="VZU350" s="50"/>
      <c r="VZV350" s="50"/>
      <c r="VZW350" s="50"/>
      <c r="VZX350" s="50"/>
      <c r="VZY350" s="50"/>
      <c r="VZZ350" s="50"/>
      <c r="WAA350" s="50"/>
      <c r="WAB350" s="50"/>
      <c r="WAC350" s="50"/>
      <c r="WAD350" s="50"/>
      <c r="WAE350" s="50"/>
      <c r="WAF350" s="50"/>
      <c r="WAG350" s="50"/>
      <c r="WAH350" s="50"/>
      <c r="WAI350" s="50"/>
      <c r="WAJ350" s="50"/>
      <c r="WAK350" s="50"/>
      <c r="WAL350" s="50"/>
      <c r="WAM350" s="50"/>
      <c r="WAN350" s="50"/>
      <c r="WAO350" s="50"/>
      <c r="WAP350" s="50"/>
      <c r="WAQ350" s="50"/>
      <c r="WAR350" s="50"/>
      <c r="WAS350" s="50"/>
      <c r="WAT350" s="50"/>
      <c r="WAU350" s="50"/>
      <c r="WAV350" s="50"/>
      <c r="WAW350" s="50"/>
      <c r="WAX350" s="50"/>
      <c r="WAY350" s="50"/>
      <c r="WAZ350" s="50"/>
      <c r="WBA350" s="50"/>
      <c r="WBB350" s="50"/>
      <c r="WBC350" s="50"/>
      <c r="WBD350" s="50"/>
      <c r="WBE350" s="50"/>
      <c r="WBF350" s="50"/>
      <c r="WBG350" s="50"/>
      <c r="WBH350" s="50"/>
      <c r="WBI350" s="50"/>
      <c r="WBJ350" s="50"/>
      <c r="WBK350" s="50"/>
      <c r="WBL350" s="50"/>
      <c r="WBM350" s="50"/>
      <c r="WBN350" s="50"/>
      <c r="WBO350" s="50"/>
      <c r="WBP350" s="50"/>
      <c r="WBQ350" s="50"/>
      <c r="WBR350" s="50"/>
      <c r="WBS350" s="50"/>
      <c r="WBT350" s="50"/>
      <c r="WBU350" s="50"/>
      <c r="WBV350" s="50"/>
      <c r="WBW350" s="50"/>
      <c r="WBX350" s="50"/>
      <c r="WBY350" s="50"/>
      <c r="WBZ350" s="50"/>
      <c r="WCA350" s="50"/>
      <c r="WCB350" s="50"/>
      <c r="WCC350" s="50"/>
      <c r="WCD350" s="50"/>
      <c r="WCE350" s="50"/>
      <c r="WCF350" s="50"/>
      <c r="WCG350" s="50"/>
      <c r="WCH350" s="50"/>
      <c r="WCI350" s="50"/>
      <c r="WCJ350" s="50"/>
      <c r="WCK350" s="50"/>
      <c r="WCL350" s="50"/>
      <c r="WCM350" s="50"/>
      <c r="WCN350" s="50"/>
      <c r="WCO350" s="50"/>
      <c r="WCP350" s="50"/>
      <c r="WCQ350" s="50"/>
      <c r="WCR350" s="50"/>
      <c r="WCS350" s="50"/>
      <c r="WCT350" s="50"/>
      <c r="WCU350" s="50"/>
      <c r="WCV350" s="50"/>
      <c r="WCW350" s="50"/>
      <c r="WCX350" s="50"/>
      <c r="WCY350" s="50"/>
      <c r="WCZ350" s="50"/>
      <c r="WDA350" s="50"/>
      <c r="WDB350" s="50"/>
      <c r="WDC350" s="50"/>
      <c r="WDD350" s="50"/>
      <c r="WDE350" s="50"/>
      <c r="WDF350" s="50"/>
      <c r="WDG350" s="50"/>
      <c r="WDH350" s="50"/>
      <c r="WDI350" s="50"/>
      <c r="WDJ350" s="50"/>
      <c r="WDK350" s="50"/>
      <c r="WDL350" s="50"/>
      <c r="WDM350" s="50"/>
      <c r="WDN350" s="50"/>
      <c r="WDO350" s="50"/>
      <c r="WDP350" s="50"/>
      <c r="WDQ350" s="50"/>
      <c r="WDR350" s="50"/>
      <c r="WDS350" s="50"/>
      <c r="WDT350" s="50"/>
      <c r="WDU350" s="50"/>
      <c r="WDV350" s="50"/>
      <c r="WDW350" s="50"/>
      <c r="WDX350" s="50"/>
      <c r="WDY350" s="50"/>
      <c r="WDZ350" s="50"/>
      <c r="WEA350" s="50"/>
      <c r="WEB350" s="50"/>
      <c r="WEC350" s="50"/>
      <c r="WED350" s="50"/>
      <c r="WEE350" s="50"/>
      <c r="WEF350" s="50"/>
      <c r="WEG350" s="50"/>
      <c r="WEH350" s="50"/>
      <c r="WEI350" s="50"/>
      <c r="WEJ350" s="50"/>
      <c r="WEK350" s="50"/>
      <c r="WEL350" s="50"/>
      <c r="WEM350" s="50"/>
      <c r="WEN350" s="50"/>
      <c r="WEO350" s="50"/>
      <c r="WEP350" s="50"/>
      <c r="WEQ350" s="50"/>
      <c r="WER350" s="50"/>
      <c r="WES350" s="50"/>
      <c r="WET350" s="50"/>
      <c r="WEU350" s="50"/>
      <c r="WEV350" s="50"/>
      <c r="WEW350" s="50"/>
      <c r="WEX350" s="50"/>
      <c r="WEY350" s="50"/>
      <c r="WEZ350" s="50"/>
      <c r="WFA350" s="50"/>
      <c r="WFB350" s="50"/>
      <c r="WFC350" s="50"/>
      <c r="WFD350" s="50"/>
      <c r="WFE350" s="50"/>
      <c r="WFF350" s="50"/>
      <c r="WFG350" s="50"/>
      <c r="WFH350" s="50"/>
      <c r="WFI350" s="50"/>
      <c r="WFJ350" s="50"/>
      <c r="WFK350" s="50"/>
      <c r="WFL350" s="50"/>
      <c r="WFM350" s="50"/>
      <c r="WFN350" s="50"/>
      <c r="WFO350" s="50"/>
      <c r="WFP350" s="50"/>
      <c r="WFQ350" s="50"/>
      <c r="WFR350" s="50"/>
      <c r="WFS350" s="50"/>
      <c r="WFT350" s="50"/>
      <c r="WFU350" s="50"/>
      <c r="WFV350" s="50"/>
      <c r="WFW350" s="50"/>
      <c r="WFX350" s="50"/>
      <c r="WFY350" s="50"/>
      <c r="WFZ350" s="50"/>
      <c r="WGA350" s="50"/>
      <c r="WGB350" s="50"/>
      <c r="WGC350" s="50"/>
      <c r="WGD350" s="50"/>
      <c r="WGE350" s="50"/>
      <c r="WGF350" s="50"/>
      <c r="WGG350" s="50"/>
      <c r="WGH350" s="50"/>
      <c r="WGI350" s="50"/>
      <c r="WGJ350" s="50"/>
      <c r="WGK350" s="50"/>
      <c r="WGL350" s="50"/>
      <c r="WGM350" s="50"/>
      <c r="WGN350" s="50"/>
      <c r="WGO350" s="50"/>
      <c r="WGP350" s="50"/>
      <c r="WGQ350" s="50"/>
      <c r="WGR350" s="50"/>
      <c r="WGS350" s="50"/>
      <c r="WGT350" s="50"/>
      <c r="WGU350" s="50"/>
      <c r="WGV350" s="50"/>
      <c r="WGW350" s="50"/>
      <c r="WGX350" s="50"/>
      <c r="WGY350" s="50"/>
      <c r="WGZ350" s="50"/>
      <c r="WHA350" s="50"/>
      <c r="WHB350" s="50"/>
      <c r="WHC350" s="50"/>
      <c r="WHD350" s="50"/>
      <c r="WHE350" s="50"/>
      <c r="WHF350" s="50"/>
      <c r="WHG350" s="50"/>
      <c r="WHH350" s="50"/>
      <c r="WHI350" s="50"/>
      <c r="WHJ350" s="50"/>
      <c r="WHK350" s="50"/>
      <c r="WHL350" s="50"/>
      <c r="WHM350" s="50"/>
      <c r="WHN350" s="50"/>
      <c r="WHO350" s="50"/>
      <c r="WHP350" s="50"/>
      <c r="WHQ350" s="50"/>
      <c r="WHR350" s="50"/>
      <c r="WHS350" s="50"/>
      <c r="WHT350" s="50"/>
      <c r="WHU350" s="50"/>
      <c r="WHV350" s="50"/>
      <c r="WHW350" s="50"/>
      <c r="WHX350" s="50"/>
      <c r="WHY350" s="50"/>
      <c r="WHZ350" s="50"/>
      <c r="WIA350" s="50"/>
      <c r="WIB350" s="50"/>
      <c r="WIC350" s="50"/>
      <c r="WID350" s="50"/>
      <c r="WIE350" s="50"/>
      <c r="WIF350" s="50"/>
      <c r="WIG350" s="50"/>
      <c r="WIH350" s="50"/>
      <c r="WII350" s="50"/>
      <c r="WIJ350" s="50"/>
      <c r="WIK350" s="50"/>
      <c r="WIL350" s="50"/>
      <c r="WIM350" s="50"/>
      <c r="WIN350" s="50"/>
      <c r="WIO350" s="50"/>
      <c r="WIP350" s="50"/>
      <c r="WIQ350" s="50"/>
      <c r="WIR350" s="50"/>
      <c r="WIS350" s="50"/>
      <c r="WIT350" s="50"/>
      <c r="WIU350" s="50"/>
      <c r="WIV350" s="50"/>
      <c r="WIW350" s="50"/>
      <c r="WIX350" s="50"/>
      <c r="WIY350" s="50"/>
      <c r="WIZ350" s="50"/>
      <c r="WJA350" s="50"/>
      <c r="WJB350" s="50"/>
      <c r="WJC350" s="50"/>
      <c r="WJD350" s="50"/>
      <c r="WJE350" s="50"/>
      <c r="WJF350" s="50"/>
      <c r="WJG350" s="50"/>
      <c r="WJH350" s="50"/>
      <c r="WJI350" s="50"/>
      <c r="WJJ350" s="50"/>
      <c r="WJK350" s="50"/>
      <c r="WJL350" s="50"/>
      <c r="WJM350" s="50"/>
      <c r="WJN350" s="50"/>
      <c r="WJO350" s="50"/>
      <c r="WJP350" s="50"/>
      <c r="WJQ350" s="50"/>
      <c r="WJR350" s="50"/>
      <c r="WJS350" s="50"/>
      <c r="WJT350" s="50"/>
      <c r="WJU350" s="50"/>
      <c r="WJV350" s="50"/>
      <c r="WJW350" s="50"/>
      <c r="WJX350" s="50"/>
      <c r="WJY350" s="50"/>
      <c r="WJZ350" s="50"/>
      <c r="WKA350" s="50"/>
      <c r="WKB350" s="50"/>
      <c r="WKC350" s="50"/>
      <c r="WKD350" s="50"/>
      <c r="WKE350" s="50"/>
      <c r="WKF350" s="50"/>
      <c r="WKG350" s="50"/>
      <c r="WKH350" s="50"/>
      <c r="WKI350" s="50"/>
      <c r="WKJ350" s="50"/>
      <c r="WKK350" s="50"/>
      <c r="WKL350" s="50"/>
      <c r="WKM350" s="50"/>
      <c r="WKN350" s="50"/>
      <c r="WKO350" s="50"/>
      <c r="WKP350" s="50"/>
      <c r="WKQ350" s="50"/>
      <c r="WKR350" s="50"/>
      <c r="WKS350" s="50"/>
      <c r="WKT350" s="50"/>
      <c r="WKU350" s="50"/>
      <c r="WKV350" s="50"/>
      <c r="WKW350" s="50"/>
      <c r="WKX350" s="50"/>
      <c r="WKY350" s="50"/>
      <c r="WKZ350" s="50"/>
      <c r="WLA350" s="50"/>
      <c r="WLB350" s="50"/>
      <c r="WLC350" s="50"/>
      <c r="WLD350" s="50"/>
      <c r="WLE350" s="50"/>
      <c r="WLF350" s="50"/>
      <c r="WLG350" s="50"/>
      <c r="WLH350" s="50"/>
      <c r="WLI350" s="50"/>
      <c r="WLJ350" s="50"/>
      <c r="WLK350" s="50"/>
      <c r="WLL350" s="50"/>
      <c r="WLM350" s="50"/>
      <c r="WLN350" s="50"/>
      <c r="WLO350" s="50"/>
      <c r="WLP350" s="50"/>
      <c r="WLQ350" s="50"/>
      <c r="WLR350" s="50"/>
      <c r="WLS350" s="50"/>
      <c r="WLT350" s="50"/>
      <c r="WLU350" s="50"/>
      <c r="WLV350" s="50"/>
      <c r="WLW350" s="50"/>
      <c r="WLX350" s="50"/>
      <c r="WLY350" s="50"/>
      <c r="WLZ350" s="50"/>
      <c r="WMA350" s="50"/>
      <c r="WMB350" s="50"/>
      <c r="WMC350" s="50"/>
      <c r="WMD350" s="50"/>
      <c r="WME350" s="50"/>
      <c r="WMF350" s="50"/>
      <c r="WMG350" s="50"/>
      <c r="WMH350" s="50"/>
      <c r="WMI350" s="50"/>
      <c r="WMJ350" s="50"/>
      <c r="WMK350" s="50"/>
      <c r="WML350" s="50"/>
      <c r="WMM350" s="50"/>
      <c r="WMN350" s="50"/>
      <c r="WMO350" s="50"/>
      <c r="WMP350" s="50"/>
      <c r="WMQ350" s="50"/>
      <c r="WMR350" s="50"/>
      <c r="WMS350" s="50"/>
      <c r="WMT350" s="50"/>
      <c r="WMU350" s="50"/>
      <c r="WMV350" s="50"/>
      <c r="WMW350" s="50"/>
      <c r="WMX350" s="50"/>
      <c r="WMY350" s="50"/>
      <c r="WMZ350" s="50"/>
      <c r="WNA350" s="50"/>
      <c r="WNB350" s="50"/>
      <c r="WNC350" s="50"/>
      <c r="WND350" s="50"/>
      <c r="WNE350" s="50"/>
      <c r="WNF350" s="50"/>
      <c r="WNG350" s="50"/>
      <c r="WNH350" s="50"/>
      <c r="WNI350" s="50"/>
      <c r="WNJ350" s="50"/>
      <c r="WNK350" s="50"/>
      <c r="WNL350" s="50"/>
      <c r="WNM350" s="50"/>
      <c r="WNN350" s="50"/>
      <c r="WNO350" s="50"/>
      <c r="WNP350" s="50"/>
      <c r="WNQ350" s="50"/>
      <c r="WNR350" s="50"/>
      <c r="WNS350" s="50"/>
      <c r="WNT350" s="50"/>
      <c r="WNU350" s="50"/>
      <c r="WNV350" s="50"/>
      <c r="WNW350" s="50"/>
      <c r="WNX350" s="50"/>
      <c r="WNY350" s="50"/>
      <c r="WNZ350" s="50"/>
      <c r="WOA350" s="50"/>
      <c r="WOB350" s="50"/>
      <c r="WOC350" s="50"/>
      <c r="WOD350" s="50"/>
      <c r="WOE350" s="50"/>
      <c r="WOF350" s="50"/>
      <c r="WOG350" s="50"/>
      <c r="WOH350" s="50"/>
      <c r="WOI350" s="50"/>
      <c r="WOJ350" s="50"/>
      <c r="WOK350" s="50"/>
      <c r="WOL350" s="50"/>
      <c r="WOM350" s="50"/>
      <c r="WON350" s="50"/>
      <c r="WOO350" s="50"/>
      <c r="WOP350" s="50"/>
      <c r="WOQ350" s="50"/>
      <c r="WOR350" s="50"/>
      <c r="WOS350" s="50"/>
      <c r="WOT350" s="50"/>
      <c r="WOU350" s="50"/>
      <c r="WOV350" s="50"/>
      <c r="WOW350" s="50"/>
      <c r="WOX350" s="50"/>
      <c r="WOY350" s="50"/>
      <c r="WOZ350" s="50"/>
      <c r="WPA350" s="50"/>
      <c r="WPB350" s="50"/>
      <c r="WPC350" s="50"/>
      <c r="WPD350" s="50"/>
      <c r="WPE350" s="50"/>
      <c r="WPF350" s="50"/>
      <c r="WPG350" s="50"/>
      <c r="WPH350" s="50"/>
      <c r="WPI350" s="50"/>
      <c r="WPJ350" s="50"/>
      <c r="WPK350" s="50"/>
      <c r="WPL350" s="50"/>
      <c r="WPM350" s="50"/>
      <c r="WPN350" s="50"/>
      <c r="WPO350" s="50"/>
      <c r="WPP350" s="50"/>
      <c r="WPQ350" s="50"/>
      <c r="WPR350" s="50"/>
      <c r="WPS350" s="50"/>
      <c r="WPT350" s="50"/>
      <c r="WPU350" s="50"/>
      <c r="WPV350" s="50"/>
      <c r="WPW350" s="50"/>
      <c r="WPX350" s="50"/>
      <c r="WPY350" s="50"/>
      <c r="WPZ350" s="50"/>
      <c r="WQA350" s="50"/>
      <c r="WQB350" s="50"/>
      <c r="WQC350" s="50"/>
      <c r="WQD350" s="50"/>
      <c r="WQE350" s="50"/>
      <c r="WQF350" s="50"/>
      <c r="WQG350" s="50"/>
      <c r="WQH350" s="50"/>
      <c r="WQI350" s="50"/>
      <c r="WQJ350" s="50"/>
      <c r="WQK350" s="50"/>
      <c r="WQL350" s="50"/>
      <c r="WQM350" s="50"/>
      <c r="WQN350" s="50"/>
      <c r="WQO350" s="50"/>
      <c r="WQP350" s="50"/>
      <c r="WQQ350" s="50"/>
      <c r="WQR350" s="50"/>
      <c r="WQS350" s="50"/>
      <c r="WQT350" s="50"/>
      <c r="WQU350" s="50"/>
      <c r="WQV350" s="50"/>
      <c r="WQW350" s="50"/>
      <c r="WQX350" s="50"/>
      <c r="WQY350" s="50"/>
      <c r="WQZ350" s="50"/>
      <c r="WRA350" s="50"/>
      <c r="WRB350" s="50"/>
      <c r="WRC350" s="50"/>
      <c r="WRD350" s="50"/>
      <c r="WRE350" s="50"/>
      <c r="WRF350" s="50"/>
      <c r="WRG350" s="50"/>
      <c r="WRH350" s="50"/>
      <c r="WRI350" s="50"/>
      <c r="WRJ350" s="50"/>
      <c r="WRK350" s="50"/>
      <c r="WRL350" s="50"/>
      <c r="WRM350" s="50"/>
      <c r="WRN350" s="50"/>
      <c r="WRO350" s="50"/>
      <c r="WRP350" s="50"/>
      <c r="WRQ350" s="50"/>
      <c r="WRR350" s="50"/>
      <c r="WRS350" s="50"/>
      <c r="WRT350" s="50"/>
      <c r="WRU350" s="50"/>
      <c r="WRV350" s="50"/>
      <c r="WRW350" s="50"/>
      <c r="WRX350" s="50"/>
      <c r="WRY350" s="50"/>
      <c r="WRZ350" s="50"/>
      <c r="WSA350" s="50"/>
      <c r="WSB350" s="50"/>
      <c r="WSC350" s="50"/>
      <c r="WSD350" s="50"/>
      <c r="WSE350" s="50"/>
      <c r="WSF350" s="50"/>
      <c r="WSG350" s="50"/>
      <c r="WSH350" s="50"/>
      <c r="WSI350" s="50"/>
      <c r="WSJ350" s="50"/>
      <c r="WSK350" s="50"/>
      <c r="WSL350" s="50"/>
      <c r="WSM350" s="50"/>
      <c r="WSN350" s="50"/>
      <c r="WSO350" s="50"/>
      <c r="WSP350" s="50"/>
      <c r="WSQ350" s="50"/>
      <c r="WSR350" s="50"/>
      <c r="WSS350" s="50"/>
      <c r="WST350" s="50"/>
      <c r="WSU350" s="50"/>
      <c r="WSV350" s="50"/>
      <c r="WSW350" s="50"/>
      <c r="WSX350" s="50"/>
      <c r="WSY350" s="50"/>
      <c r="WSZ350" s="50"/>
      <c r="WTA350" s="50"/>
      <c r="WTB350" s="50"/>
      <c r="WTC350" s="50"/>
      <c r="WTD350" s="50"/>
      <c r="WTE350" s="50"/>
      <c r="WTF350" s="50"/>
      <c r="WTG350" s="50"/>
      <c r="WTH350" s="50"/>
      <c r="WTI350" s="50"/>
      <c r="WTJ350" s="50"/>
      <c r="WTK350" s="50"/>
      <c r="WTL350" s="50"/>
      <c r="WTM350" s="50"/>
      <c r="WTN350" s="50"/>
      <c r="WTO350" s="50"/>
      <c r="WTP350" s="50"/>
      <c r="WTQ350" s="50"/>
      <c r="WTR350" s="50"/>
      <c r="WTS350" s="50"/>
      <c r="WTT350" s="50"/>
      <c r="WTU350" s="50"/>
      <c r="WTV350" s="50"/>
      <c r="WTW350" s="50"/>
      <c r="WTX350" s="50"/>
      <c r="WTY350" s="50"/>
      <c r="WTZ350" s="50"/>
      <c r="WUA350" s="50"/>
      <c r="WUB350" s="50"/>
      <c r="WUC350" s="50"/>
      <c r="WUD350" s="50"/>
      <c r="WUE350" s="50"/>
      <c r="WUF350" s="50"/>
      <c r="WUG350" s="50"/>
      <c r="WUH350" s="50"/>
      <c r="WUI350" s="50"/>
      <c r="WUJ350" s="50"/>
      <c r="WUK350" s="50"/>
      <c r="WUL350" s="50"/>
      <c r="WUM350" s="50"/>
      <c r="WUN350" s="50"/>
      <c r="WUO350" s="50"/>
    </row>
    <row r="351" spans="1:16109" s="29" customFormat="1" ht="90.75" customHeight="1" x14ac:dyDescent="0.25">
      <c r="A351" s="20"/>
      <c r="B351" s="20"/>
      <c r="C351" s="20"/>
      <c r="D351" s="21"/>
      <c r="E351" s="21"/>
      <c r="F351" s="22"/>
      <c r="G351" s="22"/>
      <c r="H351" s="24"/>
      <c r="I351" s="25"/>
      <c r="J351" s="24"/>
      <c r="K351" s="37">
        <v>7</v>
      </c>
      <c r="L351" s="20" t="s">
        <v>31</v>
      </c>
      <c r="M351" s="20"/>
      <c r="N351" s="62" t="s">
        <v>209</v>
      </c>
      <c r="O351" s="24">
        <v>462</v>
      </c>
      <c r="P351" s="35">
        <v>100</v>
      </c>
      <c r="Q351" s="40">
        <v>2550</v>
      </c>
      <c r="R351" s="77">
        <f t="shared" si="69"/>
        <v>1178100</v>
      </c>
      <c r="S351" s="37">
        <v>5</v>
      </c>
      <c r="T351" s="28">
        <f t="shared" si="70"/>
        <v>58905</v>
      </c>
      <c r="U351" s="77">
        <f t="shared" si="71"/>
        <v>1119195</v>
      </c>
      <c r="V351" s="20"/>
      <c r="W351" s="26"/>
      <c r="X351" s="27"/>
      <c r="Y351" s="20"/>
      <c r="Z351" s="2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50"/>
      <c r="AR351" s="50"/>
      <c r="AS351" s="50"/>
      <c r="AT351" s="50"/>
      <c r="AU351" s="50"/>
      <c r="AV351" s="50"/>
      <c r="AW351" s="50"/>
      <c r="AX351" s="50"/>
      <c r="AY351" s="50"/>
      <c r="AZ351" s="50"/>
      <c r="BA351" s="50"/>
      <c r="BB351" s="50"/>
      <c r="BC351" s="50"/>
      <c r="BD351" s="50"/>
      <c r="BE351" s="50"/>
      <c r="BF351" s="50"/>
      <c r="BG351" s="50"/>
      <c r="BH351" s="50"/>
      <c r="BI351" s="50"/>
      <c r="BJ351" s="50"/>
      <c r="BK351" s="50"/>
      <c r="BL351" s="50"/>
      <c r="BM351" s="50"/>
      <c r="BN351" s="50"/>
      <c r="BO351" s="50"/>
      <c r="BP351" s="50"/>
      <c r="BQ351" s="50"/>
      <c r="BR351" s="50"/>
      <c r="BS351" s="50"/>
      <c r="BT351" s="50"/>
      <c r="BU351" s="50"/>
      <c r="BV351" s="50"/>
      <c r="BW351" s="50"/>
      <c r="BX351" s="50"/>
      <c r="BY351" s="50"/>
      <c r="BZ351" s="50"/>
      <c r="CA351" s="50"/>
      <c r="CB351" s="50"/>
      <c r="CC351" s="50"/>
      <c r="CD351" s="50"/>
      <c r="CE351" s="50"/>
      <c r="CF351" s="50"/>
      <c r="CG351" s="50"/>
      <c r="CH351" s="50"/>
      <c r="CI351" s="50"/>
      <c r="CJ351" s="50"/>
      <c r="CK351" s="50"/>
      <c r="CL351" s="50"/>
      <c r="CM351" s="50"/>
      <c r="CN351" s="50"/>
      <c r="CO351" s="50"/>
      <c r="CP351" s="50"/>
      <c r="CQ351" s="50"/>
      <c r="CR351" s="50"/>
      <c r="CS351" s="50"/>
      <c r="CT351" s="50"/>
      <c r="CU351" s="50"/>
      <c r="CV351" s="50"/>
      <c r="CW351" s="50"/>
      <c r="CX351" s="50"/>
      <c r="CY351" s="50"/>
      <c r="CZ351" s="50"/>
      <c r="DA351" s="50"/>
      <c r="DB351" s="50"/>
      <c r="DC351" s="50"/>
      <c r="DD351" s="50"/>
      <c r="DE351" s="50"/>
      <c r="DF351" s="50"/>
      <c r="DG351" s="50"/>
      <c r="DH351" s="50"/>
      <c r="DI351" s="50"/>
      <c r="DJ351" s="50"/>
      <c r="DK351" s="50"/>
      <c r="DL351" s="50"/>
      <c r="DM351" s="50"/>
      <c r="DN351" s="50"/>
      <c r="DO351" s="50"/>
      <c r="DP351" s="50"/>
      <c r="DQ351" s="50"/>
      <c r="DR351" s="50"/>
      <c r="DS351" s="50"/>
      <c r="DT351" s="50"/>
      <c r="DU351" s="50"/>
      <c r="DV351" s="50"/>
      <c r="DW351" s="50"/>
      <c r="DX351" s="50"/>
      <c r="DY351" s="50"/>
      <c r="DZ351" s="50"/>
      <c r="EA351" s="50"/>
      <c r="EB351" s="50"/>
      <c r="EC351" s="50"/>
      <c r="ED351" s="50"/>
      <c r="EE351" s="50"/>
      <c r="EF351" s="50"/>
      <c r="EG351" s="50"/>
      <c r="EH351" s="50"/>
      <c r="EI351" s="50"/>
      <c r="EJ351" s="50"/>
      <c r="EK351" s="50"/>
      <c r="EL351" s="50"/>
      <c r="EM351" s="50"/>
      <c r="EN351" s="50"/>
      <c r="EO351" s="50"/>
      <c r="EP351" s="50"/>
      <c r="EQ351" s="50"/>
      <c r="ER351" s="50"/>
      <c r="ES351" s="50"/>
      <c r="ET351" s="50"/>
      <c r="EU351" s="50"/>
      <c r="EV351" s="50"/>
      <c r="EW351" s="50"/>
      <c r="EX351" s="50"/>
      <c r="EY351" s="50"/>
      <c r="EZ351" s="50"/>
      <c r="FA351" s="50"/>
      <c r="FB351" s="50"/>
      <c r="FC351" s="50"/>
      <c r="FD351" s="50"/>
      <c r="FE351" s="50"/>
      <c r="FF351" s="50"/>
      <c r="FG351" s="50"/>
      <c r="FH351" s="50"/>
      <c r="FI351" s="50"/>
      <c r="FJ351" s="50"/>
      <c r="FK351" s="50"/>
      <c r="FL351" s="50"/>
      <c r="FM351" s="50"/>
      <c r="FN351" s="50"/>
      <c r="FO351" s="50"/>
      <c r="FP351" s="50"/>
      <c r="FQ351" s="50"/>
      <c r="FR351" s="50"/>
      <c r="FS351" s="50"/>
      <c r="FT351" s="50"/>
      <c r="FU351" s="50"/>
      <c r="FV351" s="50"/>
      <c r="FW351" s="50"/>
      <c r="FX351" s="50"/>
      <c r="FY351" s="50"/>
      <c r="FZ351" s="50"/>
      <c r="GA351" s="50"/>
      <c r="GB351" s="50"/>
      <c r="GC351" s="50"/>
      <c r="GD351" s="50"/>
      <c r="GE351" s="50"/>
      <c r="GF351" s="50"/>
      <c r="GG351" s="50"/>
      <c r="GH351" s="50"/>
      <c r="GI351" s="50"/>
      <c r="GJ351" s="50"/>
      <c r="GK351" s="50"/>
      <c r="GL351" s="50"/>
      <c r="GM351" s="50"/>
      <c r="GN351" s="50"/>
      <c r="GO351" s="50"/>
      <c r="GP351" s="50"/>
      <c r="GQ351" s="50"/>
      <c r="GR351" s="50"/>
      <c r="GS351" s="50"/>
      <c r="GT351" s="50"/>
      <c r="GU351" s="50"/>
      <c r="GV351" s="50"/>
      <c r="GW351" s="50"/>
      <c r="GX351" s="50"/>
      <c r="GY351" s="50"/>
      <c r="GZ351" s="50"/>
      <c r="HA351" s="50"/>
      <c r="HB351" s="50"/>
      <c r="HC351" s="50"/>
      <c r="HD351" s="50"/>
      <c r="HE351" s="50"/>
      <c r="HF351" s="50"/>
      <c r="HG351" s="50"/>
      <c r="HH351" s="50"/>
      <c r="HI351" s="50"/>
      <c r="HJ351" s="50"/>
      <c r="HK351" s="50"/>
      <c r="HL351" s="50"/>
      <c r="HM351" s="50"/>
      <c r="HN351" s="50"/>
      <c r="HO351" s="50"/>
      <c r="HP351" s="50"/>
      <c r="HQ351" s="50"/>
      <c r="HR351" s="50"/>
      <c r="HS351" s="50"/>
      <c r="HT351" s="50"/>
      <c r="HU351" s="50"/>
      <c r="HV351" s="50"/>
      <c r="HW351" s="50"/>
      <c r="HX351" s="50"/>
      <c r="HY351" s="50"/>
      <c r="HZ351" s="50"/>
      <c r="IA351" s="50"/>
      <c r="IB351" s="50"/>
      <c r="IC351" s="50"/>
      <c r="ID351" s="50"/>
      <c r="IE351" s="50"/>
      <c r="IF351" s="50"/>
      <c r="IG351" s="50"/>
      <c r="IH351" s="50"/>
      <c r="II351" s="50"/>
      <c r="IJ351" s="50"/>
      <c r="IK351" s="50"/>
      <c r="IL351" s="50"/>
      <c r="IM351" s="50"/>
      <c r="IN351" s="50"/>
      <c r="IO351" s="50"/>
      <c r="IP351" s="50"/>
      <c r="IQ351" s="50"/>
      <c r="IR351" s="50"/>
      <c r="IS351" s="50"/>
      <c r="IT351" s="50"/>
      <c r="IU351" s="50"/>
      <c r="IV351" s="50"/>
      <c r="IW351" s="50"/>
      <c r="IX351" s="50"/>
      <c r="IY351" s="50"/>
      <c r="IZ351" s="50"/>
      <c r="JA351" s="50"/>
      <c r="JB351" s="50"/>
      <c r="JC351" s="50"/>
      <c r="JD351" s="50"/>
      <c r="JE351" s="50"/>
      <c r="JF351" s="50"/>
      <c r="JG351" s="50"/>
      <c r="JH351" s="50"/>
      <c r="JI351" s="50"/>
      <c r="JJ351" s="50"/>
      <c r="JK351" s="50"/>
      <c r="JL351" s="50"/>
      <c r="JM351" s="50"/>
      <c r="JN351" s="50"/>
      <c r="JO351" s="50"/>
      <c r="JP351" s="50"/>
      <c r="JQ351" s="50"/>
      <c r="JR351" s="50"/>
      <c r="JS351" s="50"/>
      <c r="JT351" s="50"/>
      <c r="JU351" s="50"/>
      <c r="JV351" s="50"/>
      <c r="JW351" s="50"/>
      <c r="JX351" s="50"/>
      <c r="JY351" s="50"/>
      <c r="JZ351" s="50"/>
      <c r="KA351" s="50"/>
      <c r="KB351" s="50"/>
      <c r="KC351" s="50"/>
      <c r="KD351" s="50"/>
      <c r="KE351" s="50"/>
      <c r="KF351" s="50"/>
      <c r="KG351" s="50"/>
      <c r="KH351" s="50"/>
      <c r="KI351" s="50"/>
      <c r="KJ351" s="50"/>
      <c r="KK351" s="50"/>
      <c r="KL351" s="50"/>
      <c r="KM351" s="50"/>
      <c r="KN351" s="50"/>
      <c r="KO351" s="50"/>
      <c r="KP351" s="50"/>
      <c r="KQ351" s="50"/>
      <c r="KR351" s="50"/>
      <c r="KS351" s="50"/>
      <c r="KT351" s="50"/>
      <c r="KU351" s="50"/>
      <c r="KV351" s="50"/>
      <c r="KW351" s="50"/>
      <c r="KX351" s="50"/>
      <c r="KY351" s="50"/>
      <c r="KZ351" s="50"/>
      <c r="LA351" s="50"/>
      <c r="LB351" s="50"/>
      <c r="LC351" s="50"/>
      <c r="LD351" s="50"/>
      <c r="LE351" s="50"/>
      <c r="LF351" s="50"/>
      <c r="LG351" s="50"/>
      <c r="LH351" s="50"/>
      <c r="LI351" s="50"/>
      <c r="LJ351" s="50"/>
      <c r="LK351" s="50"/>
      <c r="LL351" s="50"/>
      <c r="LM351" s="50"/>
      <c r="LN351" s="50"/>
      <c r="LO351" s="50"/>
      <c r="LP351" s="50"/>
      <c r="LQ351" s="50"/>
      <c r="LR351" s="50"/>
      <c r="LS351" s="50"/>
      <c r="LT351" s="50"/>
      <c r="LU351" s="50"/>
      <c r="LV351" s="50"/>
      <c r="LW351" s="50"/>
      <c r="LX351" s="50"/>
      <c r="LY351" s="50"/>
      <c r="LZ351" s="50"/>
      <c r="MA351" s="50"/>
      <c r="MB351" s="50"/>
      <c r="MC351" s="50"/>
      <c r="MD351" s="50"/>
      <c r="ME351" s="50"/>
      <c r="MF351" s="50"/>
      <c r="MG351" s="50"/>
      <c r="MH351" s="50"/>
      <c r="MI351" s="50"/>
      <c r="MJ351" s="50"/>
      <c r="MK351" s="50"/>
      <c r="ML351" s="50"/>
      <c r="MM351" s="50"/>
      <c r="MN351" s="50"/>
      <c r="MO351" s="50"/>
      <c r="MP351" s="50"/>
      <c r="MQ351" s="50"/>
      <c r="MR351" s="50"/>
      <c r="MS351" s="50"/>
      <c r="MT351" s="50"/>
      <c r="MU351" s="50"/>
      <c r="MV351" s="50"/>
      <c r="MW351" s="50"/>
      <c r="MX351" s="50"/>
      <c r="MY351" s="50"/>
      <c r="MZ351" s="50"/>
      <c r="NA351" s="50"/>
      <c r="NB351" s="50"/>
      <c r="NC351" s="50"/>
      <c r="ND351" s="50"/>
      <c r="NE351" s="50"/>
      <c r="NF351" s="50"/>
      <c r="NG351" s="50"/>
      <c r="NH351" s="50"/>
      <c r="NI351" s="50"/>
      <c r="NJ351" s="50"/>
      <c r="NK351" s="50"/>
      <c r="NL351" s="50"/>
      <c r="NM351" s="50"/>
      <c r="NN351" s="50"/>
      <c r="NO351" s="50"/>
      <c r="NP351" s="50"/>
      <c r="NQ351" s="50"/>
      <c r="NR351" s="50"/>
      <c r="NS351" s="50"/>
      <c r="NT351" s="50"/>
      <c r="NU351" s="50"/>
      <c r="NV351" s="50"/>
      <c r="NW351" s="50"/>
      <c r="NX351" s="50"/>
      <c r="NY351" s="50"/>
      <c r="NZ351" s="50"/>
      <c r="OA351" s="50"/>
      <c r="OB351" s="50"/>
      <c r="OC351" s="50"/>
      <c r="OD351" s="50"/>
      <c r="OE351" s="50"/>
      <c r="OF351" s="50"/>
      <c r="OG351" s="50"/>
      <c r="OH351" s="50"/>
      <c r="OI351" s="50"/>
      <c r="OJ351" s="50"/>
      <c r="OK351" s="50"/>
      <c r="OL351" s="50"/>
      <c r="OM351" s="50"/>
      <c r="ON351" s="50"/>
      <c r="OO351" s="50"/>
      <c r="OP351" s="50"/>
      <c r="OQ351" s="50"/>
      <c r="OR351" s="50"/>
      <c r="OS351" s="50"/>
      <c r="OT351" s="50"/>
      <c r="OU351" s="50"/>
      <c r="OV351" s="50"/>
      <c r="OW351" s="50"/>
      <c r="OX351" s="50"/>
      <c r="OY351" s="50"/>
      <c r="OZ351" s="50"/>
      <c r="PA351" s="50"/>
      <c r="PB351" s="50"/>
      <c r="PC351" s="50"/>
      <c r="PD351" s="50"/>
      <c r="PE351" s="50"/>
      <c r="PF351" s="50"/>
      <c r="PG351" s="50"/>
      <c r="PH351" s="50"/>
      <c r="PI351" s="50"/>
      <c r="PJ351" s="50"/>
      <c r="PK351" s="50"/>
      <c r="PL351" s="50"/>
      <c r="PM351" s="50"/>
      <c r="PN351" s="50"/>
      <c r="PO351" s="50"/>
      <c r="PP351" s="50"/>
      <c r="PQ351" s="50"/>
      <c r="PR351" s="50"/>
      <c r="PS351" s="50"/>
      <c r="PT351" s="50"/>
      <c r="PU351" s="50"/>
      <c r="PV351" s="50"/>
      <c r="PW351" s="50"/>
      <c r="PX351" s="50"/>
      <c r="PY351" s="50"/>
      <c r="PZ351" s="50"/>
      <c r="QA351" s="50"/>
      <c r="QB351" s="50"/>
      <c r="QC351" s="50"/>
      <c r="QD351" s="50"/>
      <c r="QE351" s="50"/>
      <c r="QF351" s="50"/>
      <c r="QG351" s="50"/>
      <c r="QH351" s="50"/>
      <c r="QI351" s="50"/>
      <c r="QJ351" s="50"/>
      <c r="QK351" s="50"/>
      <c r="QL351" s="50"/>
      <c r="QM351" s="50"/>
      <c r="QN351" s="50"/>
      <c r="QO351" s="50"/>
      <c r="QP351" s="50"/>
      <c r="QQ351" s="50"/>
      <c r="QR351" s="50"/>
      <c r="QS351" s="50"/>
      <c r="QT351" s="50"/>
      <c r="QU351" s="50"/>
      <c r="QV351" s="50"/>
      <c r="QW351" s="50"/>
      <c r="QX351" s="50"/>
      <c r="QY351" s="50"/>
      <c r="QZ351" s="50"/>
      <c r="RA351" s="50"/>
      <c r="RB351" s="50"/>
      <c r="RC351" s="50"/>
      <c r="RD351" s="50"/>
      <c r="RE351" s="50"/>
      <c r="RF351" s="50"/>
      <c r="RG351" s="50"/>
      <c r="RH351" s="50"/>
      <c r="RI351" s="50"/>
      <c r="RJ351" s="50"/>
      <c r="RK351" s="50"/>
      <c r="RL351" s="50"/>
      <c r="RM351" s="50"/>
      <c r="RN351" s="50"/>
      <c r="RO351" s="50"/>
      <c r="RP351" s="50"/>
      <c r="RQ351" s="50"/>
      <c r="RR351" s="50"/>
      <c r="RS351" s="50"/>
      <c r="RT351" s="50"/>
      <c r="RU351" s="50"/>
      <c r="RV351" s="50"/>
      <c r="RW351" s="50"/>
      <c r="RX351" s="50"/>
      <c r="RY351" s="50"/>
      <c r="RZ351" s="50"/>
      <c r="SA351" s="50"/>
      <c r="SB351" s="50"/>
      <c r="SC351" s="50"/>
      <c r="SD351" s="50"/>
      <c r="SE351" s="50"/>
      <c r="SF351" s="50"/>
      <c r="SG351" s="50"/>
      <c r="SH351" s="50"/>
      <c r="SI351" s="50"/>
      <c r="SJ351" s="50"/>
      <c r="SK351" s="50"/>
      <c r="SL351" s="50"/>
      <c r="SM351" s="50"/>
      <c r="SN351" s="50"/>
      <c r="SO351" s="50"/>
      <c r="SP351" s="50"/>
      <c r="SQ351" s="50"/>
      <c r="SR351" s="50"/>
      <c r="SS351" s="50"/>
      <c r="ST351" s="50"/>
      <c r="SU351" s="50"/>
      <c r="SV351" s="50"/>
      <c r="SW351" s="50"/>
      <c r="SX351" s="50"/>
      <c r="SY351" s="50"/>
      <c r="SZ351" s="50"/>
      <c r="TA351" s="50"/>
      <c r="TB351" s="50"/>
      <c r="TC351" s="50"/>
      <c r="TD351" s="50"/>
      <c r="TE351" s="50"/>
      <c r="TF351" s="50"/>
      <c r="TG351" s="50"/>
      <c r="TH351" s="50"/>
      <c r="TI351" s="50"/>
      <c r="TJ351" s="50"/>
      <c r="TK351" s="50"/>
      <c r="TL351" s="50"/>
      <c r="TM351" s="50"/>
      <c r="TN351" s="50"/>
      <c r="TO351" s="50"/>
      <c r="TP351" s="50"/>
      <c r="TQ351" s="50"/>
      <c r="TR351" s="50"/>
      <c r="TS351" s="50"/>
      <c r="TT351" s="50"/>
      <c r="TU351" s="50"/>
      <c r="TV351" s="50"/>
      <c r="TW351" s="50"/>
      <c r="TX351" s="50"/>
      <c r="TY351" s="50"/>
      <c r="TZ351" s="50"/>
      <c r="UA351" s="50"/>
      <c r="UB351" s="50"/>
      <c r="UC351" s="50"/>
      <c r="UD351" s="50"/>
      <c r="UE351" s="50"/>
      <c r="UF351" s="50"/>
      <c r="UG351" s="50"/>
      <c r="UH351" s="50"/>
      <c r="UI351" s="50"/>
      <c r="UJ351" s="50"/>
      <c r="UK351" s="50"/>
      <c r="UL351" s="50"/>
      <c r="UM351" s="50"/>
      <c r="UN351" s="50"/>
      <c r="UO351" s="50"/>
      <c r="UP351" s="50"/>
      <c r="UQ351" s="50"/>
      <c r="UR351" s="50"/>
      <c r="US351" s="50"/>
      <c r="UT351" s="50"/>
      <c r="UU351" s="50"/>
      <c r="UV351" s="50"/>
      <c r="UW351" s="50"/>
      <c r="UX351" s="50"/>
      <c r="UY351" s="50"/>
      <c r="UZ351" s="50"/>
      <c r="VA351" s="50"/>
      <c r="VB351" s="50"/>
      <c r="VC351" s="50"/>
      <c r="VD351" s="50"/>
      <c r="VE351" s="50"/>
      <c r="VF351" s="50"/>
      <c r="VG351" s="50"/>
      <c r="VH351" s="50"/>
      <c r="VI351" s="50"/>
      <c r="VJ351" s="50"/>
      <c r="VK351" s="50"/>
      <c r="VL351" s="50"/>
      <c r="VM351" s="50"/>
      <c r="VN351" s="50"/>
      <c r="VO351" s="50"/>
      <c r="VP351" s="50"/>
      <c r="VQ351" s="50"/>
      <c r="VR351" s="50"/>
      <c r="VS351" s="50"/>
      <c r="VT351" s="50"/>
      <c r="VU351" s="50"/>
      <c r="VV351" s="50"/>
      <c r="VW351" s="50"/>
      <c r="VX351" s="50"/>
      <c r="VY351" s="50"/>
      <c r="VZ351" s="50"/>
      <c r="WA351" s="50"/>
      <c r="WB351" s="50"/>
      <c r="WC351" s="50"/>
      <c r="WD351" s="50"/>
      <c r="WE351" s="50"/>
      <c r="WF351" s="50"/>
      <c r="WG351" s="50"/>
      <c r="WH351" s="50"/>
      <c r="WI351" s="50"/>
      <c r="WJ351" s="50"/>
      <c r="WK351" s="50"/>
      <c r="WL351" s="50"/>
      <c r="WM351" s="50"/>
      <c r="WN351" s="50"/>
      <c r="WO351" s="50"/>
      <c r="WP351" s="50"/>
      <c r="WQ351" s="50"/>
      <c r="WR351" s="50"/>
      <c r="WS351" s="50"/>
      <c r="WT351" s="50"/>
      <c r="WU351" s="50"/>
      <c r="WV351" s="50"/>
      <c r="WW351" s="50"/>
      <c r="WX351" s="50"/>
      <c r="WY351" s="50"/>
      <c r="WZ351" s="50"/>
      <c r="XA351" s="50"/>
      <c r="XB351" s="50"/>
      <c r="XC351" s="50"/>
      <c r="XD351" s="50"/>
      <c r="XE351" s="50"/>
      <c r="XF351" s="50"/>
      <c r="XG351" s="50"/>
      <c r="XH351" s="50"/>
      <c r="XI351" s="50"/>
      <c r="XJ351" s="50"/>
      <c r="XK351" s="50"/>
      <c r="XL351" s="50"/>
      <c r="XM351" s="50"/>
      <c r="XN351" s="50"/>
      <c r="XO351" s="50"/>
      <c r="XP351" s="50"/>
      <c r="XQ351" s="50"/>
      <c r="XR351" s="50"/>
      <c r="XS351" s="50"/>
      <c r="XT351" s="50"/>
      <c r="XU351" s="50"/>
      <c r="XV351" s="50"/>
      <c r="XW351" s="50"/>
      <c r="XX351" s="50"/>
      <c r="XY351" s="50"/>
      <c r="XZ351" s="50"/>
      <c r="YA351" s="50"/>
      <c r="YB351" s="50"/>
      <c r="YC351" s="50"/>
      <c r="YD351" s="50"/>
      <c r="YE351" s="50"/>
      <c r="YF351" s="50"/>
      <c r="YG351" s="50"/>
      <c r="YH351" s="50"/>
      <c r="YI351" s="50"/>
      <c r="YJ351" s="50"/>
      <c r="YK351" s="50"/>
      <c r="YL351" s="50"/>
      <c r="YM351" s="50"/>
      <c r="YN351" s="50"/>
      <c r="YO351" s="50"/>
      <c r="YP351" s="50"/>
      <c r="YQ351" s="50"/>
      <c r="YR351" s="50"/>
      <c r="YS351" s="50"/>
      <c r="YT351" s="50"/>
      <c r="YU351" s="50"/>
      <c r="YV351" s="50"/>
      <c r="YW351" s="50"/>
      <c r="YX351" s="50"/>
      <c r="YY351" s="50"/>
      <c r="YZ351" s="50"/>
      <c r="ZA351" s="50"/>
      <c r="ZB351" s="50"/>
      <c r="ZC351" s="50"/>
      <c r="ZD351" s="50"/>
      <c r="ZE351" s="50"/>
      <c r="ZF351" s="50"/>
      <c r="ZG351" s="50"/>
      <c r="ZH351" s="50"/>
      <c r="ZI351" s="50"/>
      <c r="ZJ351" s="50"/>
      <c r="ZK351" s="50"/>
      <c r="ZL351" s="50"/>
      <c r="ZM351" s="50"/>
      <c r="ZN351" s="50"/>
      <c r="ZO351" s="50"/>
      <c r="ZP351" s="50"/>
      <c r="ZQ351" s="50"/>
      <c r="ZR351" s="50"/>
      <c r="ZS351" s="50"/>
      <c r="ZT351" s="50"/>
      <c r="ZU351" s="50"/>
      <c r="ZV351" s="50"/>
      <c r="ZW351" s="50"/>
      <c r="ZX351" s="50"/>
      <c r="ZY351" s="50"/>
      <c r="ZZ351" s="50"/>
      <c r="AAA351" s="50"/>
      <c r="AAB351" s="50"/>
      <c r="AAC351" s="50"/>
      <c r="AAD351" s="50"/>
      <c r="AAE351" s="50"/>
      <c r="AAF351" s="50"/>
      <c r="AAG351" s="50"/>
      <c r="AAH351" s="50"/>
      <c r="AAI351" s="50"/>
      <c r="AAJ351" s="50"/>
      <c r="AAK351" s="50"/>
      <c r="AAL351" s="50"/>
      <c r="AAM351" s="50"/>
      <c r="AAN351" s="50"/>
      <c r="AAO351" s="50"/>
      <c r="AAP351" s="50"/>
      <c r="AAQ351" s="50"/>
      <c r="AAR351" s="50"/>
      <c r="AAS351" s="50"/>
      <c r="AAT351" s="50"/>
      <c r="AAU351" s="50"/>
      <c r="AAV351" s="50"/>
      <c r="AAW351" s="50"/>
      <c r="AAX351" s="50"/>
      <c r="AAY351" s="50"/>
      <c r="AAZ351" s="50"/>
      <c r="ABA351" s="50"/>
      <c r="ABB351" s="50"/>
      <c r="ABC351" s="50"/>
      <c r="ABD351" s="50"/>
      <c r="ABE351" s="50"/>
      <c r="ABF351" s="50"/>
      <c r="ABG351" s="50"/>
      <c r="ABH351" s="50"/>
      <c r="ABI351" s="50"/>
      <c r="ABJ351" s="50"/>
      <c r="ABK351" s="50"/>
      <c r="ABL351" s="50"/>
      <c r="ABM351" s="50"/>
      <c r="ABN351" s="50"/>
      <c r="ABO351" s="50"/>
      <c r="ABP351" s="50"/>
      <c r="ABQ351" s="50"/>
      <c r="ABR351" s="50"/>
      <c r="ABS351" s="50"/>
      <c r="ABT351" s="50"/>
      <c r="ABU351" s="50"/>
      <c r="ABV351" s="50"/>
      <c r="ABW351" s="50"/>
      <c r="ABX351" s="50"/>
      <c r="ABY351" s="50"/>
      <c r="ABZ351" s="50"/>
      <c r="ACA351" s="50"/>
      <c r="ACB351" s="50"/>
      <c r="ACC351" s="50"/>
      <c r="ACD351" s="50"/>
      <c r="ACE351" s="50"/>
      <c r="ACF351" s="50"/>
      <c r="ACG351" s="50"/>
      <c r="ACH351" s="50"/>
      <c r="ACI351" s="50"/>
      <c r="ACJ351" s="50"/>
      <c r="ACK351" s="50"/>
      <c r="ACL351" s="50"/>
      <c r="ACM351" s="50"/>
      <c r="ACN351" s="50"/>
      <c r="ACO351" s="50"/>
      <c r="ACP351" s="50"/>
      <c r="ACQ351" s="50"/>
      <c r="ACR351" s="50"/>
      <c r="ACS351" s="50"/>
      <c r="ACT351" s="50"/>
      <c r="ACU351" s="50"/>
      <c r="ACV351" s="50"/>
      <c r="ACW351" s="50"/>
      <c r="ACX351" s="50"/>
      <c r="ACY351" s="50"/>
      <c r="ACZ351" s="50"/>
      <c r="ADA351" s="50"/>
      <c r="ADB351" s="50"/>
      <c r="ADC351" s="50"/>
      <c r="ADD351" s="50"/>
      <c r="ADE351" s="50"/>
      <c r="ADF351" s="50"/>
      <c r="ADG351" s="50"/>
      <c r="ADH351" s="50"/>
      <c r="ADI351" s="50"/>
      <c r="ADJ351" s="50"/>
      <c r="ADK351" s="50"/>
      <c r="ADL351" s="50"/>
      <c r="ADM351" s="50"/>
      <c r="ADN351" s="50"/>
      <c r="ADO351" s="50"/>
      <c r="ADP351" s="50"/>
      <c r="ADQ351" s="50"/>
      <c r="ADR351" s="50"/>
      <c r="ADS351" s="50"/>
      <c r="ADT351" s="50"/>
      <c r="ADU351" s="50"/>
      <c r="ADV351" s="50"/>
      <c r="ADW351" s="50"/>
      <c r="ADX351" s="50"/>
      <c r="ADY351" s="50"/>
      <c r="ADZ351" s="50"/>
      <c r="AEA351" s="50"/>
      <c r="AEB351" s="50"/>
      <c r="AEC351" s="50"/>
      <c r="AED351" s="50"/>
      <c r="AEE351" s="50"/>
      <c r="AEF351" s="50"/>
      <c r="AEG351" s="50"/>
      <c r="AEH351" s="50"/>
      <c r="AEI351" s="50"/>
      <c r="AEJ351" s="50"/>
      <c r="AEK351" s="50"/>
      <c r="AEL351" s="50"/>
      <c r="AEM351" s="50"/>
      <c r="AEN351" s="50"/>
      <c r="AEO351" s="50"/>
      <c r="AEP351" s="50"/>
      <c r="AEQ351" s="50"/>
      <c r="AER351" s="50"/>
      <c r="AES351" s="50"/>
      <c r="AET351" s="50"/>
      <c r="AEU351" s="50"/>
      <c r="AEV351" s="50"/>
      <c r="AEW351" s="50"/>
      <c r="AEX351" s="50"/>
      <c r="AEY351" s="50"/>
      <c r="AEZ351" s="50"/>
      <c r="AFA351" s="50"/>
      <c r="AFB351" s="50"/>
      <c r="AFC351" s="50"/>
      <c r="AFD351" s="50"/>
      <c r="AFE351" s="50"/>
      <c r="AFF351" s="50"/>
      <c r="AFG351" s="50"/>
      <c r="AFH351" s="50"/>
      <c r="AFI351" s="50"/>
      <c r="AFJ351" s="50"/>
      <c r="AFK351" s="50"/>
      <c r="AFL351" s="50"/>
      <c r="AFM351" s="50"/>
      <c r="AFN351" s="50"/>
      <c r="AFO351" s="50"/>
      <c r="AFP351" s="50"/>
      <c r="AFQ351" s="50"/>
      <c r="AFR351" s="50"/>
      <c r="AFS351" s="50"/>
      <c r="AFT351" s="50"/>
      <c r="AFU351" s="50"/>
      <c r="AFV351" s="50"/>
      <c r="AFW351" s="50"/>
      <c r="AFX351" s="50"/>
      <c r="AFY351" s="50"/>
      <c r="AFZ351" s="50"/>
      <c r="AGA351" s="50"/>
      <c r="AGB351" s="50"/>
      <c r="AGC351" s="50"/>
      <c r="AGD351" s="50"/>
      <c r="AGE351" s="50"/>
      <c r="AGF351" s="50"/>
      <c r="AGG351" s="50"/>
      <c r="AGH351" s="50"/>
      <c r="AGI351" s="50"/>
      <c r="AGJ351" s="50"/>
      <c r="AGK351" s="50"/>
      <c r="AGL351" s="50"/>
      <c r="AGM351" s="50"/>
      <c r="AGN351" s="50"/>
      <c r="AGO351" s="50"/>
      <c r="AGP351" s="50"/>
      <c r="AGQ351" s="50"/>
      <c r="AGR351" s="50"/>
      <c r="AGS351" s="50"/>
      <c r="AGT351" s="50"/>
      <c r="AGU351" s="50"/>
      <c r="AGV351" s="50"/>
      <c r="AGW351" s="50"/>
      <c r="AGX351" s="50"/>
      <c r="AGY351" s="50"/>
      <c r="AGZ351" s="50"/>
      <c r="AHA351" s="50"/>
      <c r="AHB351" s="50"/>
      <c r="AHC351" s="50"/>
      <c r="AHD351" s="50"/>
      <c r="AHE351" s="50"/>
      <c r="AHF351" s="50"/>
      <c r="AHG351" s="50"/>
      <c r="AHH351" s="50"/>
      <c r="AHI351" s="50"/>
      <c r="AHJ351" s="50"/>
      <c r="AHK351" s="50"/>
      <c r="AHL351" s="50"/>
      <c r="AHM351" s="50"/>
      <c r="AHN351" s="50"/>
      <c r="AHO351" s="50"/>
      <c r="AHP351" s="50"/>
      <c r="AHQ351" s="50"/>
      <c r="AHR351" s="50"/>
      <c r="AHS351" s="50"/>
      <c r="AHT351" s="50"/>
      <c r="AHU351" s="50"/>
      <c r="AHV351" s="50"/>
      <c r="AHW351" s="50"/>
      <c r="AHX351" s="50"/>
      <c r="AHY351" s="50"/>
      <c r="AHZ351" s="50"/>
      <c r="AIA351" s="50"/>
      <c r="AIB351" s="50"/>
      <c r="AIC351" s="50"/>
      <c r="AID351" s="50"/>
      <c r="AIE351" s="50"/>
      <c r="AIF351" s="50"/>
      <c r="AIG351" s="50"/>
      <c r="AIH351" s="50"/>
      <c r="AII351" s="50"/>
      <c r="AIJ351" s="50"/>
      <c r="AIK351" s="50"/>
      <c r="AIL351" s="50"/>
      <c r="AIM351" s="50"/>
      <c r="AIN351" s="50"/>
      <c r="AIO351" s="50"/>
      <c r="AIP351" s="50"/>
      <c r="AIQ351" s="50"/>
      <c r="AIR351" s="50"/>
      <c r="AIS351" s="50"/>
      <c r="AIT351" s="50"/>
      <c r="AIU351" s="50"/>
      <c r="AIV351" s="50"/>
      <c r="AIW351" s="50"/>
      <c r="AIX351" s="50"/>
      <c r="AIY351" s="50"/>
      <c r="AIZ351" s="50"/>
      <c r="AJA351" s="50"/>
      <c r="AJB351" s="50"/>
      <c r="AJC351" s="50"/>
      <c r="AJD351" s="50"/>
      <c r="AJE351" s="50"/>
      <c r="AJF351" s="50"/>
      <c r="AJG351" s="50"/>
      <c r="AJH351" s="50"/>
      <c r="AJI351" s="50"/>
      <c r="AJJ351" s="50"/>
      <c r="AJK351" s="50"/>
      <c r="AJL351" s="50"/>
      <c r="AJM351" s="50"/>
      <c r="AJN351" s="50"/>
      <c r="AJO351" s="50"/>
      <c r="AJP351" s="50"/>
      <c r="AJQ351" s="50"/>
      <c r="AJR351" s="50"/>
      <c r="AJS351" s="50"/>
      <c r="AJT351" s="50"/>
      <c r="AJU351" s="50"/>
      <c r="AJV351" s="50"/>
      <c r="AJW351" s="50"/>
      <c r="AJX351" s="50"/>
      <c r="AJY351" s="50"/>
      <c r="AJZ351" s="50"/>
      <c r="AKA351" s="50"/>
      <c r="AKB351" s="50"/>
      <c r="AKC351" s="50"/>
      <c r="AKD351" s="50"/>
      <c r="AKE351" s="50"/>
      <c r="AKF351" s="50"/>
      <c r="AKG351" s="50"/>
      <c r="AKH351" s="50"/>
      <c r="AKI351" s="50"/>
      <c r="AKJ351" s="50"/>
      <c r="AKK351" s="50"/>
      <c r="AKL351" s="50"/>
      <c r="AKM351" s="50"/>
      <c r="AKN351" s="50"/>
      <c r="AKO351" s="50"/>
      <c r="AKP351" s="50"/>
      <c r="AKQ351" s="50"/>
      <c r="AKR351" s="50"/>
      <c r="AKS351" s="50"/>
      <c r="AKT351" s="50"/>
      <c r="AKU351" s="50"/>
      <c r="AKV351" s="50"/>
      <c r="AKW351" s="50"/>
      <c r="AKX351" s="50"/>
      <c r="AKY351" s="50"/>
      <c r="AKZ351" s="50"/>
      <c r="ALA351" s="50"/>
      <c r="ALB351" s="50"/>
      <c r="ALC351" s="50"/>
      <c r="ALD351" s="50"/>
      <c r="ALE351" s="50"/>
      <c r="ALF351" s="50"/>
      <c r="ALG351" s="50"/>
      <c r="ALH351" s="50"/>
      <c r="ALI351" s="50"/>
      <c r="ALJ351" s="50"/>
      <c r="ALK351" s="50"/>
      <c r="ALL351" s="50"/>
      <c r="ALM351" s="50"/>
      <c r="ALN351" s="50"/>
      <c r="ALO351" s="50"/>
      <c r="ALP351" s="50"/>
      <c r="ALQ351" s="50"/>
      <c r="ALR351" s="50"/>
      <c r="ALS351" s="50"/>
      <c r="ALT351" s="50"/>
      <c r="ALU351" s="50"/>
      <c r="ALV351" s="50"/>
      <c r="ALW351" s="50"/>
      <c r="ALX351" s="50"/>
      <c r="ALY351" s="50"/>
      <c r="ALZ351" s="50"/>
      <c r="AMA351" s="50"/>
      <c r="AMB351" s="50"/>
      <c r="AMC351" s="50"/>
      <c r="AMD351" s="50"/>
      <c r="AME351" s="50"/>
      <c r="AMF351" s="50"/>
      <c r="AMG351" s="50"/>
      <c r="AMH351" s="50"/>
      <c r="AMI351" s="50"/>
      <c r="AMJ351" s="50"/>
      <c r="AMK351" s="50"/>
      <c r="AML351" s="50"/>
      <c r="AMM351" s="50"/>
      <c r="AMN351" s="50"/>
      <c r="AMO351" s="50"/>
      <c r="AMP351" s="50"/>
      <c r="AMQ351" s="50"/>
      <c r="AMR351" s="50"/>
      <c r="AMS351" s="50"/>
      <c r="AMT351" s="50"/>
      <c r="AMU351" s="50"/>
      <c r="AMV351" s="50"/>
      <c r="AMW351" s="50"/>
      <c r="AMX351" s="50"/>
      <c r="AMY351" s="50"/>
      <c r="AMZ351" s="50"/>
      <c r="ANA351" s="50"/>
      <c r="ANB351" s="50"/>
      <c r="ANC351" s="50"/>
      <c r="AND351" s="50"/>
      <c r="ANE351" s="50"/>
      <c r="ANF351" s="50"/>
      <c r="ANG351" s="50"/>
      <c r="ANH351" s="50"/>
      <c r="ANI351" s="50"/>
      <c r="ANJ351" s="50"/>
      <c r="ANK351" s="50"/>
      <c r="ANL351" s="50"/>
      <c r="ANM351" s="50"/>
      <c r="ANN351" s="50"/>
      <c r="ANO351" s="50"/>
      <c r="ANP351" s="50"/>
      <c r="ANQ351" s="50"/>
      <c r="ANR351" s="50"/>
      <c r="ANS351" s="50"/>
      <c r="ANT351" s="50"/>
      <c r="ANU351" s="50"/>
      <c r="ANV351" s="50"/>
      <c r="ANW351" s="50"/>
      <c r="ANX351" s="50"/>
      <c r="ANY351" s="50"/>
      <c r="ANZ351" s="50"/>
      <c r="AOA351" s="50"/>
      <c r="AOB351" s="50"/>
      <c r="AOC351" s="50"/>
      <c r="AOD351" s="50"/>
      <c r="AOE351" s="50"/>
      <c r="AOF351" s="50"/>
      <c r="AOG351" s="50"/>
      <c r="AOH351" s="50"/>
      <c r="AOI351" s="50"/>
      <c r="AOJ351" s="50"/>
      <c r="AOK351" s="50"/>
      <c r="AOL351" s="50"/>
      <c r="AOM351" s="50"/>
      <c r="AON351" s="50"/>
      <c r="AOO351" s="50"/>
      <c r="AOP351" s="50"/>
      <c r="AOQ351" s="50"/>
      <c r="AOR351" s="50"/>
      <c r="AOS351" s="50"/>
      <c r="AOT351" s="50"/>
      <c r="AOU351" s="50"/>
      <c r="AOV351" s="50"/>
      <c r="AOW351" s="50"/>
      <c r="AOX351" s="50"/>
      <c r="AOY351" s="50"/>
      <c r="AOZ351" s="50"/>
      <c r="APA351" s="50"/>
      <c r="APB351" s="50"/>
      <c r="APC351" s="50"/>
      <c r="APD351" s="50"/>
      <c r="APE351" s="50"/>
      <c r="APF351" s="50"/>
      <c r="APG351" s="50"/>
      <c r="APH351" s="50"/>
      <c r="API351" s="50"/>
      <c r="APJ351" s="50"/>
      <c r="APK351" s="50"/>
      <c r="APL351" s="50"/>
      <c r="APM351" s="50"/>
      <c r="APN351" s="50"/>
      <c r="APO351" s="50"/>
      <c r="APP351" s="50"/>
      <c r="APQ351" s="50"/>
      <c r="APR351" s="50"/>
      <c r="APS351" s="50"/>
      <c r="APT351" s="50"/>
      <c r="APU351" s="50"/>
      <c r="APV351" s="50"/>
      <c r="APW351" s="50"/>
      <c r="APX351" s="50"/>
      <c r="APY351" s="50"/>
      <c r="APZ351" s="50"/>
      <c r="AQA351" s="50"/>
      <c r="AQB351" s="50"/>
      <c r="AQC351" s="50"/>
      <c r="AQD351" s="50"/>
      <c r="AQE351" s="50"/>
      <c r="AQF351" s="50"/>
      <c r="AQG351" s="50"/>
      <c r="AQH351" s="50"/>
      <c r="AQI351" s="50"/>
      <c r="AQJ351" s="50"/>
      <c r="AQK351" s="50"/>
      <c r="AQL351" s="50"/>
      <c r="AQM351" s="50"/>
      <c r="AQN351" s="50"/>
      <c r="AQO351" s="50"/>
      <c r="AQP351" s="50"/>
      <c r="AQQ351" s="50"/>
      <c r="AQR351" s="50"/>
      <c r="AQS351" s="50"/>
      <c r="AQT351" s="50"/>
      <c r="AQU351" s="50"/>
      <c r="AQV351" s="50"/>
      <c r="AQW351" s="50"/>
      <c r="AQX351" s="50"/>
      <c r="AQY351" s="50"/>
      <c r="AQZ351" s="50"/>
      <c r="ARA351" s="50"/>
      <c r="ARB351" s="50"/>
      <c r="ARC351" s="50"/>
      <c r="ARD351" s="50"/>
      <c r="ARE351" s="50"/>
      <c r="ARF351" s="50"/>
      <c r="ARG351" s="50"/>
      <c r="ARH351" s="50"/>
      <c r="ARI351" s="50"/>
      <c r="ARJ351" s="50"/>
      <c r="ARK351" s="50"/>
      <c r="ARL351" s="50"/>
      <c r="ARM351" s="50"/>
      <c r="ARN351" s="50"/>
      <c r="ARO351" s="50"/>
      <c r="ARP351" s="50"/>
      <c r="ARQ351" s="50"/>
      <c r="ARR351" s="50"/>
      <c r="ARS351" s="50"/>
      <c r="ART351" s="50"/>
      <c r="ARU351" s="50"/>
      <c r="ARV351" s="50"/>
      <c r="ARW351" s="50"/>
      <c r="ARX351" s="50"/>
      <c r="ARY351" s="50"/>
      <c r="ARZ351" s="50"/>
      <c r="ASA351" s="50"/>
      <c r="ASB351" s="50"/>
      <c r="ASC351" s="50"/>
      <c r="ASD351" s="50"/>
      <c r="ASE351" s="50"/>
      <c r="ASF351" s="50"/>
      <c r="ASG351" s="50"/>
      <c r="ASH351" s="50"/>
      <c r="ASI351" s="50"/>
      <c r="ASJ351" s="50"/>
      <c r="ASK351" s="50"/>
      <c r="ASL351" s="50"/>
      <c r="ASM351" s="50"/>
      <c r="ASN351" s="50"/>
      <c r="ASO351" s="50"/>
      <c r="ASP351" s="50"/>
      <c r="ASQ351" s="50"/>
      <c r="ASR351" s="50"/>
      <c r="ASS351" s="50"/>
      <c r="AST351" s="50"/>
      <c r="ASU351" s="50"/>
      <c r="ASV351" s="50"/>
      <c r="ASW351" s="50"/>
      <c r="ASX351" s="50"/>
      <c r="ASY351" s="50"/>
      <c r="ASZ351" s="50"/>
      <c r="ATA351" s="50"/>
      <c r="ATB351" s="50"/>
      <c r="ATC351" s="50"/>
      <c r="ATD351" s="50"/>
      <c r="ATE351" s="50"/>
      <c r="ATF351" s="50"/>
      <c r="ATG351" s="50"/>
      <c r="ATH351" s="50"/>
      <c r="ATI351" s="50"/>
      <c r="ATJ351" s="50"/>
      <c r="ATK351" s="50"/>
      <c r="ATL351" s="50"/>
      <c r="ATM351" s="50"/>
      <c r="ATN351" s="50"/>
      <c r="ATO351" s="50"/>
      <c r="ATP351" s="50"/>
      <c r="ATQ351" s="50"/>
      <c r="ATR351" s="50"/>
      <c r="ATS351" s="50"/>
      <c r="ATT351" s="50"/>
      <c r="ATU351" s="50"/>
      <c r="ATV351" s="50"/>
      <c r="ATW351" s="50"/>
      <c r="ATX351" s="50"/>
      <c r="ATY351" s="50"/>
      <c r="ATZ351" s="50"/>
      <c r="AUA351" s="50"/>
      <c r="AUB351" s="50"/>
      <c r="AUC351" s="50"/>
      <c r="AUD351" s="50"/>
      <c r="AUE351" s="50"/>
      <c r="AUF351" s="50"/>
      <c r="AUG351" s="50"/>
      <c r="AUH351" s="50"/>
      <c r="AUI351" s="50"/>
      <c r="AUJ351" s="50"/>
      <c r="AUK351" s="50"/>
      <c r="AUL351" s="50"/>
      <c r="AUM351" s="50"/>
      <c r="AUN351" s="50"/>
      <c r="AUO351" s="50"/>
      <c r="AUP351" s="50"/>
      <c r="AUQ351" s="50"/>
      <c r="AUR351" s="50"/>
      <c r="AUS351" s="50"/>
      <c r="AUT351" s="50"/>
      <c r="AUU351" s="50"/>
      <c r="AUV351" s="50"/>
      <c r="AUW351" s="50"/>
      <c r="AUX351" s="50"/>
      <c r="AUY351" s="50"/>
      <c r="AUZ351" s="50"/>
      <c r="AVA351" s="50"/>
      <c r="AVB351" s="50"/>
      <c r="AVC351" s="50"/>
      <c r="AVD351" s="50"/>
      <c r="AVE351" s="50"/>
      <c r="AVF351" s="50"/>
      <c r="AVG351" s="50"/>
      <c r="AVH351" s="50"/>
      <c r="AVI351" s="50"/>
      <c r="AVJ351" s="50"/>
      <c r="AVK351" s="50"/>
      <c r="AVL351" s="50"/>
      <c r="AVM351" s="50"/>
      <c r="AVN351" s="50"/>
      <c r="AVO351" s="50"/>
      <c r="AVP351" s="50"/>
      <c r="AVQ351" s="50"/>
      <c r="AVR351" s="50"/>
      <c r="AVS351" s="50"/>
      <c r="AVT351" s="50"/>
      <c r="AVU351" s="50"/>
      <c r="AVV351" s="50"/>
      <c r="AVW351" s="50"/>
      <c r="AVX351" s="50"/>
      <c r="AVY351" s="50"/>
      <c r="AVZ351" s="50"/>
      <c r="AWA351" s="50"/>
      <c r="AWB351" s="50"/>
      <c r="AWC351" s="50"/>
      <c r="AWD351" s="50"/>
      <c r="AWE351" s="50"/>
      <c r="AWF351" s="50"/>
      <c r="AWG351" s="50"/>
      <c r="AWH351" s="50"/>
      <c r="AWI351" s="50"/>
      <c r="AWJ351" s="50"/>
      <c r="AWK351" s="50"/>
      <c r="AWL351" s="50"/>
      <c r="AWM351" s="50"/>
      <c r="AWN351" s="50"/>
      <c r="AWO351" s="50"/>
      <c r="AWP351" s="50"/>
      <c r="AWQ351" s="50"/>
      <c r="AWR351" s="50"/>
      <c r="AWS351" s="50"/>
      <c r="AWT351" s="50"/>
      <c r="AWU351" s="50"/>
      <c r="AWV351" s="50"/>
      <c r="AWW351" s="50"/>
      <c r="AWX351" s="50"/>
      <c r="AWY351" s="50"/>
      <c r="AWZ351" s="50"/>
      <c r="AXA351" s="50"/>
      <c r="AXB351" s="50"/>
      <c r="AXC351" s="50"/>
      <c r="AXD351" s="50"/>
      <c r="AXE351" s="50"/>
      <c r="AXF351" s="50"/>
      <c r="AXG351" s="50"/>
      <c r="AXH351" s="50"/>
      <c r="AXI351" s="50"/>
      <c r="AXJ351" s="50"/>
      <c r="AXK351" s="50"/>
      <c r="AXL351" s="50"/>
      <c r="AXM351" s="50"/>
      <c r="AXN351" s="50"/>
      <c r="AXO351" s="50"/>
      <c r="AXP351" s="50"/>
      <c r="AXQ351" s="50"/>
      <c r="AXR351" s="50"/>
      <c r="AXS351" s="50"/>
      <c r="AXT351" s="50"/>
      <c r="AXU351" s="50"/>
      <c r="AXV351" s="50"/>
      <c r="AXW351" s="50"/>
      <c r="AXX351" s="50"/>
      <c r="AXY351" s="50"/>
      <c r="AXZ351" s="50"/>
      <c r="AYA351" s="50"/>
      <c r="AYB351" s="50"/>
      <c r="AYC351" s="50"/>
      <c r="AYD351" s="50"/>
      <c r="AYE351" s="50"/>
      <c r="AYF351" s="50"/>
      <c r="AYG351" s="50"/>
      <c r="AYH351" s="50"/>
      <c r="AYI351" s="50"/>
      <c r="AYJ351" s="50"/>
      <c r="AYK351" s="50"/>
      <c r="AYL351" s="50"/>
      <c r="AYM351" s="50"/>
      <c r="AYN351" s="50"/>
      <c r="AYO351" s="50"/>
      <c r="AYP351" s="50"/>
      <c r="AYQ351" s="50"/>
      <c r="AYR351" s="50"/>
      <c r="AYS351" s="50"/>
      <c r="AYT351" s="50"/>
      <c r="AYU351" s="50"/>
      <c r="AYV351" s="50"/>
      <c r="AYW351" s="50"/>
      <c r="AYX351" s="50"/>
      <c r="AYY351" s="50"/>
      <c r="AYZ351" s="50"/>
      <c r="AZA351" s="50"/>
      <c r="AZB351" s="50"/>
      <c r="AZC351" s="50"/>
      <c r="AZD351" s="50"/>
      <c r="AZE351" s="50"/>
      <c r="AZF351" s="50"/>
      <c r="AZG351" s="50"/>
      <c r="AZH351" s="50"/>
      <c r="AZI351" s="50"/>
      <c r="AZJ351" s="50"/>
      <c r="AZK351" s="50"/>
      <c r="AZL351" s="50"/>
      <c r="AZM351" s="50"/>
      <c r="AZN351" s="50"/>
      <c r="AZO351" s="50"/>
      <c r="AZP351" s="50"/>
      <c r="AZQ351" s="50"/>
      <c r="AZR351" s="50"/>
      <c r="AZS351" s="50"/>
      <c r="AZT351" s="50"/>
      <c r="AZU351" s="50"/>
      <c r="AZV351" s="50"/>
      <c r="AZW351" s="50"/>
      <c r="AZX351" s="50"/>
      <c r="AZY351" s="50"/>
      <c r="AZZ351" s="50"/>
      <c r="BAA351" s="50"/>
      <c r="BAB351" s="50"/>
      <c r="BAC351" s="50"/>
      <c r="BAD351" s="50"/>
      <c r="BAE351" s="50"/>
      <c r="BAF351" s="50"/>
      <c r="BAG351" s="50"/>
      <c r="BAH351" s="50"/>
      <c r="BAI351" s="50"/>
      <c r="BAJ351" s="50"/>
      <c r="BAK351" s="50"/>
      <c r="BAL351" s="50"/>
      <c r="BAM351" s="50"/>
      <c r="BAN351" s="50"/>
      <c r="BAO351" s="50"/>
      <c r="BAP351" s="50"/>
      <c r="BAQ351" s="50"/>
      <c r="BAR351" s="50"/>
      <c r="BAS351" s="50"/>
      <c r="BAT351" s="50"/>
      <c r="BAU351" s="50"/>
      <c r="BAV351" s="50"/>
      <c r="BAW351" s="50"/>
      <c r="BAX351" s="50"/>
      <c r="BAY351" s="50"/>
      <c r="BAZ351" s="50"/>
      <c r="BBA351" s="50"/>
      <c r="BBB351" s="50"/>
      <c r="BBC351" s="50"/>
      <c r="BBD351" s="50"/>
      <c r="BBE351" s="50"/>
      <c r="BBF351" s="50"/>
      <c r="BBG351" s="50"/>
      <c r="BBH351" s="50"/>
      <c r="BBI351" s="50"/>
      <c r="BBJ351" s="50"/>
      <c r="BBK351" s="50"/>
      <c r="BBL351" s="50"/>
      <c r="BBM351" s="50"/>
      <c r="BBN351" s="50"/>
      <c r="BBO351" s="50"/>
      <c r="BBP351" s="50"/>
      <c r="BBQ351" s="50"/>
      <c r="BBR351" s="50"/>
      <c r="BBS351" s="50"/>
      <c r="BBT351" s="50"/>
      <c r="BBU351" s="50"/>
      <c r="BBV351" s="50"/>
      <c r="BBW351" s="50"/>
      <c r="BBX351" s="50"/>
      <c r="BBY351" s="50"/>
      <c r="BBZ351" s="50"/>
      <c r="BCA351" s="50"/>
      <c r="BCB351" s="50"/>
      <c r="BCC351" s="50"/>
      <c r="BCD351" s="50"/>
      <c r="BCE351" s="50"/>
      <c r="BCF351" s="50"/>
      <c r="BCG351" s="50"/>
      <c r="BCH351" s="50"/>
      <c r="BCI351" s="50"/>
      <c r="BCJ351" s="50"/>
      <c r="BCK351" s="50"/>
      <c r="BCL351" s="50"/>
      <c r="BCM351" s="50"/>
      <c r="BCN351" s="50"/>
      <c r="BCO351" s="50"/>
      <c r="BCP351" s="50"/>
      <c r="BCQ351" s="50"/>
      <c r="BCR351" s="50"/>
      <c r="BCS351" s="50"/>
      <c r="BCT351" s="50"/>
      <c r="BCU351" s="50"/>
      <c r="BCV351" s="50"/>
      <c r="BCW351" s="50"/>
      <c r="BCX351" s="50"/>
      <c r="BCY351" s="50"/>
      <c r="BCZ351" s="50"/>
      <c r="BDA351" s="50"/>
      <c r="BDB351" s="50"/>
      <c r="BDC351" s="50"/>
      <c r="BDD351" s="50"/>
      <c r="BDE351" s="50"/>
      <c r="BDF351" s="50"/>
      <c r="BDG351" s="50"/>
      <c r="BDH351" s="50"/>
      <c r="BDI351" s="50"/>
      <c r="BDJ351" s="50"/>
      <c r="BDK351" s="50"/>
      <c r="BDL351" s="50"/>
      <c r="BDM351" s="50"/>
      <c r="BDN351" s="50"/>
      <c r="BDO351" s="50"/>
      <c r="BDP351" s="50"/>
      <c r="BDQ351" s="50"/>
      <c r="BDR351" s="50"/>
      <c r="BDS351" s="50"/>
      <c r="BDT351" s="50"/>
      <c r="BDU351" s="50"/>
      <c r="BDV351" s="50"/>
      <c r="BDW351" s="50"/>
      <c r="BDX351" s="50"/>
      <c r="BDY351" s="50"/>
      <c r="BDZ351" s="50"/>
      <c r="BEA351" s="50"/>
      <c r="BEB351" s="50"/>
      <c r="BEC351" s="50"/>
      <c r="BED351" s="50"/>
      <c r="BEE351" s="50"/>
      <c r="BEF351" s="50"/>
      <c r="BEG351" s="50"/>
      <c r="BEH351" s="50"/>
      <c r="BEI351" s="50"/>
      <c r="BEJ351" s="50"/>
      <c r="BEK351" s="50"/>
      <c r="BEL351" s="50"/>
      <c r="BEM351" s="50"/>
      <c r="BEN351" s="50"/>
      <c r="BEO351" s="50"/>
      <c r="BEP351" s="50"/>
      <c r="BEQ351" s="50"/>
      <c r="BER351" s="50"/>
      <c r="BES351" s="50"/>
      <c r="BET351" s="50"/>
      <c r="BEU351" s="50"/>
      <c r="BEV351" s="50"/>
      <c r="BEW351" s="50"/>
      <c r="BEX351" s="50"/>
      <c r="BEY351" s="50"/>
      <c r="BEZ351" s="50"/>
      <c r="BFA351" s="50"/>
      <c r="BFB351" s="50"/>
      <c r="BFC351" s="50"/>
      <c r="BFD351" s="50"/>
      <c r="BFE351" s="50"/>
      <c r="BFF351" s="50"/>
      <c r="BFG351" s="50"/>
      <c r="BFH351" s="50"/>
      <c r="BFI351" s="50"/>
      <c r="BFJ351" s="50"/>
      <c r="BFK351" s="50"/>
      <c r="BFL351" s="50"/>
      <c r="BFM351" s="50"/>
      <c r="BFN351" s="50"/>
      <c r="BFO351" s="50"/>
      <c r="BFP351" s="50"/>
      <c r="BFQ351" s="50"/>
      <c r="BFR351" s="50"/>
      <c r="BFS351" s="50"/>
      <c r="BFT351" s="50"/>
      <c r="BFU351" s="50"/>
      <c r="BFV351" s="50"/>
      <c r="BFW351" s="50"/>
      <c r="BFX351" s="50"/>
      <c r="BFY351" s="50"/>
      <c r="BFZ351" s="50"/>
      <c r="BGA351" s="50"/>
      <c r="BGB351" s="50"/>
      <c r="BGC351" s="50"/>
      <c r="BGD351" s="50"/>
      <c r="BGE351" s="50"/>
      <c r="BGF351" s="50"/>
      <c r="BGG351" s="50"/>
      <c r="BGH351" s="50"/>
      <c r="BGI351" s="50"/>
      <c r="BGJ351" s="50"/>
      <c r="BGK351" s="50"/>
      <c r="BGL351" s="50"/>
      <c r="BGM351" s="50"/>
      <c r="BGN351" s="50"/>
      <c r="BGO351" s="50"/>
      <c r="BGP351" s="50"/>
      <c r="BGQ351" s="50"/>
      <c r="BGR351" s="50"/>
      <c r="BGS351" s="50"/>
      <c r="BGT351" s="50"/>
      <c r="BGU351" s="50"/>
      <c r="BGV351" s="50"/>
      <c r="BGW351" s="50"/>
      <c r="BGX351" s="50"/>
      <c r="BGY351" s="50"/>
      <c r="BGZ351" s="50"/>
      <c r="BHA351" s="50"/>
      <c r="BHB351" s="50"/>
      <c r="BHC351" s="50"/>
      <c r="BHD351" s="50"/>
      <c r="BHE351" s="50"/>
      <c r="BHF351" s="50"/>
      <c r="BHG351" s="50"/>
      <c r="BHH351" s="50"/>
      <c r="BHI351" s="50"/>
      <c r="BHJ351" s="50"/>
      <c r="BHK351" s="50"/>
      <c r="BHL351" s="50"/>
      <c r="BHM351" s="50"/>
      <c r="BHN351" s="50"/>
      <c r="BHO351" s="50"/>
      <c r="BHP351" s="50"/>
      <c r="BHQ351" s="50"/>
      <c r="BHR351" s="50"/>
      <c r="BHS351" s="50"/>
      <c r="BHT351" s="50"/>
      <c r="BHU351" s="50"/>
      <c r="BHV351" s="50"/>
      <c r="BHW351" s="50"/>
      <c r="BHX351" s="50"/>
      <c r="BHY351" s="50"/>
      <c r="BHZ351" s="50"/>
      <c r="BIA351" s="50"/>
      <c r="BIB351" s="50"/>
      <c r="BIC351" s="50"/>
      <c r="BID351" s="50"/>
      <c r="BIE351" s="50"/>
      <c r="BIF351" s="50"/>
      <c r="BIG351" s="50"/>
      <c r="BIH351" s="50"/>
      <c r="BII351" s="50"/>
      <c r="BIJ351" s="50"/>
      <c r="BIK351" s="50"/>
      <c r="BIL351" s="50"/>
      <c r="BIM351" s="50"/>
      <c r="BIN351" s="50"/>
      <c r="BIO351" s="50"/>
      <c r="BIP351" s="50"/>
      <c r="BIQ351" s="50"/>
      <c r="BIR351" s="50"/>
      <c r="BIS351" s="50"/>
      <c r="BIT351" s="50"/>
      <c r="BIU351" s="50"/>
      <c r="BIV351" s="50"/>
      <c r="BIW351" s="50"/>
      <c r="BIX351" s="50"/>
      <c r="BIY351" s="50"/>
      <c r="BIZ351" s="50"/>
      <c r="BJA351" s="50"/>
      <c r="BJB351" s="50"/>
      <c r="BJC351" s="50"/>
      <c r="BJD351" s="50"/>
      <c r="BJE351" s="50"/>
      <c r="BJF351" s="50"/>
      <c r="BJG351" s="50"/>
      <c r="BJH351" s="50"/>
      <c r="BJI351" s="50"/>
      <c r="BJJ351" s="50"/>
      <c r="BJK351" s="50"/>
      <c r="BJL351" s="50"/>
      <c r="BJM351" s="50"/>
      <c r="BJN351" s="50"/>
      <c r="BJO351" s="50"/>
      <c r="BJP351" s="50"/>
      <c r="BJQ351" s="50"/>
      <c r="BJR351" s="50"/>
      <c r="BJS351" s="50"/>
      <c r="BJT351" s="50"/>
      <c r="BJU351" s="50"/>
      <c r="BJV351" s="50"/>
      <c r="BJW351" s="50"/>
      <c r="BJX351" s="50"/>
      <c r="BJY351" s="50"/>
      <c r="BJZ351" s="50"/>
      <c r="BKA351" s="50"/>
      <c r="BKB351" s="50"/>
      <c r="BKC351" s="50"/>
      <c r="BKD351" s="50"/>
      <c r="BKE351" s="50"/>
      <c r="BKF351" s="50"/>
      <c r="BKG351" s="50"/>
      <c r="BKH351" s="50"/>
      <c r="BKI351" s="50"/>
      <c r="BKJ351" s="50"/>
      <c r="BKK351" s="50"/>
      <c r="BKL351" s="50"/>
      <c r="BKM351" s="50"/>
      <c r="BKN351" s="50"/>
      <c r="BKO351" s="50"/>
      <c r="BKP351" s="50"/>
      <c r="BKQ351" s="50"/>
      <c r="BKR351" s="50"/>
      <c r="BKS351" s="50"/>
      <c r="BKT351" s="50"/>
      <c r="BKU351" s="50"/>
      <c r="BKV351" s="50"/>
      <c r="BKW351" s="50"/>
      <c r="BKX351" s="50"/>
      <c r="BKY351" s="50"/>
      <c r="BKZ351" s="50"/>
      <c r="BLA351" s="50"/>
      <c r="BLB351" s="50"/>
      <c r="BLC351" s="50"/>
      <c r="BLD351" s="50"/>
      <c r="BLE351" s="50"/>
      <c r="BLF351" s="50"/>
      <c r="BLG351" s="50"/>
      <c r="BLH351" s="50"/>
      <c r="BLI351" s="50"/>
      <c r="BLJ351" s="50"/>
      <c r="BLK351" s="50"/>
      <c r="BLL351" s="50"/>
      <c r="BLM351" s="50"/>
      <c r="BLN351" s="50"/>
      <c r="BLO351" s="50"/>
      <c r="BLP351" s="50"/>
      <c r="BLQ351" s="50"/>
      <c r="BLR351" s="50"/>
      <c r="BLS351" s="50"/>
      <c r="BLT351" s="50"/>
      <c r="BLU351" s="50"/>
      <c r="BLV351" s="50"/>
      <c r="BLW351" s="50"/>
      <c r="BLX351" s="50"/>
      <c r="BLY351" s="50"/>
      <c r="BLZ351" s="50"/>
      <c r="BMA351" s="50"/>
      <c r="BMB351" s="50"/>
      <c r="BMC351" s="50"/>
      <c r="BMD351" s="50"/>
      <c r="BME351" s="50"/>
      <c r="BMF351" s="50"/>
      <c r="BMG351" s="50"/>
      <c r="BMH351" s="50"/>
      <c r="BMI351" s="50"/>
      <c r="BMJ351" s="50"/>
      <c r="BMK351" s="50"/>
      <c r="BML351" s="50"/>
      <c r="BMM351" s="50"/>
      <c r="BMN351" s="50"/>
      <c r="BMO351" s="50"/>
      <c r="BMP351" s="50"/>
      <c r="BMQ351" s="50"/>
      <c r="BMR351" s="50"/>
      <c r="BMS351" s="50"/>
      <c r="BMT351" s="50"/>
      <c r="BMU351" s="50"/>
      <c r="BMV351" s="50"/>
      <c r="BMW351" s="50"/>
      <c r="BMX351" s="50"/>
      <c r="BMY351" s="50"/>
      <c r="BMZ351" s="50"/>
      <c r="BNA351" s="50"/>
      <c r="BNB351" s="50"/>
      <c r="BNC351" s="50"/>
      <c r="BND351" s="50"/>
      <c r="BNE351" s="50"/>
      <c r="BNF351" s="50"/>
      <c r="BNG351" s="50"/>
      <c r="BNH351" s="50"/>
      <c r="BNI351" s="50"/>
      <c r="BNJ351" s="50"/>
      <c r="BNK351" s="50"/>
      <c r="BNL351" s="50"/>
      <c r="BNM351" s="50"/>
      <c r="BNN351" s="50"/>
      <c r="BNO351" s="50"/>
      <c r="BNP351" s="50"/>
      <c r="BNQ351" s="50"/>
      <c r="BNR351" s="50"/>
      <c r="BNS351" s="50"/>
      <c r="BNT351" s="50"/>
      <c r="BNU351" s="50"/>
      <c r="BNV351" s="50"/>
      <c r="BNW351" s="50"/>
      <c r="BNX351" s="50"/>
      <c r="BNY351" s="50"/>
      <c r="BNZ351" s="50"/>
      <c r="BOA351" s="50"/>
      <c r="BOB351" s="50"/>
      <c r="BOC351" s="50"/>
      <c r="BOD351" s="50"/>
      <c r="BOE351" s="50"/>
      <c r="BOF351" s="50"/>
      <c r="BOG351" s="50"/>
      <c r="BOH351" s="50"/>
      <c r="BOI351" s="50"/>
      <c r="BOJ351" s="50"/>
      <c r="BOK351" s="50"/>
      <c r="BOL351" s="50"/>
      <c r="BOM351" s="50"/>
      <c r="BON351" s="50"/>
      <c r="BOO351" s="50"/>
      <c r="BOP351" s="50"/>
      <c r="BOQ351" s="50"/>
      <c r="BOR351" s="50"/>
      <c r="BOS351" s="50"/>
      <c r="BOT351" s="50"/>
      <c r="BOU351" s="50"/>
      <c r="BOV351" s="50"/>
      <c r="BOW351" s="50"/>
      <c r="BOX351" s="50"/>
      <c r="BOY351" s="50"/>
      <c r="BOZ351" s="50"/>
      <c r="BPA351" s="50"/>
      <c r="BPB351" s="50"/>
      <c r="BPC351" s="50"/>
      <c r="BPD351" s="50"/>
      <c r="BPE351" s="50"/>
      <c r="BPF351" s="50"/>
      <c r="BPG351" s="50"/>
      <c r="BPH351" s="50"/>
      <c r="BPI351" s="50"/>
      <c r="BPJ351" s="50"/>
      <c r="BPK351" s="50"/>
      <c r="BPL351" s="50"/>
      <c r="BPM351" s="50"/>
      <c r="BPN351" s="50"/>
      <c r="BPO351" s="50"/>
      <c r="BPP351" s="50"/>
      <c r="BPQ351" s="50"/>
      <c r="BPR351" s="50"/>
      <c r="BPS351" s="50"/>
      <c r="BPT351" s="50"/>
      <c r="BPU351" s="50"/>
      <c r="BPV351" s="50"/>
      <c r="BPW351" s="50"/>
      <c r="BPX351" s="50"/>
      <c r="BPY351" s="50"/>
      <c r="BPZ351" s="50"/>
      <c r="BQA351" s="50"/>
      <c r="BQB351" s="50"/>
      <c r="BQC351" s="50"/>
      <c r="BQD351" s="50"/>
      <c r="BQE351" s="50"/>
      <c r="BQF351" s="50"/>
      <c r="BQG351" s="50"/>
      <c r="BQH351" s="50"/>
      <c r="BQI351" s="50"/>
      <c r="BQJ351" s="50"/>
      <c r="BQK351" s="50"/>
      <c r="BQL351" s="50"/>
      <c r="BQM351" s="50"/>
      <c r="BQN351" s="50"/>
      <c r="BQO351" s="50"/>
      <c r="BQP351" s="50"/>
      <c r="BQQ351" s="50"/>
      <c r="BQR351" s="50"/>
      <c r="BQS351" s="50"/>
      <c r="BQT351" s="50"/>
      <c r="BQU351" s="50"/>
      <c r="BQV351" s="50"/>
      <c r="BQW351" s="50"/>
      <c r="BQX351" s="50"/>
      <c r="BQY351" s="50"/>
      <c r="BQZ351" s="50"/>
      <c r="BRA351" s="50"/>
      <c r="BRB351" s="50"/>
      <c r="BRC351" s="50"/>
      <c r="BRD351" s="50"/>
      <c r="BRE351" s="50"/>
      <c r="BRF351" s="50"/>
      <c r="BRG351" s="50"/>
      <c r="BRH351" s="50"/>
      <c r="BRI351" s="50"/>
      <c r="BRJ351" s="50"/>
      <c r="BRK351" s="50"/>
      <c r="BRL351" s="50"/>
      <c r="BRM351" s="50"/>
      <c r="BRN351" s="50"/>
      <c r="BRO351" s="50"/>
      <c r="BRP351" s="50"/>
      <c r="BRQ351" s="50"/>
      <c r="BRR351" s="50"/>
      <c r="BRS351" s="50"/>
      <c r="BRT351" s="50"/>
      <c r="BRU351" s="50"/>
      <c r="BRV351" s="50"/>
      <c r="BRW351" s="50"/>
      <c r="BRX351" s="50"/>
      <c r="BRY351" s="50"/>
      <c r="BRZ351" s="50"/>
      <c r="BSA351" s="50"/>
      <c r="BSB351" s="50"/>
      <c r="BSC351" s="50"/>
      <c r="BSD351" s="50"/>
      <c r="BSE351" s="50"/>
      <c r="BSF351" s="50"/>
      <c r="BSG351" s="50"/>
      <c r="BSH351" s="50"/>
      <c r="BSI351" s="50"/>
      <c r="BSJ351" s="50"/>
      <c r="BSK351" s="50"/>
      <c r="BSL351" s="50"/>
      <c r="BSM351" s="50"/>
      <c r="BSN351" s="50"/>
      <c r="BSO351" s="50"/>
      <c r="BSP351" s="50"/>
      <c r="BSQ351" s="50"/>
      <c r="BSR351" s="50"/>
      <c r="BSS351" s="50"/>
      <c r="BST351" s="50"/>
      <c r="BSU351" s="50"/>
      <c r="BSV351" s="50"/>
      <c r="BSW351" s="50"/>
      <c r="BSX351" s="50"/>
      <c r="BSY351" s="50"/>
      <c r="BSZ351" s="50"/>
      <c r="BTA351" s="50"/>
      <c r="BTB351" s="50"/>
      <c r="BTC351" s="50"/>
      <c r="BTD351" s="50"/>
      <c r="BTE351" s="50"/>
      <c r="BTF351" s="50"/>
      <c r="BTG351" s="50"/>
      <c r="BTH351" s="50"/>
      <c r="BTI351" s="50"/>
      <c r="BTJ351" s="50"/>
      <c r="BTK351" s="50"/>
      <c r="BTL351" s="50"/>
      <c r="BTM351" s="50"/>
      <c r="BTN351" s="50"/>
      <c r="BTO351" s="50"/>
      <c r="BTP351" s="50"/>
      <c r="BTQ351" s="50"/>
      <c r="BTR351" s="50"/>
      <c r="BTS351" s="50"/>
      <c r="BTT351" s="50"/>
      <c r="BTU351" s="50"/>
      <c r="BTV351" s="50"/>
      <c r="BTW351" s="50"/>
      <c r="BTX351" s="50"/>
      <c r="BTY351" s="50"/>
      <c r="BTZ351" s="50"/>
      <c r="BUA351" s="50"/>
      <c r="BUB351" s="50"/>
      <c r="BUC351" s="50"/>
      <c r="BUD351" s="50"/>
      <c r="BUE351" s="50"/>
      <c r="BUF351" s="50"/>
      <c r="BUG351" s="50"/>
      <c r="BUH351" s="50"/>
      <c r="BUI351" s="50"/>
      <c r="BUJ351" s="50"/>
      <c r="BUK351" s="50"/>
      <c r="BUL351" s="50"/>
      <c r="BUM351" s="50"/>
      <c r="BUN351" s="50"/>
      <c r="BUO351" s="50"/>
      <c r="BUP351" s="50"/>
      <c r="BUQ351" s="50"/>
      <c r="BUR351" s="50"/>
      <c r="BUS351" s="50"/>
      <c r="BUT351" s="50"/>
      <c r="BUU351" s="50"/>
      <c r="BUV351" s="50"/>
      <c r="BUW351" s="50"/>
      <c r="BUX351" s="50"/>
      <c r="BUY351" s="50"/>
      <c r="BUZ351" s="50"/>
      <c r="BVA351" s="50"/>
      <c r="BVB351" s="50"/>
      <c r="BVC351" s="50"/>
      <c r="BVD351" s="50"/>
      <c r="BVE351" s="50"/>
      <c r="BVF351" s="50"/>
      <c r="BVG351" s="50"/>
      <c r="BVH351" s="50"/>
      <c r="BVI351" s="50"/>
      <c r="BVJ351" s="50"/>
      <c r="BVK351" s="50"/>
      <c r="BVL351" s="50"/>
      <c r="BVM351" s="50"/>
      <c r="BVN351" s="50"/>
      <c r="BVO351" s="50"/>
      <c r="BVP351" s="50"/>
      <c r="BVQ351" s="50"/>
      <c r="BVR351" s="50"/>
      <c r="BVS351" s="50"/>
      <c r="BVT351" s="50"/>
      <c r="BVU351" s="50"/>
      <c r="BVV351" s="50"/>
      <c r="BVW351" s="50"/>
      <c r="BVX351" s="50"/>
      <c r="BVY351" s="50"/>
      <c r="BVZ351" s="50"/>
      <c r="BWA351" s="50"/>
      <c r="BWB351" s="50"/>
      <c r="BWC351" s="50"/>
      <c r="BWD351" s="50"/>
      <c r="BWE351" s="50"/>
      <c r="BWF351" s="50"/>
      <c r="BWG351" s="50"/>
      <c r="BWH351" s="50"/>
      <c r="BWI351" s="50"/>
      <c r="BWJ351" s="50"/>
      <c r="BWK351" s="50"/>
      <c r="BWL351" s="50"/>
      <c r="BWM351" s="50"/>
      <c r="BWN351" s="50"/>
      <c r="BWO351" s="50"/>
      <c r="BWP351" s="50"/>
      <c r="BWQ351" s="50"/>
      <c r="BWR351" s="50"/>
      <c r="BWS351" s="50"/>
      <c r="BWT351" s="50"/>
      <c r="BWU351" s="50"/>
      <c r="BWV351" s="50"/>
      <c r="BWW351" s="50"/>
      <c r="BWX351" s="50"/>
      <c r="BWY351" s="50"/>
      <c r="BWZ351" s="50"/>
      <c r="BXA351" s="50"/>
      <c r="BXB351" s="50"/>
      <c r="BXC351" s="50"/>
      <c r="BXD351" s="50"/>
      <c r="BXE351" s="50"/>
      <c r="BXF351" s="50"/>
      <c r="BXG351" s="50"/>
      <c r="BXH351" s="50"/>
      <c r="BXI351" s="50"/>
      <c r="BXJ351" s="50"/>
      <c r="BXK351" s="50"/>
      <c r="BXL351" s="50"/>
      <c r="BXM351" s="50"/>
      <c r="BXN351" s="50"/>
      <c r="BXO351" s="50"/>
      <c r="BXP351" s="50"/>
      <c r="BXQ351" s="50"/>
      <c r="BXR351" s="50"/>
      <c r="BXS351" s="50"/>
      <c r="BXT351" s="50"/>
      <c r="BXU351" s="50"/>
      <c r="BXV351" s="50"/>
      <c r="BXW351" s="50"/>
      <c r="BXX351" s="50"/>
      <c r="BXY351" s="50"/>
      <c r="BXZ351" s="50"/>
      <c r="BYA351" s="50"/>
      <c r="BYB351" s="50"/>
      <c r="BYC351" s="50"/>
      <c r="BYD351" s="50"/>
      <c r="BYE351" s="50"/>
      <c r="BYF351" s="50"/>
      <c r="BYG351" s="50"/>
      <c r="BYH351" s="50"/>
      <c r="BYI351" s="50"/>
      <c r="BYJ351" s="50"/>
      <c r="BYK351" s="50"/>
      <c r="BYL351" s="50"/>
      <c r="BYM351" s="50"/>
      <c r="BYN351" s="50"/>
      <c r="BYO351" s="50"/>
      <c r="BYP351" s="50"/>
      <c r="BYQ351" s="50"/>
      <c r="BYR351" s="50"/>
      <c r="BYS351" s="50"/>
      <c r="BYT351" s="50"/>
      <c r="BYU351" s="50"/>
      <c r="BYV351" s="50"/>
      <c r="BYW351" s="50"/>
      <c r="BYX351" s="50"/>
      <c r="BYY351" s="50"/>
      <c r="BYZ351" s="50"/>
      <c r="BZA351" s="50"/>
      <c r="BZB351" s="50"/>
      <c r="BZC351" s="50"/>
      <c r="BZD351" s="50"/>
      <c r="BZE351" s="50"/>
      <c r="BZF351" s="50"/>
      <c r="BZG351" s="50"/>
      <c r="BZH351" s="50"/>
      <c r="BZI351" s="50"/>
      <c r="BZJ351" s="50"/>
      <c r="BZK351" s="50"/>
      <c r="BZL351" s="50"/>
      <c r="BZM351" s="50"/>
      <c r="BZN351" s="50"/>
      <c r="BZO351" s="50"/>
      <c r="BZP351" s="50"/>
      <c r="BZQ351" s="50"/>
      <c r="BZR351" s="50"/>
      <c r="BZS351" s="50"/>
      <c r="BZT351" s="50"/>
      <c r="BZU351" s="50"/>
      <c r="BZV351" s="50"/>
      <c r="BZW351" s="50"/>
      <c r="BZX351" s="50"/>
      <c r="BZY351" s="50"/>
      <c r="BZZ351" s="50"/>
      <c r="CAA351" s="50"/>
      <c r="CAB351" s="50"/>
      <c r="CAC351" s="50"/>
      <c r="CAD351" s="50"/>
      <c r="CAE351" s="50"/>
      <c r="CAF351" s="50"/>
      <c r="CAG351" s="50"/>
      <c r="CAH351" s="50"/>
      <c r="CAI351" s="50"/>
      <c r="CAJ351" s="50"/>
      <c r="CAK351" s="50"/>
      <c r="CAL351" s="50"/>
      <c r="CAM351" s="50"/>
      <c r="CAN351" s="50"/>
      <c r="CAO351" s="50"/>
      <c r="CAP351" s="50"/>
      <c r="CAQ351" s="50"/>
      <c r="CAR351" s="50"/>
      <c r="CAS351" s="50"/>
      <c r="CAT351" s="50"/>
      <c r="CAU351" s="50"/>
      <c r="CAV351" s="50"/>
      <c r="CAW351" s="50"/>
      <c r="CAX351" s="50"/>
      <c r="CAY351" s="50"/>
      <c r="CAZ351" s="50"/>
      <c r="CBA351" s="50"/>
      <c r="CBB351" s="50"/>
      <c r="CBC351" s="50"/>
      <c r="CBD351" s="50"/>
      <c r="CBE351" s="50"/>
      <c r="CBF351" s="50"/>
      <c r="CBG351" s="50"/>
      <c r="CBH351" s="50"/>
      <c r="CBI351" s="50"/>
      <c r="CBJ351" s="50"/>
      <c r="CBK351" s="50"/>
      <c r="CBL351" s="50"/>
      <c r="CBM351" s="50"/>
      <c r="CBN351" s="50"/>
      <c r="CBO351" s="50"/>
      <c r="CBP351" s="50"/>
      <c r="CBQ351" s="50"/>
      <c r="CBR351" s="50"/>
      <c r="CBS351" s="50"/>
      <c r="CBT351" s="50"/>
      <c r="CBU351" s="50"/>
      <c r="CBV351" s="50"/>
      <c r="CBW351" s="50"/>
      <c r="CBX351" s="50"/>
      <c r="CBY351" s="50"/>
      <c r="CBZ351" s="50"/>
      <c r="CCA351" s="50"/>
      <c r="CCB351" s="50"/>
      <c r="CCC351" s="50"/>
      <c r="CCD351" s="50"/>
      <c r="CCE351" s="50"/>
      <c r="CCF351" s="50"/>
      <c r="CCG351" s="50"/>
      <c r="CCH351" s="50"/>
      <c r="CCI351" s="50"/>
      <c r="CCJ351" s="50"/>
      <c r="CCK351" s="50"/>
      <c r="CCL351" s="50"/>
      <c r="CCM351" s="50"/>
      <c r="CCN351" s="50"/>
      <c r="CCO351" s="50"/>
      <c r="CCP351" s="50"/>
      <c r="CCQ351" s="50"/>
      <c r="CCR351" s="50"/>
      <c r="CCS351" s="50"/>
      <c r="CCT351" s="50"/>
      <c r="CCU351" s="50"/>
      <c r="CCV351" s="50"/>
      <c r="CCW351" s="50"/>
      <c r="CCX351" s="50"/>
      <c r="CCY351" s="50"/>
      <c r="CCZ351" s="50"/>
      <c r="CDA351" s="50"/>
      <c r="CDB351" s="50"/>
      <c r="CDC351" s="50"/>
      <c r="CDD351" s="50"/>
      <c r="CDE351" s="50"/>
      <c r="CDF351" s="50"/>
      <c r="CDG351" s="50"/>
      <c r="CDH351" s="50"/>
      <c r="CDI351" s="50"/>
      <c r="CDJ351" s="50"/>
      <c r="CDK351" s="50"/>
      <c r="CDL351" s="50"/>
      <c r="CDM351" s="50"/>
      <c r="CDN351" s="50"/>
      <c r="CDO351" s="50"/>
      <c r="CDP351" s="50"/>
      <c r="CDQ351" s="50"/>
      <c r="CDR351" s="50"/>
      <c r="CDS351" s="50"/>
      <c r="CDT351" s="50"/>
      <c r="CDU351" s="50"/>
      <c r="CDV351" s="50"/>
      <c r="CDW351" s="50"/>
      <c r="CDX351" s="50"/>
      <c r="CDY351" s="50"/>
      <c r="CDZ351" s="50"/>
      <c r="CEA351" s="50"/>
      <c r="CEB351" s="50"/>
      <c r="CEC351" s="50"/>
      <c r="CED351" s="50"/>
      <c r="CEE351" s="50"/>
      <c r="CEF351" s="50"/>
      <c r="CEG351" s="50"/>
      <c r="CEH351" s="50"/>
      <c r="CEI351" s="50"/>
      <c r="CEJ351" s="50"/>
      <c r="CEK351" s="50"/>
      <c r="CEL351" s="50"/>
      <c r="CEM351" s="50"/>
      <c r="CEN351" s="50"/>
      <c r="CEO351" s="50"/>
      <c r="CEP351" s="50"/>
      <c r="CEQ351" s="50"/>
      <c r="CER351" s="50"/>
      <c r="CES351" s="50"/>
      <c r="CET351" s="50"/>
      <c r="CEU351" s="50"/>
      <c r="CEV351" s="50"/>
      <c r="CEW351" s="50"/>
      <c r="CEX351" s="50"/>
      <c r="CEY351" s="50"/>
      <c r="CEZ351" s="50"/>
      <c r="CFA351" s="50"/>
      <c r="CFB351" s="50"/>
      <c r="CFC351" s="50"/>
      <c r="CFD351" s="50"/>
      <c r="CFE351" s="50"/>
      <c r="CFF351" s="50"/>
      <c r="CFG351" s="50"/>
      <c r="CFH351" s="50"/>
      <c r="CFI351" s="50"/>
      <c r="CFJ351" s="50"/>
      <c r="CFK351" s="50"/>
      <c r="CFL351" s="50"/>
      <c r="CFM351" s="50"/>
      <c r="CFN351" s="50"/>
      <c r="CFO351" s="50"/>
      <c r="CFP351" s="50"/>
      <c r="CFQ351" s="50"/>
      <c r="CFR351" s="50"/>
      <c r="CFS351" s="50"/>
      <c r="CFT351" s="50"/>
      <c r="CFU351" s="50"/>
      <c r="CFV351" s="50"/>
      <c r="CFW351" s="50"/>
      <c r="CFX351" s="50"/>
      <c r="CFY351" s="50"/>
      <c r="CFZ351" s="50"/>
      <c r="CGA351" s="50"/>
      <c r="CGB351" s="50"/>
      <c r="CGC351" s="50"/>
      <c r="CGD351" s="50"/>
      <c r="CGE351" s="50"/>
      <c r="CGF351" s="50"/>
      <c r="CGG351" s="50"/>
      <c r="CGH351" s="50"/>
      <c r="CGI351" s="50"/>
      <c r="CGJ351" s="50"/>
      <c r="CGK351" s="50"/>
      <c r="CGL351" s="50"/>
      <c r="CGM351" s="50"/>
      <c r="CGN351" s="50"/>
      <c r="CGO351" s="50"/>
      <c r="CGP351" s="50"/>
      <c r="CGQ351" s="50"/>
      <c r="CGR351" s="50"/>
      <c r="CGS351" s="50"/>
      <c r="CGT351" s="50"/>
      <c r="CGU351" s="50"/>
      <c r="CGV351" s="50"/>
      <c r="CGW351" s="50"/>
      <c r="CGX351" s="50"/>
      <c r="CGY351" s="50"/>
      <c r="CGZ351" s="50"/>
      <c r="CHA351" s="50"/>
      <c r="CHB351" s="50"/>
      <c r="CHC351" s="50"/>
      <c r="CHD351" s="50"/>
      <c r="CHE351" s="50"/>
      <c r="CHF351" s="50"/>
      <c r="CHG351" s="50"/>
      <c r="CHH351" s="50"/>
      <c r="CHI351" s="50"/>
      <c r="CHJ351" s="50"/>
      <c r="CHK351" s="50"/>
      <c r="CHL351" s="50"/>
      <c r="CHM351" s="50"/>
      <c r="CHN351" s="50"/>
      <c r="CHO351" s="50"/>
      <c r="CHP351" s="50"/>
      <c r="CHQ351" s="50"/>
      <c r="CHR351" s="50"/>
      <c r="CHS351" s="50"/>
      <c r="CHT351" s="50"/>
      <c r="CHU351" s="50"/>
      <c r="CHV351" s="50"/>
      <c r="CHW351" s="50"/>
      <c r="CHX351" s="50"/>
      <c r="CHY351" s="50"/>
      <c r="CHZ351" s="50"/>
      <c r="CIA351" s="50"/>
      <c r="CIB351" s="50"/>
      <c r="CIC351" s="50"/>
      <c r="CID351" s="50"/>
      <c r="CIE351" s="50"/>
      <c r="CIF351" s="50"/>
      <c r="CIG351" s="50"/>
      <c r="CIH351" s="50"/>
      <c r="CII351" s="50"/>
      <c r="CIJ351" s="50"/>
      <c r="CIK351" s="50"/>
      <c r="CIL351" s="50"/>
      <c r="CIM351" s="50"/>
      <c r="CIN351" s="50"/>
      <c r="CIO351" s="50"/>
      <c r="CIP351" s="50"/>
      <c r="CIQ351" s="50"/>
      <c r="CIR351" s="50"/>
      <c r="CIS351" s="50"/>
      <c r="CIT351" s="50"/>
      <c r="CIU351" s="50"/>
      <c r="CIV351" s="50"/>
      <c r="CIW351" s="50"/>
      <c r="CIX351" s="50"/>
      <c r="CIY351" s="50"/>
      <c r="CIZ351" s="50"/>
      <c r="CJA351" s="50"/>
      <c r="CJB351" s="50"/>
      <c r="CJC351" s="50"/>
      <c r="CJD351" s="50"/>
      <c r="CJE351" s="50"/>
      <c r="CJF351" s="50"/>
      <c r="CJG351" s="50"/>
      <c r="CJH351" s="50"/>
      <c r="CJI351" s="50"/>
      <c r="CJJ351" s="50"/>
      <c r="CJK351" s="50"/>
      <c r="CJL351" s="50"/>
      <c r="CJM351" s="50"/>
      <c r="CJN351" s="50"/>
      <c r="CJO351" s="50"/>
      <c r="CJP351" s="50"/>
      <c r="CJQ351" s="50"/>
      <c r="CJR351" s="50"/>
      <c r="CJS351" s="50"/>
      <c r="CJT351" s="50"/>
      <c r="CJU351" s="50"/>
      <c r="CJV351" s="50"/>
      <c r="CJW351" s="50"/>
      <c r="CJX351" s="50"/>
      <c r="CJY351" s="50"/>
      <c r="CJZ351" s="50"/>
      <c r="CKA351" s="50"/>
      <c r="CKB351" s="50"/>
      <c r="CKC351" s="50"/>
      <c r="CKD351" s="50"/>
      <c r="CKE351" s="50"/>
      <c r="CKF351" s="50"/>
      <c r="CKG351" s="50"/>
      <c r="CKH351" s="50"/>
      <c r="CKI351" s="50"/>
      <c r="CKJ351" s="50"/>
      <c r="CKK351" s="50"/>
      <c r="CKL351" s="50"/>
      <c r="CKM351" s="50"/>
      <c r="CKN351" s="50"/>
      <c r="CKO351" s="50"/>
      <c r="CKP351" s="50"/>
      <c r="CKQ351" s="50"/>
      <c r="CKR351" s="50"/>
      <c r="CKS351" s="50"/>
      <c r="CKT351" s="50"/>
      <c r="CKU351" s="50"/>
      <c r="CKV351" s="50"/>
      <c r="CKW351" s="50"/>
      <c r="CKX351" s="50"/>
      <c r="CKY351" s="50"/>
      <c r="CKZ351" s="50"/>
      <c r="CLA351" s="50"/>
      <c r="CLB351" s="50"/>
      <c r="CLC351" s="50"/>
      <c r="CLD351" s="50"/>
      <c r="CLE351" s="50"/>
      <c r="CLF351" s="50"/>
      <c r="CLG351" s="50"/>
      <c r="CLH351" s="50"/>
      <c r="CLI351" s="50"/>
      <c r="CLJ351" s="50"/>
      <c r="CLK351" s="50"/>
      <c r="CLL351" s="50"/>
      <c r="CLM351" s="50"/>
      <c r="CLN351" s="50"/>
      <c r="CLO351" s="50"/>
      <c r="CLP351" s="50"/>
      <c r="CLQ351" s="50"/>
      <c r="CLR351" s="50"/>
      <c r="CLS351" s="50"/>
      <c r="CLT351" s="50"/>
      <c r="CLU351" s="50"/>
      <c r="CLV351" s="50"/>
      <c r="CLW351" s="50"/>
      <c r="CLX351" s="50"/>
      <c r="CLY351" s="50"/>
      <c r="CLZ351" s="50"/>
      <c r="CMA351" s="50"/>
      <c r="CMB351" s="50"/>
      <c r="CMC351" s="50"/>
      <c r="CMD351" s="50"/>
      <c r="CME351" s="50"/>
      <c r="CMF351" s="50"/>
      <c r="CMG351" s="50"/>
      <c r="CMH351" s="50"/>
      <c r="CMI351" s="50"/>
      <c r="CMJ351" s="50"/>
      <c r="CMK351" s="50"/>
      <c r="CML351" s="50"/>
      <c r="CMM351" s="50"/>
      <c r="CMN351" s="50"/>
      <c r="CMO351" s="50"/>
      <c r="CMP351" s="50"/>
      <c r="CMQ351" s="50"/>
      <c r="CMR351" s="50"/>
      <c r="CMS351" s="50"/>
      <c r="CMT351" s="50"/>
      <c r="CMU351" s="50"/>
      <c r="CMV351" s="50"/>
      <c r="CMW351" s="50"/>
      <c r="CMX351" s="50"/>
      <c r="CMY351" s="50"/>
      <c r="CMZ351" s="50"/>
      <c r="CNA351" s="50"/>
      <c r="CNB351" s="50"/>
      <c r="CNC351" s="50"/>
      <c r="CND351" s="50"/>
      <c r="CNE351" s="50"/>
      <c r="CNF351" s="50"/>
      <c r="CNG351" s="50"/>
      <c r="CNH351" s="50"/>
      <c r="CNI351" s="50"/>
      <c r="CNJ351" s="50"/>
      <c r="CNK351" s="50"/>
      <c r="CNL351" s="50"/>
      <c r="CNM351" s="50"/>
      <c r="CNN351" s="50"/>
      <c r="CNO351" s="50"/>
      <c r="CNP351" s="50"/>
      <c r="CNQ351" s="50"/>
      <c r="CNR351" s="50"/>
      <c r="CNS351" s="50"/>
      <c r="CNT351" s="50"/>
      <c r="CNU351" s="50"/>
      <c r="CNV351" s="50"/>
      <c r="CNW351" s="50"/>
      <c r="CNX351" s="50"/>
      <c r="CNY351" s="50"/>
      <c r="CNZ351" s="50"/>
      <c r="COA351" s="50"/>
      <c r="COB351" s="50"/>
      <c r="COC351" s="50"/>
      <c r="COD351" s="50"/>
      <c r="COE351" s="50"/>
      <c r="COF351" s="50"/>
      <c r="COG351" s="50"/>
      <c r="COH351" s="50"/>
      <c r="COI351" s="50"/>
      <c r="COJ351" s="50"/>
      <c r="COK351" s="50"/>
      <c r="COL351" s="50"/>
      <c r="COM351" s="50"/>
      <c r="CON351" s="50"/>
      <c r="COO351" s="50"/>
      <c r="COP351" s="50"/>
      <c r="COQ351" s="50"/>
      <c r="COR351" s="50"/>
      <c r="COS351" s="50"/>
      <c r="COT351" s="50"/>
      <c r="COU351" s="50"/>
      <c r="COV351" s="50"/>
      <c r="COW351" s="50"/>
      <c r="COX351" s="50"/>
      <c r="COY351" s="50"/>
      <c r="COZ351" s="50"/>
      <c r="CPA351" s="50"/>
      <c r="CPB351" s="50"/>
      <c r="CPC351" s="50"/>
      <c r="CPD351" s="50"/>
      <c r="CPE351" s="50"/>
      <c r="CPF351" s="50"/>
      <c r="CPG351" s="50"/>
      <c r="CPH351" s="50"/>
      <c r="CPI351" s="50"/>
      <c r="CPJ351" s="50"/>
      <c r="CPK351" s="50"/>
      <c r="CPL351" s="50"/>
      <c r="CPM351" s="50"/>
      <c r="CPN351" s="50"/>
      <c r="CPO351" s="50"/>
      <c r="CPP351" s="50"/>
      <c r="CPQ351" s="50"/>
      <c r="CPR351" s="50"/>
      <c r="CPS351" s="50"/>
      <c r="CPT351" s="50"/>
      <c r="CPU351" s="50"/>
      <c r="CPV351" s="50"/>
      <c r="CPW351" s="50"/>
      <c r="CPX351" s="50"/>
      <c r="CPY351" s="50"/>
      <c r="CPZ351" s="50"/>
      <c r="CQA351" s="50"/>
      <c r="CQB351" s="50"/>
      <c r="CQC351" s="50"/>
      <c r="CQD351" s="50"/>
      <c r="CQE351" s="50"/>
      <c r="CQF351" s="50"/>
      <c r="CQG351" s="50"/>
      <c r="CQH351" s="50"/>
      <c r="CQI351" s="50"/>
      <c r="CQJ351" s="50"/>
      <c r="CQK351" s="50"/>
      <c r="CQL351" s="50"/>
      <c r="CQM351" s="50"/>
      <c r="CQN351" s="50"/>
      <c r="CQO351" s="50"/>
      <c r="CQP351" s="50"/>
      <c r="CQQ351" s="50"/>
      <c r="CQR351" s="50"/>
      <c r="CQS351" s="50"/>
      <c r="CQT351" s="50"/>
      <c r="CQU351" s="50"/>
      <c r="CQV351" s="50"/>
      <c r="CQW351" s="50"/>
      <c r="CQX351" s="50"/>
      <c r="CQY351" s="50"/>
      <c r="CQZ351" s="50"/>
      <c r="CRA351" s="50"/>
      <c r="CRB351" s="50"/>
      <c r="CRC351" s="50"/>
      <c r="CRD351" s="50"/>
      <c r="CRE351" s="50"/>
      <c r="CRF351" s="50"/>
      <c r="CRG351" s="50"/>
      <c r="CRH351" s="50"/>
      <c r="CRI351" s="50"/>
      <c r="CRJ351" s="50"/>
      <c r="CRK351" s="50"/>
      <c r="CRL351" s="50"/>
      <c r="CRM351" s="50"/>
      <c r="CRN351" s="50"/>
      <c r="CRO351" s="50"/>
      <c r="CRP351" s="50"/>
      <c r="CRQ351" s="50"/>
      <c r="CRR351" s="50"/>
      <c r="CRS351" s="50"/>
      <c r="CRT351" s="50"/>
      <c r="CRU351" s="50"/>
      <c r="CRV351" s="50"/>
      <c r="CRW351" s="50"/>
      <c r="CRX351" s="50"/>
      <c r="CRY351" s="50"/>
      <c r="CRZ351" s="50"/>
      <c r="CSA351" s="50"/>
      <c r="CSB351" s="50"/>
      <c r="CSC351" s="50"/>
      <c r="CSD351" s="50"/>
      <c r="CSE351" s="50"/>
      <c r="CSF351" s="50"/>
      <c r="CSG351" s="50"/>
      <c r="CSH351" s="50"/>
      <c r="CSI351" s="50"/>
      <c r="CSJ351" s="50"/>
      <c r="CSK351" s="50"/>
      <c r="CSL351" s="50"/>
      <c r="CSM351" s="50"/>
      <c r="CSN351" s="50"/>
      <c r="CSO351" s="50"/>
      <c r="CSP351" s="50"/>
      <c r="CSQ351" s="50"/>
      <c r="CSR351" s="50"/>
      <c r="CSS351" s="50"/>
      <c r="CST351" s="50"/>
      <c r="CSU351" s="50"/>
      <c r="CSV351" s="50"/>
      <c r="CSW351" s="50"/>
      <c r="CSX351" s="50"/>
      <c r="CSY351" s="50"/>
      <c r="CSZ351" s="50"/>
      <c r="CTA351" s="50"/>
      <c r="CTB351" s="50"/>
      <c r="CTC351" s="50"/>
      <c r="CTD351" s="50"/>
      <c r="CTE351" s="50"/>
      <c r="CTF351" s="50"/>
      <c r="CTG351" s="50"/>
      <c r="CTH351" s="50"/>
      <c r="CTI351" s="50"/>
      <c r="CTJ351" s="50"/>
      <c r="CTK351" s="50"/>
      <c r="CTL351" s="50"/>
      <c r="CTM351" s="50"/>
      <c r="CTN351" s="50"/>
      <c r="CTO351" s="50"/>
      <c r="CTP351" s="50"/>
      <c r="CTQ351" s="50"/>
      <c r="CTR351" s="50"/>
      <c r="CTS351" s="50"/>
      <c r="CTT351" s="50"/>
      <c r="CTU351" s="50"/>
      <c r="CTV351" s="50"/>
      <c r="CTW351" s="50"/>
      <c r="CTX351" s="50"/>
      <c r="CTY351" s="50"/>
      <c r="CTZ351" s="50"/>
      <c r="CUA351" s="50"/>
      <c r="CUB351" s="50"/>
      <c r="CUC351" s="50"/>
      <c r="CUD351" s="50"/>
      <c r="CUE351" s="50"/>
      <c r="CUF351" s="50"/>
      <c r="CUG351" s="50"/>
      <c r="CUH351" s="50"/>
      <c r="CUI351" s="50"/>
      <c r="CUJ351" s="50"/>
      <c r="CUK351" s="50"/>
      <c r="CUL351" s="50"/>
      <c r="CUM351" s="50"/>
      <c r="CUN351" s="50"/>
      <c r="CUO351" s="50"/>
      <c r="CUP351" s="50"/>
      <c r="CUQ351" s="50"/>
      <c r="CUR351" s="50"/>
      <c r="CUS351" s="50"/>
      <c r="CUT351" s="50"/>
      <c r="CUU351" s="50"/>
      <c r="CUV351" s="50"/>
      <c r="CUW351" s="50"/>
      <c r="CUX351" s="50"/>
      <c r="CUY351" s="50"/>
      <c r="CUZ351" s="50"/>
      <c r="CVA351" s="50"/>
      <c r="CVB351" s="50"/>
      <c r="CVC351" s="50"/>
      <c r="CVD351" s="50"/>
      <c r="CVE351" s="50"/>
      <c r="CVF351" s="50"/>
      <c r="CVG351" s="50"/>
      <c r="CVH351" s="50"/>
      <c r="CVI351" s="50"/>
      <c r="CVJ351" s="50"/>
      <c r="CVK351" s="50"/>
      <c r="CVL351" s="50"/>
      <c r="CVM351" s="50"/>
      <c r="CVN351" s="50"/>
      <c r="CVO351" s="50"/>
      <c r="CVP351" s="50"/>
      <c r="CVQ351" s="50"/>
      <c r="CVR351" s="50"/>
      <c r="CVS351" s="50"/>
      <c r="CVT351" s="50"/>
      <c r="CVU351" s="50"/>
      <c r="CVV351" s="50"/>
      <c r="CVW351" s="50"/>
      <c r="CVX351" s="50"/>
      <c r="CVY351" s="50"/>
      <c r="CVZ351" s="50"/>
      <c r="CWA351" s="50"/>
      <c r="CWB351" s="50"/>
      <c r="CWC351" s="50"/>
      <c r="CWD351" s="50"/>
      <c r="CWE351" s="50"/>
      <c r="CWF351" s="50"/>
      <c r="CWG351" s="50"/>
      <c r="CWH351" s="50"/>
      <c r="CWI351" s="50"/>
      <c r="CWJ351" s="50"/>
      <c r="CWK351" s="50"/>
      <c r="CWL351" s="50"/>
      <c r="CWM351" s="50"/>
      <c r="CWN351" s="50"/>
      <c r="CWO351" s="50"/>
      <c r="CWP351" s="50"/>
      <c r="CWQ351" s="50"/>
      <c r="CWR351" s="50"/>
      <c r="CWS351" s="50"/>
      <c r="CWT351" s="50"/>
      <c r="CWU351" s="50"/>
      <c r="CWV351" s="50"/>
      <c r="CWW351" s="50"/>
      <c r="CWX351" s="50"/>
      <c r="CWY351" s="50"/>
      <c r="CWZ351" s="50"/>
      <c r="CXA351" s="50"/>
      <c r="CXB351" s="50"/>
      <c r="CXC351" s="50"/>
      <c r="CXD351" s="50"/>
      <c r="CXE351" s="50"/>
      <c r="CXF351" s="50"/>
      <c r="CXG351" s="50"/>
      <c r="CXH351" s="50"/>
      <c r="CXI351" s="50"/>
      <c r="CXJ351" s="50"/>
      <c r="CXK351" s="50"/>
      <c r="CXL351" s="50"/>
      <c r="CXM351" s="50"/>
      <c r="CXN351" s="50"/>
      <c r="CXO351" s="50"/>
      <c r="CXP351" s="50"/>
      <c r="CXQ351" s="50"/>
      <c r="CXR351" s="50"/>
      <c r="CXS351" s="50"/>
      <c r="CXT351" s="50"/>
      <c r="CXU351" s="50"/>
      <c r="CXV351" s="50"/>
      <c r="CXW351" s="50"/>
      <c r="CXX351" s="50"/>
      <c r="CXY351" s="50"/>
      <c r="CXZ351" s="50"/>
      <c r="CYA351" s="50"/>
      <c r="CYB351" s="50"/>
      <c r="CYC351" s="50"/>
      <c r="CYD351" s="50"/>
      <c r="CYE351" s="50"/>
      <c r="CYF351" s="50"/>
      <c r="CYG351" s="50"/>
      <c r="CYH351" s="50"/>
      <c r="CYI351" s="50"/>
      <c r="CYJ351" s="50"/>
      <c r="CYK351" s="50"/>
      <c r="CYL351" s="50"/>
      <c r="CYM351" s="50"/>
      <c r="CYN351" s="50"/>
      <c r="CYO351" s="50"/>
      <c r="CYP351" s="50"/>
      <c r="CYQ351" s="50"/>
      <c r="CYR351" s="50"/>
      <c r="CYS351" s="50"/>
      <c r="CYT351" s="50"/>
      <c r="CYU351" s="50"/>
      <c r="CYV351" s="50"/>
      <c r="CYW351" s="50"/>
      <c r="CYX351" s="50"/>
      <c r="CYY351" s="50"/>
      <c r="CYZ351" s="50"/>
      <c r="CZA351" s="50"/>
      <c r="CZB351" s="50"/>
      <c r="CZC351" s="50"/>
      <c r="CZD351" s="50"/>
      <c r="CZE351" s="50"/>
      <c r="CZF351" s="50"/>
      <c r="CZG351" s="50"/>
      <c r="CZH351" s="50"/>
      <c r="CZI351" s="50"/>
      <c r="CZJ351" s="50"/>
      <c r="CZK351" s="50"/>
      <c r="CZL351" s="50"/>
      <c r="CZM351" s="50"/>
      <c r="CZN351" s="50"/>
      <c r="CZO351" s="50"/>
      <c r="CZP351" s="50"/>
      <c r="CZQ351" s="50"/>
      <c r="CZR351" s="50"/>
      <c r="CZS351" s="50"/>
      <c r="CZT351" s="50"/>
      <c r="CZU351" s="50"/>
      <c r="CZV351" s="50"/>
      <c r="CZW351" s="50"/>
      <c r="CZX351" s="50"/>
      <c r="CZY351" s="50"/>
      <c r="CZZ351" s="50"/>
      <c r="DAA351" s="50"/>
      <c r="DAB351" s="50"/>
      <c r="DAC351" s="50"/>
      <c r="DAD351" s="50"/>
      <c r="DAE351" s="50"/>
      <c r="DAF351" s="50"/>
      <c r="DAG351" s="50"/>
      <c r="DAH351" s="50"/>
      <c r="DAI351" s="50"/>
      <c r="DAJ351" s="50"/>
      <c r="DAK351" s="50"/>
      <c r="DAL351" s="50"/>
      <c r="DAM351" s="50"/>
      <c r="DAN351" s="50"/>
      <c r="DAO351" s="50"/>
      <c r="DAP351" s="50"/>
      <c r="DAQ351" s="50"/>
      <c r="DAR351" s="50"/>
      <c r="DAS351" s="50"/>
      <c r="DAT351" s="50"/>
      <c r="DAU351" s="50"/>
      <c r="DAV351" s="50"/>
      <c r="DAW351" s="50"/>
      <c r="DAX351" s="50"/>
      <c r="DAY351" s="50"/>
      <c r="DAZ351" s="50"/>
      <c r="DBA351" s="50"/>
      <c r="DBB351" s="50"/>
      <c r="DBC351" s="50"/>
      <c r="DBD351" s="50"/>
      <c r="DBE351" s="50"/>
      <c r="DBF351" s="50"/>
      <c r="DBG351" s="50"/>
      <c r="DBH351" s="50"/>
      <c r="DBI351" s="50"/>
      <c r="DBJ351" s="50"/>
      <c r="DBK351" s="50"/>
      <c r="DBL351" s="50"/>
      <c r="DBM351" s="50"/>
      <c r="DBN351" s="50"/>
      <c r="DBO351" s="50"/>
      <c r="DBP351" s="50"/>
      <c r="DBQ351" s="50"/>
      <c r="DBR351" s="50"/>
      <c r="DBS351" s="50"/>
      <c r="DBT351" s="50"/>
      <c r="DBU351" s="50"/>
      <c r="DBV351" s="50"/>
      <c r="DBW351" s="50"/>
      <c r="DBX351" s="50"/>
      <c r="DBY351" s="50"/>
      <c r="DBZ351" s="50"/>
      <c r="DCA351" s="50"/>
      <c r="DCB351" s="50"/>
      <c r="DCC351" s="50"/>
      <c r="DCD351" s="50"/>
      <c r="DCE351" s="50"/>
      <c r="DCF351" s="50"/>
      <c r="DCG351" s="50"/>
      <c r="DCH351" s="50"/>
      <c r="DCI351" s="50"/>
      <c r="DCJ351" s="50"/>
      <c r="DCK351" s="50"/>
      <c r="DCL351" s="50"/>
      <c r="DCM351" s="50"/>
      <c r="DCN351" s="50"/>
      <c r="DCO351" s="50"/>
      <c r="DCP351" s="50"/>
      <c r="DCQ351" s="50"/>
      <c r="DCR351" s="50"/>
      <c r="DCS351" s="50"/>
      <c r="DCT351" s="50"/>
      <c r="DCU351" s="50"/>
      <c r="DCV351" s="50"/>
      <c r="DCW351" s="50"/>
      <c r="DCX351" s="50"/>
      <c r="DCY351" s="50"/>
      <c r="DCZ351" s="50"/>
      <c r="DDA351" s="50"/>
      <c r="DDB351" s="50"/>
      <c r="DDC351" s="50"/>
      <c r="DDD351" s="50"/>
      <c r="DDE351" s="50"/>
      <c r="DDF351" s="50"/>
      <c r="DDG351" s="50"/>
      <c r="DDH351" s="50"/>
      <c r="DDI351" s="50"/>
      <c r="DDJ351" s="50"/>
      <c r="DDK351" s="50"/>
      <c r="DDL351" s="50"/>
      <c r="DDM351" s="50"/>
      <c r="DDN351" s="50"/>
      <c r="DDO351" s="50"/>
      <c r="DDP351" s="50"/>
      <c r="DDQ351" s="50"/>
      <c r="DDR351" s="50"/>
      <c r="DDS351" s="50"/>
      <c r="DDT351" s="50"/>
      <c r="DDU351" s="50"/>
      <c r="DDV351" s="50"/>
      <c r="DDW351" s="50"/>
      <c r="DDX351" s="50"/>
      <c r="DDY351" s="50"/>
      <c r="DDZ351" s="50"/>
      <c r="DEA351" s="50"/>
      <c r="DEB351" s="50"/>
      <c r="DEC351" s="50"/>
      <c r="DED351" s="50"/>
      <c r="DEE351" s="50"/>
      <c r="DEF351" s="50"/>
      <c r="DEG351" s="50"/>
      <c r="DEH351" s="50"/>
      <c r="DEI351" s="50"/>
      <c r="DEJ351" s="50"/>
      <c r="DEK351" s="50"/>
      <c r="DEL351" s="50"/>
      <c r="DEM351" s="50"/>
      <c r="DEN351" s="50"/>
      <c r="DEO351" s="50"/>
      <c r="DEP351" s="50"/>
      <c r="DEQ351" s="50"/>
      <c r="DER351" s="50"/>
      <c r="DES351" s="50"/>
      <c r="DET351" s="50"/>
      <c r="DEU351" s="50"/>
      <c r="DEV351" s="50"/>
      <c r="DEW351" s="50"/>
      <c r="DEX351" s="50"/>
      <c r="DEY351" s="50"/>
      <c r="DEZ351" s="50"/>
      <c r="DFA351" s="50"/>
      <c r="DFB351" s="50"/>
      <c r="DFC351" s="50"/>
      <c r="DFD351" s="50"/>
      <c r="DFE351" s="50"/>
      <c r="DFF351" s="50"/>
      <c r="DFG351" s="50"/>
      <c r="DFH351" s="50"/>
      <c r="DFI351" s="50"/>
      <c r="DFJ351" s="50"/>
      <c r="DFK351" s="50"/>
      <c r="DFL351" s="50"/>
      <c r="DFM351" s="50"/>
      <c r="DFN351" s="50"/>
      <c r="DFO351" s="50"/>
      <c r="DFP351" s="50"/>
      <c r="DFQ351" s="50"/>
      <c r="DFR351" s="50"/>
      <c r="DFS351" s="50"/>
      <c r="DFT351" s="50"/>
      <c r="DFU351" s="50"/>
      <c r="DFV351" s="50"/>
      <c r="DFW351" s="50"/>
      <c r="DFX351" s="50"/>
      <c r="DFY351" s="50"/>
      <c r="DFZ351" s="50"/>
      <c r="DGA351" s="50"/>
      <c r="DGB351" s="50"/>
      <c r="DGC351" s="50"/>
      <c r="DGD351" s="50"/>
      <c r="DGE351" s="50"/>
      <c r="DGF351" s="50"/>
      <c r="DGG351" s="50"/>
      <c r="DGH351" s="50"/>
      <c r="DGI351" s="50"/>
      <c r="DGJ351" s="50"/>
      <c r="DGK351" s="50"/>
      <c r="DGL351" s="50"/>
      <c r="DGM351" s="50"/>
      <c r="DGN351" s="50"/>
      <c r="DGO351" s="50"/>
      <c r="DGP351" s="50"/>
      <c r="DGQ351" s="50"/>
      <c r="DGR351" s="50"/>
      <c r="DGS351" s="50"/>
      <c r="DGT351" s="50"/>
      <c r="DGU351" s="50"/>
      <c r="DGV351" s="50"/>
      <c r="DGW351" s="50"/>
      <c r="DGX351" s="50"/>
      <c r="DGY351" s="50"/>
      <c r="DGZ351" s="50"/>
      <c r="DHA351" s="50"/>
      <c r="DHB351" s="50"/>
      <c r="DHC351" s="50"/>
      <c r="DHD351" s="50"/>
      <c r="DHE351" s="50"/>
      <c r="DHF351" s="50"/>
      <c r="DHG351" s="50"/>
      <c r="DHH351" s="50"/>
      <c r="DHI351" s="50"/>
      <c r="DHJ351" s="50"/>
      <c r="DHK351" s="50"/>
      <c r="DHL351" s="50"/>
      <c r="DHM351" s="50"/>
      <c r="DHN351" s="50"/>
      <c r="DHO351" s="50"/>
      <c r="DHP351" s="50"/>
      <c r="DHQ351" s="50"/>
      <c r="DHR351" s="50"/>
      <c r="DHS351" s="50"/>
      <c r="DHT351" s="50"/>
      <c r="DHU351" s="50"/>
      <c r="DHV351" s="50"/>
      <c r="DHW351" s="50"/>
      <c r="DHX351" s="50"/>
      <c r="DHY351" s="50"/>
      <c r="DHZ351" s="50"/>
      <c r="DIA351" s="50"/>
      <c r="DIB351" s="50"/>
      <c r="DIC351" s="50"/>
      <c r="DID351" s="50"/>
      <c r="DIE351" s="50"/>
      <c r="DIF351" s="50"/>
      <c r="DIG351" s="50"/>
      <c r="DIH351" s="50"/>
      <c r="DII351" s="50"/>
      <c r="DIJ351" s="50"/>
      <c r="DIK351" s="50"/>
      <c r="DIL351" s="50"/>
      <c r="DIM351" s="50"/>
      <c r="DIN351" s="50"/>
      <c r="DIO351" s="50"/>
      <c r="DIP351" s="50"/>
      <c r="DIQ351" s="50"/>
      <c r="DIR351" s="50"/>
      <c r="DIS351" s="50"/>
      <c r="DIT351" s="50"/>
      <c r="DIU351" s="50"/>
      <c r="DIV351" s="50"/>
      <c r="DIW351" s="50"/>
      <c r="DIX351" s="50"/>
      <c r="DIY351" s="50"/>
      <c r="DIZ351" s="50"/>
      <c r="DJA351" s="50"/>
      <c r="DJB351" s="50"/>
      <c r="DJC351" s="50"/>
      <c r="DJD351" s="50"/>
      <c r="DJE351" s="50"/>
      <c r="DJF351" s="50"/>
      <c r="DJG351" s="50"/>
      <c r="DJH351" s="50"/>
      <c r="DJI351" s="50"/>
      <c r="DJJ351" s="50"/>
      <c r="DJK351" s="50"/>
      <c r="DJL351" s="50"/>
      <c r="DJM351" s="50"/>
      <c r="DJN351" s="50"/>
      <c r="DJO351" s="50"/>
      <c r="DJP351" s="50"/>
      <c r="DJQ351" s="50"/>
      <c r="DJR351" s="50"/>
      <c r="DJS351" s="50"/>
      <c r="DJT351" s="50"/>
      <c r="DJU351" s="50"/>
      <c r="DJV351" s="50"/>
      <c r="DJW351" s="50"/>
      <c r="DJX351" s="50"/>
      <c r="DJY351" s="50"/>
      <c r="DJZ351" s="50"/>
      <c r="DKA351" s="50"/>
      <c r="DKB351" s="50"/>
      <c r="DKC351" s="50"/>
      <c r="DKD351" s="50"/>
      <c r="DKE351" s="50"/>
      <c r="DKF351" s="50"/>
      <c r="DKG351" s="50"/>
      <c r="DKH351" s="50"/>
      <c r="DKI351" s="50"/>
      <c r="DKJ351" s="50"/>
      <c r="DKK351" s="50"/>
      <c r="DKL351" s="50"/>
      <c r="DKM351" s="50"/>
      <c r="DKN351" s="50"/>
      <c r="DKO351" s="50"/>
      <c r="DKP351" s="50"/>
      <c r="DKQ351" s="50"/>
      <c r="DKR351" s="50"/>
      <c r="DKS351" s="50"/>
      <c r="DKT351" s="50"/>
      <c r="DKU351" s="50"/>
      <c r="DKV351" s="50"/>
      <c r="DKW351" s="50"/>
      <c r="DKX351" s="50"/>
      <c r="DKY351" s="50"/>
      <c r="DKZ351" s="50"/>
      <c r="DLA351" s="50"/>
      <c r="DLB351" s="50"/>
      <c r="DLC351" s="50"/>
      <c r="DLD351" s="50"/>
      <c r="DLE351" s="50"/>
      <c r="DLF351" s="50"/>
      <c r="DLG351" s="50"/>
      <c r="DLH351" s="50"/>
      <c r="DLI351" s="50"/>
      <c r="DLJ351" s="50"/>
      <c r="DLK351" s="50"/>
      <c r="DLL351" s="50"/>
      <c r="DLM351" s="50"/>
      <c r="DLN351" s="50"/>
      <c r="DLO351" s="50"/>
      <c r="DLP351" s="50"/>
      <c r="DLQ351" s="50"/>
      <c r="DLR351" s="50"/>
      <c r="DLS351" s="50"/>
      <c r="DLT351" s="50"/>
      <c r="DLU351" s="50"/>
      <c r="DLV351" s="50"/>
      <c r="DLW351" s="50"/>
      <c r="DLX351" s="50"/>
      <c r="DLY351" s="50"/>
      <c r="DLZ351" s="50"/>
      <c r="DMA351" s="50"/>
      <c r="DMB351" s="50"/>
      <c r="DMC351" s="50"/>
      <c r="DMD351" s="50"/>
      <c r="DME351" s="50"/>
      <c r="DMF351" s="50"/>
      <c r="DMG351" s="50"/>
      <c r="DMH351" s="50"/>
      <c r="DMI351" s="50"/>
      <c r="DMJ351" s="50"/>
      <c r="DMK351" s="50"/>
      <c r="DML351" s="50"/>
      <c r="DMM351" s="50"/>
      <c r="DMN351" s="50"/>
      <c r="DMO351" s="50"/>
      <c r="DMP351" s="50"/>
      <c r="DMQ351" s="50"/>
      <c r="DMR351" s="50"/>
      <c r="DMS351" s="50"/>
      <c r="DMT351" s="50"/>
      <c r="DMU351" s="50"/>
      <c r="DMV351" s="50"/>
      <c r="DMW351" s="50"/>
      <c r="DMX351" s="50"/>
      <c r="DMY351" s="50"/>
      <c r="DMZ351" s="50"/>
      <c r="DNA351" s="50"/>
      <c r="DNB351" s="50"/>
      <c r="DNC351" s="50"/>
      <c r="DND351" s="50"/>
      <c r="DNE351" s="50"/>
      <c r="DNF351" s="50"/>
      <c r="DNG351" s="50"/>
      <c r="DNH351" s="50"/>
      <c r="DNI351" s="50"/>
      <c r="DNJ351" s="50"/>
      <c r="DNK351" s="50"/>
      <c r="DNL351" s="50"/>
      <c r="DNM351" s="50"/>
      <c r="DNN351" s="50"/>
      <c r="DNO351" s="50"/>
      <c r="DNP351" s="50"/>
      <c r="DNQ351" s="50"/>
      <c r="DNR351" s="50"/>
      <c r="DNS351" s="50"/>
      <c r="DNT351" s="50"/>
      <c r="DNU351" s="50"/>
      <c r="DNV351" s="50"/>
      <c r="DNW351" s="50"/>
      <c r="DNX351" s="50"/>
      <c r="DNY351" s="50"/>
      <c r="DNZ351" s="50"/>
      <c r="DOA351" s="50"/>
      <c r="DOB351" s="50"/>
      <c r="DOC351" s="50"/>
      <c r="DOD351" s="50"/>
      <c r="DOE351" s="50"/>
      <c r="DOF351" s="50"/>
      <c r="DOG351" s="50"/>
      <c r="DOH351" s="50"/>
      <c r="DOI351" s="50"/>
      <c r="DOJ351" s="50"/>
      <c r="DOK351" s="50"/>
      <c r="DOL351" s="50"/>
      <c r="DOM351" s="50"/>
      <c r="DON351" s="50"/>
      <c r="DOO351" s="50"/>
      <c r="DOP351" s="50"/>
      <c r="DOQ351" s="50"/>
      <c r="DOR351" s="50"/>
      <c r="DOS351" s="50"/>
      <c r="DOT351" s="50"/>
      <c r="DOU351" s="50"/>
      <c r="DOV351" s="50"/>
      <c r="DOW351" s="50"/>
      <c r="DOX351" s="50"/>
      <c r="DOY351" s="50"/>
      <c r="DOZ351" s="50"/>
      <c r="DPA351" s="50"/>
      <c r="DPB351" s="50"/>
      <c r="DPC351" s="50"/>
      <c r="DPD351" s="50"/>
      <c r="DPE351" s="50"/>
      <c r="DPF351" s="50"/>
      <c r="DPG351" s="50"/>
      <c r="DPH351" s="50"/>
      <c r="DPI351" s="50"/>
      <c r="DPJ351" s="50"/>
      <c r="DPK351" s="50"/>
      <c r="DPL351" s="50"/>
      <c r="DPM351" s="50"/>
      <c r="DPN351" s="50"/>
      <c r="DPO351" s="50"/>
      <c r="DPP351" s="50"/>
      <c r="DPQ351" s="50"/>
      <c r="DPR351" s="50"/>
      <c r="DPS351" s="50"/>
      <c r="DPT351" s="50"/>
      <c r="DPU351" s="50"/>
      <c r="DPV351" s="50"/>
      <c r="DPW351" s="50"/>
      <c r="DPX351" s="50"/>
      <c r="DPY351" s="50"/>
      <c r="DPZ351" s="50"/>
      <c r="DQA351" s="50"/>
      <c r="DQB351" s="50"/>
      <c r="DQC351" s="50"/>
      <c r="DQD351" s="50"/>
      <c r="DQE351" s="50"/>
      <c r="DQF351" s="50"/>
      <c r="DQG351" s="50"/>
      <c r="DQH351" s="50"/>
      <c r="DQI351" s="50"/>
      <c r="DQJ351" s="50"/>
      <c r="DQK351" s="50"/>
      <c r="DQL351" s="50"/>
      <c r="DQM351" s="50"/>
      <c r="DQN351" s="50"/>
      <c r="DQO351" s="50"/>
      <c r="DQP351" s="50"/>
      <c r="DQQ351" s="50"/>
      <c r="DQR351" s="50"/>
      <c r="DQS351" s="50"/>
      <c r="DQT351" s="50"/>
      <c r="DQU351" s="50"/>
      <c r="DQV351" s="50"/>
      <c r="DQW351" s="50"/>
      <c r="DQX351" s="50"/>
      <c r="DQY351" s="50"/>
      <c r="DQZ351" s="50"/>
      <c r="DRA351" s="50"/>
      <c r="DRB351" s="50"/>
      <c r="DRC351" s="50"/>
      <c r="DRD351" s="50"/>
      <c r="DRE351" s="50"/>
      <c r="DRF351" s="50"/>
      <c r="DRG351" s="50"/>
      <c r="DRH351" s="50"/>
      <c r="DRI351" s="50"/>
      <c r="DRJ351" s="50"/>
      <c r="DRK351" s="50"/>
      <c r="DRL351" s="50"/>
      <c r="DRM351" s="50"/>
      <c r="DRN351" s="50"/>
      <c r="DRO351" s="50"/>
      <c r="DRP351" s="50"/>
      <c r="DRQ351" s="50"/>
      <c r="DRR351" s="50"/>
      <c r="DRS351" s="50"/>
      <c r="DRT351" s="50"/>
      <c r="DRU351" s="50"/>
      <c r="DRV351" s="50"/>
      <c r="DRW351" s="50"/>
      <c r="DRX351" s="50"/>
      <c r="DRY351" s="50"/>
      <c r="DRZ351" s="50"/>
      <c r="DSA351" s="50"/>
      <c r="DSB351" s="50"/>
      <c r="DSC351" s="50"/>
      <c r="DSD351" s="50"/>
      <c r="DSE351" s="50"/>
      <c r="DSF351" s="50"/>
      <c r="DSG351" s="50"/>
      <c r="DSH351" s="50"/>
      <c r="DSI351" s="50"/>
      <c r="DSJ351" s="50"/>
      <c r="DSK351" s="50"/>
      <c r="DSL351" s="50"/>
      <c r="DSM351" s="50"/>
      <c r="DSN351" s="50"/>
      <c r="DSO351" s="50"/>
      <c r="DSP351" s="50"/>
      <c r="DSQ351" s="50"/>
      <c r="DSR351" s="50"/>
      <c r="DSS351" s="50"/>
      <c r="DST351" s="50"/>
      <c r="DSU351" s="50"/>
      <c r="DSV351" s="50"/>
      <c r="DSW351" s="50"/>
      <c r="DSX351" s="50"/>
      <c r="DSY351" s="50"/>
      <c r="DSZ351" s="50"/>
      <c r="DTA351" s="50"/>
      <c r="DTB351" s="50"/>
      <c r="DTC351" s="50"/>
      <c r="DTD351" s="50"/>
      <c r="DTE351" s="50"/>
      <c r="DTF351" s="50"/>
      <c r="DTG351" s="50"/>
      <c r="DTH351" s="50"/>
      <c r="DTI351" s="50"/>
      <c r="DTJ351" s="50"/>
      <c r="DTK351" s="50"/>
      <c r="DTL351" s="50"/>
      <c r="DTM351" s="50"/>
      <c r="DTN351" s="50"/>
      <c r="DTO351" s="50"/>
      <c r="DTP351" s="50"/>
      <c r="DTQ351" s="50"/>
      <c r="DTR351" s="50"/>
      <c r="DTS351" s="50"/>
      <c r="DTT351" s="50"/>
      <c r="DTU351" s="50"/>
      <c r="DTV351" s="50"/>
      <c r="DTW351" s="50"/>
      <c r="DTX351" s="50"/>
      <c r="DTY351" s="50"/>
      <c r="DTZ351" s="50"/>
      <c r="DUA351" s="50"/>
      <c r="DUB351" s="50"/>
      <c r="DUC351" s="50"/>
      <c r="DUD351" s="50"/>
      <c r="DUE351" s="50"/>
      <c r="DUF351" s="50"/>
      <c r="DUG351" s="50"/>
      <c r="DUH351" s="50"/>
      <c r="DUI351" s="50"/>
      <c r="DUJ351" s="50"/>
      <c r="DUK351" s="50"/>
      <c r="DUL351" s="50"/>
      <c r="DUM351" s="50"/>
      <c r="DUN351" s="50"/>
      <c r="DUO351" s="50"/>
      <c r="DUP351" s="50"/>
      <c r="DUQ351" s="50"/>
      <c r="DUR351" s="50"/>
      <c r="DUS351" s="50"/>
      <c r="DUT351" s="50"/>
      <c r="DUU351" s="50"/>
      <c r="DUV351" s="50"/>
      <c r="DUW351" s="50"/>
      <c r="DUX351" s="50"/>
      <c r="DUY351" s="50"/>
      <c r="DUZ351" s="50"/>
      <c r="DVA351" s="50"/>
      <c r="DVB351" s="50"/>
      <c r="DVC351" s="50"/>
      <c r="DVD351" s="50"/>
      <c r="DVE351" s="50"/>
      <c r="DVF351" s="50"/>
      <c r="DVG351" s="50"/>
      <c r="DVH351" s="50"/>
      <c r="DVI351" s="50"/>
      <c r="DVJ351" s="50"/>
      <c r="DVK351" s="50"/>
      <c r="DVL351" s="50"/>
      <c r="DVM351" s="50"/>
      <c r="DVN351" s="50"/>
      <c r="DVO351" s="50"/>
      <c r="DVP351" s="50"/>
      <c r="DVQ351" s="50"/>
      <c r="DVR351" s="50"/>
      <c r="DVS351" s="50"/>
      <c r="DVT351" s="50"/>
      <c r="DVU351" s="50"/>
      <c r="DVV351" s="50"/>
      <c r="DVW351" s="50"/>
      <c r="DVX351" s="50"/>
      <c r="DVY351" s="50"/>
      <c r="DVZ351" s="50"/>
      <c r="DWA351" s="50"/>
      <c r="DWB351" s="50"/>
      <c r="DWC351" s="50"/>
      <c r="DWD351" s="50"/>
      <c r="DWE351" s="50"/>
      <c r="DWF351" s="50"/>
      <c r="DWG351" s="50"/>
      <c r="DWH351" s="50"/>
      <c r="DWI351" s="50"/>
      <c r="DWJ351" s="50"/>
      <c r="DWK351" s="50"/>
      <c r="DWL351" s="50"/>
      <c r="DWM351" s="50"/>
      <c r="DWN351" s="50"/>
      <c r="DWO351" s="50"/>
      <c r="DWP351" s="50"/>
      <c r="DWQ351" s="50"/>
      <c r="DWR351" s="50"/>
      <c r="DWS351" s="50"/>
      <c r="DWT351" s="50"/>
      <c r="DWU351" s="50"/>
      <c r="DWV351" s="50"/>
      <c r="DWW351" s="50"/>
      <c r="DWX351" s="50"/>
      <c r="DWY351" s="50"/>
      <c r="DWZ351" s="50"/>
      <c r="DXA351" s="50"/>
      <c r="DXB351" s="50"/>
      <c r="DXC351" s="50"/>
      <c r="DXD351" s="50"/>
      <c r="DXE351" s="50"/>
      <c r="DXF351" s="50"/>
      <c r="DXG351" s="50"/>
      <c r="DXH351" s="50"/>
      <c r="DXI351" s="50"/>
      <c r="DXJ351" s="50"/>
      <c r="DXK351" s="50"/>
      <c r="DXL351" s="50"/>
      <c r="DXM351" s="50"/>
      <c r="DXN351" s="50"/>
      <c r="DXO351" s="50"/>
      <c r="DXP351" s="50"/>
      <c r="DXQ351" s="50"/>
      <c r="DXR351" s="50"/>
      <c r="DXS351" s="50"/>
      <c r="DXT351" s="50"/>
      <c r="DXU351" s="50"/>
      <c r="DXV351" s="50"/>
      <c r="DXW351" s="50"/>
      <c r="DXX351" s="50"/>
      <c r="DXY351" s="50"/>
      <c r="DXZ351" s="50"/>
      <c r="DYA351" s="50"/>
      <c r="DYB351" s="50"/>
      <c r="DYC351" s="50"/>
      <c r="DYD351" s="50"/>
      <c r="DYE351" s="50"/>
      <c r="DYF351" s="50"/>
      <c r="DYG351" s="50"/>
      <c r="DYH351" s="50"/>
      <c r="DYI351" s="50"/>
      <c r="DYJ351" s="50"/>
      <c r="DYK351" s="50"/>
      <c r="DYL351" s="50"/>
      <c r="DYM351" s="50"/>
      <c r="DYN351" s="50"/>
      <c r="DYO351" s="50"/>
      <c r="DYP351" s="50"/>
      <c r="DYQ351" s="50"/>
      <c r="DYR351" s="50"/>
      <c r="DYS351" s="50"/>
      <c r="DYT351" s="50"/>
      <c r="DYU351" s="50"/>
      <c r="DYV351" s="50"/>
      <c r="DYW351" s="50"/>
      <c r="DYX351" s="50"/>
      <c r="DYY351" s="50"/>
      <c r="DYZ351" s="50"/>
      <c r="DZA351" s="50"/>
      <c r="DZB351" s="50"/>
      <c r="DZC351" s="50"/>
      <c r="DZD351" s="50"/>
      <c r="DZE351" s="50"/>
      <c r="DZF351" s="50"/>
      <c r="DZG351" s="50"/>
      <c r="DZH351" s="50"/>
      <c r="DZI351" s="50"/>
      <c r="DZJ351" s="50"/>
      <c r="DZK351" s="50"/>
      <c r="DZL351" s="50"/>
      <c r="DZM351" s="50"/>
      <c r="DZN351" s="50"/>
      <c r="DZO351" s="50"/>
      <c r="DZP351" s="50"/>
      <c r="DZQ351" s="50"/>
      <c r="DZR351" s="50"/>
      <c r="DZS351" s="50"/>
      <c r="DZT351" s="50"/>
      <c r="DZU351" s="50"/>
      <c r="DZV351" s="50"/>
      <c r="DZW351" s="50"/>
      <c r="DZX351" s="50"/>
      <c r="DZY351" s="50"/>
      <c r="DZZ351" s="50"/>
      <c r="EAA351" s="50"/>
      <c r="EAB351" s="50"/>
      <c r="EAC351" s="50"/>
      <c r="EAD351" s="50"/>
      <c r="EAE351" s="50"/>
      <c r="EAF351" s="50"/>
      <c r="EAG351" s="50"/>
      <c r="EAH351" s="50"/>
      <c r="EAI351" s="50"/>
      <c r="EAJ351" s="50"/>
      <c r="EAK351" s="50"/>
      <c r="EAL351" s="50"/>
      <c r="EAM351" s="50"/>
      <c r="EAN351" s="50"/>
      <c r="EAO351" s="50"/>
      <c r="EAP351" s="50"/>
      <c r="EAQ351" s="50"/>
      <c r="EAR351" s="50"/>
      <c r="EAS351" s="50"/>
      <c r="EAT351" s="50"/>
      <c r="EAU351" s="50"/>
      <c r="EAV351" s="50"/>
      <c r="EAW351" s="50"/>
      <c r="EAX351" s="50"/>
      <c r="EAY351" s="50"/>
      <c r="EAZ351" s="50"/>
      <c r="EBA351" s="50"/>
      <c r="EBB351" s="50"/>
      <c r="EBC351" s="50"/>
      <c r="EBD351" s="50"/>
      <c r="EBE351" s="50"/>
      <c r="EBF351" s="50"/>
      <c r="EBG351" s="50"/>
      <c r="EBH351" s="50"/>
      <c r="EBI351" s="50"/>
      <c r="EBJ351" s="50"/>
      <c r="EBK351" s="50"/>
      <c r="EBL351" s="50"/>
      <c r="EBM351" s="50"/>
      <c r="EBN351" s="50"/>
      <c r="EBO351" s="50"/>
      <c r="EBP351" s="50"/>
      <c r="EBQ351" s="50"/>
      <c r="EBR351" s="50"/>
      <c r="EBS351" s="50"/>
      <c r="EBT351" s="50"/>
      <c r="EBU351" s="50"/>
      <c r="EBV351" s="50"/>
      <c r="EBW351" s="50"/>
      <c r="EBX351" s="50"/>
      <c r="EBY351" s="50"/>
      <c r="EBZ351" s="50"/>
      <c r="ECA351" s="50"/>
      <c r="ECB351" s="50"/>
      <c r="ECC351" s="50"/>
      <c r="ECD351" s="50"/>
      <c r="ECE351" s="50"/>
      <c r="ECF351" s="50"/>
      <c r="ECG351" s="50"/>
      <c r="ECH351" s="50"/>
      <c r="ECI351" s="50"/>
      <c r="ECJ351" s="50"/>
      <c r="ECK351" s="50"/>
      <c r="ECL351" s="50"/>
      <c r="ECM351" s="50"/>
      <c r="ECN351" s="50"/>
      <c r="ECO351" s="50"/>
      <c r="ECP351" s="50"/>
      <c r="ECQ351" s="50"/>
      <c r="ECR351" s="50"/>
      <c r="ECS351" s="50"/>
      <c r="ECT351" s="50"/>
      <c r="ECU351" s="50"/>
      <c r="ECV351" s="50"/>
      <c r="ECW351" s="50"/>
      <c r="ECX351" s="50"/>
      <c r="ECY351" s="50"/>
      <c r="ECZ351" s="50"/>
      <c r="EDA351" s="50"/>
      <c r="EDB351" s="50"/>
      <c r="EDC351" s="50"/>
      <c r="EDD351" s="50"/>
      <c r="EDE351" s="50"/>
      <c r="EDF351" s="50"/>
      <c r="EDG351" s="50"/>
      <c r="EDH351" s="50"/>
      <c r="EDI351" s="50"/>
      <c r="EDJ351" s="50"/>
      <c r="EDK351" s="50"/>
      <c r="EDL351" s="50"/>
      <c r="EDM351" s="50"/>
      <c r="EDN351" s="50"/>
      <c r="EDO351" s="50"/>
      <c r="EDP351" s="50"/>
      <c r="EDQ351" s="50"/>
      <c r="EDR351" s="50"/>
      <c r="EDS351" s="50"/>
      <c r="EDT351" s="50"/>
      <c r="EDU351" s="50"/>
      <c r="EDV351" s="50"/>
      <c r="EDW351" s="50"/>
      <c r="EDX351" s="50"/>
      <c r="EDY351" s="50"/>
      <c r="EDZ351" s="50"/>
      <c r="EEA351" s="50"/>
      <c r="EEB351" s="50"/>
      <c r="EEC351" s="50"/>
      <c r="EED351" s="50"/>
      <c r="EEE351" s="50"/>
      <c r="EEF351" s="50"/>
      <c r="EEG351" s="50"/>
      <c r="EEH351" s="50"/>
      <c r="EEI351" s="50"/>
      <c r="EEJ351" s="50"/>
      <c r="EEK351" s="50"/>
      <c r="EEL351" s="50"/>
      <c r="EEM351" s="50"/>
      <c r="EEN351" s="50"/>
      <c r="EEO351" s="50"/>
      <c r="EEP351" s="50"/>
      <c r="EEQ351" s="50"/>
      <c r="EER351" s="50"/>
      <c r="EES351" s="50"/>
      <c r="EET351" s="50"/>
      <c r="EEU351" s="50"/>
      <c r="EEV351" s="50"/>
      <c r="EEW351" s="50"/>
      <c r="EEX351" s="50"/>
      <c r="EEY351" s="50"/>
      <c r="EEZ351" s="50"/>
      <c r="EFA351" s="50"/>
      <c r="EFB351" s="50"/>
      <c r="EFC351" s="50"/>
      <c r="EFD351" s="50"/>
      <c r="EFE351" s="50"/>
      <c r="EFF351" s="50"/>
      <c r="EFG351" s="50"/>
      <c r="EFH351" s="50"/>
      <c r="EFI351" s="50"/>
      <c r="EFJ351" s="50"/>
      <c r="EFK351" s="50"/>
      <c r="EFL351" s="50"/>
      <c r="EFM351" s="50"/>
      <c r="EFN351" s="50"/>
      <c r="EFO351" s="50"/>
      <c r="EFP351" s="50"/>
      <c r="EFQ351" s="50"/>
      <c r="EFR351" s="50"/>
      <c r="EFS351" s="50"/>
      <c r="EFT351" s="50"/>
      <c r="EFU351" s="50"/>
      <c r="EFV351" s="50"/>
      <c r="EFW351" s="50"/>
      <c r="EFX351" s="50"/>
      <c r="EFY351" s="50"/>
      <c r="EFZ351" s="50"/>
      <c r="EGA351" s="50"/>
      <c r="EGB351" s="50"/>
      <c r="EGC351" s="50"/>
      <c r="EGD351" s="50"/>
      <c r="EGE351" s="50"/>
      <c r="EGF351" s="50"/>
      <c r="EGG351" s="50"/>
      <c r="EGH351" s="50"/>
      <c r="EGI351" s="50"/>
      <c r="EGJ351" s="50"/>
      <c r="EGK351" s="50"/>
      <c r="EGL351" s="50"/>
      <c r="EGM351" s="50"/>
      <c r="EGN351" s="50"/>
      <c r="EGO351" s="50"/>
      <c r="EGP351" s="50"/>
      <c r="EGQ351" s="50"/>
      <c r="EGR351" s="50"/>
      <c r="EGS351" s="50"/>
      <c r="EGT351" s="50"/>
      <c r="EGU351" s="50"/>
      <c r="EGV351" s="50"/>
      <c r="EGW351" s="50"/>
      <c r="EGX351" s="50"/>
      <c r="EGY351" s="50"/>
      <c r="EGZ351" s="50"/>
      <c r="EHA351" s="50"/>
      <c r="EHB351" s="50"/>
      <c r="EHC351" s="50"/>
      <c r="EHD351" s="50"/>
      <c r="EHE351" s="50"/>
      <c r="EHF351" s="50"/>
      <c r="EHG351" s="50"/>
      <c r="EHH351" s="50"/>
      <c r="EHI351" s="50"/>
      <c r="EHJ351" s="50"/>
      <c r="EHK351" s="50"/>
      <c r="EHL351" s="50"/>
      <c r="EHM351" s="50"/>
      <c r="EHN351" s="50"/>
      <c r="EHO351" s="50"/>
      <c r="EHP351" s="50"/>
      <c r="EHQ351" s="50"/>
      <c r="EHR351" s="50"/>
      <c r="EHS351" s="50"/>
      <c r="EHT351" s="50"/>
      <c r="EHU351" s="50"/>
      <c r="EHV351" s="50"/>
      <c r="EHW351" s="50"/>
      <c r="EHX351" s="50"/>
      <c r="EHY351" s="50"/>
      <c r="EHZ351" s="50"/>
      <c r="EIA351" s="50"/>
      <c r="EIB351" s="50"/>
      <c r="EIC351" s="50"/>
      <c r="EID351" s="50"/>
      <c r="EIE351" s="50"/>
      <c r="EIF351" s="50"/>
      <c r="EIG351" s="50"/>
      <c r="EIH351" s="50"/>
      <c r="EII351" s="50"/>
      <c r="EIJ351" s="50"/>
      <c r="EIK351" s="50"/>
      <c r="EIL351" s="50"/>
      <c r="EIM351" s="50"/>
      <c r="EIN351" s="50"/>
      <c r="EIO351" s="50"/>
      <c r="EIP351" s="50"/>
      <c r="EIQ351" s="50"/>
      <c r="EIR351" s="50"/>
      <c r="EIS351" s="50"/>
      <c r="EIT351" s="50"/>
      <c r="EIU351" s="50"/>
      <c r="EIV351" s="50"/>
      <c r="EIW351" s="50"/>
      <c r="EIX351" s="50"/>
      <c r="EIY351" s="50"/>
      <c r="EIZ351" s="50"/>
      <c r="EJA351" s="50"/>
      <c r="EJB351" s="50"/>
      <c r="EJC351" s="50"/>
      <c r="EJD351" s="50"/>
      <c r="EJE351" s="50"/>
      <c r="EJF351" s="50"/>
      <c r="EJG351" s="50"/>
      <c r="EJH351" s="50"/>
      <c r="EJI351" s="50"/>
      <c r="EJJ351" s="50"/>
      <c r="EJK351" s="50"/>
      <c r="EJL351" s="50"/>
      <c r="EJM351" s="50"/>
      <c r="EJN351" s="50"/>
      <c r="EJO351" s="50"/>
      <c r="EJP351" s="50"/>
      <c r="EJQ351" s="50"/>
      <c r="EJR351" s="50"/>
      <c r="EJS351" s="50"/>
      <c r="EJT351" s="50"/>
      <c r="EJU351" s="50"/>
      <c r="EJV351" s="50"/>
      <c r="EJW351" s="50"/>
      <c r="EJX351" s="50"/>
      <c r="EJY351" s="50"/>
      <c r="EJZ351" s="50"/>
      <c r="EKA351" s="50"/>
      <c r="EKB351" s="50"/>
      <c r="EKC351" s="50"/>
      <c r="EKD351" s="50"/>
      <c r="EKE351" s="50"/>
      <c r="EKF351" s="50"/>
      <c r="EKG351" s="50"/>
      <c r="EKH351" s="50"/>
      <c r="EKI351" s="50"/>
      <c r="EKJ351" s="50"/>
      <c r="EKK351" s="50"/>
      <c r="EKL351" s="50"/>
      <c r="EKM351" s="50"/>
      <c r="EKN351" s="50"/>
      <c r="EKO351" s="50"/>
      <c r="EKP351" s="50"/>
      <c r="EKQ351" s="50"/>
      <c r="EKR351" s="50"/>
      <c r="EKS351" s="50"/>
      <c r="EKT351" s="50"/>
      <c r="EKU351" s="50"/>
      <c r="EKV351" s="50"/>
      <c r="EKW351" s="50"/>
      <c r="EKX351" s="50"/>
      <c r="EKY351" s="50"/>
      <c r="EKZ351" s="50"/>
      <c r="ELA351" s="50"/>
      <c r="ELB351" s="50"/>
      <c r="ELC351" s="50"/>
      <c r="ELD351" s="50"/>
      <c r="ELE351" s="50"/>
      <c r="ELF351" s="50"/>
      <c r="ELG351" s="50"/>
      <c r="ELH351" s="50"/>
      <c r="ELI351" s="50"/>
      <c r="ELJ351" s="50"/>
      <c r="ELK351" s="50"/>
      <c r="ELL351" s="50"/>
      <c r="ELM351" s="50"/>
      <c r="ELN351" s="50"/>
      <c r="ELO351" s="50"/>
      <c r="ELP351" s="50"/>
      <c r="ELQ351" s="50"/>
      <c r="ELR351" s="50"/>
      <c r="ELS351" s="50"/>
      <c r="ELT351" s="50"/>
      <c r="ELU351" s="50"/>
      <c r="ELV351" s="50"/>
      <c r="ELW351" s="50"/>
      <c r="ELX351" s="50"/>
      <c r="ELY351" s="50"/>
      <c r="ELZ351" s="50"/>
      <c r="EMA351" s="50"/>
      <c r="EMB351" s="50"/>
      <c r="EMC351" s="50"/>
      <c r="EMD351" s="50"/>
      <c r="EME351" s="50"/>
      <c r="EMF351" s="50"/>
      <c r="EMG351" s="50"/>
      <c r="EMH351" s="50"/>
      <c r="EMI351" s="50"/>
      <c r="EMJ351" s="50"/>
      <c r="EMK351" s="50"/>
      <c r="EML351" s="50"/>
      <c r="EMM351" s="50"/>
      <c r="EMN351" s="50"/>
      <c r="EMO351" s="50"/>
      <c r="EMP351" s="50"/>
      <c r="EMQ351" s="50"/>
      <c r="EMR351" s="50"/>
      <c r="EMS351" s="50"/>
      <c r="EMT351" s="50"/>
      <c r="EMU351" s="50"/>
      <c r="EMV351" s="50"/>
      <c r="EMW351" s="50"/>
      <c r="EMX351" s="50"/>
      <c r="EMY351" s="50"/>
      <c r="EMZ351" s="50"/>
      <c r="ENA351" s="50"/>
      <c r="ENB351" s="50"/>
      <c r="ENC351" s="50"/>
      <c r="END351" s="50"/>
      <c r="ENE351" s="50"/>
      <c r="ENF351" s="50"/>
      <c r="ENG351" s="50"/>
      <c r="ENH351" s="50"/>
      <c r="ENI351" s="50"/>
      <c r="ENJ351" s="50"/>
      <c r="ENK351" s="50"/>
      <c r="ENL351" s="50"/>
      <c r="ENM351" s="50"/>
      <c r="ENN351" s="50"/>
      <c r="ENO351" s="50"/>
      <c r="ENP351" s="50"/>
      <c r="ENQ351" s="50"/>
      <c r="ENR351" s="50"/>
      <c r="ENS351" s="50"/>
      <c r="ENT351" s="50"/>
      <c r="ENU351" s="50"/>
      <c r="ENV351" s="50"/>
      <c r="ENW351" s="50"/>
      <c r="ENX351" s="50"/>
      <c r="ENY351" s="50"/>
      <c r="ENZ351" s="50"/>
      <c r="EOA351" s="50"/>
      <c r="EOB351" s="50"/>
      <c r="EOC351" s="50"/>
      <c r="EOD351" s="50"/>
      <c r="EOE351" s="50"/>
      <c r="EOF351" s="50"/>
      <c r="EOG351" s="50"/>
      <c r="EOH351" s="50"/>
      <c r="EOI351" s="50"/>
      <c r="EOJ351" s="50"/>
      <c r="EOK351" s="50"/>
      <c r="EOL351" s="50"/>
      <c r="EOM351" s="50"/>
      <c r="EON351" s="50"/>
      <c r="EOO351" s="50"/>
      <c r="EOP351" s="50"/>
      <c r="EOQ351" s="50"/>
      <c r="EOR351" s="50"/>
      <c r="EOS351" s="50"/>
      <c r="EOT351" s="50"/>
      <c r="EOU351" s="50"/>
      <c r="EOV351" s="50"/>
      <c r="EOW351" s="50"/>
      <c r="EOX351" s="50"/>
      <c r="EOY351" s="50"/>
      <c r="EOZ351" s="50"/>
      <c r="EPA351" s="50"/>
      <c r="EPB351" s="50"/>
      <c r="EPC351" s="50"/>
      <c r="EPD351" s="50"/>
      <c r="EPE351" s="50"/>
      <c r="EPF351" s="50"/>
      <c r="EPG351" s="50"/>
      <c r="EPH351" s="50"/>
      <c r="EPI351" s="50"/>
      <c r="EPJ351" s="50"/>
      <c r="EPK351" s="50"/>
      <c r="EPL351" s="50"/>
      <c r="EPM351" s="50"/>
      <c r="EPN351" s="50"/>
      <c r="EPO351" s="50"/>
      <c r="EPP351" s="50"/>
      <c r="EPQ351" s="50"/>
      <c r="EPR351" s="50"/>
      <c r="EPS351" s="50"/>
      <c r="EPT351" s="50"/>
      <c r="EPU351" s="50"/>
      <c r="EPV351" s="50"/>
      <c r="EPW351" s="50"/>
      <c r="EPX351" s="50"/>
      <c r="EPY351" s="50"/>
      <c r="EPZ351" s="50"/>
      <c r="EQA351" s="50"/>
      <c r="EQB351" s="50"/>
      <c r="EQC351" s="50"/>
      <c r="EQD351" s="50"/>
      <c r="EQE351" s="50"/>
      <c r="EQF351" s="50"/>
      <c r="EQG351" s="50"/>
      <c r="EQH351" s="50"/>
      <c r="EQI351" s="50"/>
      <c r="EQJ351" s="50"/>
      <c r="EQK351" s="50"/>
      <c r="EQL351" s="50"/>
      <c r="EQM351" s="50"/>
      <c r="EQN351" s="50"/>
      <c r="EQO351" s="50"/>
      <c r="EQP351" s="50"/>
      <c r="EQQ351" s="50"/>
      <c r="EQR351" s="50"/>
      <c r="EQS351" s="50"/>
      <c r="EQT351" s="50"/>
      <c r="EQU351" s="50"/>
      <c r="EQV351" s="50"/>
      <c r="EQW351" s="50"/>
      <c r="EQX351" s="50"/>
      <c r="EQY351" s="50"/>
      <c r="EQZ351" s="50"/>
      <c r="ERA351" s="50"/>
      <c r="ERB351" s="50"/>
      <c r="ERC351" s="50"/>
      <c r="ERD351" s="50"/>
      <c r="ERE351" s="50"/>
      <c r="ERF351" s="50"/>
      <c r="ERG351" s="50"/>
      <c r="ERH351" s="50"/>
      <c r="ERI351" s="50"/>
      <c r="ERJ351" s="50"/>
      <c r="ERK351" s="50"/>
      <c r="ERL351" s="50"/>
      <c r="ERM351" s="50"/>
      <c r="ERN351" s="50"/>
      <c r="ERO351" s="50"/>
      <c r="ERP351" s="50"/>
      <c r="ERQ351" s="50"/>
      <c r="ERR351" s="50"/>
      <c r="ERS351" s="50"/>
      <c r="ERT351" s="50"/>
      <c r="ERU351" s="50"/>
      <c r="ERV351" s="50"/>
      <c r="ERW351" s="50"/>
      <c r="ERX351" s="50"/>
      <c r="ERY351" s="50"/>
      <c r="ERZ351" s="50"/>
      <c r="ESA351" s="50"/>
      <c r="ESB351" s="50"/>
      <c r="ESC351" s="50"/>
      <c r="ESD351" s="50"/>
      <c r="ESE351" s="50"/>
      <c r="ESF351" s="50"/>
      <c r="ESG351" s="50"/>
      <c r="ESH351" s="50"/>
      <c r="ESI351" s="50"/>
      <c r="ESJ351" s="50"/>
      <c r="ESK351" s="50"/>
      <c r="ESL351" s="50"/>
      <c r="ESM351" s="50"/>
      <c r="ESN351" s="50"/>
      <c r="ESO351" s="50"/>
      <c r="ESP351" s="50"/>
      <c r="ESQ351" s="50"/>
      <c r="ESR351" s="50"/>
      <c r="ESS351" s="50"/>
      <c r="EST351" s="50"/>
      <c r="ESU351" s="50"/>
      <c r="ESV351" s="50"/>
      <c r="ESW351" s="50"/>
      <c r="ESX351" s="50"/>
      <c r="ESY351" s="50"/>
      <c r="ESZ351" s="50"/>
      <c r="ETA351" s="50"/>
      <c r="ETB351" s="50"/>
      <c r="ETC351" s="50"/>
      <c r="ETD351" s="50"/>
      <c r="ETE351" s="50"/>
      <c r="ETF351" s="50"/>
      <c r="ETG351" s="50"/>
      <c r="ETH351" s="50"/>
      <c r="ETI351" s="50"/>
      <c r="ETJ351" s="50"/>
      <c r="ETK351" s="50"/>
      <c r="ETL351" s="50"/>
      <c r="ETM351" s="50"/>
      <c r="ETN351" s="50"/>
      <c r="ETO351" s="50"/>
      <c r="ETP351" s="50"/>
      <c r="ETQ351" s="50"/>
      <c r="ETR351" s="50"/>
      <c r="ETS351" s="50"/>
      <c r="ETT351" s="50"/>
      <c r="ETU351" s="50"/>
      <c r="ETV351" s="50"/>
      <c r="ETW351" s="50"/>
      <c r="ETX351" s="50"/>
      <c r="ETY351" s="50"/>
      <c r="ETZ351" s="50"/>
      <c r="EUA351" s="50"/>
      <c r="EUB351" s="50"/>
      <c r="EUC351" s="50"/>
      <c r="EUD351" s="50"/>
      <c r="EUE351" s="50"/>
      <c r="EUF351" s="50"/>
      <c r="EUG351" s="50"/>
      <c r="EUH351" s="50"/>
      <c r="EUI351" s="50"/>
      <c r="EUJ351" s="50"/>
      <c r="EUK351" s="50"/>
      <c r="EUL351" s="50"/>
      <c r="EUM351" s="50"/>
      <c r="EUN351" s="50"/>
      <c r="EUO351" s="50"/>
      <c r="EUP351" s="50"/>
      <c r="EUQ351" s="50"/>
      <c r="EUR351" s="50"/>
      <c r="EUS351" s="50"/>
      <c r="EUT351" s="50"/>
      <c r="EUU351" s="50"/>
      <c r="EUV351" s="50"/>
      <c r="EUW351" s="50"/>
      <c r="EUX351" s="50"/>
      <c r="EUY351" s="50"/>
      <c r="EUZ351" s="50"/>
      <c r="EVA351" s="50"/>
      <c r="EVB351" s="50"/>
      <c r="EVC351" s="50"/>
      <c r="EVD351" s="50"/>
      <c r="EVE351" s="50"/>
      <c r="EVF351" s="50"/>
      <c r="EVG351" s="50"/>
      <c r="EVH351" s="50"/>
      <c r="EVI351" s="50"/>
      <c r="EVJ351" s="50"/>
      <c r="EVK351" s="50"/>
      <c r="EVL351" s="50"/>
      <c r="EVM351" s="50"/>
      <c r="EVN351" s="50"/>
      <c r="EVO351" s="50"/>
      <c r="EVP351" s="50"/>
      <c r="EVQ351" s="50"/>
      <c r="EVR351" s="50"/>
      <c r="EVS351" s="50"/>
      <c r="EVT351" s="50"/>
      <c r="EVU351" s="50"/>
      <c r="EVV351" s="50"/>
      <c r="EVW351" s="50"/>
      <c r="EVX351" s="50"/>
      <c r="EVY351" s="50"/>
      <c r="EVZ351" s="50"/>
      <c r="EWA351" s="50"/>
      <c r="EWB351" s="50"/>
      <c r="EWC351" s="50"/>
      <c r="EWD351" s="50"/>
      <c r="EWE351" s="50"/>
      <c r="EWF351" s="50"/>
      <c r="EWG351" s="50"/>
      <c r="EWH351" s="50"/>
      <c r="EWI351" s="50"/>
      <c r="EWJ351" s="50"/>
      <c r="EWK351" s="50"/>
      <c r="EWL351" s="50"/>
      <c r="EWM351" s="50"/>
      <c r="EWN351" s="50"/>
      <c r="EWO351" s="50"/>
      <c r="EWP351" s="50"/>
      <c r="EWQ351" s="50"/>
      <c r="EWR351" s="50"/>
      <c r="EWS351" s="50"/>
      <c r="EWT351" s="50"/>
      <c r="EWU351" s="50"/>
      <c r="EWV351" s="50"/>
      <c r="EWW351" s="50"/>
      <c r="EWX351" s="50"/>
      <c r="EWY351" s="50"/>
      <c r="EWZ351" s="50"/>
      <c r="EXA351" s="50"/>
      <c r="EXB351" s="50"/>
      <c r="EXC351" s="50"/>
      <c r="EXD351" s="50"/>
      <c r="EXE351" s="50"/>
      <c r="EXF351" s="50"/>
      <c r="EXG351" s="50"/>
      <c r="EXH351" s="50"/>
      <c r="EXI351" s="50"/>
      <c r="EXJ351" s="50"/>
      <c r="EXK351" s="50"/>
      <c r="EXL351" s="50"/>
      <c r="EXM351" s="50"/>
      <c r="EXN351" s="50"/>
      <c r="EXO351" s="50"/>
      <c r="EXP351" s="50"/>
      <c r="EXQ351" s="50"/>
      <c r="EXR351" s="50"/>
      <c r="EXS351" s="50"/>
      <c r="EXT351" s="50"/>
      <c r="EXU351" s="50"/>
      <c r="EXV351" s="50"/>
      <c r="EXW351" s="50"/>
      <c r="EXX351" s="50"/>
      <c r="EXY351" s="50"/>
      <c r="EXZ351" s="50"/>
      <c r="EYA351" s="50"/>
      <c r="EYB351" s="50"/>
      <c r="EYC351" s="50"/>
      <c r="EYD351" s="50"/>
      <c r="EYE351" s="50"/>
      <c r="EYF351" s="50"/>
      <c r="EYG351" s="50"/>
      <c r="EYH351" s="50"/>
      <c r="EYI351" s="50"/>
      <c r="EYJ351" s="50"/>
      <c r="EYK351" s="50"/>
      <c r="EYL351" s="50"/>
      <c r="EYM351" s="50"/>
      <c r="EYN351" s="50"/>
      <c r="EYO351" s="50"/>
      <c r="EYP351" s="50"/>
      <c r="EYQ351" s="50"/>
      <c r="EYR351" s="50"/>
      <c r="EYS351" s="50"/>
      <c r="EYT351" s="50"/>
      <c r="EYU351" s="50"/>
      <c r="EYV351" s="50"/>
      <c r="EYW351" s="50"/>
      <c r="EYX351" s="50"/>
      <c r="EYY351" s="50"/>
      <c r="EYZ351" s="50"/>
      <c r="EZA351" s="50"/>
      <c r="EZB351" s="50"/>
      <c r="EZC351" s="50"/>
      <c r="EZD351" s="50"/>
      <c r="EZE351" s="50"/>
      <c r="EZF351" s="50"/>
      <c r="EZG351" s="50"/>
      <c r="EZH351" s="50"/>
      <c r="EZI351" s="50"/>
      <c r="EZJ351" s="50"/>
      <c r="EZK351" s="50"/>
      <c r="EZL351" s="50"/>
      <c r="EZM351" s="50"/>
      <c r="EZN351" s="50"/>
      <c r="EZO351" s="50"/>
      <c r="EZP351" s="50"/>
      <c r="EZQ351" s="50"/>
      <c r="EZR351" s="50"/>
      <c r="EZS351" s="50"/>
      <c r="EZT351" s="50"/>
      <c r="EZU351" s="50"/>
      <c r="EZV351" s="50"/>
      <c r="EZW351" s="50"/>
      <c r="EZX351" s="50"/>
      <c r="EZY351" s="50"/>
      <c r="EZZ351" s="50"/>
      <c r="FAA351" s="50"/>
      <c r="FAB351" s="50"/>
      <c r="FAC351" s="50"/>
      <c r="FAD351" s="50"/>
      <c r="FAE351" s="50"/>
      <c r="FAF351" s="50"/>
      <c r="FAG351" s="50"/>
      <c r="FAH351" s="50"/>
      <c r="FAI351" s="50"/>
      <c r="FAJ351" s="50"/>
      <c r="FAK351" s="50"/>
      <c r="FAL351" s="50"/>
      <c r="FAM351" s="50"/>
      <c r="FAN351" s="50"/>
      <c r="FAO351" s="50"/>
      <c r="FAP351" s="50"/>
      <c r="FAQ351" s="50"/>
      <c r="FAR351" s="50"/>
      <c r="FAS351" s="50"/>
      <c r="FAT351" s="50"/>
      <c r="FAU351" s="50"/>
      <c r="FAV351" s="50"/>
      <c r="FAW351" s="50"/>
      <c r="FAX351" s="50"/>
      <c r="FAY351" s="50"/>
      <c r="FAZ351" s="50"/>
      <c r="FBA351" s="50"/>
      <c r="FBB351" s="50"/>
      <c r="FBC351" s="50"/>
      <c r="FBD351" s="50"/>
      <c r="FBE351" s="50"/>
      <c r="FBF351" s="50"/>
      <c r="FBG351" s="50"/>
      <c r="FBH351" s="50"/>
      <c r="FBI351" s="50"/>
      <c r="FBJ351" s="50"/>
      <c r="FBK351" s="50"/>
      <c r="FBL351" s="50"/>
      <c r="FBM351" s="50"/>
      <c r="FBN351" s="50"/>
      <c r="FBO351" s="50"/>
      <c r="FBP351" s="50"/>
      <c r="FBQ351" s="50"/>
      <c r="FBR351" s="50"/>
      <c r="FBS351" s="50"/>
      <c r="FBT351" s="50"/>
      <c r="FBU351" s="50"/>
      <c r="FBV351" s="50"/>
      <c r="FBW351" s="50"/>
      <c r="FBX351" s="50"/>
      <c r="FBY351" s="50"/>
      <c r="FBZ351" s="50"/>
      <c r="FCA351" s="50"/>
      <c r="FCB351" s="50"/>
      <c r="FCC351" s="50"/>
      <c r="FCD351" s="50"/>
      <c r="FCE351" s="50"/>
      <c r="FCF351" s="50"/>
      <c r="FCG351" s="50"/>
      <c r="FCH351" s="50"/>
      <c r="FCI351" s="50"/>
      <c r="FCJ351" s="50"/>
      <c r="FCK351" s="50"/>
      <c r="FCL351" s="50"/>
      <c r="FCM351" s="50"/>
      <c r="FCN351" s="50"/>
      <c r="FCO351" s="50"/>
      <c r="FCP351" s="50"/>
      <c r="FCQ351" s="50"/>
      <c r="FCR351" s="50"/>
      <c r="FCS351" s="50"/>
      <c r="FCT351" s="50"/>
      <c r="FCU351" s="50"/>
      <c r="FCV351" s="50"/>
      <c r="FCW351" s="50"/>
      <c r="FCX351" s="50"/>
      <c r="FCY351" s="50"/>
      <c r="FCZ351" s="50"/>
      <c r="FDA351" s="50"/>
      <c r="FDB351" s="50"/>
      <c r="FDC351" s="50"/>
      <c r="FDD351" s="50"/>
      <c r="FDE351" s="50"/>
      <c r="FDF351" s="50"/>
      <c r="FDG351" s="50"/>
      <c r="FDH351" s="50"/>
      <c r="FDI351" s="50"/>
      <c r="FDJ351" s="50"/>
      <c r="FDK351" s="50"/>
      <c r="FDL351" s="50"/>
      <c r="FDM351" s="50"/>
      <c r="FDN351" s="50"/>
      <c r="FDO351" s="50"/>
      <c r="FDP351" s="50"/>
      <c r="FDQ351" s="50"/>
      <c r="FDR351" s="50"/>
      <c r="FDS351" s="50"/>
      <c r="FDT351" s="50"/>
      <c r="FDU351" s="50"/>
      <c r="FDV351" s="50"/>
      <c r="FDW351" s="50"/>
      <c r="FDX351" s="50"/>
      <c r="FDY351" s="50"/>
      <c r="FDZ351" s="50"/>
      <c r="FEA351" s="50"/>
      <c r="FEB351" s="50"/>
      <c r="FEC351" s="50"/>
      <c r="FED351" s="50"/>
      <c r="FEE351" s="50"/>
      <c r="FEF351" s="50"/>
      <c r="FEG351" s="50"/>
      <c r="FEH351" s="50"/>
      <c r="FEI351" s="50"/>
      <c r="FEJ351" s="50"/>
      <c r="FEK351" s="50"/>
      <c r="FEL351" s="50"/>
      <c r="FEM351" s="50"/>
      <c r="FEN351" s="50"/>
      <c r="FEO351" s="50"/>
      <c r="FEP351" s="50"/>
      <c r="FEQ351" s="50"/>
      <c r="FER351" s="50"/>
      <c r="FES351" s="50"/>
      <c r="FET351" s="50"/>
      <c r="FEU351" s="50"/>
      <c r="FEV351" s="50"/>
      <c r="FEW351" s="50"/>
      <c r="FEX351" s="50"/>
      <c r="FEY351" s="50"/>
      <c r="FEZ351" s="50"/>
      <c r="FFA351" s="50"/>
      <c r="FFB351" s="50"/>
      <c r="FFC351" s="50"/>
      <c r="FFD351" s="50"/>
      <c r="FFE351" s="50"/>
      <c r="FFF351" s="50"/>
      <c r="FFG351" s="50"/>
      <c r="FFH351" s="50"/>
      <c r="FFI351" s="50"/>
      <c r="FFJ351" s="50"/>
      <c r="FFK351" s="50"/>
      <c r="FFL351" s="50"/>
      <c r="FFM351" s="50"/>
      <c r="FFN351" s="50"/>
      <c r="FFO351" s="50"/>
      <c r="FFP351" s="50"/>
      <c r="FFQ351" s="50"/>
      <c r="FFR351" s="50"/>
      <c r="FFS351" s="50"/>
      <c r="FFT351" s="50"/>
      <c r="FFU351" s="50"/>
      <c r="FFV351" s="50"/>
      <c r="FFW351" s="50"/>
      <c r="FFX351" s="50"/>
      <c r="FFY351" s="50"/>
      <c r="FFZ351" s="50"/>
      <c r="FGA351" s="50"/>
      <c r="FGB351" s="50"/>
      <c r="FGC351" s="50"/>
      <c r="FGD351" s="50"/>
      <c r="FGE351" s="50"/>
      <c r="FGF351" s="50"/>
      <c r="FGG351" s="50"/>
      <c r="FGH351" s="50"/>
      <c r="FGI351" s="50"/>
      <c r="FGJ351" s="50"/>
      <c r="FGK351" s="50"/>
      <c r="FGL351" s="50"/>
      <c r="FGM351" s="50"/>
      <c r="FGN351" s="50"/>
      <c r="FGO351" s="50"/>
      <c r="FGP351" s="50"/>
      <c r="FGQ351" s="50"/>
      <c r="FGR351" s="50"/>
      <c r="FGS351" s="50"/>
      <c r="FGT351" s="50"/>
      <c r="FGU351" s="50"/>
      <c r="FGV351" s="50"/>
      <c r="FGW351" s="50"/>
      <c r="FGX351" s="50"/>
      <c r="FGY351" s="50"/>
      <c r="FGZ351" s="50"/>
      <c r="FHA351" s="50"/>
      <c r="FHB351" s="50"/>
      <c r="FHC351" s="50"/>
      <c r="FHD351" s="50"/>
      <c r="FHE351" s="50"/>
      <c r="FHF351" s="50"/>
      <c r="FHG351" s="50"/>
      <c r="FHH351" s="50"/>
      <c r="FHI351" s="50"/>
      <c r="FHJ351" s="50"/>
      <c r="FHK351" s="50"/>
      <c r="FHL351" s="50"/>
      <c r="FHM351" s="50"/>
      <c r="FHN351" s="50"/>
      <c r="FHO351" s="50"/>
      <c r="FHP351" s="50"/>
      <c r="FHQ351" s="50"/>
      <c r="FHR351" s="50"/>
      <c r="FHS351" s="50"/>
      <c r="FHT351" s="50"/>
      <c r="FHU351" s="50"/>
      <c r="FHV351" s="50"/>
      <c r="FHW351" s="50"/>
      <c r="FHX351" s="50"/>
      <c r="FHY351" s="50"/>
      <c r="FHZ351" s="50"/>
      <c r="FIA351" s="50"/>
      <c r="FIB351" s="50"/>
      <c r="FIC351" s="50"/>
      <c r="FID351" s="50"/>
      <c r="FIE351" s="50"/>
      <c r="FIF351" s="50"/>
      <c r="FIG351" s="50"/>
      <c r="FIH351" s="50"/>
      <c r="FII351" s="50"/>
      <c r="FIJ351" s="50"/>
      <c r="FIK351" s="50"/>
      <c r="FIL351" s="50"/>
      <c r="FIM351" s="50"/>
      <c r="FIN351" s="50"/>
      <c r="FIO351" s="50"/>
      <c r="FIP351" s="50"/>
      <c r="FIQ351" s="50"/>
      <c r="FIR351" s="50"/>
      <c r="FIS351" s="50"/>
      <c r="FIT351" s="50"/>
      <c r="FIU351" s="50"/>
      <c r="FIV351" s="50"/>
      <c r="FIW351" s="50"/>
      <c r="FIX351" s="50"/>
      <c r="FIY351" s="50"/>
      <c r="FIZ351" s="50"/>
      <c r="FJA351" s="50"/>
      <c r="FJB351" s="50"/>
      <c r="FJC351" s="50"/>
      <c r="FJD351" s="50"/>
      <c r="FJE351" s="50"/>
      <c r="FJF351" s="50"/>
      <c r="FJG351" s="50"/>
      <c r="FJH351" s="50"/>
      <c r="FJI351" s="50"/>
      <c r="FJJ351" s="50"/>
      <c r="FJK351" s="50"/>
      <c r="FJL351" s="50"/>
      <c r="FJM351" s="50"/>
      <c r="FJN351" s="50"/>
      <c r="FJO351" s="50"/>
      <c r="FJP351" s="50"/>
      <c r="FJQ351" s="50"/>
      <c r="FJR351" s="50"/>
      <c r="FJS351" s="50"/>
      <c r="FJT351" s="50"/>
      <c r="FJU351" s="50"/>
      <c r="FJV351" s="50"/>
      <c r="FJW351" s="50"/>
      <c r="FJX351" s="50"/>
      <c r="FJY351" s="50"/>
      <c r="FJZ351" s="50"/>
      <c r="FKA351" s="50"/>
      <c r="FKB351" s="50"/>
      <c r="FKC351" s="50"/>
      <c r="FKD351" s="50"/>
      <c r="FKE351" s="50"/>
      <c r="FKF351" s="50"/>
      <c r="FKG351" s="50"/>
      <c r="FKH351" s="50"/>
      <c r="FKI351" s="50"/>
      <c r="FKJ351" s="50"/>
      <c r="FKK351" s="50"/>
      <c r="FKL351" s="50"/>
      <c r="FKM351" s="50"/>
      <c r="FKN351" s="50"/>
      <c r="FKO351" s="50"/>
      <c r="FKP351" s="50"/>
      <c r="FKQ351" s="50"/>
      <c r="FKR351" s="50"/>
      <c r="FKS351" s="50"/>
      <c r="FKT351" s="50"/>
      <c r="FKU351" s="50"/>
      <c r="FKV351" s="50"/>
      <c r="FKW351" s="50"/>
      <c r="FKX351" s="50"/>
      <c r="FKY351" s="50"/>
      <c r="FKZ351" s="50"/>
      <c r="FLA351" s="50"/>
      <c r="FLB351" s="50"/>
      <c r="FLC351" s="50"/>
      <c r="FLD351" s="50"/>
      <c r="FLE351" s="50"/>
      <c r="FLF351" s="50"/>
      <c r="FLG351" s="50"/>
      <c r="FLH351" s="50"/>
      <c r="FLI351" s="50"/>
      <c r="FLJ351" s="50"/>
      <c r="FLK351" s="50"/>
      <c r="FLL351" s="50"/>
      <c r="FLM351" s="50"/>
      <c r="FLN351" s="50"/>
      <c r="FLO351" s="50"/>
      <c r="FLP351" s="50"/>
      <c r="FLQ351" s="50"/>
      <c r="FLR351" s="50"/>
      <c r="FLS351" s="50"/>
      <c r="FLT351" s="50"/>
      <c r="FLU351" s="50"/>
      <c r="FLV351" s="50"/>
      <c r="FLW351" s="50"/>
      <c r="FLX351" s="50"/>
      <c r="FLY351" s="50"/>
      <c r="FLZ351" s="50"/>
      <c r="FMA351" s="50"/>
      <c r="FMB351" s="50"/>
      <c r="FMC351" s="50"/>
      <c r="FMD351" s="50"/>
      <c r="FME351" s="50"/>
      <c r="FMF351" s="50"/>
      <c r="FMG351" s="50"/>
      <c r="FMH351" s="50"/>
      <c r="FMI351" s="50"/>
      <c r="FMJ351" s="50"/>
      <c r="FMK351" s="50"/>
      <c r="FML351" s="50"/>
      <c r="FMM351" s="50"/>
      <c r="FMN351" s="50"/>
      <c r="FMO351" s="50"/>
      <c r="FMP351" s="50"/>
      <c r="FMQ351" s="50"/>
      <c r="FMR351" s="50"/>
      <c r="FMS351" s="50"/>
      <c r="FMT351" s="50"/>
      <c r="FMU351" s="50"/>
      <c r="FMV351" s="50"/>
      <c r="FMW351" s="50"/>
      <c r="FMX351" s="50"/>
      <c r="FMY351" s="50"/>
      <c r="FMZ351" s="50"/>
      <c r="FNA351" s="50"/>
      <c r="FNB351" s="50"/>
      <c r="FNC351" s="50"/>
      <c r="FND351" s="50"/>
      <c r="FNE351" s="50"/>
      <c r="FNF351" s="50"/>
      <c r="FNG351" s="50"/>
      <c r="FNH351" s="50"/>
      <c r="FNI351" s="50"/>
      <c r="FNJ351" s="50"/>
      <c r="FNK351" s="50"/>
      <c r="FNL351" s="50"/>
      <c r="FNM351" s="50"/>
      <c r="FNN351" s="50"/>
      <c r="FNO351" s="50"/>
      <c r="FNP351" s="50"/>
      <c r="FNQ351" s="50"/>
      <c r="FNR351" s="50"/>
      <c r="FNS351" s="50"/>
      <c r="FNT351" s="50"/>
      <c r="FNU351" s="50"/>
      <c r="FNV351" s="50"/>
      <c r="FNW351" s="50"/>
      <c r="FNX351" s="50"/>
      <c r="FNY351" s="50"/>
      <c r="FNZ351" s="50"/>
      <c r="FOA351" s="50"/>
      <c r="FOB351" s="50"/>
      <c r="FOC351" s="50"/>
      <c r="FOD351" s="50"/>
      <c r="FOE351" s="50"/>
      <c r="FOF351" s="50"/>
      <c r="FOG351" s="50"/>
      <c r="FOH351" s="50"/>
      <c r="FOI351" s="50"/>
      <c r="FOJ351" s="50"/>
      <c r="FOK351" s="50"/>
      <c r="FOL351" s="50"/>
      <c r="FOM351" s="50"/>
      <c r="FON351" s="50"/>
      <c r="FOO351" s="50"/>
      <c r="FOP351" s="50"/>
      <c r="FOQ351" s="50"/>
      <c r="FOR351" s="50"/>
      <c r="FOS351" s="50"/>
      <c r="FOT351" s="50"/>
      <c r="FOU351" s="50"/>
      <c r="FOV351" s="50"/>
      <c r="FOW351" s="50"/>
      <c r="FOX351" s="50"/>
      <c r="FOY351" s="50"/>
      <c r="FOZ351" s="50"/>
      <c r="FPA351" s="50"/>
      <c r="FPB351" s="50"/>
      <c r="FPC351" s="50"/>
      <c r="FPD351" s="50"/>
      <c r="FPE351" s="50"/>
      <c r="FPF351" s="50"/>
      <c r="FPG351" s="50"/>
      <c r="FPH351" s="50"/>
      <c r="FPI351" s="50"/>
      <c r="FPJ351" s="50"/>
      <c r="FPK351" s="50"/>
      <c r="FPL351" s="50"/>
      <c r="FPM351" s="50"/>
      <c r="FPN351" s="50"/>
      <c r="FPO351" s="50"/>
      <c r="FPP351" s="50"/>
      <c r="FPQ351" s="50"/>
      <c r="FPR351" s="50"/>
      <c r="FPS351" s="50"/>
      <c r="FPT351" s="50"/>
      <c r="FPU351" s="50"/>
      <c r="FPV351" s="50"/>
      <c r="FPW351" s="50"/>
      <c r="FPX351" s="50"/>
      <c r="FPY351" s="50"/>
      <c r="FPZ351" s="50"/>
      <c r="FQA351" s="50"/>
      <c r="FQB351" s="50"/>
      <c r="FQC351" s="50"/>
      <c r="FQD351" s="50"/>
      <c r="FQE351" s="50"/>
      <c r="FQF351" s="50"/>
      <c r="FQG351" s="50"/>
      <c r="FQH351" s="50"/>
      <c r="FQI351" s="50"/>
      <c r="FQJ351" s="50"/>
      <c r="FQK351" s="50"/>
      <c r="FQL351" s="50"/>
      <c r="FQM351" s="50"/>
      <c r="FQN351" s="50"/>
      <c r="FQO351" s="50"/>
      <c r="FQP351" s="50"/>
      <c r="FQQ351" s="50"/>
      <c r="FQR351" s="50"/>
      <c r="FQS351" s="50"/>
      <c r="FQT351" s="50"/>
      <c r="FQU351" s="50"/>
      <c r="FQV351" s="50"/>
      <c r="FQW351" s="50"/>
      <c r="FQX351" s="50"/>
      <c r="FQY351" s="50"/>
      <c r="FQZ351" s="50"/>
      <c r="FRA351" s="50"/>
      <c r="FRB351" s="50"/>
      <c r="FRC351" s="50"/>
      <c r="FRD351" s="50"/>
      <c r="FRE351" s="50"/>
      <c r="FRF351" s="50"/>
      <c r="FRG351" s="50"/>
      <c r="FRH351" s="50"/>
      <c r="FRI351" s="50"/>
      <c r="FRJ351" s="50"/>
      <c r="FRK351" s="50"/>
      <c r="FRL351" s="50"/>
      <c r="FRM351" s="50"/>
      <c r="FRN351" s="50"/>
      <c r="FRO351" s="50"/>
      <c r="FRP351" s="50"/>
      <c r="FRQ351" s="50"/>
      <c r="FRR351" s="50"/>
      <c r="FRS351" s="50"/>
      <c r="FRT351" s="50"/>
      <c r="FRU351" s="50"/>
      <c r="FRV351" s="50"/>
      <c r="FRW351" s="50"/>
      <c r="FRX351" s="50"/>
      <c r="FRY351" s="50"/>
      <c r="FRZ351" s="50"/>
      <c r="FSA351" s="50"/>
      <c r="FSB351" s="50"/>
      <c r="FSC351" s="50"/>
      <c r="FSD351" s="50"/>
      <c r="FSE351" s="50"/>
      <c r="FSF351" s="50"/>
      <c r="FSG351" s="50"/>
      <c r="FSH351" s="50"/>
      <c r="FSI351" s="50"/>
      <c r="FSJ351" s="50"/>
      <c r="FSK351" s="50"/>
      <c r="FSL351" s="50"/>
      <c r="FSM351" s="50"/>
      <c r="FSN351" s="50"/>
      <c r="FSO351" s="50"/>
      <c r="FSP351" s="50"/>
      <c r="FSQ351" s="50"/>
      <c r="FSR351" s="50"/>
      <c r="FSS351" s="50"/>
      <c r="FST351" s="50"/>
      <c r="FSU351" s="50"/>
      <c r="FSV351" s="50"/>
      <c r="FSW351" s="50"/>
      <c r="FSX351" s="50"/>
      <c r="FSY351" s="50"/>
      <c r="FSZ351" s="50"/>
      <c r="FTA351" s="50"/>
      <c r="FTB351" s="50"/>
      <c r="FTC351" s="50"/>
      <c r="FTD351" s="50"/>
      <c r="FTE351" s="50"/>
      <c r="FTF351" s="50"/>
      <c r="FTG351" s="50"/>
      <c r="FTH351" s="50"/>
      <c r="FTI351" s="50"/>
      <c r="FTJ351" s="50"/>
      <c r="FTK351" s="50"/>
      <c r="FTL351" s="50"/>
      <c r="FTM351" s="50"/>
      <c r="FTN351" s="50"/>
      <c r="FTO351" s="50"/>
      <c r="FTP351" s="50"/>
      <c r="FTQ351" s="50"/>
      <c r="FTR351" s="50"/>
      <c r="FTS351" s="50"/>
      <c r="FTT351" s="50"/>
      <c r="FTU351" s="50"/>
      <c r="FTV351" s="50"/>
      <c r="FTW351" s="50"/>
      <c r="FTX351" s="50"/>
      <c r="FTY351" s="50"/>
      <c r="FTZ351" s="50"/>
      <c r="FUA351" s="50"/>
      <c r="FUB351" s="50"/>
      <c r="FUC351" s="50"/>
      <c r="FUD351" s="50"/>
      <c r="FUE351" s="50"/>
      <c r="FUF351" s="50"/>
      <c r="FUG351" s="50"/>
      <c r="FUH351" s="50"/>
      <c r="FUI351" s="50"/>
      <c r="FUJ351" s="50"/>
      <c r="FUK351" s="50"/>
      <c r="FUL351" s="50"/>
      <c r="FUM351" s="50"/>
      <c r="FUN351" s="50"/>
      <c r="FUO351" s="50"/>
      <c r="FUP351" s="50"/>
      <c r="FUQ351" s="50"/>
      <c r="FUR351" s="50"/>
      <c r="FUS351" s="50"/>
      <c r="FUT351" s="50"/>
      <c r="FUU351" s="50"/>
      <c r="FUV351" s="50"/>
      <c r="FUW351" s="50"/>
      <c r="FUX351" s="50"/>
      <c r="FUY351" s="50"/>
      <c r="FUZ351" s="50"/>
      <c r="FVA351" s="50"/>
      <c r="FVB351" s="50"/>
      <c r="FVC351" s="50"/>
      <c r="FVD351" s="50"/>
      <c r="FVE351" s="50"/>
      <c r="FVF351" s="50"/>
      <c r="FVG351" s="50"/>
      <c r="FVH351" s="50"/>
      <c r="FVI351" s="50"/>
      <c r="FVJ351" s="50"/>
      <c r="FVK351" s="50"/>
      <c r="FVL351" s="50"/>
      <c r="FVM351" s="50"/>
      <c r="FVN351" s="50"/>
      <c r="FVO351" s="50"/>
      <c r="FVP351" s="50"/>
      <c r="FVQ351" s="50"/>
      <c r="FVR351" s="50"/>
      <c r="FVS351" s="50"/>
      <c r="FVT351" s="50"/>
      <c r="FVU351" s="50"/>
      <c r="FVV351" s="50"/>
      <c r="FVW351" s="50"/>
      <c r="FVX351" s="50"/>
      <c r="FVY351" s="50"/>
      <c r="FVZ351" s="50"/>
      <c r="FWA351" s="50"/>
      <c r="FWB351" s="50"/>
      <c r="FWC351" s="50"/>
      <c r="FWD351" s="50"/>
      <c r="FWE351" s="50"/>
      <c r="FWF351" s="50"/>
      <c r="FWG351" s="50"/>
      <c r="FWH351" s="50"/>
      <c r="FWI351" s="50"/>
      <c r="FWJ351" s="50"/>
      <c r="FWK351" s="50"/>
      <c r="FWL351" s="50"/>
      <c r="FWM351" s="50"/>
      <c r="FWN351" s="50"/>
      <c r="FWO351" s="50"/>
      <c r="FWP351" s="50"/>
      <c r="FWQ351" s="50"/>
      <c r="FWR351" s="50"/>
      <c r="FWS351" s="50"/>
      <c r="FWT351" s="50"/>
      <c r="FWU351" s="50"/>
      <c r="FWV351" s="50"/>
      <c r="FWW351" s="50"/>
      <c r="FWX351" s="50"/>
      <c r="FWY351" s="50"/>
      <c r="FWZ351" s="50"/>
      <c r="FXA351" s="50"/>
      <c r="FXB351" s="50"/>
      <c r="FXC351" s="50"/>
      <c r="FXD351" s="50"/>
      <c r="FXE351" s="50"/>
      <c r="FXF351" s="50"/>
      <c r="FXG351" s="50"/>
      <c r="FXH351" s="50"/>
      <c r="FXI351" s="50"/>
      <c r="FXJ351" s="50"/>
      <c r="FXK351" s="50"/>
      <c r="FXL351" s="50"/>
      <c r="FXM351" s="50"/>
      <c r="FXN351" s="50"/>
      <c r="FXO351" s="50"/>
      <c r="FXP351" s="50"/>
      <c r="FXQ351" s="50"/>
      <c r="FXR351" s="50"/>
      <c r="FXS351" s="50"/>
      <c r="FXT351" s="50"/>
      <c r="FXU351" s="50"/>
      <c r="FXV351" s="50"/>
      <c r="FXW351" s="50"/>
      <c r="FXX351" s="50"/>
      <c r="FXY351" s="50"/>
      <c r="FXZ351" s="50"/>
      <c r="FYA351" s="50"/>
      <c r="FYB351" s="50"/>
      <c r="FYC351" s="50"/>
      <c r="FYD351" s="50"/>
      <c r="FYE351" s="50"/>
      <c r="FYF351" s="50"/>
      <c r="FYG351" s="50"/>
      <c r="FYH351" s="50"/>
      <c r="FYI351" s="50"/>
      <c r="FYJ351" s="50"/>
      <c r="FYK351" s="50"/>
      <c r="FYL351" s="50"/>
      <c r="FYM351" s="50"/>
      <c r="FYN351" s="50"/>
      <c r="FYO351" s="50"/>
      <c r="FYP351" s="50"/>
      <c r="FYQ351" s="50"/>
      <c r="FYR351" s="50"/>
      <c r="FYS351" s="50"/>
      <c r="FYT351" s="50"/>
      <c r="FYU351" s="50"/>
      <c r="FYV351" s="50"/>
      <c r="FYW351" s="50"/>
      <c r="FYX351" s="50"/>
      <c r="FYY351" s="50"/>
      <c r="FYZ351" s="50"/>
      <c r="FZA351" s="50"/>
      <c r="FZB351" s="50"/>
      <c r="FZC351" s="50"/>
      <c r="FZD351" s="50"/>
      <c r="FZE351" s="50"/>
      <c r="FZF351" s="50"/>
      <c r="FZG351" s="50"/>
      <c r="FZH351" s="50"/>
      <c r="FZI351" s="50"/>
      <c r="FZJ351" s="50"/>
      <c r="FZK351" s="50"/>
      <c r="FZL351" s="50"/>
      <c r="FZM351" s="50"/>
      <c r="FZN351" s="50"/>
      <c r="FZO351" s="50"/>
      <c r="FZP351" s="50"/>
      <c r="FZQ351" s="50"/>
      <c r="FZR351" s="50"/>
      <c r="FZS351" s="50"/>
      <c r="FZT351" s="50"/>
      <c r="FZU351" s="50"/>
      <c r="FZV351" s="50"/>
      <c r="FZW351" s="50"/>
      <c r="FZX351" s="50"/>
      <c r="FZY351" s="50"/>
      <c r="FZZ351" s="50"/>
      <c r="GAA351" s="50"/>
      <c r="GAB351" s="50"/>
      <c r="GAC351" s="50"/>
      <c r="GAD351" s="50"/>
      <c r="GAE351" s="50"/>
      <c r="GAF351" s="50"/>
      <c r="GAG351" s="50"/>
      <c r="GAH351" s="50"/>
      <c r="GAI351" s="50"/>
      <c r="GAJ351" s="50"/>
      <c r="GAK351" s="50"/>
      <c r="GAL351" s="50"/>
      <c r="GAM351" s="50"/>
      <c r="GAN351" s="50"/>
      <c r="GAO351" s="50"/>
      <c r="GAP351" s="50"/>
      <c r="GAQ351" s="50"/>
      <c r="GAR351" s="50"/>
      <c r="GAS351" s="50"/>
      <c r="GAT351" s="50"/>
      <c r="GAU351" s="50"/>
      <c r="GAV351" s="50"/>
      <c r="GAW351" s="50"/>
      <c r="GAX351" s="50"/>
      <c r="GAY351" s="50"/>
      <c r="GAZ351" s="50"/>
      <c r="GBA351" s="50"/>
      <c r="GBB351" s="50"/>
      <c r="GBC351" s="50"/>
      <c r="GBD351" s="50"/>
      <c r="GBE351" s="50"/>
      <c r="GBF351" s="50"/>
      <c r="GBG351" s="50"/>
      <c r="GBH351" s="50"/>
      <c r="GBI351" s="50"/>
      <c r="GBJ351" s="50"/>
      <c r="GBK351" s="50"/>
      <c r="GBL351" s="50"/>
      <c r="GBM351" s="50"/>
      <c r="GBN351" s="50"/>
      <c r="GBO351" s="50"/>
      <c r="GBP351" s="50"/>
      <c r="GBQ351" s="50"/>
      <c r="GBR351" s="50"/>
      <c r="GBS351" s="50"/>
      <c r="GBT351" s="50"/>
      <c r="GBU351" s="50"/>
      <c r="GBV351" s="50"/>
      <c r="GBW351" s="50"/>
      <c r="GBX351" s="50"/>
      <c r="GBY351" s="50"/>
      <c r="GBZ351" s="50"/>
      <c r="GCA351" s="50"/>
      <c r="GCB351" s="50"/>
      <c r="GCC351" s="50"/>
      <c r="GCD351" s="50"/>
      <c r="GCE351" s="50"/>
      <c r="GCF351" s="50"/>
      <c r="GCG351" s="50"/>
      <c r="GCH351" s="50"/>
      <c r="GCI351" s="50"/>
      <c r="GCJ351" s="50"/>
      <c r="GCK351" s="50"/>
      <c r="GCL351" s="50"/>
      <c r="GCM351" s="50"/>
      <c r="GCN351" s="50"/>
      <c r="GCO351" s="50"/>
      <c r="GCP351" s="50"/>
      <c r="GCQ351" s="50"/>
      <c r="GCR351" s="50"/>
      <c r="GCS351" s="50"/>
      <c r="GCT351" s="50"/>
      <c r="GCU351" s="50"/>
      <c r="GCV351" s="50"/>
      <c r="GCW351" s="50"/>
      <c r="GCX351" s="50"/>
      <c r="GCY351" s="50"/>
      <c r="GCZ351" s="50"/>
      <c r="GDA351" s="50"/>
      <c r="GDB351" s="50"/>
      <c r="GDC351" s="50"/>
      <c r="GDD351" s="50"/>
      <c r="GDE351" s="50"/>
      <c r="GDF351" s="50"/>
      <c r="GDG351" s="50"/>
      <c r="GDH351" s="50"/>
      <c r="GDI351" s="50"/>
      <c r="GDJ351" s="50"/>
      <c r="GDK351" s="50"/>
      <c r="GDL351" s="50"/>
      <c r="GDM351" s="50"/>
      <c r="GDN351" s="50"/>
      <c r="GDO351" s="50"/>
      <c r="GDP351" s="50"/>
      <c r="GDQ351" s="50"/>
      <c r="GDR351" s="50"/>
      <c r="GDS351" s="50"/>
      <c r="GDT351" s="50"/>
      <c r="GDU351" s="50"/>
      <c r="GDV351" s="50"/>
      <c r="GDW351" s="50"/>
      <c r="GDX351" s="50"/>
      <c r="GDY351" s="50"/>
      <c r="GDZ351" s="50"/>
      <c r="GEA351" s="50"/>
      <c r="GEB351" s="50"/>
      <c r="GEC351" s="50"/>
      <c r="GED351" s="50"/>
      <c r="GEE351" s="50"/>
      <c r="GEF351" s="50"/>
      <c r="GEG351" s="50"/>
      <c r="GEH351" s="50"/>
      <c r="GEI351" s="50"/>
      <c r="GEJ351" s="50"/>
      <c r="GEK351" s="50"/>
      <c r="GEL351" s="50"/>
      <c r="GEM351" s="50"/>
      <c r="GEN351" s="50"/>
      <c r="GEO351" s="50"/>
      <c r="GEP351" s="50"/>
      <c r="GEQ351" s="50"/>
      <c r="GER351" s="50"/>
      <c r="GES351" s="50"/>
      <c r="GET351" s="50"/>
      <c r="GEU351" s="50"/>
      <c r="GEV351" s="50"/>
      <c r="GEW351" s="50"/>
      <c r="GEX351" s="50"/>
      <c r="GEY351" s="50"/>
      <c r="GEZ351" s="50"/>
      <c r="GFA351" s="50"/>
      <c r="GFB351" s="50"/>
      <c r="GFC351" s="50"/>
      <c r="GFD351" s="50"/>
      <c r="GFE351" s="50"/>
      <c r="GFF351" s="50"/>
      <c r="GFG351" s="50"/>
      <c r="GFH351" s="50"/>
      <c r="GFI351" s="50"/>
      <c r="GFJ351" s="50"/>
      <c r="GFK351" s="50"/>
      <c r="GFL351" s="50"/>
      <c r="GFM351" s="50"/>
      <c r="GFN351" s="50"/>
      <c r="GFO351" s="50"/>
      <c r="GFP351" s="50"/>
      <c r="GFQ351" s="50"/>
      <c r="GFR351" s="50"/>
      <c r="GFS351" s="50"/>
      <c r="GFT351" s="50"/>
      <c r="GFU351" s="50"/>
      <c r="GFV351" s="50"/>
      <c r="GFW351" s="50"/>
      <c r="GFX351" s="50"/>
      <c r="GFY351" s="50"/>
      <c r="GFZ351" s="50"/>
      <c r="GGA351" s="50"/>
      <c r="GGB351" s="50"/>
      <c r="GGC351" s="50"/>
      <c r="GGD351" s="50"/>
      <c r="GGE351" s="50"/>
      <c r="GGF351" s="50"/>
      <c r="GGG351" s="50"/>
      <c r="GGH351" s="50"/>
      <c r="GGI351" s="50"/>
      <c r="GGJ351" s="50"/>
      <c r="GGK351" s="50"/>
      <c r="GGL351" s="50"/>
      <c r="GGM351" s="50"/>
      <c r="GGN351" s="50"/>
      <c r="GGO351" s="50"/>
      <c r="GGP351" s="50"/>
      <c r="GGQ351" s="50"/>
      <c r="GGR351" s="50"/>
      <c r="GGS351" s="50"/>
      <c r="GGT351" s="50"/>
      <c r="GGU351" s="50"/>
      <c r="GGV351" s="50"/>
      <c r="GGW351" s="50"/>
      <c r="GGX351" s="50"/>
      <c r="GGY351" s="50"/>
      <c r="GGZ351" s="50"/>
      <c r="GHA351" s="50"/>
      <c r="GHB351" s="50"/>
      <c r="GHC351" s="50"/>
      <c r="GHD351" s="50"/>
      <c r="GHE351" s="50"/>
      <c r="GHF351" s="50"/>
      <c r="GHG351" s="50"/>
      <c r="GHH351" s="50"/>
      <c r="GHI351" s="50"/>
      <c r="GHJ351" s="50"/>
      <c r="GHK351" s="50"/>
      <c r="GHL351" s="50"/>
      <c r="GHM351" s="50"/>
      <c r="GHN351" s="50"/>
      <c r="GHO351" s="50"/>
      <c r="GHP351" s="50"/>
      <c r="GHQ351" s="50"/>
      <c r="GHR351" s="50"/>
      <c r="GHS351" s="50"/>
      <c r="GHT351" s="50"/>
      <c r="GHU351" s="50"/>
      <c r="GHV351" s="50"/>
      <c r="GHW351" s="50"/>
      <c r="GHX351" s="50"/>
      <c r="GHY351" s="50"/>
      <c r="GHZ351" s="50"/>
      <c r="GIA351" s="50"/>
      <c r="GIB351" s="50"/>
      <c r="GIC351" s="50"/>
      <c r="GID351" s="50"/>
      <c r="GIE351" s="50"/>
      <c r="GIF351" s="50"/>
      <c r="GIG351" s="50"/>
      <c r="GIH351" s="50"/>
      <c r="GII351" s="50"/>
      <c r="GIJ351" s="50"/>
      <c r="GIK351" s="50"/>
      <c r="GIL351" s="50"/>
      <c r="GIM351" s="50"/>
      <c r="GIN351" s="50"/>
      <c r="GIO351" s="50"/>
      <c r="GIP351" s="50"/>
      <c r="GIQ351" s="50"/>
      <c r="GIR351" s="50"/>
      <c r="GIS351" s="50"/>
      <c r="GIT351" s="50"/>
      <c r="GIU351" s="50"/>
      <c r="GIV351" s="50"/>
      <c r="GIW351" s="50"/>
      <c r="GIX351" s="50"/>
      <c r="GIY351" s="50"/>
      <c r="GIZ351" s="50"/>
      <c r="GJA351" s="50"/>
      <c r="GJB351" s="50"/>
      <c r="GJC351" s="50"/>
      <c r="GJD351" s="50"/>
      <c r="GJE351" s="50"/>
      <c r="GJF351" s="50"/>
      <c r="GJG351" s="50"/>
      <c r="GJH351" s="50"/>
      <c r="GJI351" s="50"/>
      <c r="GJJ351" s="50"/>
      <c r="GJK351" s="50"/>
      <c r="GJL351" s="50"/>
      <c r="GJM351" s="50"/>
      <c r="GJN351" s="50"/>
      <c r="GJO351" s="50"/>
      <c r="GJP351" s="50"/>
      <c r="GJQ351" s="50"/>
      <c r="GJR351" s="50"/>
      <c r="GJS351" s="50"/>
      <c r="GJT351" s="50"/>
      <c r="GJU351" s="50"/>
      <c r="GJV351" s="50"/>
      <c r="GJW351" s="50"/>
      <c r="GJX351" s="50"/>
      <c r="GJY351" s="50"/>
      <c r="GJZ351" s="50"/>
      <c r="GKA351" s="50"/>
      <c r="GKB351" s="50"/>
      <c r="GKC351" s="50"/>
      <c r="GKD351" s="50"/>
      <c r="GKE351" s="50"/>
      <c r="GKF351" s="50"/>
      <c r="GKG351" s="50"/>
      <c r="GKH351" s="50"/>
      <c r="GKI351" s="50"/>
      <c r="GKJ351" s="50"/>
      <c r="GKK351" s="50"/>
      <c r="GKL351" s="50"/>
      <c r="GKM351" s="50"/>
      <c r="GKN351" s="50"/>
      <c r="GKO351" s="50"/>
      <c r="GKP351" s="50"/>
      <c r="GKQ351" s="50"/>
      <c r="GKR351" s="50"/>
      <c r="GKS351" s="50"/>
      <c r="GKT351" s="50"/>
      <c r="GKU351" s="50"/>
      <c r="GKV351" s="50"/>
      <c r="GKW351" s="50"/>
      <c r="GKX351" s="50"/>
      <c r="GKY351" s="50"/>
      <c r="GKZ351" s="50"/>
      <c r="GLA351" s="50"/>
      <c r="GLB351" s="50"/>
      <c r="GLC351" s="50"/>
      <c r="GLD351" s="50"/>
      <c r="GLE351" s="50"/>
      <c r="GLF351" s="50"/>
      <c r="GLG351" s="50"/>
      <c r="GLH351" s="50"/>
      <c r="GLI351" s="50"/>
      <c r="GLJ351" s="50"/>
      <c r="GLK351" s="50"/>
      <c r="GLL351" s="50"/>
      <c r="GLM351" s="50"/>
      <c r="GLN351" s="50"/>
      <c r="GLO351" s="50"/>
      <c r="GLP351" s="50"/>
      <c r="GLQ351" s="50"/>
      <c r="GLR351" s="50"/>
      <c r="GLS351" s="50"/>
      <c r="GLT351" s="50"/>
      <c r="GLU351" s="50"/>
      <c r="GLV351" s="50"/>
      <c r="GLW351" s="50"/>
      <c r="GLX351" s="50"/>
      <c r="GLY351" s="50"/>
      <c r="GLZ351" s="50"/>
      <c r="GMA351" s="50"/>
      <c r="GMB351" s="50"/>
      <c r="GMC351" s="50"/>
      <c r="GMD351" s="50"/>
      <c r="GME351" s="50"/>
      <c r="GMF351" s="50"/>
      <c r="GMG351" s="50"/>
      <c r="GMH351" s="50"/>
      <c r="GMI351" s="50"/>
      <c r="GMJ351" s="50"/>
      <c r="GMK351" s="50"/>
      <c r="GML351" s="50"/>
      <c r="GMM351" s="50"/>
      <c r="GMN351" s="50"/>
      <c r="GMO351" s="50"/>
      <c r="GMP351" s="50"/>
      <c r="GMQ351" s="50"/>
      <c r="GMR351" s="50"/>
      <c r="GMS351" s="50"/>
      <c r="GMT351" s="50"/>
      <c r="GMU351" s="50"/>
      <c r="GMV351" s="50"/>
      <c r="GMW351" s="50"/>
      <c r="GMX351" s="50"/>
      <c r="GMY351" s="50"/>
      <c r="GMZ351" s="50"/>
      <c r="GNA351" s="50"/>
      <c r="GNB351" s="50"/>
      <c r="GNC351" s="50"/>
      <c r="GND351" s="50"/>
      <c r="GNE351" s="50"/>
      <c r="GNF351" s="50"/>
      <c r="GNG351" s="50"/>
      <c r="GNH351" s="50"/>
      <c r="GNI351" s="50"/>
      <c r="GNJ351" s="50"/>
      <c r="GNK351" s="50"/>
      <c r="GNL351" s="50"/>
      <c r="GNM351" s="50"/>
      <c r="GNN351" s="50"/>
      <c r="GNO351" s="50"/>
      <c r="GNP351" s="50"/>
      <c r="GNQ351" s="50"/>
      <c r="GNR351" s="50"/>
      <c r="GNS351" s="50"/>
      <c r="GNT351" s="50"/>
      <c r="GNU351" s="50"/>
      <c r="GNV351" s="50"/>
      <c r="GNW351" s="50"/>
      <c r="GNX351" s="50"/>
      <c r="GNY351" s="50"/>
      <c r="GNZ351" s="50"/>
      <c r="GOA351" s="50"/>
      <c r="GOB351" s="50"/>
      <c r="GOC351" s="50"/>
      <c r="GOD351" s="50"/>
      <c r="GOE351" s="50"/>
      <c r="GOF351" s="50"/>
      <c r="GOG351" s="50"/>
      <c r="GOH351" s="50"/>
      <c r="GOI351" s="50"/>
      <c r="GOJ351" s="50"/>
      <c r="GOK351" s="50"/>
      <c r="GOL351" s="50"/>
      <c r="GOM351" s="50"/>
      <c r="GON351" s="50"/>
      <c r="GOO351" s="50"/>
      <c r="GOP351" s="50"/>
      <c r="GOQ351" s="50"/>
      <c r="GOR351" s="50"/>
      <c r="GOS351" s="50"/>
      <c r="GOT351" s="50"/>
      <c r="GOU351" s="50"/>
      <c r="GOV351" s="50"/>
      <c r="GOW351" s="50"/>
      <c r="GOX351" s="50"/>
      <c r="GOY351" s="50"/>
      <c r="GOZ351" s="50"/>
      <c r="GPA351" s="50"/>
      <c r="GPB351" s="50"/>
      <c r="GPC351" s="50"/>
      <c r="GPD351" s="50"/>
      <c r="GPE351" s="50"/>
      <c r="GPF351" s="50"/>
      <c r="GPG351" s="50"/>
      <c r="GPH351" s="50"/>
      <c r="GPI351" s="50"/>
      <c r="GPJ351" s="50"/>
      <c r="GPK351" s="50"/>
      <c r="GPL351" s="50"/>
      <c r="GPM351" s="50"/>
      <c r="GPN351" s="50"/>
      <c r="GPO351" s="50"/>
      <c r="GPP351" s="50"/>
      <c r="GPQ351" s="50"/>
      <c r="GPR351" s="50"/>
      <c r="GPS351" s="50"/>
      <c r="GPT351" s="50"/>
      <c r="GPU351" s="50"/>
      <c r="GPV351" s="50"/>
      <c r="GPW351" s="50"/>
      <c r="GPX351" s="50"/>
      <c r="GPY351" s="50"/>
      <c r="GPZ351" s="50"/>
      <c r="GQA351" s="50"/>
      <c r="GQB351" s="50"/>
      <c r="GQC351" s="50"/>
      <c r="GQD351" s="50"/>
      <c r="GQE351" s="50"/>
      <c r="GQF351" s="50"/>
      <c r="GQG351" s="50"/>
      <c r="GQH351" s="50"/>
      <c r="GQI351" s="50"/>
      <c r="GQJ351" s="50"/>
      <c r="GQK351" s="50"/>
      <c r="GQL351" s="50"/>
      <c r="GQM351" s="50"/>
      <c r="GQN351" s="50"/>
      <c r="GQO351" s="50"/>
      <c r="GQP351" s="50"/>
      <c r="GQQ351" s="50"/>
      <c r="GQR351" s="50"/>
      <c r="GQS351" s="50"/>
      <c r="GQT351" s="50"/>
      <c r="GQU351" s="50"/>
      <c r="GQV351" s="50"/>
      <c r="GQW351" s="50"/>
      <c r="GQX351" s="50"/>
      <c r="GQY351" s="50"/>
      <c r="GQZ351" s="50"/>
      <c r="GRA351" s="50"/>
      <c r="GRB351" s="50"/>
      <c r="GRC351" s="50"/>
      <c r="GRD351" s="50"/>
      <c r="GRE351" s="50"/>
      <c r="GRF351" s="50"/>
      <c r="GRG351" s="50"/>
      <c r="GRH351" s="50"/>
      <c r="GRI351" s="50"/>
      <c r="GRJ351" s="50"/>
      <c r="GRK351" s="50"/>
      <c r="GRL351" s="50"/>
      <c r="GRM351" s="50"/>
      <c r="GRN351" s="50"/>
      <c r="GRO351" s="50"/>
      <c r="GRP351" s="50"/>
      <c r="GRQ351" s="50"/>
      <c r="GRR351" s="50"/>
      <c r="GRS351" s="50"/>
      <c r="GRT351" s="50"/>
      <c r="GRU351" s="50"/>
      <c r="GRV351" s="50"/>
      <c r="GRW351" s="50"/>
      <c r="GRX351" s="50"/>
      <c r="GRY351" s="50"/>
      <c r="GRZ351" s="50"/>
      <c r="GSA351" s="50"/>
      <c r="GSB351" s="50"/>
      <c r="GSC351" s="50"/>
      <c r="GSD351" s="50"/>
      <c r="GSE351" s="50"/>
      <c r="GSF351" s="50"/>
      <c r="GSG351" s="50"/>
      <c r="GSH351" s="50"/>
      <c r="GSI351" s="50"/>
      <c r="GSJ351" s="50"/>
      <c r="GSK351" s="50"/>
      <c r="GSL351" s="50"/>
      <c r="GSM351" s="50"/>
      <c r="GSN351" s="50"/>
      <c r="GSO351" s="50"/>
      <c r="GSP351" s="50"/>
      <c r="GSQ351" s="50"/>
      <c r="GSR351" s="50"/>
      <c r="GSS351" s="50"/>
      <c r="GST351" s="50"/>
      <c r="GSU351" s="50"/>
      <c r="GSV351" s="50"/>
      <c r="GSW351" s="50"/>
      <c r="GSX351" s="50"/>
      <c r="GSY351" s="50"/>
      <c r="GSZ351" s="50"/>
      <c r="GTA351" s="50"/>
      <c r="GTB351" s="50"/>
      <c r="GTC351" s="50"/>
      <c r="GTD351" s="50"/>
      <c r="GTE351" s="50"/>
      <c r="GTF351" s="50"/>
      <c r="GTG351" s="50"/>
      <c r="GTH351" s="50"/>
      <c r="GTI351" s="50"/>
      <c r="GTJ351" s="50"/>
      <c r="GTK351" s="50"/>
      <c r="GTL351" s="50"/>
      <c r="GTM351" s="50"/>
      <c r="GTN351" s="50"/>
      <c r="GTO351" s="50"/>
      <c r="GTP351" s="50"/>
      <c r="GTQ351" s="50"/>
      <c r="GTR351" s="50"/>
      <c r="GTS351" s="50"/>
      <c r="GTT351" s="50"/>
      <c r="GTU351" s="50"/>
      <c r="GTV351" s="50"/>
      <c r="GTW351" s="50"/>
      <c r="GTX351" s="50"/>
      <c r="GTY351" s="50"/>
      <c r="GTZ351" s="50"/>
      <c r="GUA351" s="50"/>
      <c r="GUB351" s="50"/>
      <c r="GUC351" s="50"/>
      <c r="GUD351" s="50"/>
      <c r="GUE351" s="50"/>
      <c r="GUF351" s="50"/>
      <c r="GUG351" s="50"/>
      <c r="GUH351" s="50"/>
      <c r="GUI351" s="50"/>
      <c r="GUJ351" s="50"/>
      <c r="GUK351" s="50"/>
      <c r="GUL351" s="50"/>
      <c r="GUM351" s="50"/>
      <c r="GUN351" s="50"/>
      <c r="GUO351" s="50"/>
      <c r="GUP351" s="50"/>
      <c r="GUQ351" s="50"/>
      <c r="GUR351" s="50"/>
      <c r="GUS351" s="50"/>
      <c r="GUT351" s="50"/>
      <c r="GUU351" s="50"/>
      <c r="GUV351" s="50"/>
      <c r="GUW351" s="50"/>
      <c r="GUX351" s="50"/>
      <c r="GUY351" s="50"/>
      <c r="GUZ351" s="50"/>
      <c r="GVA351" s="50"/>
      <c r="GVB351" s="50"/>
      <c r="GVC351" s="50"/>
      <c r="GVD351" s="50"/>
      <c r="GVE351" s="50"/>
      <c r="GVF351" s="50"/>
      <c r="GVG351" s="50"/>
      <c r="GVH351" s="50"/>
      <c r="GVI351" s="50"/>
      <c r="GVJ351" s="50"/>
      <c r="GVK351" s="50"/>
      <c r="GVL351" s="50"/>
      <c r="GVM351" s="50"/>
      <c r="GVN351" s="50"/>
      <c r="GVO351" s="50"/>
      <c r="GVP351" s="50"/>
      <c r="GVQ351" s="50"/>
      <c r="GVR351" s="50"/>
      <c r="GVS351" s="50"/>
      <c r="GVT351" s="50"/>
      <c r="GVU351" s="50"/>
      <c r="GVV351" s="50"/>
      <c r="GVW351" s="50"/>
      <c r="GVX351" s="50"/>
      <c r="GVY351" s="50"/>
      <c r="GVZ351" s="50"/>
      <c r="GWA351" s="50"/>
      <c r="GWB351" s="50"/>
      <c r="GWC351" s="50"/>
      <c r="GWD351" s="50"/>
      <c r="GWE351" s="50"/>
      <c r="GWF351" s="50"/>
      <c r="GWG351" s="50"/>
      <c r="GWH351" s="50"/>
      <c r="GWI351" s="50"/>
      <c r="GWJ351" s="50"/>
      <c r="GWK351" s="50"/>
      <c r="GWL351" s="50"/>
      <c r="GWM351" s="50"/>
      <c r="GWN351" s="50"/>
      <c r="GWO351" s="50"/>
      <c r="GWP351" s="50"/>
      <c r="GWQ351" s="50"/>
      <c r="GWR351" s="50"/>
      <c r="GWS351" s="50"/>
      <c r="GWT351" s="50"/>
      <c r="GWU351" s="50"/>
      <c r="GWV351" s="50"/>
      <c r="GWW351" s="50"/>
      <c r="GWX351" s="50"/>
      <c r="GWY351" s="50"/>
      <c r="GWZ351" s="50"/>
      <c r="GXA351" s="50"/>
      <c r="GXB351" s="50"/>
      <c r="GXC351" s="50"/>
      <c r="GXD351" s="50"/>
      <c r="GXE351" s="50"/>
      <c r="GXF351" s="50"/>
      <c r="GXG351" s="50"/>
      <c r="GXH351" s="50"/>
      <c r="GXI351" s="50"/>
      <c r="GXJ351" s="50"/>
      <c r="GXK351" s="50"/>
      <c r="GXL351" s="50"/>
      <c r="GXM351" s="50"/>
      <c r="GXN351" s="50"/>
      <c r="GXO351" s="50"/>
      <c r="GXP351" s="50"/>
      <c r="GXQ351" s="50"/>
      <c r="GXR351" s="50"/>
      <c r="GXS351" s="50"/>
      <c r="GXT351" s="50"/>
      <c r="GXU351" s="50"/>
      <c r="GXV351" s="50"/>
      <c r="GXW351" s="50"/>
      <c r="GXX351" s="50"/>
      <c r="GXY351" s="50"/>
      <c r="GXZ351" s="50"/>
      <c r="GYA351" s="50"/>
      <c r="GYB351" s="50"/>
      <c r="GYC351" s="50"/>
      <c r="GYD351" s="50"/>
      <c r="GYE351" s="50"/>
      <c r="GYF351" s="50"/>
      <c r="GYG351" s="50"/>
      <c r="GYH351" s="50"/>
      <c r="GYI351" s="50"/>
      <c r="GYJ351" s="50"/>
      <c r="GYK351" s="50"/>
      <c r="GYL351" s="50"/>
      <c r="GYM351" s="50"/>
      <c r="GYN351" s="50"/>
      <c r="GYO351" s="50"/>
      <c r="GYP351" s="50"/>
      <c r="GYQ351" s="50"/>
      <c r="GYR351" s="50"/>
      <c r="GYS351" s="50"/>
      <c r="GYT351" s="50"/>
      <c r="GYU351" s="50"/>
      <c r="GYV351" s="50"/>
      <c r="GYW351" s="50"/>
      <c r="GYX351" s="50"/>
      <c r="GYY351" s="50"/>
      <c r="GYZ351" s="50"/>
      <c r="GZA351" s="50"/>
      <c r="GZB351" s="50"/>
      <c r="GZC351" s="50"/>
      <c r="GZD351" s="50"/>
      <c r="GZE351" s="50"/>
      <c r="GZF351" s="50"/>
      <c r="GZG351" s="50"/>
      <c r="GZH351" s="50"/>
      <c r="GZI351" s="50"/>
      <c r="GZJ351" s="50"/>
      <c r="GZK351" s="50"/>
      <c r="GZL351" s="50"/>
      <c r="GZM351" s="50"/>
      <c r="GZN351" s="50"/>
      <c r="GZO351" s="50"/>
      <c r="GZP351" s="50"/>
      <c r="GZQ351" s="50"/>
      <c r="GZR351" s="50"/>
      <c r="GZS351" s="50"/>
      <c r="GZT351" s="50"/>
      <c r="GZU351" s="50"/>
      <c r="GZV351" s="50"/>
      <c r="GZW351" s="50"/>
      <c r="GZX351" s="50"/>
      <c r="GZY351" s="50"/>
      <c r="GZZ351" s="50"/>
      <c r="HAA351" s="50"/>
      <c r="HAB351" s="50"/>
      <c r="HAC351" s="50"/>
      <c r="HAD351" s="50"/>
      <c r="HAE351" s="50"/>
      <c r="HAF351" s="50"/>
      <c r="HAG351" s="50"/>
      <c r="HAH351" s="50"/>
      <c r="HAI351" s="50"/>
      <c r="HAJ351" s="50"/>
      <c r="HAK351" s="50"/>
      <c r="HAL351" s="50"/>
      <c r="HAM351" s="50"/>
      <c r="HAN351" s="50"/>
      <c r="HAO351" s="50"/>
      <c r="HAP351" s="50"/>
      <c r="HAQ351" s="50"/>
      <c r="HAR351" s="50"/>
      <c r="HAS351" s="50"/>
      <c r="HAT351" s="50"/>
      <c r="HAU351" s="50"/>
      <c r="HAV351" s="50"/>
      <c r="HAW351" s="50"/>
      <c r="HAX351" s="50"/>
      <c r="HAY351" s="50"/>
      <c r="HAZ351" s="50"/>
      <c r="HBA351" s="50"/>
      <c r="HBB351" s="50"/>
      <c r="HBC351" s="50"/>
      <c r="HBD351" s="50"/>
      <c r="HBE351" s="50"/>
      <c r="HBF351" s="50"/>
      <c r="HBG351" s="50"/>
      <c r="HBH351" s="50"/>
      <c r="HBI351" s="50"/>
      <c r="HBJ351" s="50"/>
      <c r="HBK351" s="50"/>
      <c r="HBL351" s="50"/>
      <c r="HBM351" s="50"/>
      <c r="HBN351" s="50"/>
      <c r="HBO351" s="50"/>
      <c r="HBP351" s="50"/>
      <c r="HBQ351" s="50"/>
      <c r="HBR351" s="50"/>
      <c r="HBS351" s="50"/>
      <c r="HBT351" s="50"/>
      <c r="HBU351" s="50"/>
      <c r="HBV351" s="50"/>
      <c r="HBW351" s="50"/>
      <c r="HBX351" s="50"/>
      <c r="HBY351" s="50"/>
      <c r="HBZ351" s="50"/>
      <c r="HCA351" s="50"/>
      <c r="HCB351" s="50"/>
      <c r="HCC351" s="50"/>
      <c r="HCD351" s="50"/>
      <c r="HCE351" s="50"/>
      <c r="HCF351" s="50"/>
      <c r="HCG351" s="50"/>
      <c r="HCH351" s="50"/>
      <c r="HCI351" s="50"/>
      <c r="HCJ351" s="50"/>
      <c r="HCK351" s="50"/>
      <c r="HCL351" s="50"/>
      <c r="HCM351" s="50"/>
      <c r="HCN351" s="50"/>
      <c r="HCO351" s="50"/>
      <c r="HCP351" s="50"/>
      <c r="HCQ351" s="50"/>
      <c r="HCR351" s="50"/>
      <c r="HCS351" s="50"/>
      <c r="HCT351" s="50"/>
      <c r="HCU351" s="50"/>
      <c r="HCV351" s="50"/>
      <c r="HCW351" s="50"/>
      <c r="HCX351" s="50"/>
      <c r="HCY351" s="50"/>
      <c r="HCZ351" s="50"/>
      <c r="HDA351" s="50"/>
      <c r="HDB351" s="50"/>
      <c r="HDC351" s="50"/>
      <c r="HDD351" s="50"/>
      <c r="HDE351" s="50"/>
      <c r="HDF351" s="50"/>
      <c r="HDG351" s="50"/>
      <c r="HDH351" s="50"/>
      <c r="HDI351" s="50"/>
      <c r="HDJ351" s="50"/>
      <c r="HDK351" s="50"/>
      <c r="HDL351" s="50"/>
      <c r="HDM351" s="50"/>
      <c r="HDN351" s="50"/>
      <c r="HDO351" s="50"/>
      <c r="HDP351" s="50"/>
      <c r="HDQ351" s="50"/>
      <c r="HDR351" s="50"/>
      <c r="HDS351" s="50"/>
      <c r="HDT351" s="50"/>
      <c r="HDU351" s="50"/>
      <c r="HDV351" s="50"/>
      <c r="HDW351" s="50"/>
      <c r="HDX351" s="50"/>
      <c r="HDY351" s="50"/>
      <c r="HDZ351" s="50"/>
      <c r="HEA351" s="50"/>
      <c r="HEB351" s="50"/>
      <c r="HEC351" s="50"/>
      <c r="HED351" s="50"/>
      <c r="HEE351" s="50"/>
      <c r="HEF351" s="50"/>
      <c r="HEG351" s="50"/>
      <c r="HEH351" s="50"/>
      <c r="HEI351" s="50"/>
      <c r="HEJ351" s="50"/>
      <c r="HEK351" s="50"/>
      <c r="HEL351" s="50"/>
      <c r="HEM351" s="50"/>
      <c r="HEN351" s="50"/>
      <c r="HEO351" s="50"/>
      <c r="HEP351" s="50"/>
      <c r="HEQ351" s="50"/>
      <c r="HER351" s="50"/>
      <c r="HES351" s="50"/>
      <c r="HET351" s="50"/>
      <c r="HEU351" s="50"/>
      <c r="HEV351" s="50"/>
      <c r="HEW351" s="50"/>
      <c r="HEX351" s="50"/>
      <c r="HEY351" s="50"/>
      <c r="HEZ351" s="50"/>
      <c r="HFA351" s="50"/>
      <c r="HFB351" s="50"/>
      <c r="HFC351" s="50"/>
      <c r="HFD351" s="50"/>
      <c r="HFE351" s="50"/>
      <c r="HFF351" s="50"/>
      <c r="HFG351" s="50"/>
      <c r="HFH351" s="50"/>
      <c r="HFI351" s="50"/>
      <c r="HFJ351" s="50"/>
      <c r="HFK351" s="50"/>
      <c r="HFL351" s="50"/>
      <c r="HFM351" s="50"/>
      <c r="HFN351" s="50"/>
      <c r="HFO351" s="50"/>
      <c r="HFP351" s="50"/>
      <c r="HFQ351" s="50"/>
      <c r="HFR351" s="50"/>
      <c r="HFS351" s="50"/>
      <c r="HFT351" s="50"/>
      <c r="HFU351" s="50"/>
      <c r="HFV351" s="50"/>
      <c r="HFW351" s="50"/>
      <c r="HFX351" s="50"/>
      <c r="HFY351" s="50"/>
      <c r="HFZ351" s="50"/>
      <c r="HGA351" s="50"/>
      <c r="HGB351" s="50"/>
      <c r="HGC351" s="50"/>
      <c r="HGD351" s="50"/>
      <c r="HGE351" s="50"/>
      <c r="HGF351" s="50"/>
      <c r="HGG351" s="50"/>
      <c r="HGH351" s="50"/>
      <c r="HGI351" s="50"/>
      <c r="HGJ351" s="50"/>
      <c r="HGK351" s="50"/>
      <c r="HGL351" s="50"/>
      <c r="HGM351" s="50"/>
      <c r="HGN351" s="50"/>
      <c r="HGO351" s="50"/>
      <c r="HGP351" s="50"/>
      <c r="HGQ351" s="50"/>
      <c r="HGR351" s="50"/>
      <c r="HGS351" s="50"/>
      <c r="HGT351" s="50"/>
      <c r="HGU351" s="50"/>
      <c r="HGV351" s="50"/>
      <c r="HGW351" s="50"/>
      <c r="HGX351" s="50"/>
      <c r="HGY351" s="50"/>
      <c r="HGZ351" s="50"/>
      <c r="HHA351" s="50"/>
      <c r="HHB351" s="50"/>
      <c r="HHC351" s="50"/>
      <c r="HHD351" s="50"/>
      <c r="HHE351" s="50"/>
      <c r="HHF351" s="50"/>
      <c r="HHG351" s="50"/>
      <c r="HHH351" s="50"/>
      <c r="HHI351" s="50"/>
      <c r="HHJ351" s="50"/>
      <c r="HHK351" s="50"/>
      <c r="HHL351" s="50"/>
      <c r="HHM351" s="50"/>
      <c r="HHN351" s="50"/>
      <c r="HHO351" s="50"/>
      <c r="HHP351" s="50"/>
      <c r="HHQ351" s="50"/>
      <c r="HHR351" s="50"/>
      <c r="HHS351" s="50"/>
      <c r="HHT351" s="50"/>
      <c r="HHU351" s="50"/>
      <c r="HHV351" s="50"/>
      <c r="HHW351" s="50"/>
      <c r="HHX351" s="50"/>
      <c r="HHY351" s="50"/>
      <c r="HHZ351" s="50"/>
      <c r="HIA351" s="50"/>
      <c r="HIB351" s="50"/>
      <c r="HIC351" s="50"/>
      <c r="HID351" s="50"/>
      <c r="HIE351" s="50"/>
      <c r="HIF351" s="50"/>
      <c r="HIG351" s="50"/>
      <c r="HIH351" s="50"/>
      <c r="HII351" s="50"/>
      <c r="HIJ351" s="50"/>
      <c r="HIK351" s="50"/>
      <c r="HIL351" s="50"/>
      <c r="HIM351" s="50"/>
      <c r="HIN351" s="50"/>
      <c r="HIO351" s="50"/>
      <c r="HIP351" s="50"/>
      <c r="HIQ351" s="50"/>
      <c r="HIR351" s="50"/>
      <c r="HIS351" s="50"/>
      <c r="HIT351" s="50"/>
      <c r="HIU351" s="50"/>
      <c r="HIV351" s="50"/>
      <c r="HIW351" s="50"/>
      <c r="HIX351" s="50"/>
      <c r="HIY351" s="50"/>
      <c r="HIZ351" s="50"/>
      <c r="HJA351" s="50"/>
      <c r="HJB351" s="50"/>
      <c r="HJC351" s="50"/>
      <c r="HJD351" s="50"/>
      <c r="HJE351" s="50"/>
      <c r="HJF351" s="50"/>
      <c r="HJG351" s="50"/>
      <c r="HJH351" s="50"/>
      <c r="HJI351" s="50"/>
      <c r="HJJ351" s="50"/>
      <c r="HJK351" s="50"/>
      <c r="HJL351" s="50"/>
      <c r="HJM351" s="50"/>
      <c r="HJN351" s="50"/>
      <c r="HJO351" s="50"/>
      <c r="HJP351" s="50"/>
      <c r="HJQ351" s="50"/>
      <c r="HJR351" s="50"/>
      <c r="HJS351" s="50"/>
      <c r="HJT351" s="50"/>
      <c r="HJU351" s="50"/>
      <c r="HJV351" s="50"/>
      <c r="HJW351" s="50"/>
      <c r="HJX351" s="50"/>
      <c r="HJY351" s="50"/>
      <c r="HJZ351" s="50"/>
      <c r="HKA351" s="50"/>
      <c r="HKB351" s="50"/>
      <c r="HKC351" s="50"/>
      <c r="HKD351" s="50"/>
      <c r="HKE351" s="50"/>
      <c r="HKF351" s="50"/>
      <c r="HKG351" s="50"/>
      <c r="HKH351" s="50"/>
      <c r="HKI351" s="50"/>
      <c r="HKJ351" s="50"/>
      <c r="HKK351" s="50"/>
      <c r="HKL351" s="50"/>
      <c r="HKM351" s="50"/>
      <c r="HKN351" s="50"/>
      <c r="HKO351" s="50"/>
      <c r="HKP351" s="50"/>
      <c r="HKQ351" s="50"/>
      <c r="HKR351" s="50"/>
      <c r="HKS351" s="50"/>
      <c r="HKT351" s="50"/>
      <c r="HKU351" s="50"/>
      <c r="HKV351" s="50"/>
      <c r="HKW351" s="50"/>
      <c r="HKX351" s="50"/>
      <c r="HKY351" s="50"/>
      <c r="HKZ351" s="50"/>
      <c r="HLA351" s="50"/>
      <c r="HLB351" s="50"/>
      <c r="HLC351" s="50"/>
      <c r="HLD351" s="50"/>
      <c r="HLE351" s="50"/>
      <c r="HLF351" s="50"/>
      <c r="HLG351" s="50"/>
      <c r="HLH351" s="50"/>
      <c r="HLI351" s="50"/>
      <c r="HLJ351" s="50"/>
      <c r="HLK351" s="50"/>
      <c r="HLL351" s="50"/>
      <c r="HLM351" s="50"/>
      <c r="HLN351" s="50"/>
      <c r="HLO351" s="50"/>
      <c r="HLP351" s="50"/>
      <c r="HLQ351" s="50"/>
      <c r="HLR351" s="50"/>
      <c r="HLS351" s="50"/>
      <c r="HLT351" s="50"/>
      <c r="HLU351" s="50"/>
      <c r="HLV351" s="50"/>
      <c r="HLW351" s="50"/>
      <c r="HLX351" s="50"/>
      <c r="HLY351" s="50"/>
      <c r="HLZ351" s="50"/>
      <c r="HMA351" s="50"/>
      <c r="HMB351" s="50"/>
      <c r="HMC351" s="50"/>
      <c r="HMD351" s="50"/>
      <c r="HME351" s="50"/>
      <c r="HMF351" s="50"/>
      <c r="HMG351" s="50"/>
      <c r="HMH351" s="50"/>
      <c r="HMI351" s="50"/>
      <c r="HMJ351" s="50"/>
      <c r="HMK351" s="50"/>
      <c r="HML351" s="50"/>
      <c r="HMM351" s="50"/>
      <c r="HMN351" s="50"/>
      <c r="HMO351" s="50"/>
      <c r="HMP351" s="50"/>
      <c r="HMQ351" s="50"/>
      <c r="HMR351" s="50"/>
      <c r="HMS351" s="50"/>
      <c r="HMT351" s="50"/>
      <c r="HMU351" s="50"/>
      <c r="HMV351" s="50"/>
      <c r="HMW351" s="50"/>
      <c r="HMX351" s="50"/>
      <c r="HMY351" s="50"/>
      <c r="HMZ351" s="50"/>
      <c r="HNA351" s="50"/>
      <c r="HNB351" s="50"/>
      <c r="HNC351" s="50"/>
      <c r="HND351" s="50"/>
      <c r="HNE351" s="50"/>
      <c r="HNF351" s="50"/>
      <c r="HNG351" s="50"/>
      <c r="HNH351" s="50"/>
      <c r="HNI351" s="50"/>
      <c r="HNJ351" s="50"/>
      <c r="HNK351" s="50"/>
      <c r="HNL351" s="50"/>
      <c r="HNM351" s="50"/>
      <c r="HNN351" s="50"/>
      <c r="HNO351" s="50"/>
      <c r="HNP351" s="50"/>
      <c r="HNQ351" s="50"/>
      <c r="HNR351" s="50"/>
      <c r="HNS351" s="50"/>
      <c r="HNT351" s="50"/>
      <c r="HNU351" s="50"/>
      <c r="HNV351" s="50"/>
      <c r="HNW351" s="50"/>
      <c r="HNX351" s="50"/>
      <c r="HNY351" s="50"/>
      <c r="HNZ351" s="50"/>
      <c r="HOA351" s="50"/>
      <c r="HOB351" s="50"/>
      <c r="HOC351" s="50"/>
      <c r="HOD351" s="50"/>
      <c r="HOE351" s="50"/>
      <c r="HOF351" s="50"/>
      <c r="HOG351" s="50"/>
      <c r="HOH351" s="50"/>
      <c r="HOI351" s="50"/>
      <c r="HOJ351" s="50"/>
      <c r="HOK351" s="50"/>
      <c r="HOL351" s="50"/>
      <c r="HOM351" s="50"/>
      <c r="HON351" s="50"/>
      <c r="HOO351" s="50"/>
      <c r="HOP351" s="50"/>
      <c r="HOQ351" s="50"/>
      <c r="HOR351" s="50"/>
      <c r="HOS351" s="50"/>
      <c r="HOT351" s="50"/>
      <c r="HOU351" s="50"/>
      <c r="HOV351" s="50"/>
      <c r="HOW351" s="50"/>
      <c r="HOX351" s="50"/>
      <c r="HOY351" s="50"/>
      <c r="HOZ351" s="50"/>
      <c r="HPA351" s="50"/>
      <c r="HPB351" s="50"/>
      <c r="HPC351" s="50"/>
      <c r="HPD351" s="50"/>
      <c r="HPE351" s="50"/>
      <c r="HPF351" s="50"/>
      <c r="HPG351" s="50"/>
      <c r="HPH351" s="50"/>
      <c r="HPI351" s="50"/>
      <c r="HPJ351" s="50"/>
      <c r="HPK351" s="50"/>
      <c r="HPL351" s="50"/>
      <c r="HPM351" s="50"/>
      <c r="HPN351" s="50"/>
      <c r="HPO351" s="50"/>
      <c r="HPP351" s="50"/>
      <c r="HPQ351" s="50"/>
      <c r="HPR351" s="50"/>
      <c r="HPS351" s="50"/>
      <c r="HPT351" s="50"/>
      <c r="HPU351" s="50"/>
      <c r="HPV351" s="50"/>
      <c r="HPW351" s="50"/>
      <c r="HPX351" s="50"/>
      <c r="HPY351" s="50"/>
      <c r="HPZ351" s="50"/>
      <c r="HQA351" s="50"/>
      <c r="HQB351" s="50"/>
      <c r="HQC351" s="50"/>
      <c r="HQD351" s="50"/>
      <c r="HQE351" s="50"/>
      <c r="HQF351" s="50"/>
      <c r="HQG351" s="50"/>
      <c r="HQH351" s="50"/>
      <c r="HQI351" s="50"/>
      <c r="HQJ351" s="50"/>
      <c r="HQK351" s="50"/>
      <c r="HQL351" s="50"/>
      <c r="HQM351" s="50"/>
      <c r="HQN351" s="50"/>
      <c r="HQO351" s="50"/>
      <c r="HQP351" s="50"/>
      <c r="HQQ351" s="50"/>
      <c r="HQR351" s="50"/>
      <c r="HQS351" s="50"/>
      <c r="HQT351" s="50"/>
      <c r="HQU351" s="50"/>
      <c r="HQV351" s="50"/>
      <c r="HQW351" s="50"/>
      <c r="HQX351" s="50"/>
      <c r="HQY351" s="50"/>
      <c r="HQZ351" s="50"/>
      <c r="HRA351" s="50"/>
      <c r="HRB351" s="50"/>
      <c r="HRC351" s="50"/>
      <c r="HRD351" s="50"/>
      <c r="HRE351" s="50"/>
      <c r="HRF351" s="50"/>
      <c r="HRG351" s="50"/>
      <c r="HRH351" s="50"/>
      <c r="HRI351" s="50"/>
      <c r="HRJ351" s="50"/>
      <c r="HRK351" s="50"/>
      <c r="HRL351" s="50"/>
      <c r="HRM351" s="50"/>
      <c r="HRN351" s="50"/>
      <c r="HRO351" s="50"/>
      <c r="HRP351" s="50"/>
      <c r="HRQ351" s="50"/>
      <c r="HRR351" s="50"/>
      <c r="HRS351" s="50"/>
      <c r="HRT351" s="50"/>
      <c r="HRU351" s="50"/>
      <c r="HRV351" s="50"/>
      <c r="HRW351" s="50"/>
      <c r="HRX351" s="50"/>
      <c r="HRY351" s="50"/>
      <c r="HRZ351" s="50"/>
      <c r="HSA351" s="50"/>
      <c r="HSB351" s="50"/>
      <c r="HSC351" s="50"/>
      <c r="HSD351" s="50"/>
      <c r="HSE351" s="50"/>
      <c r="HSF351" s="50"/>
      <c r="HSG351" s="50"/>
      <c r="HSH351" s="50"/>
      <c r="HSI351" s="50"/>
      <c r="HSJ351" s="50"/>
      <c r="HSK351" s="50"/>
      <c r="HSL351" s="50"/>
      <c r="HSM351" s="50"/>
      <c r="HSN351" s="50"/>
      <c r="HSO351" s="50"/>
      <c r="HSP351" s="50"/>
      <c r="HSQ351" s="50"/>
      <c r="HSR351" s="50"/>
      <c r="HSS351" s="50"/>
      <c r="HST351" s="50"/>
      <c r="HSU351" s="50"/>
      <c r="HSV351" s="50"/>
      <c r="HSW351" s="50"/>
      <c r="HSX351" s="50"/>
      <c r="HSY351" s="50"/>
      <c r="HSZ351" s="50"/>
      <c r="HTA351" s="50"/>
      <c r="HTB351" s="50"/>
      <c r="HTC351" s="50"/>
      <c r="HTD351" s="50"/>
      <c r="HTE351" s="50"/>
      <c r="HTF351" s="50"/>
      <c r="HTG351" s="50"/>
      <c r="HTH351" s="50"/>
      <c r="HTI351" s="50"/>
      <c r="HTJ351" s="50"/>
      <c r="HTK351" s="50"/>
      <c r="HTL351" s="50"/>
      <c r="HTM351" s="50"/>
      <c r="HTN351" s="50"/>
      <c r="HTO351" s="50"/>
      <c r="HTP351" s="50"/>
      <c r="HTQ351" s="50"/>
      <c r="HTR351" s="50"/>
      <c r="HTS351" s="50"/>
      <c r="HTT351" s="50"/>
      <c r="HTU351" s="50"/>
      <c r="HTV351" s="50"/>
      <c r="HTW351" s="50"/>
      <c r="HTX351" s="50"/>
      <c r="HTY351" s="50"/>
      <c r="HTZ351" s="50"/>
      <c r="HUA351" s="50"/>
      <c r="HUB351" s="50"/>
      <c r="HUC351" s="50"/>
      <c r="HUD351" s="50"/>
      <c r="HUE351" s="50"/>
      <c r="HUF351" s="50"/>
      <c r="HUG351" s="50"/>
      <c r="HUH351" s="50"/>
      <c r="HUI351" s="50"/>
      <c r="HUJ351" s="50"/>
      <c r="HUK351" s="50"/>
      <c r="HUL351" s="50"/>
      <c r="HUM351" s="50"/>
      <c r="HUN351" s="50"/>
      <c r="HUO351" s="50"/>
      <c r="HUP351" s="50"/>
      <c r="HUQ351" s="50"/>
      <c r="HUR351" s="50"/>
      <c r="HUS351" s="50"/>
      <c r="HUT351" s="50"/>
      <c r="HUU351" s="50"/>
      <c r="HUV351" s="50"/>
      <c r="HUW351" s="50"/>
      <c r="HUX351" s="50"/>
      <c r="HUY351" s="50"/>
      <c r="HUZ351" s="50"/>
      <c r="HVA351" s="50"/>
      <c r="HVB351" s="50"/>
      <c r="HVC351" s="50"/>
      <c r="HVD351" s="50"/>
      <c r="HVE351" s="50"/>
      <c r="HVF351" s="50"/>
      <c r="HVG351" s="50"/>
      <c r="HVH351" s="50"/>
      <c r="HVI351" s="50"/>
      <c r="HVJ351" s="50"/>
      <c r="HVK351" s="50"/>
      <c r="HVL351" s="50"/>
      <c r="HVM351" s="50"/>
      <c r="HVN351" s="50"/>
      <c r="HVO351" s="50"/>
      <c r="HVP351" s="50"/>
      <c r="HVQ351" s="50"/>
      <c r="HVR351" s="50"/>
      <c r="HVS351" s="50"/>
      <c r="HVT351" s="50"/>
      <c r="HVU351" s="50"/>
      <c r="HVV351" s="50"/>
      <c r="HVW351" s="50"/>
      <c r="HVX351" s="50"/>
      <c r="HVY351" s="50"/>
      <c r="HVZ351" s="50"/>
      <c r="HWA351" s="50"/>
      <c r="HWB351" s="50"/>
      <c r="HWC351" s="50"/>
      <c r="HWD351" s="50"/>
      <c r="HWE351" s="50"/>
      <c r="HWF351" s="50"/>
      <c r="HWG351" s="50"/>
      <c r="HWH351" s="50"/>
      <c r="HWI351" s="50"/>
      <c r="HWJ351" s="50"/>
      <c r="HWK351" s="50"/>
      <c r="HWL351" s="50"/>
      <c r="HWM351" s="50"/>
      <c r="HWN351" s="50"/>
      <c r="HWO351" s="50"/>
      <c r="HWP351" s="50"/>
      <c r="HWQ351" s="50"/>
      <c r="HWR351" s="50"/>
      <c r="HWS351" s="50"/>
      <c r="HWT351" s="50"/>
      <c r="HWU351" s="50"/>
      <c r="HWV351" s="50"/>
      <c r="HWW351" s="50"/>
      <c r="HWX351" s="50"/>
      <c r="HWY351" s="50"/>
      <c r="HWZ351" s="50"/>
      <c r="HXA351" s="50"/>
      <c r="HXB351" s="50"/>
      <c r="HXC351" s="50"/>
      <c r="HXD351" s="50"/>
      <c r="HXE351" s="50"/>
      <c r="HXF351" s="50"/>
      <c r="HXG351" s="50"/>
      <c r="HXH351" s="50"/>
      <c r="HXI351" s="50"/>
      <c r="HXJ351" s="50"/>
      <c r="HXK351" s="50"/>
      <c r="HXL351" s="50"/>
      <c r="HXM351" s="50"/>
      <c r="HXN351" s="50"/>
      <c r="HXO351" s="50"/>
      <c r="HXP351" s="50"/>
      <c r="HXQ351" s="50"/>
      <c r="HXR351" s="50"/>
      <c r="HXS351" s="50"/>
      <c r="HXT351" s="50"/>
      <c r="HXU351" s="50"/>
      <c r="HXV351" s="50"/>
      <c r="HXW351" s="50"/>
      <c r="HXX351" s="50"/>
      <c r="HXY351" s="50"/>
      <c r="HXZ351" s="50"/>
      <c r="HYA351" s="50"/>
      <c r="HYB351" s="50"/>
      <c r="HYC351" s="50"/>
      <c r="HYD351" s="50"/>
      <c r="HYE351" s="50"/>
      <c r="HYF351" s="50"/>
      <c r="HYG351" s="50"/>
      <c r="HYH351" s="50"/>
      <c r="HYI351" s="50"/>
      <c r="HYJ351" s="50"/>
      <c r="HYK351" s="50"/>
      <c r="HYL351" s="50"/>
      <c r="HYM351" s="50"/>
      <c r="HYN351" s="50"/>
      <c r="HYO351" s="50"/>
      <c r="HYP351" s="50"/>
      <c r="HYQ351" s="50"/>
      <c r="HYR351" s="50"/>
      <c r="HYS351" s="50"/>
      <c r="HYT351" s="50"/>
      <c r="HYU351" s="50"/>
      <c r="HYV351" s="50"/>
      <c r="HYW351" s="50"/>
      <c r="HYX351" s="50"/>
      <c r="HYY351" s="50"/>
      <c r="HYZ351" s="50"/>
      <c r="HZA351" s="50"/>
      <c r="HZB351" s="50"/>
      <c r="HZC351" s="50"/>
      <c r="HZD351" s="50"/>
      <c r="HZE351" s="50"/>
      <c r="HZF351" s="50"/>
      <c r="HZG351" s="50"/>
      <c r="HZH351" s="50"/>
      <c r="HZI351" s="50"/>
      <c r="HZJ351" s="50"/>
      <c r="HZK351" s="50"/>
      <c r="HZL351" s="50"/>
      <c r="HZM351" s="50"/>
      <c r="HZN351" s="50"/>
      <c r="HZO351" s="50"/>
      <c r="HZP351" s="50"/>
      <c r="HZQ351" s="50"/>
      <c r="HZR351" s="50"/>
      <c r="HZS351" s="50"/>
      <c r="HZT351" s="50"/>
      <c r="HZU351" s="50"/>
      <c r="HZV351" s="50"/>
      <c r="HZW351" s="50"/>
      <c r="HZX351" s="50"/>
      <c r="HZY351" s="50"/>
      <c r="HZZ351" s="50"/>
      <c r="IAA351" s="50"/>
      <c r="IAB351" s="50"/>
      <c r="IAC351" s="50"/>
      <c r="IAD351" s="50"/>
      <c r="IAE351" s="50"/>
      <c r="IAF351" s="50"/>
      <c r="IAG351" s="50"/>
      <c r="IAH351" s="50"/>
      <c r="IAI351" s="50"/>
      <c r="IAJ351" s="50"/>
      <c r="IAK351" s="50"/>
      <c r="IAL351" s="50"/>
      <c r="IAM351" s="50"/>
      <c r="IAN351" s="50"/>
      <c r="IAO351" s="50"/>
      <c r="IAP351" s="50"/>
      <c r="IAQ351" s="50"/>
      <c r="IAR351" s="50"/>
      <c r="IAS351" s="50"/>
      <c r="IAT351" s="50"/>
      <c r="IAU351" s="50"/>
      <c r="IAV351" s="50"/>
      <c r="IAW351" s="50"/>
      <c r="IAX351" s="50"/>
      <c r="IAY351" s="50"/>
      <c r="IAZ351" s="50"/>
      <c r="IBA351" s="50"/>
      <c r="IBB351" s="50"/>
      <c r="IBC351" s="50"/>
      <c r="IBD351" s="50"/>
      <c r="IBE351" s="50"/>
      <c r="IBF351" s="50"/>
      <c r="IBG351" s="50"/>
      <c r="IBH351" s="50"/>
      <c r="IBI351" s="50"/>
      <c r="IBJ351" s="50"/>
      <c r="IBK351" s="50"/>
      <c r="IBL351" s="50"/>
      <c r="IBM351" s="50"/>
      <c r="IBN351" s="50"/>
      <c r="IBO351" s="50"/>
      <c r="IBP351" s="50"/>
      <c r="IBQ351" s="50"/>
      <c r="IBR351" s="50"/>
      <c r="IBS351" s="50"/>
      <c r="IBT351" s="50"/>
      <c r="IBU351" s="50"/>
      <c r="IBV351" s="50"/>
      <c r="IBW351" s="50"/>
      <c r="IBX351" s="50"/>
      <c r="IBY351" s="50"/>
      <c r="IBZ351" s="50"/>
      <c r="ICA351" s="50"/>
      <c r="ICB351" s="50"/>
      <c r="ICC351" s="50"/>
      <c r="ICD351" s="50"/>
      <c r="ICE351" s="50"/>
      <c r="ICF351" s="50"/>
      <c r="ICG351" s="50"/>
      <c r="ICH351" s="50"/>
      <c r="ICI351" s="50"/>
      <c r="ICJ351" s="50"/>
      <c r="ICK351" s="50"/>
      <c r="ICL351" s="50"/>
      <c r="ICM351" s="50"/>
      <c r="ICN351" s="50"/>
      <c r="ICO351" s="50"/>
      <c r="ICP351" s="50"/>
      <c r="ICQ351" s="50"/>
      <c r="ICR351" s="50"/>
      <c r="ICS351" s="50"/>
      <c r="ICT351" s="50"/>
      <c r="ICU351" s="50"/>
      <c r="ICV351" s="50"/>
      <c r="ICW351" s="50"/>
      <c r="ICX351" s="50"/>
      <c r="ICY351" s="50"/>
      <c r="ICZ351" s="50"/>
      <c r="IDA351" s="50"/>
      <c r="IDB351" s="50"/>
      <c r="IDC351" s="50"/>
      <c r="IDD351" s="50"/>
      <c r="IDE351" s="50"/>
      <c r="IDF351" s="50"/>
      <c r="IDG351" s="50"/>
      <c r="IDH351" s="50"/>
      <c r="IDI351" s="50"/>
      <c r="IDJ351" s="50"/>
      <c r="IDK351" s="50"/>
      <c r="IDL351" s="50"/>
      <c r="IDM351" s="50"/>
      <c r="IDN351" s="50"/>
      <c r="IDO351" s="50"/>
      <c r="IDP351" s="50"/>
      <c r="IDQ351" s="50"/>
      <c r="IDR351" s="50"/>
      <c r="IDS351" s="50"/>
      <c r="IDT351" s="50"/>
      <c r="IDU351" s="50"/>
      <c r="IDV351" s="50"/>
      <c r="IDW351" s="50"/>
      <c r="IDX351" s="50"/>
      <c r="IDY351" s="50"/>
      <c r="IDZ351" s="50"/>
      <c r="IEA351" s="50"/>
      <c r="IEB351" s="50"/>
      <c r="IEC351" s="50"/>
      <c r="IED351" s="50"/>
      <c r="IEE351" s="50"/>
      <c r="IEF351" s="50"/>
      <c r="IEG351" s="50"/>
      <c r="IEH351" s="50"/>
      <c r="IEI351" s="50"/>
      <c r="IEJ351" s="50"/>
      <c r="IEK351" s="50"/>
      <c r="IEL351" s="50"/>
      <c r="IEM351" s="50"/>
      <c r="IEN351" s="50"/>
      <c r="IEO351" s="50"/>
      <c r="IEP351" s="50"/>
      <c r="IEQ351" s="50"/>
      <c r="IER351" s="50"/>
      <c r="IES351" s="50"/>
      <c r="IET351" s="50"/>
      <c r="IEU351" s="50"/>
      <c r="IEV351" s="50"/>
      <c r="IEW351" s="50"/>
      <c r="IEX351" s="50"/>
      <c r="IEY351" s="50"/>
      <c r="IEZ351" s="50"/>
      <c r="IFA351" s="50"/>
      <c r="IFB351" s="50"/>
      <c r="IFC351" s="50"/>
      <c r="IFD351" s="50"/>
      <c r="IFE351" s="50"/>
      <c r="IFF351" s="50"/>
      <c r="IFG351" s="50"/>
      <c r="IFH351" s="50"/>
      <c r="IFI351" s="50"/>
      <c r="IFJ351" s="50"/>
      <c r="IFK351" s="50"/>
      <c r="IFL351" s="50"/>
      <c r="IFM351" s="50"/>
      <c r="IFN351" s="50"/>
      <c r="IFO351" s="50"/>
      <c r="IFP351" s="50"/>
      <c r="IFQ351" s="50"/>
      <c r="IFR351" s="50"/>
      <c r="IFS351" s="50"/>
      <c r="IFT351" s="50"/>
      <c r="IFU351" s="50"/>
      <c r="IFV351" s="50"/>
      <c r="IFW351" s="50"/>
      <c r="IFX351" s="50"/>
      <c r="IFY351" s="50"/>
      <c r="IFZ351" s="50"/>
      <c r="IGA351" s="50"/>
      <c r="IGB351" s="50"/>
      <c r="IGC351" s="50"/>
      <c r="IGD351" s="50"/>
      <c r="IGE351" s="50"/>
      <c r="IGF351" s="50"/>
      <c r="IGG351" s="50"/>
      <c r="IGH351" s="50"/>
      <c r="IGI351" s="50"/>
      <c r="IGJ351" s="50"/>
      <c r="IGK351" s="50"/>
      <c r="IGL351" s="50"/>
      <c r="IGM351" s="50"/>
      <c r="IGN351" s="50"/>
      <c r="IGO351" s="50"/>
      <c r="IGP351" s="50"/>
      <c r="IGQ351" s="50"/>
      <c r="IGR351" s="50"/>
      <c r="IGS351" s="50"/>
      <c r="IGT351" s="50"/>
      <c r="IGU351" s="50"/>
      <c r="IGV351" s="50"/>
      <c r="IGW351" s="50"/>
      <c r="IGX351" s="50"/>
      <c r="IGY351" s="50"/>
      <c r="IGZ351" s="50"/>
      <c r="IHA351" s="50"/>
      <c r="IHB351" s="50"/>
      <c r="IHC351" s="50"/>
      <c r="IHD351" s="50"/>
      <c r="IHE351" s="50"/>
      <c r="IHF351" s="50"/>
      <c r="IHG351" s="50"/>
      <c r="IHH351" s="50"/>
      <c r="IHI351" s="50"/>
      <c r="IHJ351" s="50"/>
      <c r="IHK351" s="50"/>
      <c r="IHL351" s="50"/>
      <c r="IHM351" s="50"/>
      <c r="IHN351" s="50"/>
      <c r="IHO351" s="50"/>
      <c r="IHP351" s="50"/>
      <c r="IHQ351" s="50"/>
      <c r="IHR351" s="50"/>
      <c r="IHS351" s="50"/>
      <c r="IHT351" s="50"/>
      <c r="IHU351" s="50"/>
      <c r="IHV351" s="50"/>
      <c r="IHW351" s="50"/>
      <c r="IHX351" s="50"/>
      <c r="IHY351" s="50"/>
      <c r="IHZ351" s="50"/>
      <c r="IIA351" s="50"/>
      <c r="IIB351" s="50"/>
      <c r="IIC351" s="50"/>
      <c r="IID351" s="50"/>
      <c r="IIE351" s="50"/>
      <c r="IIF351" s="50"/>
      <c r="IIG351" s="50"/>
      <c r="IIH351" s="50"/>
      <c r="III351" s="50"/>
      <c r="IIJ351" s="50"/>
      <c r="IIK351" s="50"/>
      <c r="IIL351" s="50"/>
      <c r="IIM351" s="50"/>
      <c r="IIN351" s="50"/>
      <c r="IIO351" s="50"/>
      <c r="IIP351" s="50"/>
      <c r="IIQ351" s="50"/>
      <c r="IIR351" s="50"/>
      <c r="IIS351" s="50"/>
      <c r="IIT351" s="50"/>
      <c r="IIU351" s="50"/>
      <c r="IIV351" s="50"/>
      <c r="IIW351" s="50"/>
      <c r="IIX351" s="50"/>
      <c r="IIY351" s="50"/>
      <c r="IIZ351" s="50"/>
      <c r="IJA351" s="50"/>
      <c r="IJB351" s="50"/>
      <c r="IJC351" s="50"/>
      <c r="IJD351" s="50"/>
      <c r="IJE351" s="50"/>
      <c r="IJF351" s="50"/>
      <c r="IJG351" s="50"/>
      <c r="IJH351" s="50"/>
      <c r="IJI351" s="50"/>
      <c r="IJJ351" s="50"/>
      <c r="IJK351" s="50"/>
      <c r="IJL351" s="50"/>
      <c r="IJM351" s="50"/>
      <c r="IJN351" s="50"/>
      <c r="IJO351" s="50"/>
      <c r="IJP351" s="50"/>
      <c r="IJQ351" s="50"/>
      <c r="IJR351" s="50"/>
      <c r="IJS351" s="50"/>
      <c r="IJT351" s="50"/>
      <c r="IJU351" s="50"/>
      <c r="IJV351" s="50"/>
      <c r="IJW351" s="50"/>
      <c r="IJX351" s="50"/>
      <c r="IJY351" s="50"/>
      <c r="IJZ351" s="50"/>
      <c r="IKA351" s="50"/>
      <c r="IKB351" s="50"/>
      <c r="IKC351" s="50"/>
      <c r="IKD351" s="50"/>
      <c r="IKE351" s="50"/>
      <c r="IKF351" s="50"/>
      <c r="IKG351" s="50"/>
      <c r="IKH351" s="50"/>
      <c r="IKI351" s="50"/>
      <c r="IKJ351" s="50"/>
      <c r="IKK351" s="50"/>
      <c r="IKL351" s="50"/>
      <c r="IKM351" s="50"/>
      <c r="IKN351" s="50"/>
      <c r="IKO351" s="50"/>
      <c r="IKP351" s="50"/>
      <c r="IKQ351" s="50"/>
      <c r="IKR351" s="50"/>
      <c r="IKS351" s="50"/>
      <c r="IKT351" s="50"/>
      <c r="IKU351" s="50"/>
      <c r="IKV351" s="50"/>
      <c r="IKW351" s="50"/>
      <c r="IKX351" s="50"/>
      <c r="IKY351" s="50"/>
      <c r="IKZ351" s="50"/>
      <c r="ILA351" s="50"/>
      <c r="ILB351" s="50"/>
      <c r="ILC351" s="50"/>
      <c r="ILD351" s="50"/>
      <c r="ILE351" s="50"/>
      <c r="ILF351" s="50"/>
      <c r="ILG351" s="50"/>
      <c r="ILH351" s="50"/>
      <c r="ILI351" s="50"/>
      <c r="ILJ351" s="50"/>
      <c r="ILK351" s="50"/>
      <c r="ILL351" s="50"/>
      <c r="ILM351" s="50"/>
      <c r="ILN351" s="50"/>
      <c r="ILO351" s="50"/>
      <c r="ILP351" s="50"/>
      <c r="ILQ351" s="50"/>
      <c r="ILR351" s="50"/>
      <c r="ILS351" s="50"/>
      <c r="ILT351" s="50"/>
      <c r="ILU351" s="50"/>
      <c r="ILV351" s="50"/>
      <c r="ILW351" s="50"/>
      <c r="ILX351" s="50"/>
      <c r="ILY351" s="50"/>
      <c r="ILZ351" s="50"/>
      <c r="IMA351" s="50"/>
      <c r="IMB351" s="50"/>
      <c r="IMC351" s="50"/>
      <c r="IMD351" s="50"/>
      <c r="IME351" s="50"/>
      <c r="IMF351" s="50"/>
      <c r="IMG351" s="50"/>
      <c r="IMH351" s="50"/>
      <c r="IMI351" s="50"/>
      <c r="IMJ351" s="50"/>
      <c r="IMK351" s="50"/>
      <c r="IML351" s="50"/>
      <c r="IMM351" s="50"/>
      <c r="IMN351" s="50"/>
      <c r="IMO351" s="50"/>
      <c r="IMP351" s="50"/>
      <c r="IMQ351" s="50"/>
      <c r="IMR351" s="50"/>
      <c r="IMS351" s="50"/>
      <c r="IMT351" s="50"/>
      <c r="IMU351" s="50"/>
      <c r="IMV351" s="50"/>
      <c r="IMW351" s="50"/>
      <c r="IMX351" s="50"/>
      <c r="IMY351" s="50"/>
      <c r="IMZ351" s="50"/>
      <c r="INA351" s="50"/>
      <c r="INB351" s="50"/>
      <c r="INC351" s="50"/>
      <c r="IND351" s="50"/>
      <c r="INE351" s="50"/>
      <c r="INF351" s="50"/>
      <c r="ING351" s="50"/>
      <c r="INH351" s="50"/>
      <c r="INI351" s="50"/>
      <c r="INJ351" s="50"/>
      <c r="INK351" s="50"/>
      <c r="INL351" s="50"/>
      <c r="INM351" s="50"/>
      <c r="INN351" s="50"/>
      <c r="INO351" s="50"/>
      <c r="INP351" s="50"/>
      <c r="INQ351" s="50"/>
      <c r="INR351" s="50"/>
      <c r="INS351" s="50"/>
      <c r="INT351" s="50"/>
      <c r="INU351" s="50"/>
      <c r="INV351" s="50"/>
      <c r="INW351" s="50"/>
      <c r="INX351" s="50"/>
      <c r="INY351" s="50"/>
      <c r="INZ351" s="50"/>
      <c r="IOA351" s="50"/>
      <c r="IOB351" s="50"/>
      <c r="IOC351" s="50"/>
      <c r="IOD351" s="50"/>
      <c r="IOE351" s="50"/>
      <c r="IOF351" s="50"/>
      <c r="IOG351" s="50"/>
      <c r="IOH351" s="50"/>
      <c r="IOI351" s="50"/>
      <c r="IOJ351" s="50"/>
      <c r="IOK351" s="50"/>
      <c r="IOL351" s="50"/>
      <c r="IOM351" s="50"/>
      <c r="ION351" s="50"/>
      <c r="IOO351" s="50"/>
      <c r="IOP351" s="50"/>
      <c r="IOQ351" s="50"/>
      <c r="IOR351" s="50"/>
      <c r="IOS351" s="50"/>
      <c r="IOT351" s="50"/>
      <c r="IOU351" s="50"/>
      <c r="IOV351" s="50"/>
      <c r="IOW351" s="50"/>
      <c r="IOX351" s="50"/>
      <c r="IOY351" s="50"/>
      <c r="IOZ351" s="50"/>
      <c r="IPA351" s="50"/>
      <c r="IPB351" s="50"/>
      <c r="IPC351" s="50"/>
      <c r="IPD351" s="50"/>
      <c r="IPE351" s="50"/>
      <c r="IPF351" s="50"/>
      <c r="IPG351" s="50"/>
      <c r="IPH351" s="50"/>
      <c r="IPI351" s="50"/>
      <c r="IPJ351" s="50"/>
      <c r="IPK351" s="50"/>
      <c r="IPL351" s="50"/>
      <c r="IPM351" s="50"/>
      <c r="IPN351" s="50"/>
      <c r="IPO351" s="50"/>
      <c r="IPP351" s="50"/>
      <c r="IPQ351" s="50"/>
      <c r="IPR351" s="50"/>
      <c r="IPS351" s="50"/>
      <c r="IPT351" s="50"/>
      <c r="IPU351" s="50"/>
      <c r="IPV351" s="50"/>
      <c r="IPW351" s="50"/>
      <c r="IPX351" s="50"/>
      <c r="IPY351" s="50"/>
      <c r="IPZ351" s="50"/>
      <c r="IQA351" s="50"/>
      <c r="IQB351" s="50"/>
      <c r="IQC351" s="50"/>
      <c r="IQD351" s="50"/>
      <c r="IQE351" s="50"/>
      <c r="IQF351" s="50"/>
      <c r="IQG351" s="50"/>
      <c r="IQH351" s="50"/>
      <c r="IQI351" s="50"/>
      <c r="IQJ351" s="50"/>
      <c r="IQK351" s="50"/>
      <c r="IQL351" s="50"/>
      <c r="IQM351" s="50"/>
      <c r="IQN351" s="50"/>
      <c r="IQO351" s="50"/>
      <c r="IQP351" s="50"/>
      <c r="IQQ351" s="50"/>
      <c r="IQR351" s="50"/>
      <c r="IQS351" s="50"/>
      <c r="IQT351" s="50"/>
      <c r="IQU351" s="50"/>
      <c r="IQV351" s="50"/>
      <c r="IQW351" s="50"/>
      <c r="IQX351" s="50"/>
      <c r="IQY351" s="50"/>
      <c r="IQZ351" s="50"/>
      <c r="IRA351" s="50"/>
      <c r="IRB351" s="50"/>
      <c r="IRC351" s="50"/>
      <c r="IRD351" s="50"/>
      <c r="IRE351" s="50"/>
      <c r="IRF351" s="50"/>
      <c r="IRG351" s="50"/>
      <c r="IRH351" s="50"/>
      <c r="IRI351" s="50"/>
      <c r="IRJ351" s="50"/>
      <c r="IRK351" s="50"/>
      <c r="IRL351" s="50"/>
      <c r="IRM351" s="50"/>
      <c r="IRN351" s="50"/>
      <c r="IRO351" s="50"/>
      <c r="IRP351" s="50"/>
      <c r="IRQ351" s="50"/>
      <c r="IRR351" s="50"/>
      <c r="IRS351" s="50"/>
      <c r="IRT351" s="50"/>
      <c r="IRU351" s="50"/>
      <c r="IRV351" s="50"/>
      <c r="IRW351" s="50"/>
      <c r="IRX351" s="50"/>
      <c r="IRY351" s="50"/>
      <c r="IRZ351" s="50"/>
      <c r="ISA351" s="50"/>
      <c r="ISB351" s="50"/>
      <c r="ISC351" s="50"/>
      <c r="ISD351" s="50"/>
      <c r="ISE351" s="50"/>
      <c r="ISF351" s="50"/>
      <c r="ISG351" s="50"/>
      <c r="ISH351" s="50"/>
      <c r="ISI351" s="50"/>
      <c r="ISJ351" s="50"/>
      <c r="ISK351" s="50"/>
      <c r="ISL351" s="50"/>
      <c r="ISM351" s="50"/>
      <c r="ISN351" s="50"/>
      <c r="ISO351" s="50"/>
      <c r="ISP351" s="50"/>
      <c r="ISQ351" s="50"/>
      <c r="ISR351" s="50"/>
      <c r="ISS351" s="50"/>
      <c r="IST351" s="50"/>
      <c r="ISU351" s="50"/>
      <c r="ISV351" s="50"/>
      <c r="ISW351" s="50"/>
      <c r="ISX351" s="50"/>
      <c r="ISY351" s="50"/>
      <c r="ISZ351" s="50"/>
      <c r="ITA351" s="50"/>
      <c r="ITB351" s="50"/>
      <c r="ITC351" s="50"/>
      <c r="ITD351" s="50"/>
      <c r="ITE351" s="50"/>
      <c r="ITF351" s="50"/>
      <c r="ITG351" s="50"/>
      <c r="ITH351" s="50"/>
      <c r="ITI351" s="50"/>
      <c r="ITJ351" s="50"/>
      <c r="ITK351" s="50"/>
      <c r="ITL351" s="50"/>
      <c r="ITM351" s="50"/>
      <c r="ITN351" s="50"/>
      <c r="ITO351" s="50"/>
      <c r="ITP351" s="50"/>
      <c r="ITQ351" s="50"/>
      <c r="ITR351" s="50"/>
      <c r="ITS351" s="50"/>
      <c r="ITT351" s="50"/>
      <c r="ITU351" s="50"/>
      <c r="ITV351" s="50"/>
      <c r="ITW351" s="50"/>
      <c r="ITX351" s="50"/>
      <c r="ITY351" s="50"/>
      <c r="ITZ351" s="50"/>
      <c r="IUA351" s="50"/>
      <c r="IUB351" s="50"/>
      <c r="IUC351" s="50"/>
      <c r="IUD351" s="50"/>
      <c r="IUE351" s="50"/>
      <c r="IUF351" s="50"/>
      <c r="IUG351" s="50"/>
      <c r="IUH351" s="50"/>
      <c r="IUI351" s="50"/>
      <c r="IUJ351" s="50"/>
      <c r="IUK351" s="50"/>
      <c r="IUL351" s="50"/>
      <c r="IUM351" s="50"/>
      <c r="IUN351" s="50"/>
      <c r="IUO351" s="50"/>
      <c r="IUP351" s="50"/>
      <c r="IUQ351" s="50"/>
      <c r="IUR351" s="50"/>
      <c r="IUS351" s="50"/>
      <c r="IUT351" s="50"/>
      <c r="IUU351" s="50"/>
      <c r="IUV351" s="50"/>
      <c r="IUW351" s="50"/>
      <c r="IUX351" s="50"/>
      <c r="IUY351" s="50"/>
      <c r="IUZ351" s="50"/>
      <c r="IVA351" s="50"/>
      <c r="IVB351" s="50"/>
      <c r="IVC351" s="50"/>
      <c r="IVD351" s="50"/>
      <c r="IVE351" s="50"/>
      <c r="IVF351" s="50"/>
      <c r="IVG351" s="50"/>
      <c r="IVH351" s="50"/>
      <c r="IVI351" s="50"/>
      <c r="IVJ351" s="50"/>
      <c r="IVK351" s="50"/>
      <c r="IVL351" s="50"/>
      <c r="IVM351" s="50"/>
      <c r="IVN351" s="50"/>
      <c r="IVO351" s="50"/>
      <c r="IVP351" s="50"/>
      <c r="IVQ351" s="50"/>
      <c r="IVR351" s="50"/>
      <c r="IVS351" s="50"/>
      <c r="IVT351" s="50"/>
      <c r="IVU351" s="50"/>
      <c r="IVV351" s="50"/>
      <c r="IVW351" s="50"/>
      <c r="IVX351" s="50"/>
      <c r="IVY351" s="50"/>
      <c r="IVZ351" s="50"/>
      <c r="IWA351" s="50"/>
      <c r="IWB351" s="50"/>
      <c r="IWC351" s="50"/>
      <c r="IWD351" s="50"/>
      <c r="IWE351" s="50"/>
      <c r="IWF351" s="50"/>
      <c r="IWG351" s="50"/>
      <c r="IWH351" s="50"/>
      <c r="IWI351" s="50"/>
      <c r="IWJ351" s="50"/>
      <c r="IWK351" s="50"/>
      <c r="IWL351" s="50"/>
      <c r="IWM351" s="50"/>
      <c r="IWN351" s="50"/>
      <c r="IWO351" s="50"/>
      <c r="IWP351" s="50"/>
      <c r="IWQ351" s="50"/>
      <c r="IWR351" s="50"/>
      <c r="IWS351" s="50"/>
      <c r="IWT351" s="50"/>
      <c r="IWU351" s="50"/>
      <c r="IWV351" s="50"/>
      <c r="IWW351" s="50"/>
      <c r="IWX351" s="50"/>
      <c r="IWY351" s="50"/>
      <c r="IWZ351" s="50"/>
      <c r="IXA351" s="50"/>
      <c r="IXB351" s="50"/>
      <c r="IXC351" s="50"/>
      <c r="IXD351" s="50"/>
      <c r="IXE351" s="50"/>
      <c r="IXF351" s="50"/>
      <c r="IXG351" s="50"/>
      <c r="IXH351" s="50"/>
      <c r="IXI351" s="50"/>
      <c r="IXJ351" s="50"/>
      <c r="IXK351" s="50"/>
      <c r="IXL351" s="50"/>
      <c r="IXM351" s="50"/>
      <c r="IXN351" s="50"/>
      <c r="IXO351" s="50"/>
      <c r="IXP351" s="50"/>
      <c r="IXQ351" s="50"/>
      <c r="IXR351" s="50"/>
      <c r="IXS351" s="50"/>
      <c r="IXT351" s="50"/>
      <c r="IXU351" s="50"/>
      <c r="IXV351" s="50"/>
      <c r="IXW351" s="50"/>
      <c r="IXX351" s="50"/>
      <c r="IXY351" s="50"/>
      <c r="IXZ351" s="50"/>
      <c r="IYA351" s="50"/>
      <c r="IYB351" s="50"/>
      <c r="IYC351" s="50"/>
      <c r="IYD351" s="50"/>
      <c r="IYE351" s="50"/>
      <c r="IYF351" s="50"/>
      <c r="IYG351" s="50"/>
      <c r="IYH351" s="50"/>
      <c r="IYI351" s="50"/>
      <c r="IYJ351" s="50"/>
      <c r="IYK351" s="50"/>
      <c r="IYL351" s="50"/>
      <c r="IYM351" s="50"/>
      <c r="IYN351" s="50"/>
      <c r="IYO351" s="50"/>
      <c r="IYP351" s="50"/>
      <c r="IYQ351" s="50"/>
      <c r="IYR351" s="50"/>
      <c r="IYS351" s="50"/>
      <c r="IYT351" s="50"/>
      <c r="IYU351" s="50"/>
      <c r="IYV351" s="50"/>
      <c r="IYW351" s="50"/>
      <c r="IYX351" s="50"/>
      <c r="IYY351" s="50"/>
      <c r="IYZ351" s="50"/>
      <c r="IZA351" s="50"/>
      <c r="IZB351" s="50"/>
      <c r="IZC351" s="50"/>
      <c r="IZD351" s="50"/>
      <c r="IZE351" s="50"/>
      <c r="IZF351" s="50"/>
      <c r="IZG351" s="50"/>
      <c r="IZH351" s="50"/>
      <c r="IZI351" s="50"/>
      <c r="IZJ351" s="50"/>
      <c r="IZK351" s="50"/>
      <c r="IZL351" s="50"/>
      <c r="IZM351" s="50"/>
      <c r="IZN351" s="50"/>
      <c r="IZO351" s="50"/>
      <c r="IZP351" s="50"/>
      <c r="IZQ351" s="50"/>
      <c r="IZR351" s="50"/>
      <c r="IZS351" s="50"/>
      <c r="IZT351" s="50"/>
      <c r="IZU351" s="50"/>
      <c r="IZV351" s="50"/>
      <c r="IZW351" s="50"/>
      <c r="IZX351" s="50"/>
      <c r="IZY351" s="50"/>
      <c r="IZZ351" s="50"/>
      <c r="JAA351" s="50"/>
      <c r="JAB351" s="50"/>
      <c r="JAC351" s="50"/>
      <c r="JAD351" s="50"/>
      <c r="JAE351" s="50"/>
      <c r="JAF351" s="50"/>
      <c r="JAG351" s="50"/>
      <c r="JAH351" s="50"/>
      <c r="JAI351" s="50"/>
      <c r="JAJ351" s="50"/>
      <c r="JAK351" s="50"/>
      <c r="JAL351" s="50"/>
      <c r="JAM351" s="50"/>
      <c r="JAN351" s="50"/>
      <c r="JAO351" s="50"/>
      <c r="JAP351" s="50"/>
      <c r="JAQ351" s="50"/>
      <c r="JAR351" s="50"/>
      <c r="JAS351" s="50"/>
      <c r="JAT351" s="50"/>
      <c r="JAU351" s="50"/>
      <c r="JAV351" s="50"/>
      <c r="JAW351" s="50"/>
      <c r="JAX351" s="50"/>
      <c r="JAY351" s="50"/>
      <c r="JAZ351" s="50"/>
      <c r="JBA351" s="50"/>
      <c r="JBB351" s="50"/>
      <c r="JBC351" s="50"/>
      <c r="JBD351" s="50"/>
      <c r="JBE351" s="50"/>
      <c r="JBF351" s="50"/>
      <c r="JBG351" s="50"/>
      <c r="JBH351" s="50"/>
      <c r="JBI351" s="50"/>
      <c r="JBJ351" s="50"/>
      <c r="JBK351" s="50"/>
      <c r="JBL351" s="50"/>
      <c r="JBM351" s="50"/>
      <c r="JBN351" s="50"/>
      <c r="JBO351" s="50"/>
      <c r="JBP351" s="50"/>
      <c r="JBQ351" s="50"/>
      <c r="JBR351" s="50"/>
      <c r="JBS351" s="50"/>
      <c r="JBT351" s="50"/>
      <c r="JBU351" s="50"/>
      <c r="JBV351" s="50"/>
      <c r="JBW351" s="50"/>
      <c r="JBX351" s="50"/>
      <c r="JBY351" s="50"/>
      <c r="JBZ351" s="50"/>
      <c r="JCA351" s="50"/>
      <c r="JCB351" s="50"/>
      <c r="JCC351" s="50"/>
      <c r="JCD351" s="50"/>
      <c r="JCE351" s="50"/>
      <c r="JCF351" s="50"/>
      <c r="JCG351" s="50"/>
      <c r="JCH351" s="50"/>
      <c r="JCI351" s="50"/>
      <c r="JCJ351" s="50"/>
      <c r="JCK351" s="50"/>
      <c r="JCL351" s="50"/>
      <c r="JCM351" s="50"/>
      <c r="JCN351" s="50"/>
      <c r="JCO351" s="50"/>
      <c r="JCP351" s="50"/>
      <c r="JCQ351" s="50"/>
      <c r="JCR351" s="50"/>
      <c r="JCS351" s="50"/>
      <c r="JCT351" s="50"/>
      <c r="JCU351" s="50"/>
      <c r="JCV351" s="50"/>
      <c r="JCW351" s="50"/>
      <c r="JCX351" s="50"/>
      <c r="JCY351" s="50"/>
      <c r="JCZ351" s="50"/>
      <c r="JDA351" s="50"/>
      <c r="JDB351" s="50"/>
      <c r="JDC351" s="50"/>
      <c r="JDD351" s="50"/>
      <c r="JDE351" s="50"/>
      <c r="JDF351" s="50"/>
      <c r="JDG351" s="50"/>
      <c r="JDH351" s="50"/>
      <c r="JDI351" s="50"/>
      <c r="JDJ351" s="50"/>
      <c r="JDK351" s="50"/>
      <c r="JDL351" s="50"/>
      <c r="JDM351" s="50"/>
      <c r="JDN351" s="50"/>
      <c r="JDO351" s="50"/>
      <c r="JDP351" s="50"/>
      <c r="JDQ351" s="50"/>
      <c r="JDR351" s="50"/>
      <c r="JDS351" s="50"/>
      <c r="JDT351" s="50"/>
      <c r="JDU351" s="50"/>
      <c r="JDV351" s="50"/>
      <c r="JDW351" s="50"/>
      <c r="JDX351" s="50"/>
      <c r="JDY351" s="50"/>
      <c r="JDZ351" s="50"/>
      <c r="JEA351" s="50"/>
      <c r="JEB351" s="50"/>
      <c r="JEC351" s="50"/>
      <c r="JED351" s="50"/>
      <c r="JEE351" s="50"/>
      <c r="JEF351" s="50"/>
      <c r="JEG351" s="50"/>
      <c r="JEH351" s="50"/>
      <c r="JEI351" s="50"/>
      <c r="JEJ351" s="50"/>
      <c r="JEK351" s="50"/>
      <c r="JEL351" s="50"/>
      <c r="JEM351" s="50"/>
      <c r="JEN351" s="50"/>
      <c r="JEO351" s="50"/>
      <c r="JEP351" s="50"/>
      <c r="JEQ351" s="50"/>
      <c r="JER351" s="50"/>
      <c r="JES351" s="50"/>
      <c r="JET351" s="50"/>
      <c r="JEU351" s="50"/>
      <c r="JEV351" s="50"/>
      <c r="JEW351" s="50"/>
      <c r="JEX351" s="50"/>
      <c r="JEY351" s="50"/>
      <c r="JEZ351" s="50"/>
      <c r="JFA351" s="50"/>
      <c r="JFB351" s="50"/>
      <c r="JFC351" s="50"/>
      <c r="JFD351" s="50"/>
      <c r="JFE351" s="50"/>
      <c r="JFF351" s="50"/>
      <c r="JFG351" s="50"/>
      <c r="JFH351" s="50"/>
      <c r="JFI351" s="50"/>
      <c r="JFJ351" s="50"/>
      <c r="JFK351" s="50"/>
      <c r="JFL351" s="50"/>
      <c r="JFM351" s="50"/>
      <c r="JFN351" s="50"/>
      <c r="JFO351" s="50"/>
      <c r="JFP351" s="50"/>
      <c r="JFQ351" s="50"/>
      <c r="JFR351" s="50"/>
      <c r="JFS351" s="50"/>
      <c r="JFT351" s="50"/>
      <c r="JFU351" s="50"/>
      <c r="JFV351" s="50"/>
      <c r="JFW351" s="50"/>
      <c r="JFX351" s="50"/>
      <c r="JFY351" s="50"/>
      <c r="JFZ351" s="50"/>
      <c r="JGA351" s="50"/>
      <c r="JGB351" s="50"/>
      <c r="JGC351" s="50"/>
      <c r="JGD351" s="50"/>
      <c r="JGE351" s="50"/>
      <c r="JGF351" s="50"/>
      <c r="JGG351" s="50"/>
      <c r="JGH351" s="50"/>
      <c r="JGI351" s="50"/>
      <c r="JGJ351" s="50"/>
      <c r="JGK351" s="50"/>
      <c r="JGL351" s="50"/>
      <c r="JGM351" s="50"/>
      <c r="JGN351" s="50"/>
      <c r="JGO351" s="50"/>
      <c r="JGP351" s="50"/>
      <c r="JGQ351" s="50"/>
      <c r="JGR351" s="50"/>
      <c r="JGS351" s="50"/>
      <c r="JGT351" s="50"/>
      <c r="JGU351" s="50"/>
      <c r="JGV351" s="50"/>
      <c r="JGW351" s="50"/>
      <c r="JGX351" s="50"/>
      <c r="JGY351" s="50"/>
      <c r="JGZ351" s="50"/>
      <c r="JHA351" s="50"/>
      <c r="JHB351" s="50"/>
      <c r="JHC351" s="50"/>
      <c r="JHD351" s="50"/>
      <c r="JHE351" s="50"/>
      <c r="JHF351" s="50"/>
      <c r="JHG351" s="50"/>
      <c r="JHH351" s="50"/>
      <c r="JHI351" s="50"/>
      <c r="JHJ351" s="50"/>
      <c r="JHK351" s="50"/>
      <c r="JHL351" s="50"/>
      <c r="JHM351" s="50"/>
      <c r="JHN351" s="50"/>
      <c r="JHO351" s="50"/>
      <c r="JHP351" s="50"/>
      <c r="JHQ351" s="50"/>
      <c r="JHR351" s="50"/>
      <c r="JHS351" s="50"/>
      <c r="JHT351" s="50"/>
      <c r="JHU351" s="50"/>
      <c r="JHV351" s="50"/>
      <c r="JHW351" s="50"/>
      <c r="JHX351" s="50"/>
      <c r="JHY351" s="50"/>
      <c r="JHZ351" s="50"/>
      <c r="JIA351" s="50"/>
      <c r="JIB351" s="50"/>
      <c r="JIC351" s="50"/>
      <c r="JID351" s="50"/>
      <c r="JIE351" s="50"/>
      <c r="JIF351" s="50"/>
      <c r="JIG351" s="50"/>
      <c r="JIH351" s="50"/>
      <c r="JII351" s="50"/>
      <c r="JIJ351" s="50"/>
      <c r="JIK351" s="50"/>
      <c r="JIL351" s="50"/>
      <c r="JIM351" s="50"/>
      <c r="JIN351" s="50"/>
      <c r="JIO351" s="50"/>
      <c r="JIP351" s="50"/>
      <c r="JIQ351" s="50"/>
      <c r="JIR351" s="50"/>
      <c r="JIS351" s="50"/>
      <c r="JIT351" s="50"/>
      <c r="JIU351" s="50"/>
      <c r="JIV351" s="50"/>
      <c r="JIW351" s="50"/>
      <c r="JIX351" s="50"/>
      <c r="JIY351" s="50"/>
      <c r="JIZ351" s="50"/>
      <c r="JJA351" s="50"/>
      <c r="JJB351" s="50"/>
      <c r="JJC351" s="50"/>
      <c r="JJD351" s="50"/>
      <c r="JJE351" s="50"/>
      <c r="JJF351" s="50"/>
      <c r="JJG351" s="50"/>
      <c r="JJH351" s="50"/>
      <c r="JJI351" s="50"/>
      <c r="JJJ351" s="50"/>
      <c r="JJK351" s="50"/>
      <c r="JJL351" s="50"/>
      <c r="JJM351" s="50"/>
      <c r="JJN351" s="50"/>
      <c r="JJO351" s="50"/>
      <c r="JJP351" s="50"/>
      <c r="JJQ351" s="50"/>
      <c r="JJR351" s="50"/>
      <c r="JJS351" s="50"/>
      <c r="JJT351" s="50"/>
      <c r="JJU351" s="50"/>
      <c r="JJV351" s="50"/>
      <c r="JJW351" s="50"/>
      <c r="JJX351" s="50"/>
      <c r="JJY351" s="50"/>
      <c r="JJZ351" s="50"/>
      <c r="JKA351" s="50"/>
      <c r="JKB351" s="50"/>
      <c r="JKC351" s="50"/>
      <c r="JKD351" s="50"/>
      <c r="JKE351" s="50"/>
      <c r="JKF351" s="50"/>
      <c r="JKG351" s="50"/>
      <c r="JKH351" s="50"/>
      <c r="JKI351" s="50"/>
      <c r="JKJ351" s="50"/>
      <c r="JKK351" s="50"/>
      <c r="JKL351" s="50"/>
      <c r="JKM351" s="50"/>
      <c r="JKN351" s="50"/>
      <c r="JKO351" s="50"/>
      <c r="JKP351" s="50"/>
      <c r="JKQ351" s="50"/>
      <c r="JKR351" s="50"/>
      <c r="JKS351" s="50"/>
      <c r="JKT351" s="50"/>
      <c r="JKU351" s="50"/>
      <c r="JKV351" s="50"/>
      <c r="JKW351" s="50"/>
      <c r="JKX351" s="50"/>
      <c r="JKY351" s="50"/>
      <c r="JKZ351" s="50"/>
      <c r="JLA351" s="50"/>
      <c r="JLB351" s="50"/>
      <c r="JLC351" s="50"/>
      <c r="JLD351" s="50"/>
      <c r="JLE351" s="50"/>
      <c r="JLF351" s="50"/>
      <c r="JLG351" s="50"/>
      <c r="JLH351" s="50"/>
      <c r="JLI351" s="50"/>
      <c r="JLJ351" s="50"/>
      <c r="JLK351" s="50"/>
      <c r="JLL351" s="50"/>
      <c r="JLM351" s="50"/>
      <c r="JLN351" s="50"/>
      <c r="JLO351" s="50"/>
      <c r="JLP351" s="50"/>
      <c r="JLQ351" s="50"/>
      <c r="JLR351" s="50"/>
      <c r="JLS351" s="50"/>
      <c r="JLT351" s="50"/>
      <c r="JLU351" s="50"/>
      <c r="JLV351" s="50"/>
      <c r="JLW351" s="50"/>
      <c r="JLX351" s="50"/>
      <c r="JLY351" s="50"/>
      <c r="JLZ351" s="50"/>
      <c r="JMA351" s="50"/>
      <c r="JMB351" s="50"/>
      <c r="JMC351" s="50"/>
      <c r="JMD351" s="50"/>
      <c r="JME351" s="50"/>
      <c r="JMF351" s="50"/>
      <c r="JMG351" s="50"/>
      <c r="JMH351" s="50"/>
      <c r="JMI351" s="50"/>
      <c r="JMJ351" s="50"/>
      <c r="JMK351" s="50"/>
      <c r="JML351" s="50"/>
      <c r="JMM351" s="50"/>
      <c r="JMN351" s="50"/>
      <c r="JMO351" s="50"/>
      <c r="JMP351" s="50"/>
      <c r="JMQ351" s="50"/>
      <c r="JMR351" s="50"/>
      <c r="JMS351" s="50"/>
      <c r="JMT351" s="50"/>
      <c r="JMU351" s="50"/>
      <c r="JMV351" s="50"/>
      <c r="JMW351" s="50"/>
      <c r="JMX351" s="50"/>
      <c r="JMY351" s="50"/>
      <c r="JMZ351" s="50"/>
      <c r="JNA351" s="50"/>
      <c r="JNB351" s="50"/>
      <c r="JNC351" s="50"/>
      <c r="JND351" s="50"/>
      <c r="JNE351" s="50"/>
      <c r="JNF351" s="50"/>
      <c r="JNG351" s="50"/>
      <c r="JNH351" s="50"/>
      <c r="JNI351" s="50"/>
      <c r="JNJ351" s="50"/>
      <c r="JNK351" s="50"/>
      <c r="JNL351" s="50"/>
      <c r="JNM351" s="50"/>
      <c r="JNN351" s="50"/>
      <c r="JNO351" s="50"/>
      <c r="JNP351" s="50"/>
      <c r="JNQ351" s="50"/>
      <c r="JNR351" s="50"/>
      <c r="JNS351" s="50"/>
      <c r="JNT351" s="50"/>
      <c r="JNU351" s="50"/>
      <c r="JNV351" s="50"/>
      <c r="JNW351" s="50"/>
      <c r="JNX351" s="50"/>
      <c r="JNY351" s="50"/>
      <c r="JNZ351" s="50"/>
      <c r="JOA351" s="50"/>
      <c r="JOB351" s="50"/>
      <c r="JOC351" s="50"/>
      <c r="JOD351" s="50"/>
      <c r="JOE351" s="50"/>
      <c r="JOF351" s="50"/>
      <c r="JOG351" s="50"/>
      <c r="JOH351" s="50"/>
      <c r="JOI351" s="50"/>
      <c r="JOJ351" s="50"/>
      <c r="JOK351" s="50"/>
      <c r="JOL351" s="50"/>
      <c r="JOM351" s="50"/>
      <c r="JON351" s="50"/>
      <c r="JOO351" s="50"/>
      <c r="JOP351" s="50"/>
      <c r="JOQ351" s="50"/>
      <c r="JOR351" s="50"/>
      <c r="JOS351" s="50"/>
      <c r="JOT351" s="50"/>
      <c r="JOU351" s="50"/>
      <c r="JOV351" s="50"/>
      <c r="JOW351" s="50"/>
      <c r="JOX351" s="50"/>
      <c r="JOY351" s="50"/>
      <c r="JOZ351" s="50"/>
      <c r="JPA351" s="50"/>
      <c r="JPB351" s="50"/>
      <c r="JPC351" s="50"/>
      <c r="JPD351" s="50"/>
      <c r="JPE351" s="50"/>
      <c r="JPF351" s="50"/>
      <c r="JPG351" s="50"/>
      <c r="JPH351" s="50"/>
      <c r="JPI351" s="50"/>
      <c r="JPJ351" s="50"/>
      <c r="JPK351" s="50"/>
      <c r="JPL351" s="50"/>
      <c r="JPM351" s="50"/>
      <c r="JPN351" s="50"/>
      <c r="JPO351" s="50"/>
      <c r="JPP351" s="50"/>
      <c r="JPQ351" s="50"/>
      <c r="JPR351" s="50"/>
      <c r="JPS351" s="50"/>
      <c r="JPT351" s="50"/>
      <c r="JPU351" s="50"/>
      <c r="JPV351" s="50"/>
      <c r="JPW351" s="50"/>
      <c r="JPX351" s="50"/>
      <c r="JPY351" s="50"/>
      <c r="JPZ351" s="50"/>
      <c r="JQA351" s="50"/>
      <c r="JQB351" s="50"/>
      <c r="JQC351" s="50"/>
      <c r="JQD351" s="50"/>
      <c r="JQE351" s="50"/>
      <c r="JQF351" s="50"/>
      <c r="JQG351" s="50"/>
      <c r="JQH351" s="50"/>
      <c r="JQI351" s="50"/>
      <c r="JQJ351" s="50"/>
      <c r="JQK351" s="50"/>
      <c r="JQL351" s="50"/>
      <c r="JQM351" s="50"/>
      <c r="JQN351" s="50"/>
      <c r="JQO351" s="50"/>
      <c r="JQP351" s="50"/>
      <c r="JQQ351" s="50"/>
      <c r="JQR351" s="50"/>
      <c r="JQS351" s="50"/>
      <c r="JQT351" s="50"/>
      <c r="JQU351" s="50"/>
      <c r="JQV351" s="50"/>
      <c r="JQW351" s="50"/>
      <c r="JQX351" s="50"/>
      <c r="JQY351" s="50"/>
      <c r="JQZ351" s="50"/>
      <c r="JRA351" s="50"/>
      <c r="JRB351" s="50"/>
      <c r="JRC351" s="50"/>
      <c r="JRD351" s="50"/>
      <c r="JRE351" s="50"/>
      <c r="JRF351" s="50"/>
      <c r="JRG351" s="50"/>
      <c r="JRH351" s="50"/>
      <c r="JRI351" s="50"/>
      <c r="JRJ351" s="50"/>
      <c r="JRK351" s="50"/>
      <c r="JRL351" s="50"/>
      <c r="JRM351" s="50"/>
      <c r="JRN351" s="50"/>
      <c r="JRO351" s="50"/>
      <c r="JRP351" s="50"/>
      <c r="JRQ351" s="50"/>
      <c r="JRR351" s="50"/>
      <c r="JRS351" s="50"/>
      <c r="JRT351" s="50"/>
      <c r="JRU351" s="50"/>
      <c r="JRV351" s="50"/>
      <c r="JRW351" s="50"/>
      <c r="JRX351" s="50"/>
      <c r="JRY351" s="50"/>
      <c r="JRZ351" s="50"/>
      <c r="JSA351" s="50"/>
      <c r="JSB351" s="50"/>
      <c r="JSC351" s="50"/>
      <c r="JSD351" s="50"/>
      <c r="JSE351" s="50"/>
      <c r="JSF351" s="50"/>
      <c r="JSG351" s="50"/>
      <c r="JSH351" s="50"/>
      <c r="JSI351" s="50"/>
      <c r="JSJ351" s="50"/>
      <c r="JSK351" s="50"/>
      <c r="JSL351" s="50"/>
      <c r="JSM351" s="50"/>
      <c r="JSN351" s="50"/>
      <c r="JSO351" s="50"/>
      <c r="JSP351" s="50"/>
      <c r="JSQ351" s="50"/>
      <c r="JSR351" s="50"/>
      <c r="JSS351" s="50"/>
      <c r="JST351" s="50"/>
      <c r="JSU351" s="50"/>
      <c r="JSV351" s="50"/>
      <c r="JSW351" s="50"/>
      <c r="JSX351" s="50"/>
      <c r="JSY351" s="50"/>
      <c r="JSZ351" s="50"/>
      <c r="JTA351" s="50"/>
      <c r="JTB351" s="50"/>
      <c r="JTC351" s="50"/>
      <c r="JTD351" s="50"/>
      <c r="JTE351" s="50"/>
      <c r="JTF351" s="50"/>
      <c r="JTG351" s="50"/>
      <c r="JTH351" s="50"/>
      <c r="JTI351" s="50"/>
      <c r="JTJ351" s="50"/>
      <c r="JTK351" s="50"/>
      <c r="JTL351" s="50"/>
      <c r="JTM351" s="50"/>
      <c r="JTN351" s="50"/>
      <c r="JTO351" s="50"/>
      <c r="JTP351" s="50"/>
      <c r="JTQ351" s="50"/>
      <c r="JTR351" s="50"/>
      <c r="JTS351" s="50"/>
      <c r="JTT351" s="50"/>
      <c r="JTU351" s="50"/>
      <c r="JTV351" s="50"/>
      <c r="JTW351" s="50"/>
      <c r="JTX351" s="50"/>
      <c r="JTY351" s="50"/>
      <c r="JTZ351" s="50"/>
      <c r="JUA351" s="50"/>
      <c r="JUB351" s="50"/>
      <c r="JUC351" s="50"/>
      <c r="JUD351" s="50"/>
      <c r="JUE351" s="50"/>
      <c r="JUF351" s="50"/>
      <c r="JUG351" s="50"/>
      <c r="JUH351" s="50"/>
      <c r="JUI351" s="50"/>
      <c r="JUJ351" s="50"/>
      <c r="JUK351" s="50"/>
      <c r="JUL351" s="50"/>
      <c r="JUM351" s="50"/>
      <c r="JUN351" s="50"/>
      <c r="JUO351" s="50"/>
      <c r="JUP351" s="50"/>
      <c r="JUQ351" s="50"/>
      <c r="JUR351" s="50"/>
      <c r="JUS351" s="50"/>
      <c r="JUT351" s="50"/>
      <c r="JUU351" s="50"/>
      <c r="JUV351" s="50"/>
      <c r="JUW351" s="50"/>
      <c r="JUX351" s="50"/>
      <c r="JUY351" s="50"/>
      <c r="JUZ351" s="50"/>
      <c r="JVA351" s="50"/>
      <c r="JVB351" s="50"/>
      <c r="JVC351" s="50"/>
      <c r="JVD351" s="50"/>
      <c r="JVE351" s="50"/>
      <c r="JVF351" s="50"/>
      <c r="JVG351" s="50"/>
      <c r="JVH351" s="50"/>
      <c r="JVI351" s="50"/>
      <c r="JVJ351" s="50"/>
      <c r="JVK351" s="50"/>
      <c r="JVL351" s="50"/>
      <c r="JVM351" s="50"/>
      <c r="JVN351" s="50"/>
      <c r="JVO351" s="50"/>
      <c r="JVP351" s="50"/>
      <c r="JVQ351" s="50"/>
      <c r="JVR351" s="50"/>
      <c r="JVS351" s="50"/>
      <c r="JVT351" s="50"/>
      <c r="JVU351" s="50"/>
      <c r="JVV351" s="50"/>
      <c r="JVW351" s="50"/>
      <c r="JVX351" s="50"/>
      <c r="JVY351" s="50"/>
      <c r="JVZ351" s="50"/>
      <c r="JWA351" s="50"/>
      <c r="JWB351" s="50"/>
      <c r="JWC351" s="50"/>
      <c r="JWD351" s="50"/>
      <c r="JWE351" s="50"/>
      <c r="JWF351" s="50"/>
      <c r="JWG351" s="50"/>
      <c r="JWH351" s="50"/>
      <c r="JWI351" s="50"/>
      <c r="JWJ351" s="50"/>
      <c r="JWK351" s="50"/>
      <c r="JWL351" s="50"/>
      <c r="JWM351" s="50"/>
      <c r="JWN351" s="50"/>
      <c r="JWO351" s="50"/>
      <c r="JWP351" s="50"/>
      <c r="JWQ351" s="50"/>
      <c r="JWR351" s="50"/>
      <c r="JWS351" s="50"/>
      <c r="JWT351" s="50"/>
      <c r="JWU351" s="50"/>
      <c r="JWV351" s="50"/>
      <c r="JWW351" s="50"/>
      <c r="JWX351" s="50"/>
      <c r="JWY351" s="50"/>
      <c r="JWZ351" s="50"/>
      <c r="JXA351" s="50"/>
      <c r="JXB351" s="50"/>
      <c r="JXC351" s="50"/>
      <c r="JXD351" s="50"/>
      <c r="JXE351" s="50"/>
      <c r="JXF351" s="50"/>
      <c r="JXG351" s="50"/>
      <c r="JXH351" s="50"/>
      <c r="JXI351" s="50"/>
      <c r="JXJ351" s="50"/>
      <c r="JXK351" s="50"/>
      <c r="JXL351" s="50"/>
      <c r="JXM351" s="50"/>
      <c r="JXN351" s="50"/>
      <c r="JXO351" s="50"/>
      <c r="JXP351" s="50"/>
      <c r="JXQ351" s="50"/>
      <c r="JXR351" s="50"/>
      <c r="JXS351" s="50"/>
      <c r="JXT351" s="50"/>
      <c r="JXU351" s="50"/>
      <c r="JXV351" s="50"/>
      <c r="JXW351" s="50"/>
      <c r="JXX351" s="50"/>
      <c r="JXY351" s="50"/>
      <c r="JXZ351" s="50"/>
      <c r="JYA351" s="50"/>
      <c r="JYB351" s="50"/>
      <c r="JYC351" s="50"/>
      <c r="JYD351" s="50"/>
      <c r="JYE351" s="50"/>
      <c r="JYF351" s="50"/>
      <c r="JYG351" s="50"/>
      <c r="JYH351" s="50"/>
      <c r="JYI351" s="50"/>
      <c r="JYJ351" s="50"/>
      <c r="JYK351" s="50"/>
      <c r="JYL351" s="50"/>
      <c r="JYM351" s="50"/>
      <c r="JYN351" s="50"/>
      <c r="JYO351" s="50"/>
      <c r="JYP351" s="50"/>
      <c r="JYQ351" s="50"/>
      <c r="JYR351" s="50"/>
      <c r="JYS351" s="50"/>
      <c r="JYT351" s="50"/>
      <c r="JYU351" s="50"/>
      <c r="JYV351" s="50"/>
      <c r="JYW351" s="50"/>
      <c r="JYX351" s="50"/>
      <c r="JYY351" s="50"/>
      <c r="JYZ351" s="50"/>
      <c r="JZA351" s="50"/>
      <c r="JZB351" s="50"/>
      <c r="JZC351" s="50"/>
      <c r="JZD351" s="50"/>
      <c r="JZE351" s="50"/>
      <c r="JZF351" s="50"/>
      <c r="JZG351" s="50"/>
      <c r="JZH351" s="50"/>
      <c r="JZI351" s="50"/>
      <c r="JZJ351" s="50"/>
      <c r="JZK351" s="50"/>
      <c r="JZL351" s="50"/>
      <c r="JZM351" s="50"/>
      <c r="JZN351" s="50"/>
      <c r="JZO351" s="50"/>
      <c r="JZP351" s="50"/>
      <c r="JZQ351" s="50"/>
      <c r="JZR351" s="50"/>
      <c r="JZS351" s="50"/>
      <c r="JZT351" s="50"/>
      <c r="JZU351" s="50"/>
      <c r="JZV351" s="50"/>
      <c r="JZW351" s="50"/>
      <c r="JZX351" s="50"/>
      <c r="JZY351" s="50"/>
      <c r="JZZ351" s="50"/>
      <c r="KAA351" s="50"/>
      <c r="KAB351" s="50"/>
      <c r="KAC351" s="50"/>
      <c r="KAD351" s="50"/>
      <c r="KAE351" s="50"/>
      <c r="KAF351" s="50"/>
      <c r="KAG351" s="50"/>
      <c r="KAH351" s="50"/>
      <c r="KAI351" s="50"/>
      <c r="KAJ351" s="50"/>
      <c r="KAK351" s="50"/>
      <c r="KAL351" s="50"/>
      <c r="KAM351" s="50"/>
      <c r="KAN351" s="50"/>
      <c r="KAO351" s="50"/>
      <c r="KAP351" s="50"/>
      <c r="KAQ351" s="50"/>
      <c r="KAR351" s="50"/>
      <c r="KAS351" s="50"/>
      <c r="KAT351" s="50"/>
      <c r="KAU351" s="50"/>
      <c r="KAV351" s="50"/>
      <c r="KAW351" s="50"/>
      <c r="KAX351" s="50"/>
      <c r="KAY351" s="50"/>
      <c r="KAZ351" s="50"/>
      <c r="KBA351" s="50"/>
      <c r="KBB351" s="50"/>
      <c r="KBC351" s="50"/>
      <c r="KBD351" s="50"/>
      <c r="KBE351" s="50"/>
      <c r="KBF351" s="50"/>
      <c r="KBG351" s="50"/>
      <c r="KBH351" s="50"/>
      <c r="KBI351" s="50"/>
      <c r="KBJ351" s="50"/>
      <c r="KBK351" s="50"/>
      <c r="KBL351" s="50"/>
      <c r="KBM351" s="50"/>
      <c r="KBN351" s="50"/>
      <c r="KBO351" s="50"/>
      <c r="KBP351" s="50"/>
      <c r="KBQ351" s="50"/>
      <c r="KBR351" s="50"/>
      <c r="KBS351" s="50"/>
      <c r="KBT351" s="50"/>
      <c r="KBU351" s="50"/>
      <c r="KBV351" s="50"/>
      <c r="KBW351" s="50"/>
      <c r="KBX351" s="50"/>
      <c r="KBY351" s="50"/>
      <c r="KBZ351" s="50"/>
      <c r="KCA351" s="50"/>
      <c r="KCB351" s="50"/>
      <c r="KCC351" s="50"/>
      <c r="KCD351" s="50"/>
      <c r="KCE351" s="50"/>
      <c r="KCF351" s="50"/>
      <c r="KCG351" s="50"/>
      <c r="KCH351" s="50"/>
      <c r="KCI351" s="50"/>
      <c r="KCJ351" s="50"/>
      <c r="KCK351" s="50"/>
      <c r="KCL351" s="50"/>
      <c r="KCM351" s="50"/>
      <c r="KCN351" s="50"/>
      <c r="KCO351" s="50"/>
      <c r="KCP351" s="50"/>
      <c r="KCQ351" s="50"/>
      <c r="KCR351" s="50"/>
      <c r="KCS351" s="50"/>
      <c r="KCT351" s="50"/>
      <c r="KCU351" s="50"/>
      <c r="KCV351" s="50"/>
      <c r="KCW351" s="50"/>
      <c r="KCX351" s="50"/>
      <c r="KCY351" s="50"/>
      <c r="KCZ351" s="50"/>
      <c r="KDA351" s="50"/>
      <c r="KDB351" s="50"/>
      <c r="KDC351" s="50"/>
      <c r="KDD351" s="50"/>
      <c r="KDE351" s="50"/>
      <c r="KDF351" s="50"/>
      <c r="KDG351" s="50"/>
      <c r="KDH351" s="50"/>
      <c r="KDI351" s="50"/>
      <c r="KDJ351" s="50"/>
      <c r="KDK351" s="50"/>
      <c r="KDL351" s="50"/>
      <c r="KDM351" s="50"/>
      <c r="KDN351" s="50"/>
      <c r="KDO351" s="50"/>
      <c r="KDP351" s="50"/>
      <c r="KDQ351" s="50"/>
      <c r="KDR351" s="50"/>
      <c r="KDS351" s="50"/>
      <c r="KDT351" s="50"/>
      <c r="KDU351" s="50"/>
      <c r="KDV351" s="50"/>
      <c r="KDW351" s="50"/>
      <c r="KDX351" s="50"/>
      <c r="KDY351" s="50"/>
      <c r="KDZ351" s="50"/>
      <c r="KEA351" s="50"/>
      <c r="KEB351" s="50"/>
      <c r="KEC351" s="50"/>
      <c r="KED351" s="50"/>
      <c r="KEE351" s="50"/>
      <c r="KEF351" s="50"/>
      <c r="KEG351" s="50"/>
      <c r="KEH351" s="50"/>
      <c r="KEI351" s="50"/>
      <c r="KEJ351" s="50"/>
      <c r="KEK351" s="50"/>
      <c r="KEL351" s="50"/>
      <c r="KEM351" s="50"/>
      <c r="KEN351" s="50"/>
      <c r="KEO351" s="50"/>
      <c r="KEP351" s="50"/>
      <c r="KEQ351" s="50"/>
      <c r="KER351" s="50"/>
      <c r="KES351" s="50"/>
      <c r="KET351" s="50"/>
      <c r="KEU351" s="50"/>
      <c r="KEV351" s="50"/>
      <c r="KEW351" s="50"/>
      <c r="KEX351" s="50"/>
      <c r="KEY351" s="50"/>
      <c r="KEZ351" s="50"/>
      <c r="KFA351" s="50"/>
      <c r="KFB351" s="50"/>
      <c r="KFC351" s="50"/>
      <c r="KFD351" s="50"/>
      <c r="KFE351" s="50"/>
      <c r="KFF351" s="50"/>
      <c r="KFG351" s="50"/>
      <c r="KFH351" s="50"/>
      <c r="KFI351" s="50"/>
      <c r="KFJ351" s="50"/>
      <c r="KFK351" s="50"/>
      <c r="KFL351" s="50"/>
      <c r="KFM351" s="50"/>
      <c r="KFN351" s="50"/>
      <c r="KFO351" s="50"/>
      <c r="KFP351" s="50"/>
      <c r="KFQ351" s="50"/>
      <c r="KFR351" s="50"/>
      <c r="KFS351" s="50"/>
      <c r="KFT351" s="50"/>
      <c r="KFU351" s="50"/>
      <c r="KFV351" s="50"/>
      <c r="KFW351" s="50"/>
      <c r="KFX351" s="50"/>
      <c r="KFY351" s="50"/>
      <c r="KFZ351" s="50"/>
      <c r="KGA351" s="50"/>
      <c r="KGB351" s="50"/>
      <c r="KGC351" s="50"/>
      <c r="KGD351" s="50"/>
      <c r="KGE351" s="50"/>
      <c r="KGF351" s="50"/>
      <c r="KGG351" s="50"/>
      <c r="KGH351" s="50"/>
      <c r="KGI351" s="50"/>
      <c r="KGJ351" s="50"/>
      <c r="KGK351" s="50"/>
      <c r="KGL351" s="50"/>
      <c r="KGM351" s="50"/>
      <c r="KGN351" s="50"/>
      <c r="KGO351" s="50"/>
      <c r="KGP351" s="50"/>
      <c r="KGQ351" s="50"/>
      <c r="KGR351" s="50"/>
      <c r="KGS351" s="50"/>
      <c r="KGT351" s="50"/>
      <c r="KGU351" s="50"/>
      <c r="KGV351" s="50"/>
      <c r="KGW351" s="50"/>
      <c r="KGX351" s="50"/>
      <c r="KGY351" s="50"/>
      <c r="KGZ351" s="50"/>
      <c r="KHA351" s="50"/>
      <c r="KHB351" s="50"/>
      <c r="KHC351" s="50"/>
      <c r="KHD351" s="50"/>
      <c r="KHE351" s="50"/>
      <c r="KHF351" s="50"/>
      <c r="KHG351" s="50"/>
      <c r="KHH351" s="50"/>
      <c r="KHI351" s="50"/>
      <c r="KHJ351" s="50"/>
      <c r="KHK351" s="50"/>
      <c r="KHL351" s="50"/>
      <c r="KHM351" s="50"/>
      <c r="KHN351" s="50"/>
      <c r="KHO351" s="50"/>
      <c r="KHP351" s="50"/>
      <c r="KHQ351" s="50"/>
      <c r="KHR351" s="50"/>
      <c r="KHS351" s="50"/>
      <c r="KHT351" s="50"/>
      <c r="KHU351" s="50"/>
      <c r="KHV351" s="50"/>
      <c r="KHW351" s="50"/>
      <c r="KHX351" s="50"/>
      <c r="KHY351" s="50"/>
      <c r="KHZ351" s="50"/>
      <c r="KIA351" s="50"/>
      <c r="KIB351" s="50"/>
      <c r="KIC351" s="50"/>
      <c r="KID351" s="50"/>
      <c r="KIE351" s="50"/>
      <c r="KIF351" s="50"/>
      <c r="KIG351" s="50"/>
      <c r="KIH351" s="50"/>
      <c r="KII351" s="50"/>
      <c r="KIJ351" s="50"/>
      <c r="KIK351" s="50"/>
      <c r="KIL351" s="50"/>
      <c r="KIM351" s="50"/>
      <c r="KIN351" s="50"/>
      <c r="KIO351" s="50"/>
      <c r="KIP351" s="50"/>
      <c r="KIQ351" s="50"/>
      <c r="KIR351" s="50"/>
      <c r="KIS351" s="50"/>
      <c r="KIT351" s="50"/>
      <c r="KIU351" s="50"/>
      <c r="KIV351" s="50"/>
      <c r="KIW351" s="50"/>
      <c r="KIX351" s="50"/>
      <c r="KIY351" s="50"/>
      <c r="KIZ351" s="50"/>
      <c r="KJA351" s="50"/>
      <c r="KJB351" s="50"/>
      <c r="KJC351" s="50"/>
      <c r="KJD351" s="50"/>
      <c r="KJE351" s="50"/>
      <c r="KJF351" s="50"/>
      <c r="KJG351" s="50"/>
      <c r="KJH351" s="50"/>
      <c r="KJI351" s="50"/>
      <c r="KJJ351" s="50"/>
      <c r="KJK351" s="50"/>
      <c r="KJL351" s="50"/>
      <c r="KJM351" s="50"/>
      <c r="KJN351" s="50"/>
      <c r="KJO351" s="50"/>
      <c r="KJP351" s="50"/>
      <c r="KJQ351" s="50"/>
      <c r="KJR351" s="50"/>
      <c r="KJS351" s="50"/>
      <c r="KJT351" s="50"/>
      <c r="KJU351" s="50"/>
      <c r="KJV351" s="50"/>
      <c r="KJW351" s="50"/>
      <c r="KJX351" s="50"/>
      <c r="KJY351" s="50"/>
      <c r="KJZ351" s="50"/>
      <c r="KKA351" s="50"/>
      <c r="KKB351" s="50"/>
      <c r="KKC351" s="50"/>
      <c r="KKD351" s="50"/>
      <c r="KKE351" s="50"/>
      <c r="KKF351" s="50"/>
      <c r="KKG351" s="50"/>
      <c r="KKH351" s="50"/>
      <c r="KKI351" s="50"/>
      <c r="KKJ351" s="50"/>
      <c r="KKK351" s="50"/>
      <c r="KKL351" s="50"/>
      <c r="KKM351" s="50"/>
      <c r="KKN351" s="50"/>
      <c r="KKO351" s="50"/>
      <c r="KKP351" s="50"/>
      <c r="KKQ351" s="50"/>
      <c r="KKR351" s="50"/>
      <c r="KKS351" s="50"/>
      <c r="KKT351" s="50"/>
      <c r="KKU351" s="50"/>
      <c r="KKV351" s="50"/>
      <c r="KKW351" s="50"/>
      <c r="KKX351" s="50"/>
      <c r="KKY351" s="50"/>
      <c r="KKZ351" s="50"/>
      <c r="KLA351" s="50"/>
      <c r="KLB351" s="50"/>
      <c r="KLC351" s="50"/>
      <c r="KLD351" s="50"/>
      <c r="KLE351" s="50"/>
      <c r="KLF351" s="50"/>
      <c r="KLG351" s="50"/>
      <c r="KLH351" s="50"/>
      <c r="KLI351" s="50"/>
      <c r="KLJ351" s="50"/>
      <c r="KLK351" s="50"/>
      <c r="KLL351" s="50"/>
      <c r="KLM351" s="50"/>
      <c r="KLN351" s="50"/>
      <c r="KLO351" s="50"/>
      <c r="KLP351" s="50"/>
      <c r="KLQ351" s="50"/>
      <c r="KLR351" s="50"/>
      <c r="KLS351" s="50"/>
      <c r="KLT351" s="50"/>
      <c r="KLU351" s="50"/>
      <c r="KLV351" s="50"/>
      <c r="KLW351" s="50"/>
      <c r="KLX351" s="50"/>
      <c r="KLY351" s="50"/>
      <c r="KLZ351" s="50"/>
      <c r="KMA351" s="50"/>
      <c r="KMB351" s="50"/>
      <c r="KMC351" s="50"/>
      <c r="KMD351" s="50"/>
      <c r="KME351" s="50"/>
      <c r="KMF351" s="50"/>
      <c r="KMG351" s="50"/>
      <c r="KMH351" s="50"/>
      <c r="KMI351" s="50"/>
      <c r="KMJ351" s="50"/>
      <c r="KMK351" s="50"/>
      <c r="KML351" s="50"/>
      <c r="KMM351" s="50"/>
      <c r="KMN351" s="50"/>
      <c r="KMO351" s="50"/>
      <c r="KMP351" s="50"/>
      <c r="KMQ351" s="50"/>
      <c r="KMR351" s="50"/>
      <c r="KMS351" s="50"/>
      <c r="KMT351" s="50"/>
      <c r="KMU351" s="50"/>
      <c r="KMV351" s="50"/>
      <c r="KMW351" s="50"/>
      <c r="KMX351" s="50"/>
      <c r="KMY351" s="50"/>
      <c r="KMZ351" s="50"/>
      <c r="KNA351" s="50"/>
      <c r="KNB351" s="50"/>
      <c r="KNC351" s="50"/>
      <c r="KND351" s="50"/>
      <c r="KNE351" s="50"/>
      <c r="KNF351" s="50"/>
      <c r="KNG351" s="50"/>
      <c r="KNH351" s="50"/>
      <c r="KNI351" s="50"/>
      <c r="KNJ351" s="50"/>
      <c r="KNK351" s="50"/>
      <c r="KNL351" s="50"/>
      <c r="KNM351" s="50"/>
      <c r="KNN351" s="50"/>
      <c r="KNO351" s="50"/>
      <c r="KNP351" s="50"/>
      <c r="KNQ351" s="50"/>
      <c r="KNR351" s="50"/>
      <c r="KNS351" s="50"/>
      <c r="KNT351" s="50"/>
      <c r="KNU351" s="50"/>
      <c r="KNV351" s="50"/>
      <c r="KNW351" s="50"/>
      <c r="KNX351" s="50"/>
      <c r="KNY351" s="50"/>
      <c r="KNZ351" s="50"/>
      <c r="KOA351" s="50"/>
      <c r="KOB351" s="50"/>
      <c r="KOC351" s="50"/>
      <c r="KOD351" s="50"/>
      <c r="KOE351" s="50"/>
      <c r="KOF351" s="50"/>
      <c r="KOG351" s="50"/>
      <c r="KOH351" s="50"/>
      <c r="KOI351" s="50"/>
      <c r="KOJ351" s="50"/>
      <c r="KOK351" s="50"/>
      <c r="KOL351" s="50"/>
      <c r="KOM351" s="50"/>
      <c r="KON351" s="50"/>
      <c r="KOO351" s="50"/>
      <c r="KOP351" s="50"/>
      <c r="KOQ351" s="50"/>
      <c r="KOR351" s="50"/>
      <c r="KOS351" s="50"/>
      <c r="KOT351" s="50"/>
      <c r="KOU351" s="50"/>
      <c r="KOV351" s="50"/>
      <c r="KOW351" s="50"/>
      <c r="KOX351" s="50"/>
      <c r="KOY351" s="50"/>
      <c r="KOZ351" s="50"/>
      <c r="KPA351" s="50"/>
      <c r="KPB351" s="50"/>
      <c r="KPC351" s="50"/>
      <c r="KPD351" s="50"/>
      <c r="KPE351" s="50"/>
      <c r="KPF351" s="50"/>
      <c r="KPG351" s="50"/>
      <c r="KPH351" s="50"/>
      <c r="KPI351" s="50"/>
      <c r="KPJ351" s="50"/>
      <c r="KPK351" s="50"/>
      <c r="KPL351" s="50"/>
      <c r="KPM351" s="50"/>
      <c r="KPN351" s="50"/>
      <c r="KPO351" s="50"/>
      <c r="KPP351" s="50"/>
      <c r="KPQ351" s="50"/>
      <c r="KPR351" s="50"/>
      <c r="KPS351" s="50"/>
      <c r="KPT351" s="50"/>
      <c r="KPU351" s="50"/>
      <c r="KPV351" s="50"/>
      <c r="KPW351" s="50"/>
      <c r="KPX351" s="50"/>
      <c r="KPY351" s="50"/>
      <c r="KPZ351" s="50"/>
      <c r="KQA351" s="50"/>
      <c r="KQB351" s="50"/>
      <c r="KQC351" s="50"/>
      <c r="KQD351" s="50"/>
      <c r="KQE351" s="50"/>
      <c r="KQF351" s="50"/>
      <c r="KQG351" s="50"/>
      <c r="KQH351" s="50"/>
      <c r="KQI351" s="50"/>
      <c r="KQJ351" s="50"/>
      <c r="KQK351" s="50"/>
      <c r="KQL351" s="50"/>
      <c r="KQM351" s="50"/>
      <c r="KQN351" s="50"/>
      <c r="KQO351" s="50"/>
      <c r="KQP351" s="50"/>
      <c r="KQQ351" s="50"/>
      <c r="KQR351" s="50"/>
      <c r="KQS351" s="50"/>
      <c r="KQT351" s="50"/>
      <c r="KQU351" s="50"/>
      <c r="KQV351" s="50"/>
      <c r="KQW351" s="50"/>
      <c r="KQX351" s="50"/>
      <c r="KQY351" s="50"/>
      <c r="KQZ351" s="50"/>
      <c r="KRA351" s="50"/>
      <c r="KRB351" s="50"/>
      <c r="KRC351" s="50"/>
      <c r="KRD351" s="50"/>
      <c r="KRE351" s="50"/>
      <c r="KRF351" s="50"/>
      <c r="KRG351" s="50"/>
      <c r="KRH351" s="50"/>
      <c r="KRI351" s="50"/>
      <c r="KRJ351" s="50"/>
      <c r="KRK351" s="50"/>
      <c r="KRL351" s="50"/>
      <c r="KRM351" s="50"/>
      <c r="KRN351" s="50"/>
      <c r="KRO351" s="50"/>
      <c r="KRP351" s="50"/>
      <c r="KRQ351" s="50"/>
      <c r="KRR351" s="50"/>
      <c r="KRS351" s="50"/>
      <c r="KRT351" s="50"/>
      <c r="KRU351" s="50"/>
      <c r="KRV351" s="50"/>
      <c r="KRW351" s="50"/>
      <c r="KRX351" s="50"/>
      <c r="KRY351" s="50"/>
      <c r="KRZ351" s="50"/>
      <c r="KSA351" s="50"/>
      <c r="KSB351" s="50"/>
      <c r="KSC351" s="50"/>
      <c r="KSD351" s="50"/>
      <c r="KSE351" s="50"/>
      <c r="KSF351" s="50"/>
      <c r="KSG351" s="50"/>
      <c r="KSH351" s="50"/>
      <c r="KSI351" s="50"/>
      <c r="KSJ351" s="50"/>
      <c r="KSK351" s="50"/>
      <c r="KSL351" s="50"/>
      <c r="KSM351" s="50"/>
      <c r="KSN351" s="50"/>
      <c r="KSO351" s="50"/>
      <c r="KSP351" s="50"/>
      <c r="KSQ351" s="50"/>
      <c r="KSR351" s="50"/>
      <c r="KSS351" s="50"/>
      <c r="KST351" s="50"/>
      <c r="KSU351" s="50"/>
      <c r="KSV351" s="50"/>
      <c r="KSW351" s="50"/>
      <c r="KSX351" s="50"/>
      <c r="KSY351" s="50"/>
      <c r="KSZ351" s="50"/>
      <c r="KTA351" s="50"/>
      <c r="KTB351" s="50"/>
      <c r="KTC351" s="50"/>
      <c r="KTD351" s="50"/>
      <c r="KTE351" s="50"/>
      <c r="KTF351" s="50"/>
      <c r="KTG351" s="50"/>
      <c r="KTH351" s="50"/>
      <c r="KTI351" s="50"/>
      <c r="KTJ351" s="50"/>
      <c r="KTK351" s="50"/>
      <c r="KTL351" s="50"/>
      <c r="KTM351" s="50"/>
      <c r="KTN351" s="50"/>
      <c r="KTO351" s="50"/>
      <c r="KTP351" s="50"/>
      <c r="KTQ351" s="50"/>
      <c r="KTR351" s="50"/>
      <c r="KTS351" s="50"/>
      <c r="KTT351" s="50"/>
      <c r="KTU351" s="50"/>
      <c r="KTV351" s="50"/>
      <c r="KTW351" s="50"/>
      <c r="KTX351" s="50"/>
      <c r="KTY351" s="50"/>
      <c r="KTZ351" s="50"/>
      <c r="KUA351" s="50"/>
      <c r="KUB351" s="50"/>
      <c r="KUC351" s="50"/>
      <c r="KUD351" s="50"/>
      <c r="KUE351" s="50"/>
      <c r="KUF351" s="50"/>
      <c r="KUG351" s="50"/>
      <c r="KUH351" s="50"/>
      <c r="KUI351" s="50"/>
      <c r="KUJ351" s="50"/>
      <c r="KUK351" s="50"/>
      <c r="KUL351" s="50"/>
      <c r="KUM351" s="50"/>
      <c r="KUN351" s="50"/>
      <c r="KUO351" s="50"/>
      <c r="KUP351" s="50"/>
      <c r="KUQ351" s="50"/>
      <c r="KUR351" s="50"/>
      <c r="KUS351" s="50"/>
      <c r="KUT351" s="50"/>
      <c r="KUU351" s="50"/>
      <c r="KUV351" s="50"/>
      <c r="KUW351" s="50"/>
      <c r="KUX351" s="50"/>
      <c r="KUY351" s="50"/>
      <c r="KUZ351" s="50"/>
      <c r="KVA351" s="50"/>
      <c r="KVB351" s="50"/>
      <c r="KVC351" s="50"/>
      <c r="KVD351" s="50"/>
      <c r="KVE351" s="50"/>
      <c r="KVF351" s="50"/>
      <c r="KVG351" s="50"/>
      <c r="KVH351" s="50"/>
      <c r="KVI351" s="50"/>
      <c r="KVJ351" s="50"/>
      <c r="KVK351" s="50"/>
      <c r="KVL351" s="50"/>
      <c r="KVM351" s="50"/>
      <c r="KVN351" s="50"/>
      <c r="KVO351" s="50"/>
      <c r="KVP351" s="50"/>
      <c r="KVQ351" s="50"/>
      <c r="KVR351" s="50"/>
      <c r="KVS351" s="50"/>
      <c r="KVT351" s="50"/>
      <c r="KVU351" s="50"/>
      <c r="KVV351" s="50"/>
      <c r="KVW351" s="50"/>
      <c r="KVX351" s="50"/>
      <c r="KVY351" s="50"/>
      <c r="KVZ351" s="50"/>
      <c r="KWA351" s="50"/>
      <c r="KWB351" s="50"/>
      <c r="KWC351" s="50"/>
      <c r="KWD351" s="50"/>
      <c r="KWE351" s="50"/>
      <c r="KWF351" s="50"/>
      <c r="KWG351" s="50"/>
      <c r="KWH351" s="50"/>
      <c r="KWI351" s="50"/>
      <c r="KWJ351" s="50"/>
      <c r="KWK351" s="50"/>
      <c r="KWL351" s="50"/>
      <c r="KWM351" s="50"/>
      <c r="KWN351" s="50"/>
      <c r="KWO351" s="50"/>
      <c r="KWP351" s="50"/>
      <c r="KWQ351" s="50"/>
      <c r="KWR351" s="50"/>
      <c r="KWS351" s="50"/>
      <c r="KWT351" s="50"/>
      <c r="KWU351" s="50"/>
      <c r="KWV351" s="50"/>
      <c r="KWW351" s="50"/>
      <c r="KWX351" s="50"/>
      <c r="KWY351" s="50"/>
      <c r="KWZ351" s="50"/>
      <c r="KXA351" s="50"/>
      <c r="KXB351" s="50"/>
      <c r="KXC351" s="50"/>
      <c r="KXD351" s="50"/>
      <c r="KXE351" s="50"/>
      <c r="KXF351" s="50"/>
      <c r="KXG351" s="50"/>
      <c r="KXH351" s="50"/>
      <c r="KXI351" s="50"/>
      <c r="KXJ351" s="50"/>
      <c r="KXK351" s="50"/>
      <c r="KXL351" s="50"/>
      <c r="KXM351" s="50"/>
      <c r="KXN351" s="50"/>
      <c r="KXO351" s="50"/>
      <c r="KXP351" s="50"/>
      <c r="KXQ351" s="50"/>
      <c r="KXR351" s="50"/>
      <c r="KXS351" s="50"/>
      <c r="KXT351" s="50"/>
      <c r="KXU351" s="50"/>
      <c r="KXV351" s="50"/>
      <c r="KXW351" s="50"/>
      <c r="KXX351" s="50"/>
      <c r="KXY351" s="50"/>
      <c r="KXZ351" s="50"/>
      <c r="KYA351" s="50"/>
      <c r="KYB351" s="50"/>
      <c r="KYC351" s="50"/>
      <c r="KYD351" s="50"/>
      <c r="KYE351" s="50"/>
      <c r="KYF351" s="50"/>
      <c r="KYG351" s="50"/>
      <c r="KYH351" s="50"/>
      <c r="KYI351" s="50"/>
      <c r="KYJ351" s="50"/>
      <c r="KYK351" s="50"/>
      <c r="KYL351" s="50"/>
      <c r="KYM351" s="50"/>
      <c r="KYN351" s="50"/>
      <c r="KYO351" s="50"/>
      <c r="KYP351" s="50"/>
      <c r="KYQ351" s="50"/>
      <c r="KYR351" s="50"/>
      <c r="KYS351" s="50"/>
      <c r="KYT351" s="50"/>
      <c r="KYU351" s="50"/>
      <c r="KYV351" s="50"/>
      <c r="KYW351" s="50"/>
      <c r="KYX351" s="50"/>
      <c r="KYY351" s="50"/>
      <c r="KYZ351" s="50"/>
      <c r="KZA351" s="50"/>
      <c r="KZB351" s="50"/>
      <c r="KZC351" s="50"/>
      <c r="KZD351" s="50"/>
      <c r="KZE351" s="50"/>
      <c r="KZF351" s="50"/>
      <c r="KZG351" s="50"/>
      <c r="KZH351" s="50"/>
      <c r="KZI351" s="50"/>
      <c r="KZJ351" s="50"/>
      <c r="KZK351" s="50"/>
      <c r="KZL351" s="50"/>
      <c r="KZM351" s="50"/>
      <c r="KZN351" s="50"/>
      <c r="KZO351" s="50"/>
      <c r="KZP351" s="50"/>
      <c r="KZQ351" s="50"/>
      <c r="KZR351" s="50"/>
      <c r="KZS351" s="50"/>
      <c r="KZT351" s="50"/>
      <c r="KZU351" s="50"/>
      <c r="KZV351" s="50"/>
      <c r="KZW351" s="50"/>
      <c r="KZX351" s="50"/>
      <c r="KZY351" s="50"/>
      <c r="KZZ351" s="50"/>
      <c r="LAA351" s="50"/>
      <c r="LAB351" s="50"/>
      <c r="LAC351" s="50"/>
      <c r="LAD351" s="50"/>
      <c r="LAE351" s="50"/>
      <c r="LAF351" s="50"/>
      <c r="LAG351" s="50"/>
      <c r="LAH351" s="50"/>
      <c r="LAI351" s="50"/>
      <c r="LAJ351" s="50"/>
      <c r="LAK351" s="50"/>
      <c r="LAL351" s="50"/>
      <c r="LAM351" s="50"/>
      <c r="LAN351" s="50"/>
      <c r="LAO351" s="50"/>
      <c r="LAP351" s="50"/>
      <c r="LAQ351" s="50"/>
      <c r="LAR351" s="50"/>
      <c r="LAS351" s="50"/>
      <c r="LAT351" s="50"/>
      <c r="LAU351" s="50"/>
      <c r="LAV351" s="50"/>
      <c r="LAW351" s="50"/>
      <c r="LAX351" s="50"/>
      <c r="LAY351" s="50"/>
      <c r="LAZ351" s="50"/>
      <c r="LBA351" s="50"/>
      <c r="LBB351" s="50"/>
      <c r="LBC351" s="50"/>
      <c r="LBD351" s="50"/>
      <c r="LBE351" s="50"/>
      <c r="LBF351" s="50"/>
      <c r="LBG351" s="50"/>
      <c r="LBH351" s="50"/>
      <c r="LBI351" s="50"/>
      <c r="LBJ351" s="50"/>
      <c r="LBK351" s="50"/>
      <c r="LBL351" s="50"/>
      <c r="LBM351" s="50"/>
      <c r="LBN351" s="50"/>
      <c r="LBO351" s="50"/>
      <c r="LBP351" s="50"/>
      <c r="LBQ351" s="50"/>
      <c r="LBR351" s="50"/>
      <c r="LBS351" s="50"/>
      <c r="LBT351" s="50"/>
      <c r="LBU351" s="50"/>
      <c r="LBV351" s="50"/>
      <c r="LBW351" s="50"/>
      <c r="LBX351" s="50"/>
      <c r="LBY351" s="50"/>
      <c r="LBZ351" s="50"/>
      <c r="LCA351" s="50"/>
      <c r="LCB351" s="50"/>
      <c r="LCC351" s="50"/>
      <c r="LCD351" s="50"/>
      <c r="LCE351" s="50"/>
      <c r="LCF351" s="50"/>
      <c r="LCG351" s="50"/>
      <c r="LCH351" s="50"/>
      <c r="LCI351" s="50"/>
      <c r="LCJ351" s="50"/>
      <c r="LCK351" s="50"/>
      <c r="LCL351" s="50"/>
      <c r="LCM351" s="50"/>
      <c r="LCN351" s="50"/>
      <c r="LCO351" s="50"/>
      <c r="LCP351" s="50"/>
      <c r="LCQ351" s="50"/>
      <c r="LCR351" s="50"/>
      <c r="LCS351" s="50"/>
      <c r="LCT351" s="50"/>
      <c r="LCU351" s="50"/>
      <c r="LCV351" s="50"/>
      <c r="LCW351" s="50"/>
      <c r="LCX351" s="50"/>
      <c r="LCY351" s="50"/>
      <c r="LCZ351" s="50"/>
      <c r="LDA351" s="50"/>
      <c r="LDB351" s="50"/>
      <c r="LDC351" s="50"/>
      <c r="LDD351" s="50"/>
      <c r="LDE351" s="50"/>
      <c r="LDF351" s="50"/>
      <c r="LDG351" s="50"/>
      <c r="LDH351" s="50"/>
      <c r="LDI351" s="50"/>
      <c r="LDJ351" s="50"/>
      <c r="LDK351" s="50"/>
      <c r="LDL351" s="50"/>
      <c r="LDM351" s="50"/>
      <c r="LDN351" s="50"/>
      <c r="LDO351" s="50"/>
      <c r="LDP351" s="50"/>
      <c r="LDQ351" s="50"/>
      <c r="LDR351" s="50"/>
      <c r="LDS351" s="50"/>
      <c r="LDT351" s="50"/>
      <c r="LDU351" s="50"/>
      <c r="LDV351" s="50"/>
      <c r="LDW351" s="50"/>
      <c r="LDX351" s="50"/>
      <c r="LDY351" s="50"/>
      <c r="LDZ351" s="50"/>
      <c r="LEA351" s="50"/>
      <c r="LEB351" s="50"/>
      <c r="LEC351" s="50"/>
      <c r="LED351" s="50"/>
      <c r="LEE351" s="50"/>
      <c r="LEF351" s="50"/>
      <c r="LEG351" s="50"/>
      <c r="LEH351" s="50"/>
      <c r="LEI351" s="50"/>
      <c r="LEJ351" s="50"/>
      <c r="LEK351" s="50"/>
      <c r="LEL351" s="50"/>
      <c r="LEM351" s="50"/>
      <c r="LEN351" s="50"/>
      <c r="LEO351" s="50"/>
      <c r="LEP351" s="50"/>
      <c r="LEQ351" s="50"/>
      <c r="LER351" s="50"/>
      <c r="LES351" s="50"/>
      <c r="LET351" s="50"/>
      <c r="LEU351" s="50"/>
      <c r="LEV351" s="50"/>
      <c r="LEW351" s="50"/>
      <c r="LEX351" s="50"/>
      <c r="LEY351" s="50"/>
      <c r="LEZ351" s="50"/>
      <c r="LFA351" s="50"/>
      <c r="LFB351" s="50"/>
      <c r="LFC351" s="50"/>
      <c r="LFD351" s="50"/>
      <c r="LFE351" s="50"/>
      <c r="LFF351" s="50"/>
      <c r="LFG351" s="50"/>
      <c r="LFH351" s="50"/>
      <c r="LFI351" s="50"/>
      <c r="LFJ351" s="50"/>
      <c r="LFK351" s="50"/>
      <c r="LFL351" s="50"/>
      <c r="LFM351" s="50"/>
      <c r="LFN351" s="50"/>
      <c r="LFO351" s="50"/>
      <c r="LFP351" s="50"/>
      <c r="LFQ351" s="50"/>
      <c r="LFR351" s="50"/>
      <c r="LFS351" s="50"/>
      <c r="LFT351" s="50"/>
      <c r="LFU351" s="50"/>
      <c r="LFV351" s="50"/>
      <c r="LFW351" s="50"/>
      <c r="LFX351" s="50"/>
      <c r="LFY351" s="50"/>
      <c r="LFZ351" s="50"/>
      <c r="LGA351" s="50"/>
      <c r="LGB351" s="50"/>
      <c r="LGC351" s="50"/>
      <c r="LGD351" s="50"/>
      <c r="LGE351" s="50"/>
      <c r="LGF351" s="50"/>
      <c r="LGG351" s="50"/>
      <c r="LGH351" s="50"/>
      <c r="LGI351" s="50"/>
      <c r="LGJ351" s="50"/>
      <c r="LGK351" s="50"/>
      <c r="LGL351" s="50"/>
      <c r="LGM351" s="50"/>
      <c r="LGN351" s="50"/>
      <c r="LGO351" s="50"/>
      <c r="LGP351" s="50"/>
      <c r="LGQ351" s="50"/>
      <c r="LGR351" s="50"/>
      <c r="LGS351" s="50"/>
      <c r="LGT351" s="50"/>
      <c r="LGU351" s="50"/>
      <c r="LGV351" s="50"/>
      <c r="LGW351" s="50"/>
      <c r="LGX351" s="50"/>
      <c r="LGY351" s="50"/>
      <c r="LGZ351" s="50"/>
      <c r="LHA351" s="50"/>
      <c r="LHB351" s="50"/>
      <c r="LHC351" s="50"/>
      <c r="LHD351" s="50"/>
      <c r="LHE351" s="50"/>
      <c r="LHF351" s="50"/>
      <c r="LHG351" s="50"/>
      <c r="LHH351" s="50"/>
      <c r="LHI351" s="50"/>
      <c r="LHJ351" s="50"/>
      <c r="LHK351" s="50"/>
      <c r="LHL351" s="50"/>
      <c r="LHM351" s="50"/>
      <c r="LHN351" s="50"/>
      <c r="LHO351" s="50"/>
      <c r="LHP351" s="50"/>
      <c r="LHQ351" s="50"/>
      <c r="LHR351" s="50"/>
      <c r="LHS351" s="50"/>
      <c r="LHT351" s="50"/>
      <c r="LHU351" s="50"/>
      <c r="LHV351" s="50"/>
      <c r="LHW351" s="50"/>
      <c r="LHX351" s="50"/>
      <c r="LHY351" s="50"/>
      <c r="LHZ351" s="50"/>
      <c r="LIA351" s="50"/>
      <c r="LIB351" s="50"/>
      <c r="LIC351" s="50"/>
      <c r="LID351" s="50"/>
      <c r="LIE351" s="50"/>
      <c r="LIF351" s="50"/>
      <c r="LIG351" s="50"/>
      <c r="LIH351" s="50"/>
      <c r="LII351" s="50"/>
      <c r="LIJ351" s="50"/>
      <c r="LIK351" s="50"/>
      <c r="LIL351" s="50"/>
      <c r="LIM351" s="50"/>
      <c r="LIN351" s="50"/>
      <c r="LIO351" s="50"/>
      <c r="LIP351" s="50"/>
      <c r="LIQ351" s="50"/>
      <c r="LIR351" s="50"/>
      <c r="LIS351" s="50"/>
      <c r="LIT351" s="50"/>
      <c r="LIU351" s="50"/>
      <c r="LIV351" s="50"/>
      <c r="LIW351" s="50"/>
      <c r="LIX351" s="50"/>
      <c r="LIY351" s="50"/>
      <c r="LIZ351" s="50"/>
      <c r="LJA351" s="50"/>
      <c r="LJB351" s="50"/>
      <c r="LJC351" s="50"/>
      <c r="LJD351" s="50"/>
      <c r="LJE351" s="50"/>
      <c r="LJF351" s="50"/>
      <c r="LJG351" s="50"/>
      <c r="LJH351" s="50"/>
      <c r="LJI351" s="50"/>
      <c r="LJJ351" s="50"/>
      <c r="LJK351" s="50"/>
      <c r="LJL351" s="50"/>
      <c r="LJM351" s="50"/>
      <c r="LJN351" s="50"/>
      <c r="LJO351" s="50"/>
      <c r="LJP351" s="50"/>
      <c r="LJQ351" s="50"/>
      <c r="LJR351" s="50"/>
      <c r="LJS351" s="50"/>
      <c r="LJT351" s="50"/>
      <c r="LJU351" s="50"/>
      <c r="LJV351" s="50"/>
      <c r="LJW351" s="50"/>
      <c r="LJX351" s="50"/>
      <c r="LJY351" s="50"/>
      <c r="LJZ351" s="50"/>
      <c r="LKA351" s="50"/>
      <c r="LKB351" s="50"/>
      <c r="LKC351" s="50"/>
      <c r="LKD351" s="50"/>
      <c r="LKE351" s="50"/>
      <c r="LKF351" s="50"/>
      <c r="LKG351" s="50"/>
      <c r="LKH351" s="50"/>
      <c r="LKI351" s="50"/>
      <c r="LKJ351" s="50"/>
      <c r="LKK351" s="50"/>
      <c r="LKL351" s="50"/>
      <c r="LKM351" s="50"/>
      <c r="LKN351" s="50"/>
      <c r="LKO351" s="50"/>
      <c r="LKP351" s="50"/>
      <c r="LKQ351" s="50"/>
      <c r="LKR351" s="50"/>
      <c r="LKS351" s="50"/>
      <c r="LKT351" s="50"/>
      <c r="LKU351" s="50"/>
      <c r="LKV351" s="50"/>
      <c r="LKW351" s="50"/>
      <c r="LKX351" s="50"/>
      <c r="LKY351" s="50"/>
      <c r="LKZ351" s="50"/>
      <c r="LLA351" s="50"/>
      <c r="LLB351" s="50"/>
      <c r="LLC351" s="50"/>
      <c r="LLD351" s="50"/>
      <c r="LLE351" s="50"/>
      <c r="LLF351" s="50"/>
      <c r="LLG351" s="50"/>
      <c r="LLH351" s="50"/>
      <c r="LLI351" s="50"/>
      <c r="LLJ351" s="50"/>
      <c r="LLK351" s="50"/>
      <c r="LLL351" s="50"/>
      <c r="LLM351" s="50"/>
      <c r="LLN351" s="50"/>
      <c r="LLO351" s="50"/>
      <c r="LLP351" s="50"/>
      <c r="LLQ351" s="50"/>
      <c r="LLR351" s="50"/>
      <c r="LLS351" s="50"/>
      <c r="LLT351" s="50"/>
      <c r="LLU351" s="50"/>
      <c r="LLV351" s="50"/>
      <c r="LLW351" s="50"/>
      <c r="LLX351" s="50"/>
      <c r="LLY351" s="50"/>
      <c r="LLZ351" s="50"/>
      <c r="LMA351" s="50"/>
      <c r="LMB351" s="50"/>
      <c r="LMC351" s="50"/>
      <c r="LMD351" s="50"/>
      <c r="LME351" s="50"/>
      <c r="LMF351" s="50"/>
      <c r="LMG351" s="50"/>
      <c r="LMH351" s="50"/>
      <c r="LMI351" s="50"/>
      <c r="LMJ351" s="50"/>
      <c r="LMK351" s="50"/>
      <c r="LML351" s="50"/>
      <c r="LMM351" s="50"/>
      <c r="LMN351" s="50"/>
      <c r="LMO351" s="50"/>
      <c r="LMP351" s="50"/>
      <c r="LMQ351" s="50"/>
      <c r="LMR351" s="50"/>
      <c r="LMS351" s="50"/>
      <c r="LMT351" s="50"/>
      <c r="LMU351" s="50"/>
      <c r="LMV351" s="50"/>
      <c r="LMW351" s="50"/>
      <c r="LMX351" s="50"/>
      <c r="LMY351" s="50"/>
      <c r="LMZ351" s="50"/>
      <c r="LNA351" s="50"/>
      <c r="LNB351" s="50"/>
      <c r="LNC351" s="50"/>
      <c r="LND351" s="50"/>
      <c r="LNE351" s="50"/>
      <c r="LNF351" s="50"/>
      <c r="LNG351" s="50"/>
      <c r="LNH351" s="50"/>
      <c r="LNI351" s="50"/>
      <c r="LNJ351" s="50"/>
      <c r="LNK351" s="50"/>
      <c r="LNL351" s="50"/>
      <c r="LNM351" s="50"/>
      <c r="LNN351" s="50"/>
      <c r="LNO351" s="50"/>
      <c r="LNP351" s="50"/>
      <c r="LNQ351" s="50"/>
      <c r="LNR351" s="50"/>
      <c r="LNS351" s="50"/>
      <c r="LNT351" s="50"/>
      <c r="LNU351" s="50"/>
      <c r="LNV351" s="50"/>
      <c r="LNW351" s="50"/>
      <c r="LNX351" s="50"/>
      <c r="LNY351" s="50"/>
      <c r="LNZ351" s="50"/>
      <c r="LOA351" s="50"/>
      <c r="LOB351" s="50"/>
      <c r="LOC351" s="50"/>
      <c r="LOD351" s="50"/>
      <c r="LOE351" s="50"/>
      <c r="LOF351" s="50"/>
      <c r="LOG351" s="50"/>
      <c r="LOH351" s="50"/>
      <c r="LOI351" s="50"/>
      <c r="LOJ351" s="50"/>
      <c r="LOK351" s="50"/>
      <c r="LOL351" s="50"/>
      <c r="LOM351" s="50"/>
      <c r="LON351" s="50"/>
      <c r="LOO351" s="50"/>
      <c r="LOP351" s="50"/>
      <c r="LOQ351" s="50"/>
      <c r="LOR351" s="50"/>
      <c r="LOS351" s="50"/>
      <c r="LOT351" s="50"/>
      <c r="LOU351" s="50"/>
      <c r="LOV351" s="50"/>
      <c r="LOW351" s="50"/>
      <c r="LOX351" s="50"/>
      <c r="LOY351" s="50"/>
      <c r="LOZ351" s="50"/>
      <c r="LPA351" s="50"/>
      <c r="LPB351" s="50"/>
      <c r="LPC351" s="50"/>
      <c r="LPD351" s="50"/>
      <c r="LPE351" s="50"/>
      <c r="LPF351" s="50"/>
      <c r="LPG351" s="50"/>
      <c r="LPH351" s="50"/>
      <c r="LPI351" s="50"/>
      <c r="LPJ351" s="50"/>
      <c r="LPK351" s="50"/>
      <c r="LPL351" s="50"/>
      <c r="LPM351" s="50"/>
      <c r="LPN351" s="50"/>
      <c r="LPO351" s="50"/>
      <c r="LPP351" s="50"/>
      <c r="LPQ351" s="50"/>
      <c r="LPR351" s="50"/>
      <c r="LPS351" s="50"/>
      <c r="LPT351" s="50"/>
      <c r="LPU351" s="50"/>
      <c r="LPV351" s="50"/>
      <c r="LPW351" s="50"/>
      <c r="LPX351" s="50"/>
      <c r="LPY351" s="50"/>
      <c r="LPZ351" s="50"/>
      <c r="LQA351" s="50"/>
      <c r="LQB351" s="50"/>
      <c r="LQC351" s="50"/>
      <c r="LQD351" s="50"/>
      <c r="LQE351" s="50"/>
      <c r="LQF351" s="50"/>
      <c r="LQG351" s="50"/>
      <c r="LQH351" s="50"/>
      <c r="LQI351" s="50"/>
      <c r="LQJ351" s="50"/>
      <c r="LQK351" s="50"/>
      <c r="LQL351" s="50"/>
      <c r="LQM351" s="50"/>
      <c r="LQN351" s="50"/>
      <c r="LQO351" s="50"/>
      <c r="LQP351" s="50"/>
      <c r="LQQ351" s="50"/>
      <c r="LQR351" s="50"/>
      <c r="LQS351" s="50"/>
      <c r="LQT351" s="50"/>
      <c r="LQU351" s="50"/>
      <c r="LQV351" s="50"/>
      <c r="LQW351" s="50"/>
      <c r="LQX351" s="50"/>
      <c r="LQY351" s="50"/>
      <c r="LQZ351" s="50"/>
      <c r="LRA351" s="50"/>
      <c r="LRB351" s="50"/>
      <c r="LRC351" s="50"/>
      <c r="LRD351" s="50"/>
      <c r="LRE351" s="50"/>
      <c r="LRF351" s="50"/>
      <c r="LRG351" s="50"/>
      <c r="LRH351" s="50"/>
      <c r="LRI351" s="50"/>
      <c r="LRJ351" s="50"/>
      <c r="LRK351" s="50"/>
      <c r="LRL351" s="50"/>
      <c r="LRM351" s="50"/>
      <c r="LRN351" s="50"/>
      <c r="LRO351" s="50"/>
      <c r="LRP351" s="50"/>
      <c r="LRQ351" s="50"/>
      <c r="LRR351" s="50"/>
      <c r="LRS351" s="50"/>
      <c r="LRT351" s="50"/>
      <c r="LRU351" s="50"/>
      <c r="LRV351" s="50"/>
      <c r="LRW351" s="50"/>
      <c r="LRX351" s="50"/>
      <c r="LRY351" s="50"/>
      <c r="LRZ351" s="50"/>
      <c r="LSA351" s="50"/>
      <c r="LSB351" s="50"/>
      <c r="LSC351" s="50"/>
      <c r="LSD351" s="50"/>
      <c r="LSE351" s="50"/>
      <c r="LSF351" s="50"/>
      <c r="LSG351" s="50"/>
      <c r="LSH351" s="50"/>
      <c r="LSI351" s="50"/>
      <c r="LSJ351" s="50"/>
      <c r="LSK351" s="50"/>
      <c r="LSL351" s="50"/>
      <c r="LSM351" s="50"/>
      <c r="LSN351" s="50"/>
      <c r="LSO351" s="50"/>
      <c r="LSP351" s="50"/>
      <c r="LSQ351" s="50"/>
      <c r="LSR351" s="50"/>
      <c r="LSS351" s="50"/>
      <c r="LST351" s="50"/>
      <c r="LSU351" s="50"/>
      <c r="LSV351" s="50"/>
      <c r="LSW351" s="50"/>
      <c r="LSX351" s="50"/>
      <c r="LSY351" s="50"/>
      <c r="LSZ351" s="50"/>
      <c r="LTA351" s="50"/>
      <c r="LTB351" s="50"/>
      <c r="LTC351" s="50"/>
      <c r="LTD351" s="50"/>
      <c r="LTE351" s="50"/>
      <c r="LTF351" s="50"/>
      <c r="LTG351" s="50"/>
      <c r="LTH351" s="50"/>
      <c r="LTI351" s="50"/>
      <c r="LTJ351" s="50"/>
      <c r="LTK351" s="50"/>
      <c r="LTL351" s="50"/>
      <c r="LTM351" s="50"/>
      <c r="LTN351" s="50"/>
      <c r="LTO351" s="50"/>
      <c r="LTP351" s="50"/>
      <c r="LTQ351" s="50"/>
      <c r="LTR351" s="50"/>
      <c r="LTS351" s="50"/>
      <c r="LTT351" s="50"/>
      <c r="LTU351" s="50"/>
      <c r="LTV351" s="50"/>
      <c r="LTW351" s="50"/>
      <c r="LTX351" s="50"/>
      <c r="LTY351" s="50"/>
      <c r="LTZ351" s="50"/>
      <c r="LUA351" s="50"/>
      <c r="LUB351" s="50"/>
      <c r="LUC351" s="50"/>
      <c r="LUD351" s="50"/>
      <c r="LUE351" s="50"/>
      <c r="LUF351" s="50"/>
      <c r="LUG351" s="50"/>
      <c r="LUH351" s="50"/>
      <c r="LUI351" s="50"/>
      <c r="LUJ351" s="50"/>
      <c r="LUK351" s="50"/>
      <c r="LUL351" s="50"/>
      <c r="LUM351" s="50"/>
      <c r="LUN351" s="50"/>
      <c r="LUO351" s="50"/>
      <c r="LUP351" s="50"/>
      <c r="LUQ351" s="50"/>
      <c r="LUR351" s="50"/>
      <c r="LUS351" s="50"/>
      <c r="LUT351" s="50"/>
      <c r="LUU351" s="50"/>
      <c r="LUV351" s="50"/>
      <c r="LUW351" s="50"/>
      <c r="LUX351" s="50"/>
      <c r="LUY351" s="50"/>
      <c r="LUZ351" s="50"/>
      <c r="LVA351" s="50"/>
      <c r="LVB351" s="50"/>
      <c r="LVC351" s="50"/>
      <c r="LVD351" s="50"/>
      <c r="LVE351" s="50"/>
      <c r="LVF351" s="50"/>
      <c r="LVG351" s="50"/>
      <c r="LVH351" s="50"/>
      <c r="LVI351" s="50"/>
      <c r="LVJ351" s="50"/>
      <c r="LVK351" s="50"/>
      <c r="LVL351" s="50"/>
      <c r="LVM351" s="50"/>
      <c r="LVN351" s="50"/>
      <c r="LVO351" s="50"/>
      <c r="LVP351" s="50"/>
      <c r="LVQ351" s="50"/>
      <c r="LVR351" s="50"/>
      <c r="LVS351" s="50"/>
      <c r="LVT351" s="50"/>
      <c r="LVU351" s="50"/>
      <c r="LVV351" s="50"/>
      <c r="LVW351" s="50"/>
      <c r="LVX351" s="50"/>
      <c r="LVY351" s="50"/>
      <c r="LVZ351" s="50"/>
      <c r="LWA351" s="50"/>
      <c r="LWB351" s="50"/>
      <c r="LWC351" s="50"/>
      <c r="LWD351" s="50"/>
      <c r="LWE351" s="50"/>
      <c r="LWF351" s="50"/>
      <c r="LWG351" s="50"/>
      <c r="LWH351" s="50"/>
      <c r="LWI351" s="50"/>
      <c r="LWJ351" s="50"/>
      <c r="LWK351" s="50"/>
      <c r="LWL351" s="50"/>
      <c r="LWM351" s="50"/>
      <c r="LWN351" s="50"/>
      <c r="LWO351" s="50"/>
      <c r="LWP351" s="50"/>
      <c r="LWQ351" s="50"/>
      <c r="LWR351" s="50"/>
      <c r="LWS351" s="50"/>
      <c r="LWT351" s="50"/>
      <c r="LWU351" s="50"/>
      <c r="LWV351" s="50"/>
      <c r="LWW351" s="50"/>
      <c r="LWX351" s="50"/>
      <c r="LWY351" s="50"/>
      <c r="LWZ351" s="50"/>
      <c r="LXA351" s="50"/>
      <c r="LXB351" s="50"/>
      <c r="LXC351" s="50"/>
      <c r="LXD351" s="50"/>
      <c r="LXE351" s="50"/>
      <c r="LXF351" s="50"/>
      <c r="LXG351" s="50"/>
      <c r="LXH351" s="50"/>
      <c r="LXI351" s="50"/>
      <c r="LXJ351" s="50"/>
      <c r="LXK351" s="50"/>
      <c r="LXL351" s="50"/>
      <c r="LXM351" s="50"/>
      <c r="LXN351" s="50"/>
      <c r="LXO351" s="50"/>
      <c r="LXP351" s="50"/>
      <c r="LXQ351" s="50"/>
      <c r="LXR351" s="50"/>
      <c r="LXS351" s="50"/>
      <c r="LXT351" s="50"/>
      <c r="LXU351" s="50"/>
      <c r="LXV351" s="50"/>
      <c r="LXW351" s="50"/>
      <c r="LXX351" s="50"/>
      <c r="LXY351" s="50"/>
      <c r="LXZ351" s="50"/>
      <c r="LYA351" s="50"/>
      <c r="LYB351" s="50"/>
      <c r="LYC351" s="50"/>
      <c r="LYD351" s="50"/>
      <c r="LYE351" s="50"/>
      <c r="LYF351" s="50"/>
      <c r="LYG351" s="50"/>
      <c r="LYH351" s="50"/>
      <c r="LYI351" s="50"/>
      <c r="LYJ351" s="50"/>
      <c r="LYK351" s="50"/>
      <c r="LYL351" s="50"/>
      <c r="LYM351" s="50"/>
      <c r="LYN351" s="50"/>
      <c r="LYO351" s="50"/>
      <c r="LYP351" s="50"/>
      <c r="LYQ351" s="50"/>
      <c r="LYR351" s="50"/>
      <c r="LYS351" s="50"/>
      <c r="LYT351" s="50"/>
      <c r="LYU351" s="50"/>
      <c r="LYV351" s="50"/>
      <c r="LYW351" s="50"/>
      <c r="LYX351" s="50"/>
      <c r="LYY351" s="50"/>
      <c r="LYZ351" s="50"/>
      <c r="LZA351" s="50"/>
      <c r="LZB351" s="50"/>
      <c r="LZC351" s="50"/>
      <c r="LZD351" s="50"/>
      <c r="LZE351" s="50"/>
      <c r="LZF351" s="50"/>
      <c r="LZG351" s="50"/>
      <c r="LZH351" s="50"/>
      <c r="LZI351" s="50"/>
      <c r="LZJ351" s="50"/>
      <c r="LZK351" s="50"/>
      <c r="LZL351" s="50"/>
      <c r="LZM351" s="50"/>
      <c r="LZN351" s="50"/>
      <c r="LZO351" s="50"/>
      <c r="LZP351" s="50"/>
      <c r="LZQ351" s="50"/>
      <c r="LZR351" s="50"/>
      <c r="LZS351" s="50"/>
      <c r="LZT351" s="50"/>
      <c r="LZU351" s="50"/>
      <c r="LZV351" s="50"/>
      <c r="LZW351" s="50"/>
      <c r="LZX351" s="50"/>
      <c r="LZY351" s="50"/>
      <c r="LZZ351" s="50"/>
      <c r="MAA351" s="50"/>
      <c r="MAB351" s="50"/>
      <c r="MAC351" s="50"/>
      <c r="MAD351" s="50"/>
      <c r="MAE351" s="50"/>
      <c r="MAF351" s="50"/>
      <c r="MAG351" s="50"/>
      <c r="MAH351" s="50"/>
      <c r="MAI351" s="50"/>
      <c r="MAJ351" s="50"/>
      <c r="MAK351" s="50"/>
      <c r="MAL351" s="50"/>
      <c r="MAM351" s="50"/>
      <c r="MAN351" s="50"/>
      <c r="MAO351" s="50"/>
      <c r="MAP351" s="50"/>
      <c r="MAQ351" s="50"/>
      <c r="MAR351" s="50"/>
      <c r="MAS351" s="50"/>
      <c r="MAT351" s="50"/>
      <c r="MAU351" s="50"/>
      <c r="MAV351" s="50"/>
      <c r="MAW351" s="50"/>
      <c r="MAX351" s="50"/>
      <c r="MAY351" s="50"/>
      <c r="MAZ351" s="50"/>
      <c r="MBA351" s="50"/>
      <c r="MBB351" s="50"/>
      <c r="MBC351" s="50"/>
      <c r="MBD351" s="50"/>
      <c r="MBE351" s="50"/>
      <c r="MBF351" s="50"/>
      <c r="MBG351" s="50"/>
      <c r="MBH351" s="50"/>
      <c r="MBI351" s="50"/>
      <c r="MBJ351" s="50"/>
      <c r="MBK351" s="50"/>
      <c r="MBL351" s="50"/>
      <c r="MBM351" s="50"/>
      <c r="MBN351" s="50"/>
      <c r="MBO351" s="50"/>
      <c r="MBP351" s="50"/>
      <c r="MBQ351" s="50"/>
      <c r="MBR351" s="50"/>
      <c r="MBS351" s="50"/>
      <c r="MBT351" s="50"/>
      <c r="MBU351" s="50"/>
      <c r="MBV351" s="50"/>
      <c r="MBW351" s="50"/>
      <c r="MBX351" s="50"/>
      <c r="MBY351" s="50"/>
      <c r="MBZ351" s="50"/>
      <c r="MCA351" s="50"/>
      <c r="MCB351" s="50"/>
      <c r="MCC351" s="50"/>
      <c r="MCD351" s="50"/>
      <c r="MCE351" s="50"/>
      <c r="MCF351" s="50"/>
      <c r="MCG351" s="50"/>
      <c r="MCH351" s="50"/>
      <c r="MCI351" s="50"/>
      <c r="MCJ351" s="50"/>
      <c r="MCK351" s="50"/>
      <c r="MCL351" s="50"/>
      <c r="MCM351" s="50"/>
      <c r="MCN351" s="50"/>
      <c r="MCO351" s="50"/>
      <c r="MCP351" s="50"/>
      <c r="MCQ351" s="50"/>
      <c r="MCR351" s="50"/>
      <c r="MCS351" s="50"/>
      <c r="MCT351" s="50"/>
      <c r="MCU351" s="50"/>
      <c r="MCV351" s="50"/>
      <c r="MCW351" s="50"/>
      <c r="MCX351" s="50"/>
      <c r="MCY351" s="50"/>
      <c r="MCZ351" s="50"/>
      <c r="MDA351" s="50"/>
      <c r="MDB351" s="50"/>
      <c r="MDC351" s="50"/>
      <c r="MDD351" s="50"/>
      <c r="MDE351" s="50"/>
      <c r="MDF351" s="50"/>
      <c r="MDG351" s="50"/>
      <c r="MDH351" s="50"/>
      <c r="MDI351" s="50"/>
      <c r="MDJ351" s="50"/>
      <c r="MDK351" s="50"/>
      <c r="MDL351" s="50"/>
      <c r="MDM351" s="50"/>
      <c r="MDN351" s="50"/>
      <c r="MDO351" s="50"/>
      <c r="MDP351" s="50"/>
      <c r="MDQ351" s="50"/>
      <c r="MDR351" s="50"/>
      <c r="MDS351" s="50"/>
      <c r="MDT351" s="50"/>
      <c r="MDU351" s="50"/>
      <c r="MDV351" s="50"/>
      <c r="MDW351" s="50"/>
      <c r="MDX351" s="50"/>
      <c r="MDY351" s="50"/>
      <c r="MDZ351" s="50"/>
      <c r="MEA351" s="50"/>
      <c r="MEB351" s="50"/>
      <c r="MEC351" s="50"/>
      <c r="MED351" s="50"/>
      <c r="MEE351" s="50"/>
      <c r="MEF351" s="50"/>
      <c r="MEG351" s="50"/>
      <c r="MEH351" s="50"/>
      <c r="MEI351" s="50"/>
      <c r="MEJ351" s="50"/>
      <c r="MEK351" s="50"/>
      <c r="MEL351" s="50"/>
      <c r="MEM351" s="50"/>
      <c r="MEN351" s="50"/>
      <c r="MEO351" s="50"/>
      <c r="MEP351" s="50"/>
      <c r="MEQ351" s="50"/>
      <c r="MER351" s="50"/>
      <c r="MES351" s="50"/>
      <c r="MET351" s="50"/>
      <c r="MEU351" s="50"/>
      <c r="MEV351" s="50"/>
      <c r="MEW351" s="50"/>
      <c r="MEX351" s="50"/>
      <c r="MEY351" s="50"/>
      <c r="MEZ351" s="50"/>
      <c r="MFA351" s="50"/>
      <c r="MFB351" s="50"/>
      <c r="MFC351" s="50"/>
      <c r="MFD351" s="50"/>
      <c r="MFE351" s="50"/>
      <c r="MFF351" s="50"/>
      <c r="MFG351" s="50"/>
      <c r="MFH351" s="50"/>
      <c r="MFI351" s="50"/>
      <c r="MFJ351" s="50"/>
      <c r="MFK351" s="50"/>
      <c r="MFL351" s="50"/>
      <c r="MFM351" s="50"/>
      <c r="MFN351" s="50"/>
      <c r="MFO351" s="50"/>
      <c r="MFP351" s="50"/>
      <c r="MFQ351" s="50"/>
      <c r="MFR351" s="50"/>
      <c r="MFS351" s="50"/>
      <c r="MFT351" s="50"/>
      <c r="MFU351" s="50"/>
      <c r="MFV351" s="50"/>
      <c r="MFW351" s="50"/>
      <c r="MFX351" s="50"/>
      <c r="MFY351" s="50"/>
      <c r="MFZ351" s="50"/>
      <c r="MGA351" s="50"/>
      <c r="MGB351" s="50"/>
      <c r="MGC351" s="50"/>
      <c r="MGD351" s="50"/>
      <c r="MGE351" s="50"/>
      <c r="MGF351" s="50"/>
      <c r="MGG351" s="50"/>
      <c r="MGH351" s="50"/>
      <c r="MGI351" s="50"/>
      <c r="MGJ351" s="50"/>
      <c r="MGK351" s="50"/>
      <c r="MGL351" s="50"/>
      <c r="MGM351" s="50"/>
      <c r="MGN351" s="50"/>
      <c r="MGO351" s="50"/>
      <c r="MGP351" s="50"/>
      <c r="MGQ351" s="50"/>
      <c r="MGR351" s="50"/>
      <c r="MGS351" s="50"/>
      <c r="MGT351" s="50"/>
      <c r="MGU351" s="50"/>
      <c r="MGV351" s="50"/>
      <c r="MGW351" s="50"/>
      <c r="MGX351" s="50"/>
      <c r="MGY351" s="50"/>
      <c r="MGZ351" s="50"/>
      <c r="MHA351" s="50"/>
      <c r="MHB351" s="50"/>
      <c r="MHC351" s="50"/>
      <c r="MHD351" s="50"/>
      <c r="MHE351" s="50"/>
      <c r="MHF351" s="50"/>
      <c r="MHG351" s="50"/>
      <c r="MHH351" s="50"/>
      <c r="MHI351" s="50"/>
      <c r="MHJ351" s="50"/>
      <c r="MHK351" s="50"/>
      <c r="MHL351" s="50"/>
      <c r="MHM351" s="50"/>
      <c r="MHN351" s="50"/>
      <c r="MHO351" s="50"/>
      <c r="MHP351" s="50"/>
      <c r="MHQ351" s="50"/>
      <c r="MHR351" s="50"/>
      <c r="MHS351" s="50"/>
      <c r="MHT351" s="50"/>
      <c r="MHU351" s="50"/>
      <c r="MHV351" s="50"/>
      <c r="MHW351" s="50"/>
      <c r="MHX351" s="50"/>
      <c r="MHY351" s="50"/>
      <c r="MHZ351" s="50"/>
      <c r="MIA351" s="50"/>
      <c r="MIB351" s="50"/>
      <c r="MIC351" s="50"/>
      <c r="MID351" s="50"/>
      <c r="MIE351" s="50"/>
      <c r="MIF351" s="50"/>
      <c r="MIG351" s="50"/>
      <c r="MIH351" s="50"/>
      <c r="MII351" s="50"/>
      <c r="MIJ351" s="50"/>
      <c r="MIK351" s="50"/>
      <c r="MIL351" s="50"/>
      <c r="MIM351" s="50"/>
      <c r="MIN351" s="50"/>
      <c r="MIO351" s="50"/>
      <c r="MIP351" s="50"/>
      <c r="MIQ351" s="50"/>
      <c r="MIR351" s="50"/>
      <c r="MIS351" s="50"/>
      <c r="MIT351" s="50"/>
      <c r="MIU351" s="50"/>
      <c r="MIV351" s="50"/>
      <c r="MIW351" s="50"/>
      <c r="MIX351" s="50"/>
      <c r="MIY351" s="50"/>
      <c r="MIZ351" s="50"/>
      <c r="MJA351" s="50"/>
      <c r="MJB351" s="50"/>
      <c r="MJC351" s="50"/>
      <c r="MJD351" s="50"/>
      <c r="MJE351" s="50"/>
      <c r="MJF351" s="50"/>
      <c r="MJG351" s="50"/>
      <c r="MJH351" s="50"/>
      <c r="MJI351" s="50"/>
      <c r="MJJ351" s="50"/>
      <c r="MJK351" s="50"/>
      <c r="MJL351" s="50"/>
      <c r="MJM351" s="50"/>
      <c r="MJN351" s="50"/>
      <c r="MJO351" s="50"/>
      <c r="MJP351" s="50"/>
      <c r="MJQ351" s="50"/>
      <c r="MJR351" s="50"/>
      <c r="MJS351" s="50"/>
      <c r="MJT351" s="50"/>
      <c r="MJU351" s="50"/>
      <c r="MJV351" s="50"/>
      <c r="MJW351" s="50"/>
      <c r="MJX351" s="50"/>
      <c r="MJY351" s="50"/>
      <c r="MJZ351" s="50"/>
      <c r="MKA351" s="50"/>
      <c r="MKB351" s="50"/>
      <c r="MKC351" s="50"/>
      <c r="MKD351" s="50"/>
      <c r="MKE351" s="50"/>
      <c r="MKF351" s="50"/>
      <c r="MKG351" s="50"/>
      <c r="MKH351" s="50"/>
      <c r="MKI351" s="50"/>
      <c r="MKJ351" s="50"/>
      <c r="MKK351" s="50"/>
      <c r="MKL351" s="50"/>
      <c r="MKM351" s="50"/>
      <c r="MKN351" s="50"/>
      <c r="MKO351" s="50"/>
      <c r="MKP351" s="50"/>
      <c r="MKQ351" s="50"/>
      <c r="MKR351" s="50"/>
      <c r="MKS351" s="50"/>
      <c r="MKT351" s="50"/>
      <c r="MKU351" s="50"/>
      <c r="MKV351" s="50"/>
      <c r="MKW351" s="50"/>
      <c r="MKX351" s="50"/>
      <c r="MKY351" s="50"/>
      <c r="MKZ351" s="50"/>
      <c r="MLA351" s="50"/>
      <c r="MLB351" s="50"/>
      <c r="MLC351" s="50"/>
      <c r="MLD351" s="50"/>
      <c r="MLE351" s="50"/>
      <c r="MLF351" s="50"/>
      <c r="MLG351" s="50"/>
      <c r="MLH351" s="50"/>
      <c r="MLI351" s="50"/>
      <c r="MLJ351" s="50"/>
      <c r="MLK351" s="50"/>
      <c r="MLL351" s="50"/>
      <c r="MLM351" s="50"/>
      <c r="MLN351" s="50"/>
      <c r="MLO351" s="50"/>
      <c r="MLP351" s="50"/>
      <c r="MLQ351" s="50"/>
      <c r="MLR351" s="50"/>
      <c r="MLS351" s="50"/>
      <c r="MLT351" s="50"/>
      <c r="MLU351" s="50"/>
      <c r="MLV351" s="50"/>
      <c r="MLW351" s="50"/>
      <c r="MLX351" s="50"/>
      <c r="MLY351" s="50"/>
      <c r="MLZ351" s="50"/>
      <c r="MMA351" s="50"/>
      <c r="MMB351" s="50"/>
      <c r="MMC351" s="50"/>
      <c r="MMD351" s="50"/>
      <c r="MME351" s="50"/>
      <c r="MMF351" s="50"/>
      <c r="MMG351" s="50"/>
      <c r="MMH351" s="50"/>
      <c r="MMI351" s="50"/>
      <c r="MMJ351" s="50"/>
      <c r="MMK351" s="50"/>
      <c r="MML351" s="50"/>
      <c r="MMM351" s="50"/>
      <c r="MMN351" s="50"/>
      <c r="MMO351" s="50"/>
      <c r="MMP351" s="50"/>
      <c r="MMQ351" s="50"/>
      <c r="MMR351" s="50"/>
      <c r="MMS351" s="50"/>
      <c r="MMT351" s="50"/>
      <c r="MMU351" s="50"/>
      <c r="MMV351" s="50"/>
      <c r="MMW351" s="50"/>
      <c r="MMX351" s="50"/>
      <c r="MMY351" s="50"/>
      <c r="MMZ351" s="50"/>
      <c r="MNA351" s="50"/>
      <c r="MNB351" s="50"/>
      <c r="MNC351" s="50"/>
      <c r="MND351" s="50"/>
      <c r="MNE351" s="50"/>
      <c r="MNF351" s="50"/>
      <c r="MNG351" s="50"/>
      <c r="MNH351" s="50"/>
      <c r="MNI351" s="50"/>
      <c r="MNJ351" s="50"/>
      <c r="MNK351" s="50"/>
      <c r="MNL351" s="50"/>
      <c r="MNM351" s="50"/>
      <c r="MNN351" s="50"/>
      <c r="MNO351" s="50"/>
      <c r="MNP351" s="50"/>
      <c r="MNQ351" s="50"/>
      <c r="MNR351" s="50"/>
      <c r="MNS351" s="50"/>
      <c r="MNT351" s="50"/>
      <c r="MNU351" s="50"/>
      <c r="MNV351" s="50"/>
      <c r="MNW351" s="50"/>
      <c r="MNX351" s="50"/>
      <c r="MNY351" s="50"/>
      <c r="MNZ351" s="50"/>
      <c r="MOA351" s="50"/>
      <c r="MOB351" s="50"/>
      <c r="MOC351" s="50"/>
      <c r="MOD351" s="50"/>
      <c r="MOE351" s="50"/>
      <c r="MOF351" s="50"/>
      <c r="MOG351" s="50"/>
      <c r="MOH351" s="50"/>
      <c r="MOI351" s="50"/>
      <c r="MOJ351" s="50"/>
      <c r="MOK351" s="50"/>
      <c r="MOL351" s="50"/>
      <c r="MOM351" s="50"/>
      <c r="MON351" s="50"/>
      <c r="MOO351" s="50"/>
      <c r="MOP351" s="50"/>
      <c r="MOQ351" s="50"/>
      <c r="MOR351" s="50"/>
      <c r="MOS351" s="50"/>
      <c r="MOT351" s="50"/>
      <c r="MOU351" s="50"/>
      <c r="MOV351" s="50"/>
      <c r="MOW351" s="50"/>
      <c r="MOX351" s="50"/>
      <c r="MOY351" s="50"/>
      <c r="MOZ351" s="50"/>
      <c r="MPA351" s="50"/>
      <c r="MPB351" s="50"/>
      <c r="MPC351" s="50"/>
      <c r="MPD351" s="50"/>
      <c r="MPE351" s="50"/>
      <c r="MPF351" s="50"/>
      <c r="MPG351" s="50"/>
      <c r="MPH351" s="50"/>
      <c r="MPI351" s="50"/>
      <c r="MPJ351" s="50"/>
      <c r="MPK351" s="50"/>
      <c r="MPL351" s="50"/>
      <c r="MPM351" s="50"/>
      <c r="MPN351" s="50"/>
      <c r="MPO351" s="50"/>
      <c r="MPP351" s="50"/>
      <c r="MPQ351" s="50"/>
      <c r="MPR351" s="50"/>
      <c r="MPS351" s="50"/>
      <c r="MPT351" s="50"/>
      <c r="MPU351" s="50"/>
      <c r="MPV351" s="50"/>
      <c r="MPW351" s="50"/>
      <c r="MPX351" s="50"/>
      <c r="MPY351" s="50"/>
      <c r="MPZ351" s="50"/>
      <c r="MQA351" s="50"/>
      <c r="MQB351" s="50"/>
      <c r="MQC351" s="50"/>
      <c r="MQD351" s="50"/>
      <c r="MQE351" s="50"/>
      <c r="MQF351" s="50"/>
      <c r="MQG351" s="50"/>
      <c r="MQH351" s="50"/>
      <c r="MQI351" s="50"/>
      <c r="MQJ351" s="50"/>
      <c r="MQK351" s="50"/>
      <c r="MQL351" s="50"/>
      <c r="MQM351" s="50"/>
      <c r="MQN351" s="50"/>
      <c r="MQO351" s="50"/>
      <c r="MQP351" s="50"/>
      <c r="MQQ351" s="50"/>
      <c r="MQR351" s="50"/>
      <c r="MQS351" s="50"/>
      <c r="MQT351" s="50"/>
      <c r="MQU351" s="50"/>
      <c r="MQV351" s="50"/>
      <c r="MQW351" s="50"/>
      <c r="MQX351" s="50"/>
      <c r="MQY351" s="50"/>
      <c r="MQZ351" s="50"/>
      <c r="MRA351" s="50"/>
      <c r="MRB351" s="50"/>
      <c r="MRC351" s="50"/>
      <c r="MRD351" s="50"/>
      <c r="MRE351" s="50"/>
      <c r="MRF351" s="50"/>
      <c r="MRG351" s="50"/>
      <c r="MRH351" s="50"/>
      <c r="MRI351" s="50"/>
      <c r="MRJ351" s="50"/>
      <c r="MRK351" s="50"/>
      <c r="MRL351" s="50"/>
      <c r="MRM351" s="50"/>
      <c r="MRN351" s="50"/>
      <c r="MRO351" s="50"/>
      <c r="MRP351" s="50"/>
      <c r="MRQ351" s="50"/>
      <c r="MRR351" s="50"/>
      <c r="MRS351" s="50"/>
      <c r="MRT351" s="50"/>
      <c r="MRU351" s="50"/>
      <c r="MRV351" s="50"/>
      <c r="MRW351" s="50"/>
      <c r="MRX351" s="50"/>
      <c r="MRY351" s="50"/>
      <c r="MRZ351" s="50"/>
      <c r="MSA351" s="50"/>
      <c r="MSB351" s="50"/>
      <c r="MSC351" s="50"/>
      <c r="MSD351" s="50"/>
      <c r="MSE351" s="50"/>
      <c r="MSF351" s="50"/>
      <c r="MSG351" s="50"/>
      <c r="MSH351" s="50"/>
      <c r="MSI351" s="50"/>
      <c r="MSJ351" s="50"/>
      <c r="MSK351" s="50"/>
      <c r="MSL351" s="50"/>
      <c r="MSM351" s="50"/>
      <c r="MSN351" s="50"/>
      <c r="MSO351" s="50"/>
      <c r="MSP351" s="50"/>
      <c r="MSQ351" s="50"/>
      <c r="MSR351" s="50"/>
      <c r="MSS351" s="50"/>
      <c r="MST351" s="50"/>
      <c r="MSU351" s="50"/>
      <c r="MSV351" s="50"/>
      <c r="MSW351" s="50"/>
      <c r="MSX351" s="50"/>
      <c r="MSY351" s="50"/>
      <c r="MSZ351" s="50"/>
      <c r="MTA351" s="50"/>
      <c r="MTB351" s="50"/>
      <c r="MTC351" s="50"/>
      <c r="MTD351" s="50"/>
      <c r="MTE351" s="50"/>
      <c r="MTF351" s="50"/>
      <c r="MTG351" s="50"/>
      <c r="MTH351" s="50"/>
      <c r="MTI351" s="50"/>
      <c r="MTJ351" s="50"/>
      <c r="MTK351" s="50"/>
      <c r="MTL351" s="50"/>
      <c r="MTM351" s="50"/>
      <c r="MTN351" s="50"/>
      <c r="MTO351" s="50"/>
      <c r="MTP351" s="50"/>
      <c r="MTQ351" s="50"/>
      <c r="MTR351" s="50"/>
      <c r="MTS351" s="50"/>
      <c r="MTT351" s="50"/>
      <c r="MTU351" s="50"/>
      <c r="MTV351" s="50"/>
      <c r="MTW351" s="50"/>
      <c r="MTX351" s="50"/>
      <c r="MTY351" s="50"/>
      <c r="MTZ351" s="50"/>
      <c r="MUA351" s="50"/>
      <c r="MUB351" s="50"/>
      <c r="MUC351" s="50"/>
      <c r="MUD351" s="50"/>
      <c r="MUE351" s="50"/>
      <c r="MUF351" s="50"/>
      <c r="MUG351" s="50"/>
      <c r="MUH351" s="50"/>
      <c r="MUI351" s="50"/>
      <c r="MUJ351" s="50"/>
      <c r="MUK351" s="50"/>
      <c r="MUL351" s="50"/>
      <c r="MUM351" s="50"/>
      <c r="MUN351" s="50"/>
      <c r="MUO351" s="50"/>
      <c r="MUP351" s="50"/>
      <c r="MUQ351" s="50"/>
      <c r="MUR351" s="50"/>
      <c r="MUS351" s="50"/>
      <c r="MUT351" s="50"/>
      <c r="MUU351" s="50"/>
      <c r="MUV351" s="50"/>
      <c r="MUW351" s="50"/>
      <c r="MUX351" s="50"/>
      <c r="MUY351" s="50"/>
      <c r="MUZ351" s="50"/>
      <c r="MVA351" s="50"/>
      <c r="MVB351" s="50"/>
      <c r="MVC351" s="50"/>
      <c r="MVD351" s="50"/>
      <c r="MVE351" s="50"/>
      <c r="MVF351" s="50"/>
      <c r="MVG351" s="50"/>
      <c r="MVH351" s="50"/>
      <c r="MVI351" s="50"/>
      <c r="MVJ351" s="50"/>
      <c r="MVK351" s="50"/>
      <c r="MVL351" s="50"/>
      <c r="MVM351" s="50"/>
      <c r="MVN351" s="50"/>
      <c r="MVO351" s="50"/>
      <c r="MVP351" s="50"/>
      <c r="MVQ351" s="50"/>
      <c r="MVR351" s="50"/>
      <c r="MVS351" s="50"/>
      <c r="MVT351" s="50"/>
      <c r="MVU351" s="50"/>
      <c r="MVV351" s="50"/>
      <c r="MVW351" s="50"/>
      <c r="MVX351" s="50"/>
      <c r="MVY351" s="50"/>
      <c r="MVZ351" s="50"/>
      <c r="MWA351" s="50"/>
      <c r="MWB351" s="50"/>
      <c r="MWC351" s="50"/>
      <c r="MWD351" s="50"/>
      <c r="MWE351" s="50"/>
      <c r="MWF351" s="50"/>
      <c r="MWG351" s="50"/>
      <c r="MWH351" s="50"/>
      <c r="MWI351" s="50"/>
      <c r="MWJ351" s="50"/>
      <c r="MWK351" s="50"/>
      <c r="MWL351" s="50"/>
      <c r="MWM351" s="50"/>
      <c r="MWN351" s="50"/>
      <c r="MWO351" s="50"/>
      <c r="MWP351" s="50"/>
      <c r="MWQ351" s="50"/>
      <c r="MWR351" s="50"/>
      <c r="MWS351" s="50"/>
      <c r="MWT351" s="50"/>
      <c r="MWU351" s="50"/>
      <c r="MWV351" s="50"/>
      <c r="MWW351" s="50"/>
      <c r="MWX351" s="50"/>
      <c r="MWY351" s="50"/>
      <c r="MWZ351" s="50"/>
      <c r="MXA351" s="50"/>
      <c r="MXB351" s="50"/>
      <c r="MXC351" s="50"/>
      <c r="MXD351" s="50"/>
      <c r="MXE351" s="50"/>
      <c r="MXF351" s="50"/>
      <c r="MXG351" s="50"/>
      <c r="MXH351" s="50"/>
      <c r="MXI351" s="50"/>
      <c r="MXJ351" s="50"/>
      <c r="MXK351" s="50"/>
      <c r="MXL351" s="50"/>
      <c r="MXM351" s="50"/>
      <c r="MXN351" s="50"/>
      <c r="MXO351" s="50"/>
      <c r="MXP351" s="50"/>
      <c r="MXQ351" s="50"/>
      <c r="MXR351" s="50"/>
      <c r="MXS351" s="50"/>
      <c r="MXT351" s="50"/>
      <c r="MXU351" s="50"/>
      <c r="MXV351" s="50"/>
      <c r="MXW351" s="50"/>
      <c r="MXX351" s="50"/>
      <c r="MXY351" s="50"/>
      <c r="MXZ351" s="50"/>
      <c r="MYA351" s="50"/>
      <c r="MYB351" s="50"/>
      <c r="MYC351" s="50"/>
      <c r="MYD351" s="50"/>
      <c r="MYE351" s="50"/>
      <c r="MYF351" s="50"/>
      <c r="MYG351" s="50"/>
      <c r="MYH351" s="50"/>
      <c r="MYI351" s="50"/>
      <c r="MYJ351" s="50"/>
      <c r="MYK351" s="50"/>
      <c r="MYL351" s="50"/>
      <c r="MYM351" s="50"/>
      <c r="MYN351" s="50"/>
      <c r="MYO351" s="50"/>
      <c r="MYP351" s="50"/>
      <c r="MYQ351" s="50"/>
      <c r="MYR351" s="50"/>
      <c r="MYS351" s="50"/>
      <c r="MYT351" s="50"/>
      <c r="MYU351" s="50"/>
      <c r="MYV351" s="50"/>
      <c r="MYW351" s="50"/>
      <c r="MYX351" s="50"/>
      <c r="MYY351" s="50"/>
      <c r="MYZ351" s="50"/>
      <c r="MZA351" s="50"/>
      <c r="MZB351" s="50"/>
      <c r="MZC351" s="50"/>
      <c r="MZD351" s="50"/>
      <c r="MZE351" s="50"/>
      <c r="MZF351" s="50"/>
      <c r="MZG351" s="50"/>
      <c r="MZH351" s="50"/>
      <c r="MZI351" s="50"/>
      <c r="MZJ351" s="50"/>
      <c r="MZK351" s="50"/>
      <c r="MZL351" s="50"/>
      <c r="MZM351" s="50"/>
      <c r="MZN351" s="50"/>
      <c r="MZO351" s="50"/>
      <c r="MZP351" s="50"/>
      <c r="MZQ351" s="50"/>
      <c r="MZR351" s="50"/>
      <c r="MZS351" s="50"/>
      <c r="MZT351" s="50"/>
      <c r="MZU351" s="50"/>
      <c r="MZV351" s="50"/>
      <c r="MZW351" s="50"/>
      <c r="MZX351" s="50"/>
      <c r="MZY351" s="50"/>
      <c r="MZZ351" s="50"/>
      <c r="NAA351" s="50"/>
      <c r="NAB351" s="50"/>
      <c r="NAC351" s="50"/>
      <c r="NAD351" s="50"/>
      <c r="NAE351" s="50"/>
      <c r="NAF351" s="50"/>
      <c r="NAG351" s="50"/>
      <c r="NAH351" s="50"/>
      <c r="NAI351" s="50"/>
      <c r="NAJ351" s="50"/>
      <c r="NAK351" s="50"/>
      <c r="NAL351" s="50"/>
      <c r="NAM351" s="50"/>
      <c r="NAN351" s="50"/>
      <c r="NAO351" s="50"/>
      <c r="NAP351" s="50"/>
      <c r="NAQ351" s="50"/>
      <c r="NAR351" s="50"/>
      <c r="NAS351" s="50"/>
      <c r="NAT351" s="50"/>
      <c r="NAU351" s="50"/>
      <c r="NAV351" s="50"/>
      <c r="NAW351" s="50"/>
      <c r="NAX351" s="50"/>
      <c r="NAY351" s="50"/>
      <c r="NAZ351" s="50"/>
      <c r="NBA351" s="50"/>
      <c r="NBB351" s="50"/>
      <c r="NBC351" s="50"/>
      <c r="NBD351" s="50"/>
      <c r="NBE351" s="50"/>
      <c r="NBF351" s="50"/>
      <c r="NBG351" s="50"/>
      <c r="NBH351" s="50"/>
      <c r="NBI351" s="50"/>
      <c r="NBJ351" s="50"/>
      <c r="NBK351" s="50"/>
      <c r="NBL351" s="50"/>
      <c r="NBM351" s="50"/>
      <c r="NBN351" s="50"/>
      <c r="NBO351" s="50"/>
      <c r="NBP351" s="50"/>
      <c r="NBQ351" s="50"/>
      <c r="NBR351" s="50"/>
      <c r="NBS351" s="50"/>
      <c r="NBT351" s="50"/>
      <c r="NBU351" s="50"/>
      <c r="NBV351" s="50"/>
      <c r="NBW351" s="50"/>
      <c r="NBX351" s="50"/>
      <c r="NBY351" s="50"/>
      <c r="NBZ351" s="50"/>
      <c r="NCA351" s="50"/>
      <c r="NCB351" s="50"/>
      <c r="NCC351" s="50"/>
      <c r="NCD351" s="50"/>
      <c r="NCE351" s="50"/>
      <c r="NCF351" s="50"/>
      <c r="NCG351" s="50"/>
      <c r="NCH351" s="50"/>
      <c r="NCI351" s="50"/>
      <c r="NCJ351" s="50"/>
      <c r="NCK351" s="50"/>
      <c r="NCL351" s="50"/>
      <c r="NCM351" s="50"/>
      <c r="NCN351" s="50"/>
      <c r="NCO351" s="50"/>
      <c r="NCP351" s="50"/>
      <c r="NCQ351" s="50"/>
      <c r="NCR351" s="50"/>
      <c r="NCS351" s="50"/>
      <c r="NCT351" s="50"/>
      <c r="NCU351" s="50"/>
      <c r="NCV351" s="50"/>
      <c r="NCW351" s="50"/>
      <c r="NCX351" s="50"/>
      <c r="NCY351" s="50"/>
      <c r="NCZ351" s="50"/>
      <c r="NDA351" s="50"/>
      <c r="NDB351" s="50"/>
      <c r="NDC351" s="50"/>
      <c r="NDD351" s="50"/>
      <c r="NDE351" s="50"/>
      <c r="NDF351" s="50"/>
      <c r="NDG351" s="50"/>
      <c r="NDH351" s="50"/>
      <c r="NDI351" s="50"/>
      <c r="NDJ351" s="50"/>
      <c r="NDK351" s="50"/>
      <c r="NDL351" s="50"/>
      <c r="NDM351" s="50"/>
      <c r="NDN351" s="50"/>
      <c r="NDO351" s="50"/>
      <c r="NDP351" s="50"/>
      <c r="NDQ351" s="50"/>
      <c r="NDR351" s="50"/>
      <c r="NDS351" s="50"/>
      <c r="NDT351" s="50"/>
      <c r="NDU351" s="50"/>
      <c r="NDV351" s="50"/>
      <c r="NDW351" s="50"/>
      <c r="NDX351" s="50"/>
      <c r="NDY351" s="50"/>
      <c r="NDZ351" s="50"/>
      <c r="NEA351" s="50"/>
      <c r="NEB351" s="50"/>
      <c r="NEC351" s="50"/>
      <c r="NED351" s="50"/>
      <c r="NEE351" s="50"/>
      <c r="NEF351" s="50"/>
      <c r="NEG351" s="50"/>
      <c r="NEH351" s="50"/>
      <c r="NEI351" s="50"/>
      <c r="NEJ351" s="50"/>
      <c r="NEK351" s="50"/>
      <c r="NEL351" s="50"/>
      <c r="NEM351" s="50"/>
      <c r="NEN351" s="50"/>
      <c r="NEO351" s="50"/>
      <c r="NEP351" s="50"/>
      <c r="NEQ351" s="50"/>
      <c r="NER351" s="50"/>
      <c r="NES351" s="50"/>
      <c r="NET351" s="50"/>
      <c r="NEU351" s="50"/>
      <c r="NEV351" s="50"/>
      <c r="NEW351" s="50"/>
      <c r="NEX351" s="50"/>
      <c r="NEY351" s="50"/>
      <c r="NEZ351" s="50"/>
      <c r="NFA351" s="50"/>
      <c r="NFB351" s="50"/>
      <c r="NFC351" s="50"/>
      <c r="NFD351" s="50"/>
      <c r="NFE351" s="50"/>
      <c r="NFF351" s="50"/>
      <c r="NFG351" s="50"/>
      <c r="NFH351" s="50"/>
      <c r="NFI351" s="50"/>
      <c r="NFJ351" s="50"/>
      <c r="NFK351" s="50"/>
      <c r="NFL351" s="50"/>
      <c r="NFM351" s="50"/>
      <c r="NFN351" s="50"/>
      <c r="NFO351" s="50"/>
      <c r="NFP351" s="50"/>
      <c r="NFQ351" s="50"/>
      <c r="NFR351" s="50"/>
      <c r="NFS351" s="50"/>
      <c r="NFT351" s="50"/>
      <c r="NFU351" s="50"/>
      <c r="NFV351" s="50"/>
      <c r="NFW351" s="50"/>
      <c r="NFX351" s="50"/>
      <c r="NFY351" s="50"/>
      <c r="NFZ351" s="50"/>
      <c r="NGA351" s="50"/>
      <c r="NGB351" s="50"/>
      <c r="NGC351" s="50"/>
      <c r="NGD351" s="50"/>
      <c r="NGE351" s="50"/>
      <c r="NGF351" s="50"/>
      <c r="NGG351" s="50"/>
      <c r="NGH351" s="50"/>
      <c r="NGI351" s="50"/>
      <c r="NGJ351" s="50"/>
      <c r="NGK351" s="50"/>
      <c r="NGL351" s="50"/>
      <c r="NGM351" s="50"/>
      <c r="NGN351" s="50"/>
      <c r="NGO351" s="50"/>
      <c r="NGP351" s="50"/>
      <c r="NGQ351" s="50"/>
      <c r="NGR351" s="50"/>
      <c r="NGS351" s="50"/>
      <c r="NGT351" s="50"/>
      <c r="NGU351" s="50"/>
      <c r="NGV351" s="50"/>
      <c r="NGW351" s="50"/>
      <c r="NGX351" s="50"/>
      <c r="NGY351" s="50"/>
      <c r="NGZ351" s="50"/>
      <c r="NHA351" s="50"/>
      <c r="NHB351" s="50"/>
      <c r="NHC351" s="50"/>
      <c r="NHD351" s="50"/>
      <c r="NHE351" s="50"/>
      <c r="NHF351" s="50"/>
      <c r="NHG351" s="50"/>
      <c r="NHH351" s="50"/>
      <c r="NHI351" s="50"/>
      <c r="NHJ351" s="50"/>
      <c r="NHK351" s="50"/>
      <c r="NHL351" s="50"/>
      <c r="NHM351" s="50"/>
      <c r="NHN351" s="50"/>
      <c r="NHO351" s="50"/>
      <c r="NHP351" s="50"/>
      <c r="NHQ351" s="50"/>
      <c r="NHR351" s="50"/>
      <c r="NHS351" s="50"/>
      <c r="NHT351" s="50"/>
      <c r="NHU351" s="50"/>
      <c r="NHV351" s="50"/>
      <c r="NHW351" s="50"/>
      <c r="NHX351" s="50"/>
      <c r="NHY351" s="50"/>
      <c r="NHZ351" s="50"/>
      <c r="NIA351" s="50"/>
      <c r="NIB351" s="50"/>
      <c r="NIC351" s="50"/>
      <c r="NID351" s="50"/>
      <c r="NIE351" s="50"/>
      <c r="NIF351" s="50"/>
      <c r="NIG351" s="50"/>
      <c r="NIH351" s="50"/>
      <c r="NII351" s="50"/>
      <c r="NIJ351" s="50"/>
      <c r="NIK351" s="50"/>
      <c r="NIL351" s="50"/>
      <c r="NIM351" s="50"/>
      <c r="NIN351" s="50"/>
      <c r="NIO351" s="50"/>
      <c r="NIP351" s="50"/>
      <c r="NIQ351" s="50"/>
      <c r="NIR351" s="50"/>
      <c r="NIS351" s="50"/>
      <c r="NIT351" s="50"/>
      <c r="NIU351" s="50"/>
      <c r="NIV351" s="50"/>
      <c r="NIW351" s="50"/>
      <c r="NIX351" s="50"/>
      <c r="NIY351" s="50"/>
      <c r="NIZ351" s="50"/>
      <c r="NJA351" s="50"/>
      <c r="NJB351" s="50"/>
      <c r="NJC351" s="50"/>
      <c r="NJD351" s="50"/>
      <c r="NJE351" s="50"/>
      <c r="NJF351" s="50"/>
      <c r="NJG351" s="50"/>
      <c r="NJH351" s="50"/>
      <c r="NJI351" s="50"/>
      <c r="NJJ351" s="50"/>
      <c r="NJK351" s="50"/>
      <c r="NJL351" s="50"/>
      <c r="NJM351" s="50"/>
      <c r="NJN351" s="50"/>
      <c r="NJO351" s="50"/>
      <c r="NJP351" s="50"/>
      <c r="NJQ351" s="50"/>
      <c r="NJR351" s="50"/>
      <c r="NJS351" s="50"/>
      <c r="NJT351" s="50"/>
      <c r="NJU351" s="50"/>
      <c r="NJV351" s="50"/>
      <c r="NJW351" s="50"/>
      <c r="NJX351" s="50"/>
      <c r="NJY351" s="50"/>
      <c r="NJZ351" s="50"/>
      <c r="NKA351" s="50"/>
      <c r="NKB351" s="50"/>
      <c r="NKC351" s="50"/>
      <c r="NKD351" s="50"/>
      <c r="NKE351" s="50"/>
      <c r="NKF351" s="50"/>
      <c r="NKG351" s="50"/>
      <c r="NKH351" s="50"/>
      <c r="NKI351" s="50"/>
      <c r="NKJ351" s="50"/>
      <c r="NKK351" s="50"/>
      <c r="NKL351" s="50"/>
      <c r="NKM351" s="50"/>
      <c r="NKN351" s="50"/>
      <c r="NKO351" s="50"/>
      <c r="NKP351" s="50"/>
      <c r="NKQ351" s="50"/>
      <c r="NKR351" s="50"/>
      <c r="NKS351" s="50"/>
      <c r="NKT351" s="50"/>
      <c r="NKU351" s="50"/>
      <c r="NKV351" s="50"/>
      <c r="NKW351" s="50"/>
      <c r="NKX351" s="50"/>
      <c r="NKY351" s="50"/>
      <c r="NKZ351" s="50"/>
      <c r="NLA351" s="50"/>
      <c r="NLB351" s="50"/>
      <c r="NLC351" s="50"/>
      <c r="NLD351" s="50"/>
      <c r="NLE351" s="50"/>
      <c r="NLF351" s="50"/>
      <c r="NLG351" s="50"/>
      <c r="NLH351" s="50"/>
      <c r="NLI351" s="50"/>
      <c r="NLJ351" s="50"/>
      <c r="NLK351" s="50"/>
      <c r="NLL351" s="50"/>
      <c r="NLM351" s="50"/>
      <c r="NLN351" s="50"/>
      <c r="NLO351" s="50"/>
      <c r="NLP351" s="50"/>
      <c r="NLQ351" s="50"/>
      <c r="NLR351" s="50"/>
      <c r="NLS351" s="50"/>
      <c r="NLT351" s="50"/>
      <c r="NLU351" s="50"/>
      <c r="NLV351" s="50"/>
      <c r="NLW351" s="50"/>
      <c r="NLX351" s="50"/>
      <c r="NLY351" s="50"/>
      <c r="NLZ351" s="50"/>
      <c r="NMA351" s="50"/>
      <c r="NMB351" s="50"/>
      <c r="NMC351" s="50"/>
      <c r="NMD351" s="50"/>
      <c r="NME351" s="50"/>
      <c r="NMF351" s="50"/>
      <c r="NMG351" s="50"/>
      <c r="NMH351" s="50"/>
      <c r="NMI351" s="50"/>
      <c r="NMJ351" s="50"/>
      <c r="NMK351" s="50"/>
      <c r="NML351" s="50"/>
      <c r="NMM351" s="50"/>
      <c r="NMN351" s="50"/>
      <c r="NMO351" s="50"/>
      <c r="NMP351" s="50"/>
      <c r="NMQ351" s="50"/>
      <c r="NMR351" s="50"/>
      <c r="NMS351" s="50"/>
      <c r="NMT351" s="50"/>
      <c r="NMU351" s="50"/>
      <c r="NMV351" s="50"/>
      <c r="NMW351" s="50"/>
      <c r="NMX351" s="50"/>
      <c r="NMY351" s="50"/>
      <c r="NMZ351" s="50"/>
      <c r="NNA351" s="50"/>
      <c r="NNB351" s="50"/>
      <c r="NNC351" s="50"/>
      <c r="NND351" s="50"/>
      <c r="NNE351" s="50"/>
      <c r="NNF351" s="50"/>
      <c r="NNG351" s="50"/>
      <c r="NNH351" s="50"/>
      <c r="NNI351" s="50"/>
      <c r="NNJ351" s="50"/>
      <c r="NNK351" s="50"/>
      <c r="NNL351" s="50"/>
      <c r="NNM351" s="50"/>
      <c r="NNN351" s="50"/>
      <c r="NNO351" s="50"/>
      <c r="NNP351" s="50"/>
      <c r="NNQ351" s="50"/>
      <c r="NNR351" s="50"/>
      <c r="NNS351" s="50"/>
      <c r="NNT351" s="50"/>
      <c r="NNU351" s="50"/>
      <c r="NNV351" s="50"/>
      <c r="NNW351" s="50"/>
      <c r="NNX351" s="50"/>
      <c r="NNY351" s="50"/>
      <c r="NNZ351" s="50"/>
      <c r="NOA351" s="50"/>
      <c r="NOB351" s="50"/>
      <c r="NOC351" s="50"/>
      <c r="NOD351" s="50"/>
      <c r="NOE351" s="50"/>
      <c r="NOF351" s="50"/>
      <c r="NOG351" s="50"/>
      <c r="NOH351" s="50"/>
      <c r="NOI351" s="50"/>
      <c r="NOJ351" s="50"/>
      <c r="NOK351" s="50"/>
      <c r="NOL351" s="50"/>
      <c r="NOM351" s="50"/>
      <c r="NON351" s="50"/>
      <c r="NOO351" s="50"/>
      <c r="NOP351" s="50"/>
      <c r="NOQ351" s="50"/>
      <c r="NOR351" s="50"/>
      <c r="NOS351" s="50"/>
      <c r="NOT351" s="50"/>
      <c r="NOU351" s="50"/>
      <c r="NOV351" s="50"/>
      <c r="NOW351" s="50"/>
      <c r="NOX351" s="50"/>
      <c r="NOY351" s="50"/>
      <c r="NOZ351" s="50"/>
      <c r="NPA351" s="50"/>
      <c r="NPB351" s="50"/>
      <c r="NPC351" s="50"/>
      <c r="NPD351" s="50"/>
      <c r="NPE351" s="50"/>
      <c r="NPF351" s="50"/>
      <c r="NPG351" s="50"/>
      <c r="NPH351" s="50"/>
      <c r="NPI351" s="50"/>
      <c r="NPJ351" s="50"/>
      <c r="NPK351" s="50"/>
      <c r="NPL351" s="50"/>
      <c r="NPM351" s="50"/>
      <c r="NPN351" s="50"/>
      <c r="NPO351" s="50"/>
      <c r="NPP351" s="50"/>
      <c r="NPQ351" s="50"/>
      <c r="NPR351" s="50"/>
      <c r="NPS351" s="50"/>
      <c r="NPT351" s="50"/>
      <c r="NPU351" s="50"/>
      <c r="NPV351" s="50"/>
      <c r="NPW351" s="50"/>
      <c r="NPX351" s="50"/>
      <c r="NPY351" s="50"/>
      <c r="NPZ351" s="50"/>
      <c r="NQA351" s="50"/>
      <c r="NQB351" s="50"/>
      <c r="NQC351" s="50"/>
      <c r="NQD351" s="50"/>
      <c r="NQE351" s="50"/>
      <c r="NQF351" s="50"/>
      <c r="NQG351" s="50"/>
      <c r="NQH351" s="50"/>
      <c r="NQI351" s="50"/>
      <c r="NQJ351" s="50"/>
      <c r="NQK351" s="50"/>
      <c r="NQL351" s="50"/>
      <c r="NQM351" s="50"/>
      <c r="NQN351" s="50"/>
      <c r="NQO351" s="50"/>
      <c r="NQP351" s="50"/>
      <c r="NQQ351" s="50"/>
      <c r="NQR351" s="50"/>
      <c r="NQS351" s="50"/>
      <c r="NQT351" s="50"/>
      <c r="NQU351" s="50"/>
      <c r="NQV351" s="50"/>
      <c r="NQW351" s="50"/>
      <c r="NQX351" s="50"/>
      <c r="NQY351" s="50"/>
      <c r="NQZ351" s="50"/>
      <c r="NRA351" s="50"/>
      <c r="NRB351" s="50"/>
      <c r="NRC351" s="50"/>
      <c r="NRD351" s="50"/>
      <c r="NRE351" s="50"/>
      <c r="NRF351" s="50"/>
      <c r="NRG351" s="50"/>
      <c r="NRH351" s="50"/>
      <c r="NRI351" s="50"/>
      <c r="NRJ351" s="50"/>
      <c r="NRK351" s="50"/>
      <c r="NRL351" s="50"/>
      <c r="NRM351" s="50"/>
      <c r="NRN351" s="50"/>
      <c r="NRO351" s="50"/>
      <c r="NRP351" s="50"/>
      <c r="NRQ351" s="50"/>
      <c r="NRR351" s="50"/>
      <c r="NRS351" s="50"/>
      <c r="NRT351" s="50"/>
      <c r="NRU351" s="50"/>
      <c r="NRV351" s="50"/>
      <c r="NRW351" s="50"/>
      <c r="NRX351" s="50"/>
      <c r="NRY351" s="50"/>
      <c r="NRZ351" s="50"/>
      <c r="NSA351" s="50"/>
      <c r="NSB351" s="50"/>
      <c r="NSC351" s="50"/>
      <c r="NSD351" s="50"/>
      <c r="NSE351" s="50"/>
      <c r="NSF351" s="50"/>
      <c r="NSG351" s="50"/>
      <c r="NSH351" s="50"/>
      <c r="NSI351" s="50"/>
      <c r="NSJ351" s="50"/>
      <c r="NSK351" s="50"/>
      <c r="NSL351" s="50"/>
      <c r="NSM351" s="50"/>
      <c r="NSN351" s="50"/>
      <c r="NSO351" s="50"/>
      <c r="NSP351" s="50"/>
      <c r="NSQ351" s="50"/>
      <c r="NSR351" s="50"/>
      <c r="NSS351" s="50"/>
      <c r="NST351" s="50"/>
      <c r="NSU351" s="50"/>
      <c r="NSV351" s="50"/>
      <c r="NSW351" s="50"/>
      <c r="NSX351" s="50"/>
      <c r="NSY351" s="50"/>
      <c r="NSZ351" s="50"/>
      <c r="NTA351" s="50"/>
      <c r="NTB351" s="50"/>
      <c r="NTC351" s="50"/>
      <c r="NTD351" s="50"/>
      <c r="NTE351" s="50"/>
      <c r="NTF351" s="50"/>
      <c r="NTG351" s="50"/>
      <c r="NTH351" s="50"/>
      <c r="NTI351" s="50"/>
      <c r="NTJ351" s="50"/>
      <c r="NTK351" s="50"/>
      <c r="NTL351" s="50"/>
      <c r="NTM351" s="50"/>
      <c r="NTN351" s="50"/>
      <c r="NTO351" s="50"/>
      <c r="NTP351" s="50"/>
      <c r="NTQ351" s="50"/>
      <c r="NTR351" s="50"/>
      <c r="NTS351" s="50"/>
      <c r="NTT351" s="50"/>
      <c r="NTU351" s="50"/>
      <c r="NTV351" s="50"/>
      <c r="NTW351" s="50"/>
      <c r="NTX351" s="50"/>
      <c r="NTY351" s="50"/>
      <c r="NTZ351" s="50"/>
      <c r="NUA351" s="50"/>
      <c r="NUB351" s="50"/>
      <c r="NUC351" s="50"/>
      <c r="NUD351" s="50"/>
      <c r="NUE351" s="50"/>
      <c r="NUF351" s="50"/>
      <c r="NUG351" s="50"/>
      <c r="NUH351" s="50"/>
      <c r="NUI351" s="50"/>
      <c r="NUJ351" s="50"/>
      <c r="NUK351" s="50"/>
      <c r="NUL351" s="50"/>
      <c r="NUM351" s="50"/>
      <c r="NUN351" s="50"/>
      <c r="NUO351" s="50"/>
      <c r="NUP351" s="50"/>
      <c r="NUQ351" s="50"/>
      <c r="NUR351" s="50"/>
      <c r="NUS351" s="50"/>
      <c r="NUT351" s="50"/>
      <c r="NUU351" s="50"/>
      <c r="NUV351" s="50"/>
      <c r="NUW351" s="50"/>
      <c r="NUX351" s="50"/>
      <c r="NUY351" s="50"/>
      <c r="NUZ351" s="50"/>
      <c r="NVA351" s="50"/>
      <c r="NVB351" s="50"/>
      <c r="NVC351" s="50"/>
      <c r="NVD351" s="50"/>
      <c r="NVE351" s="50"/>
      <c r="NVF351" s="50"/>
      <c r="NVG351" s="50"/>
      <c r="NVH351" s="50"/>
      <c r="NVI351" s="50"/>
      <c r="NVJ351" s="50"/>
      <c r="NVK351" s="50"/>
      <c r="NVL351" s="50"/>
      <c r="NVM351" s="50"/>
      <c r="NVN351" s="50"/>
      <c r="NVO351" s="50"/>
      <c r="NVP351" s="50"/>
      <c r="NVQ351" s="50"/>
      <c r="NVR351" s="50"/>
      <c r="NVS351" s="50"/>
      <c r="NVT351" s="50"/>
      <c r="NVU351" s="50"/>
      <c r="NVV351" s="50"/>
      <c r="NVW351" s="50"/>
      <c r="NVX351" s="50"/>
      <c r="NVY351" s="50"/>
      <c r="NVZ351" s="50"/>
      <c r="NWA351" s="50"/>
      <c r="NWB351" s="50"/>
      <c r="NWC351" s="50"/>
      <c r="NWD351" s="50"/>
      <c r="NWE351" s="50"/>
      <c r="NWF351" s="50"/>
      <c r="NWG351" s="50"/>
      <c r="NWH351" s="50"/>
      <c r="NWI351" s="50"/>
      <c r="NWJ351" s="50"/>
      <c r="NWK351" s="50"/>
      <c r="NWL351" s="50"/>
      <c r="NWM351" s="50"/>
      <c r="NWN351" s="50"/>
      <c r="NWO351" s="50"/>
      <c r="NWP351" s="50"/>
      <c r="NWQ351" s="50"/>
      <c r="NWR351" s="50"/>
      <c r="NWS351" s="50"/>
      <c r="NWT351" s="50"/>
      <c r="NWU351" s="50"/>
      <c r="NWV351" s="50"/>
      <c r="NWW351" s="50"/>
      <c r="NWX351" s="50"/>
      <c r="NWY351" s="50"/>
      <c r="NWZ351" s="50"/>
      <c r="NXA351" s="50"/>
      <c r="NXB351" s="50"/>
      <c r="NXC351" s="50"/>
      <c r="NXD351" s="50"/>
      <c r="NXE351" s="50"/>
      <c r="NXF351" s="50"/>
      <c r="NXG351" s="50"/>
      <c r="NXH351" s="50"/>
      <c r="NXI351" s="50"/>
      <c r="NXJ351" s="50"/>
      <c r="NXK351" s="50"/>
      <c r="NXL351" s="50"/>
      <c r="NXM351" s="50"/>
      <c r="NXN351" s="50"/>
      <c r="NXO351" s="50"/>
      <c r="NXP351" s="50"/>
      <c r="NXQ351" s="50"/>
      <c r="NXR351" s="50"/>
      <c r="NXS351" s="50"/>
      <c r="NXT351" s="50"/>
      <c r="NXU351" s="50"/>
      <c r="NXV351" s="50"/>
      <c r="NXW351" s="50"/>
      <c r="NXX351" s="50"/>
      <c r="NXY351" s="50"/>
      <c r="NXZ351" s="50"/>
      <c r="NYA351" s="50"/>
      <c r="NYB351" s="50"/>
      <c r="NYC351" s="50"/>
      <c r="NYD351" s="50"/>
      <c r="NYE351" s="50"/>
      <c r="NYF351" s="50"/>
      <c r="NYG351" s="50"/>
      <c r="NYH351" s="50"/>
      <c r="NYI351" s="50"/>
      <c r="NYJ351" s="50"/>
      <c r="NYK351" s="50"/>
      <c r="NYL351" s="50"/>
      <c r="NYM351" s="50"/>
      <c r="NYN351" s="50"/>
      <c r="NYO351" s="50"/>
      <c r="NYP351" s="50"/>
      <c r="NYQ351" s="50"/>
      <c r="NYR351" s="50"/>
      <c r="NYS351" s="50"/>
      <c r="NYT351" s="50"/>
      <c r="NYU351" s="50"/>
      <c r="NYV351" s="50"/>
      <c r="NYW351" s="50"/>
      <c r="NYX351" s="50"/>
      <c r="NYY351" s="50"/>
      <c r="NYZ351" s="50"/>
      <c r="NZA351" s="50"/>
      <c r="NZB351" s="50"/>
      <c r="NZC351" s="50"/>
      <c r="NZD351" s="50"/>
      <c r="NZE351" s="50"/>
      <c r="NZF351" s="50"/>
      <c r="NZG351" s="50"/>
      <c r="NZH351" s="50"/>
      <c r="NZI351" s="50"/>
      <c r="NZJ351" s="50"/>
      <c r="NZK351" s="50"/>
      <c r="NZL351" s="50"/>
      <c r="NZM351" s="50"/>
      <c r="NZN351" s="50"/>
      <c r="NZO351" s="50"/>
      <c r="NZP351" s="50"/>
      <c r="NZQ351" s="50"/>
      <c r="NZR351" s="50"/>
      <c r="NZS351" s="50"/>
      <c r="NZT351" s="50"/>
      <c r="NZU351" s="50"/>
      <c r="NZV351" s="50"/>
      <c r="NZW351" s="50"/>
      <c r="NZX351" s="50"/>
      <c r="NZY351" s="50"/>
      <c r="NZZ351" s="50"/>
      <c r="OAA351" s="50"/>
      <c r="OAB351" s="50"/>
      <c r="OAC351" s="50"/>
      <c r="OAD351" s="50"/>
      <c r="OAE351" s="50"/>
      <c r="OAF351" s="50"/>
      <c r="OAG351" s="50"/>
      <c r="OAH351" s="50"/>
      <c r="OAI351" s="50"/>
      <c r="OAJ351" s="50"/>
      <c r="OAK351" s="50"/>
      <c r="OAL351" s="50"/>
      <c r="OAM351" s="50"/>
      <c r="OAN351" s="50"/>
      <c r="OAO351" s="50"/>
      <c r="OAP351" s="50"/>
      <c r="OAQ351" s="50"/>
      <c r="OAR351" s="50"/>
      <c r="OAS351" s="50"/>
      <c r="OAT351" s="50"/>
      <c r="OAU351" s="50"/>
      <c r="OAV351" s="50"/>
      <c r="OAW351" s="50"/>
      <c r="OAX351" s="50"/>
      <c r="OAY351" s="50"/>
      <c r="OAZ351" s="50"/>
      <c r="OBA351" s="50"/>
      <c r="OBB351" s="50"/>
      <c r="OBC351" s="50"/>
      <c r="OBD351" s="50"/>
      <c r="OBE351" s="50"/>
      <c r="OBF351" s="50"/>
      <c r="OBG351" s="50"/>
      <c r="OBH351" s="50"/>
      <c r="OBI351" s="50"/>
      <c r="OBJ351" s="50"/>
      <c r="OBK351" s="50"/>
      <c r="OBL351" s="50"/>
      <c r="OBM351" s="50"/>
      <c r="OBN351" s="50"/>
      <c r="OBO351" s="50"/>
      <c r="OBP351" s="50"/>
      <c r="OBQ351" s="50"/>
      <c r="OBR351" s="50"/>
      <c r="OBS351" s="50"/>
      <c r="OBT351" s="50"/>
      <c r="OBU351" s="50"/>
      <c r="OBV351" s="50"/>
      <c r="OBW351" s="50"/>
      <c r="OBX351" s="50"/>
      <c r="OBY351" s="50"/>
      <c r="OBZ351" s="50"/>
      <c r="OCA351" s="50"/>
      <c r="OCB351" s="50"/>
      <c r="OCC351" s="50"/>
      <c r="OCD351" s="50"/>
      <c r="OCE351" s="50"/>
      <c r="OCF351" s="50"/>
      <c r="OCG351" s="50"/>
      <c r="OCH351" s="50"/>
      <c r="OCI351" s="50"/>
      <c r="OCJ351" s="50"/>
      <c r="OCK351" s="50"/>
      <c r="OCL351" s="50"/>
      <c r="OCM351" s="50"/>
      <c r="OCN351" s="50"/>
      <c r="OCO351" s="50"/>
      <c r="OCP351" s="50"/>
      <c r="OCQ351" s="50"/>
      <c r="OCR351" s="50"/>
      <c r="OCS351" s="50"/>
      <c r="OCT351" s="50"/>
      <c r="OCU351" s="50"/>
      <c r="OCV351" s="50"/>
      <c r="OCW351" s="50"/>
      <c r="OCX351" s="50"/>
      <c r="OCY351" s="50"/>
      <c r="OCZ351" s="50"/>
      <c r="ODA351" s="50"/>
      <c r="ODB351" s="50"/>
      <c r="ODC351" s="50"/>
      <c r="ODD351" s="50"/>
      <c r="ODE351" s="50"/>
      <c r="ODF351" s="50"/>
      <c r="ODG351" s="50"/>
      <c r="ODH351" s="50"/>
      <c r="ODI351" s="50"/>
      <c r="ODJ351" s="50"/>
      <c r="ODK351" s="50"/>
      <c r="ODL351" s="50"/>
      <c r="ODM351" s="50"/>
      <c r="ODN351" s="50"/>
      <c r="ODO351" s="50"/>
      <c r="ODP351" s="50"/>
      <c r="ODQ351" s="50"/>
      <c r="ODR351" s="50"/>
      <c r="ODS351" s="50"/>
      <c r="ODT351" s="50"/>
      <c r="ODU351" s="50"/>
      <c r="ODV351" s="50"/>
      <c r="ODW351" s="50"/>
      <c r="ODX351" s="50"/>
      <c r="ODY351" s="50"/>
      <c r="ODZ351" s="50"/>
      <c r="OEA351" s="50"/>
      <c r="OEB351" s="50"/>
      <c r="OEC351" s="50"/>
      <c r="OED351" s="50"/>
      <c r="OEE351" s="50"/>
      <c r="OEF351" s="50"/>
      <c r="OEG351" s="50"/>
      <c r="OEH351" s="50"/>
      <c r="OEI351" s="50"/>
      <c r="OEJ351" s="50"/>
      <c r="OEK351" s="50"/>
      <c r="OEL351" s="50"/>
      <c r="OEM351" s="50"/>
      <c r="OEN351" s="50"/>
      <c r="OEO351" s="50"/>
      <c r="OEP351" s="50"/>
      <c r="OEQ351" s="50"/>
      <c r="OER351" s="50"/>
      <c r="OES351" s="50"/>
      <c r="OET351" s="50"/>
      <c r="OEU351" s="50"/>
      <c r="OEV351" s="50"/>
      <c r="OEW351" s="50"/>
      <c r="OEX351" s="50"/>
      <c r="OEY351" s="50"/>
      <c r="OEZ351" s="50"/>
      <c r="OFA351" s="50"/>
      <c r="OFB351" s="50"/>
      <c r="OFC351" s="50"/>
      <c r="OFD351" s="50"/>
      <c r="OFE351" s="50"/>
      <c r="OFF351" s="50"/>
      <c r="OFG351" s="50"/>
      <c r="OFH351" s="50"/>
      <c r="OFI351" s="50"/>
      <c r="OFJ351" s="50"/>
      <c r="OFK351" s="50"/>
      <c r="OFL351" s="50"/>
      <c r="OFM351" s="50"/>
      <c r="OFN351" s="50"/>
      <c r="OFO351" s="50"/>
      <c r="OFP351" s="50"/>
      <c r="OFQ351" s="50"/>
      <c r="OFR351" s="50"/>
      <c r="OFS351" s="50"/>
      <c r="OFT351" s="50"/>
      <c r="OFU351" s="50"/>
      <c r="OFV351" s="50"/>
      <c r="OFW351" s="50"/>
      <c r="OFX351" s="50"/>
      <c r="OFY351" s="50"/>
      <c r="OFZ351" s="50"/>
      <c r="OGA351" s="50"/>
      <c r="OGB351" s="50"/>
      <c r="OGC351" s="50"/>
      <c r="OGD351" s="50"/>
      <c r="OGE351" s="50"/>
      <c r="OGF351" s="50"/>
      <c r="OGG351" s="50"/>
      <c r="OGH351" s="50"/>
      <c r="OGI351" s="50"/>
      <c r="OGJ351" s="50"/>
      <c r="OGK351" s="50"/>
      <c r="OGL351" s="50"/>
      <c r="OGM351" s="50"/>
      <c r="OGN351" s="50"/>
      <c r="OGO351" s="50"/>
      <c r="OGP351" s="50"/>
      <c r="OGQ351" s="50"/>
      <c r="OGR351" s="50"/>
      <c r="OGS351" s="50"/>
      <c r="OGT351" s="50"/>
      <c r="OGU351" s="50"/>
      <c r="OGV351" s="50"/>
      <c r="OGW351" s="50"/>
      <c r="OGX351" s="50"/>
      <c r="OGY351" s="50"/>
      <c r="OGZ351" s="50"/>
      <c r="OHA351" s="50"/>
      <c r="OHB351" s="50"/>
      <c r="OHC351" s="50"/>
      <c r="OHD351" s="50"/>
      <c r="OHE351" s="50"/>
      <c r="OHF351" s="50"/>
      <c r="OHG351" s="50"/>
      <c r="OHH351" s="50"/>
      <c r="OHI351" s="50"/>
      <c r="OHJ351" s="50"/>
      <c r="OHK351" s="50"/>
      <c r="OHL351" s="50"/>
      <c r="OHM351" s="50"/>
      <c r="OHN351" s="50"/>
      <c r="OHO351" s="50"/>
      <c r="OHP351" s="50"/>
      <c r="OHQ351" s="50"/>
      <c r="OHR351" s="50"/>
      <c r="OHS351" s="50"/>
      <c r="OHT351" s="50"/>
      <c r="OHU351" s="50"/>
      <c r="OHV351" s="50"/>
      <c r="OHW351" s="50"/>
      <c r="OHX351" s="50"/>
      <c r="OHY351" s="50"/>
      <c r="OHZ351" s="50"/>
      <c r="OIA351" s="50"/>
      <c r="OIB351" s="50"/>
      <c r="OIC351" s="50"/>
      <c r="OID351" s="50"/>
      <c r="OIE351" s="50"/>
      <c r="OIF351" s="50"/>
      <c r="OIG351" s="50"/>
      <c r="OIH351" s="50"/>
      <c r="OII351" s="50"/>
      <c r="OIJ351" s="50"/>
      <c r="OIK351" s="50"/>
      <c r="OIL351" s="50"/>
      <c r="OIM351" s="50"/>
      <c r="OIN351" s="50"/>
      <c r="OIO351" s="50"/>
      <c r="OIP351" s="50"/>
      <c r="OIQ351" s="50"/>
      <c r="OIR351" s="50"/>
      <c r="OIS351" s="50"/>
      <c r="OIT351" s="50"/>
      <c r="OIU351" s="50"/>
      <c r="OIV351" s="50"/>
      <c r="OIW351" s="50"/>
      <c r="OIX351" s="50"/>
      <c r="OIY351" s="50"/>
      <c r="OIZ351" s="50"/>
      <c r="OJA351" s="50"/>
      <c r="OJB351" s="50"/>
      <c r="OJC351" s="50"/>
      <c r="OJD351" s="50"/>
      <c r="OJE351" s="50"/>
      <c r="OJF351" s="50"/>
      <c r="OJG351" s="50"/>
      <c r="OJH351" s="50"/>
      <c r="OJI351" s="50"/>
      <c r="OJJ351" s="50"/>
      <c r="OJK351" s="50"/>
      <c r="OJL351" s="50"/>
      <c r="OJM351" s="50"/>
      <c r="OJN351" s="50"/>
      <c r="OJO351" s="50"/>
      <c r="OJP351" s="50"/>
      <c r="OJQ351" s="50"/>
      <c r="OJR351" s="50"/>
      <c r="OJS351" s="50"/>
      <c r="OJT351" s="50"/>
      <c r="OJU351" s="50"/>
      <c r="OJV351" s="50"/>
      <c r="OJW351" s="50"/>
      <c r="OJX351" s="50"/>
      <c r="OJY351" s="50"/>
      <c r="OJZ351" s="50"/>
      <c r="OKA351" s="50"/>
      <c r="OKB351" s="50"/>
      <c r="OKC351" s="50"/>
      <c r="OKD351" s="50"/>
      <c r="OKE351" s="50"/>
      <c r="OKF351" s="50"/>
      <c r="OKG351" s="50"/>
      <c r="OKH351" s="50"/>
      <c r="OKI351" s="50"/>
      <c r="OKJ351" s="50"/>
      <c r="OKK351" s="50"/>
      <c r="OKL351" s="50"/>
      <c r="OKM351" s="50"/>
      <c r="OKN351" s="50"/>
      <c r="OKO351" s="50"/>
      <c r="OKP351" s="50"/>
      <c r="OKQ351" s="50"/>
      <c r="OKR351" s="50"/>
      <c r="OKS351" s="50"/>
      <c r="OKT351" s="50"/>
      <c r="OKU351" s="50"/>
      <c r="OKV351" s="50"/>
      <c r="OKW351" s="50"/>
      <c r="OKX351" s="50"/>
      <c r="OKY351" s="50"/>
      <c r="OKZ351" s="50"/>
      <c r="OLA351" s="50"/>
      <c r="OLB351" s="50"/>
      <c r="OLC351" s="50"/>
      <c r="OLD351" s="50"/>
      <c r="OLE351" s="50"/>
      <c r="OLF351" s="50"/>
      <c r="OLG351" s="50"/>
      <c r="OLH351" s="50"/>
      <c r="OLI351" s="50"/>
      <c r="OLJ351" s="50"/>
      <c r="OLK351" s="50"/>
      <c r="OLL351" s="50"/>
      <c r="OLM351" s="50"/>
      <c r="OLN351" s="50"/>
      <c r="OLO351" s="50"/>
      <c r="OLP351" s="50"/>
      <c r="OLQ351" s="50"/>
      <c r="OLR351" s="50"/>
      <c r="OLS351" s="50"/>
      <c r="OLT351" s="50"/>
      <c r="OLU351" s="50"/>
      <c r="OLV351" s="50"/>
      <c r="OLW351" s="50"/>
      <c r="OLX351" s="50"/>
      <c r="OLY351" s="50"/>
      <c r="OLZ351" s="50"/>
      <c r="OMA351" s="50"/>
      <c r="OMB351" s="50"/>
      <c r="OMC351" s="50"/>
      <c r="OMD351" s="50"/>
      <c r="OME351" s="50"/>
      <c r="OMF351" s="50"/>
      <c r="OMG351" s="50"/>
      <c r="OMH351" s="50"/>
      <c r="OMI351" s="50"/>
      <c r="OMJ351" s="50"/>
      <c r="OMK351" s="50"/>
      <c r="OML351" s="50"/>
      <c r="OMM351" s="50"/>
      <c r="OMN351" s="50"/>
      <c r="OMO351" s="50"/>
      <c r="OMP351" s="50"/>
      <c r="OMQ351" s="50"/>
      <c r="OMR351" s="50"/>
      <c r="OMS351" s="50"/>
      <c r="OMT351" s="50"/>
      <c r="OMU351" s="50"/>
      <c r="OMV351" s="50"/>
      <c r="OMW351" s="50"/>
      <c r="OMX351" s="50"/>
      <c r="OMY351" s="50"/>
      <c r="OMZ351" s="50"/>
      <c r="ONA351" s="50"/>
      <c r="ONB351" s="50"/>
      <c r="ONC351" s="50"/>
      <c r="OND351" s="50"/>
      <c r="ONE351" s="50"/>
      <c r="ONF351" s="50"/>
      <c r="ONG351" s="50"/>
      <c r="ONH351" s="50"/>
      <c r="ONI351" s="50"/>
      <c r="ONJ351" s="50"/>
      <c r="ONK351" s="50"/>
      <c r="ONL351" s="50"/>
      <c r="ONM351" s="50"/>
      <c r="ONN351" s="50"/>
      <c r="ONO351" s="50"/>
      <c r="ONP351" s="50"/>
      <c r="ONQ351" s="50"/>
      <c r="ONR351" s="50"/>
      <c r="ONS351" s="50"/>
      <c r="ONT351" s="50"/>
      <c r="ONU351" s="50"/>
      <c r="ONV351" s="50"/>
      <c r="ONW351" s="50"/>
      <c r="ONX351" s="50"/>
      <c r="ONY351" s="50"/>
      <c r="ONZ351" s="50"/>
      <c r="OOA351" s="50"/>
      <c r="OOB351" s="50"/>
      <c r="OOC351" s="50"/>
      <c r="OOD351" s="50"/>
      <c r="OOE351" s="50"/>
      <c r="OOF351" s="50"/>
      <c r="OOG351" s="50"/>
      <c r="OOH351" s="50"/>
      <c r="OOI351" s="50"/>
      <c r="OOJ351" s="50"/>
      <c r="OOK351" s="50"/>
      <c r="OOL351" s="50"/>
      <c r="OOM351" s="50"/>
      <c r="OON351" s="50"/>
      <c r="OOO351" s="50"/>
      <c r="OOP351" s="50"/>
      <c r="OOQ351" s="50"/>
      <c r="OOR351" s="50"/>
      <c r="OOS351" s="50"/>
      <c r="OOT351" s="50"/>
      <c r="OOU351" s="50"/>
      <c r="OOV351" s="50"/>
      <c r="OOW351" s="50"/>
      <c r="OOX351" s="50"/>
      <c r="OOY351" s="50"/>
      <c r="OOZ351" s="50"/>
      <c r="OPA351" s="50"/>
      <c r="OPB351" s="50"/>
      <c r="OPC351" s="50"/>
      <c r="OPD351" s="50"/>
      <c r="OPE351" s="50"/>
      <c r="OPF351" s="50"/>
      <c r="OPG351" s="50"/>
      <c r="OPH351" s="50"/>
      <c r="OPI351" s="50"/>
      <c r="OPJ351" s="50"/>
      <c r="OPK351" s="50"/>
      <c r="OPL351" s="50"/>
      <c r="OPM351" s="50"/>
      <c r="OPN351" s="50"/>
      <c r="OPO351" s="50"/>
      <c r="OPP351" s="50"/>
      <c r="OPQ351" s="50"/>
      <c r="OPR351" s="50"/>
      <c r="OPS351" s="50"/>
      <c r="OPT351" s="50"/>
      <c r="OPU351" s="50"/>
      <c r="OPV351" s="50"/>
      <c r="OPW351" s="50"/>
      <c r="OPX351" s="50"/>
      <c r="OPY351" s="50"/>
      <c r="OPZ351" s="50"/>
      <c r="OQA351" s="50"/>
      <c r="OQB351" s="50"/>
      <c r="OQC351" s="50"/>
      <c r="OQD351" s="50"/>
      <c r="OQE351" s="50"/>
      <c r="OQF351" s="50"/>
      <c r="OQG351" s="50"/>
      <c r="OQH351" s="50"/>
      <c r="OQI351" s="50"/>
      <c r="OQJ351" s="50"/>
      <c r="OQK351" s="50"/>
      <c r="OQL351" s="50"/>
      <c r="OQM351" s="50"/>
      <c r="OQN351" s="50"/>
      <c r="OQO351" s="50"/>
      <c r="OQP351" s="50"/>
      <c r="OQQ351" s="50"/>
      <c r="OQR351" s="50"/>
      <c r="OQS351" s="50"/>
      <c r="OQT351" s="50"/>
      <c r="OQU351" s="50"/>
      <c r="OQV351" s="50"/>
      <c r="OQW351" s="50"/>
      <c r="OQX351" s="50"/>
      <c r="OQY351" s="50"/>
      <c r="OQZ351" s="50"/>
      <c r="ORA351" s="50"/>
      <c r="ORB351" s="50"/>
      <c r="ORC351" s="50"/>
      <c r="ORD351" s="50"/>
      <c r="ORE351" s="50"/>
      <c r="ORF351" s="50"/>
      <c r="ORG351" s="50"/>
      <c r="ORH351" s="50"/>
      <c r="ORI351" s="50"/>
      <c r="ORJ351" s="50"/>
      <c r="ORK351" s="50"/>
      <c r="ORL351" s="50"/>
      <c r="ORM351" s="50"/>
      <c r="ORN351" s="50"/>
      <c r="ORO351" s="50"/>
      <c r="ORP351" s="50"/>
      <c r="ORQ351" s="50"/>
      <c r="ORR351" s="50"/>
      <c r="ORS351" s="50"/>
      <c r="ORT351" s="50"/>
      <c r="ORU351" s="50"/>
      <c r="ORV351" s="50"/>
      <c r="ORW351" s="50"/>
      <c r="ORX351" s="50"/>
      <c r="ORY351" s="50"/>
      <c r="ORZ351" s="50"/>
      <c r="OSA351" s="50"/>
      <c r="OSB351" s="50"/>
      <c r="OSC351" s="50"/>
      <c r="OSD351" s="50"/>
      <c r="OSE351" s="50"/>
      <c r="OSF351" s="50"/>
      <c r="OSG351" s="50"/>
      <c r="OSH351" s="50"/>
      <c r="OSI351" s="50"/>
      <c r="OSJ351" s="50"/>
      <c r="OSK351" s="50"/>
      <c r="OSL351" s="50"/>
      <c r="OSM351" s="50"/>
      <c r="OSN351" s="50"/>
      <c r="OSO351" s="50"/>
      <c r="OSP351" s="50"/>
      <c r="OSQ351" s="50"/>
      <c r="OSR351" s="50"/>
      <c r="OSS351" s="50"/>
      <c r="OST351" s="50"/>
      <c r="OSU351" s="50"/>
      <c r="OSV351" s="50"/>
      <c r="OSW351" s="50"/>
      <c r="OSX351" s="50"/>
      <c r="OSY351" s="50"/>
      <c r="OSZ351" s="50"/>
      <c r="OTA351" s="50"/>
      <c r="OTB351" s="50"/>
      <c r="OTC351" s="50"/>
      <c r="OTD351" s="50"/>
      <c r="OTE351" s="50"/>
      <c r="OTF351" s="50"/>
      <c r="OTG351" s="50"/>
      <c r="OTH351" s="50"/>
      <c r="OTI351" s="50"/>
      <c r="OTJ351" s="50"/>
      <c r="OTK351" s="50"/>
      <c r="OTL351" s="50"/>
      <c r="OTM351" s="50"/>
      <c r="OTN351" s="50"/>
      <c r="OTO351" s="50"/>
      <c r="OTP351" s="50"/>
      <c r="OTQ351" s="50"/>
      <c r="OTR351" s="50"/>
      <c r="OTS351" s="50"/>
      <c r="OTT351" s="50"/>
      <c r="OTU351" s="50"/>
      <c r="OTV351" s="50"/>
      <c r="OTW351" s="50"/>
      <c r="OTX351" s="50"/>
      <c r="OTY351" s="50"/>
      <c r="OTZ351" s="50"/>
      <c r="OUA351" s="50"/>
      <c r="OUB351" s="50"/>
      <c r="OUC351" s="50"/>
      <c r="OUD351" s="50"/>
      <c r="OUE351" s="50"/>
      <c r="OUF351" s="50"/>
      <c r="OUG351" s="50"/>
      <c r="OUH351" s="50"/>
      <c r="OUI351" s="50"/>
      <c r="OUJ351" s="50"/>
      <c r="OUK351" s="50"/>
      <c r="OUL351" s="50"/>
      <c r="OUM351" s="50"/>
      <c r="OUN351" s="50"/>
      <c r="OUO351" s="50"/>
      <c r="OUP351" s="50"/>
      <c r="OUQ351" s="50"/>
      <c r="OUR351" s="50"/>
      <c r="OUS351" s="50"/>
      <c r="OUT351" s="50"/>
      <c r="OUU351" s="50"/>
      <c r="OUV351" s="50"/>
      <c r="OUW351" s="50"/>
      <c r="OUX351" s="50"/>
      <c r="OUY351" s="50"/>
      <c r="OUZ351" s="50"/>
      <c r="OVA351" s="50"/>
      <c r="OVB351" s="50"/>
      <c r="OVC351" s="50"/>
      <c r="OVD351" s="50"/>
      <c r="OVE351" s="50"/>
      <c r="OVF351" s="50"/>
      <c r="OVG351" s="50"/>
      <c r="OVH351" s="50"/>
      <c r="OVI351" s="50"/>
      <c r="OVJ351" s="50"/>
      <c r="OVK351" s="50"/>
      <c r="OVL351" s="50"/>
      <c r="OVM351" s="50"/>
      <c r="OVN351" s="50"/>
      <c r="OVO351" s="50"/>
      <c r="OVP351" s="50"/>
      <c r="OVQ351" s="50"/>
      <c r="OVR351" s="50"/>
      <c r="OVS351" s="50"/>
      <c r="OVT351" s="50"/>
      <c r="OVU351" s="50"/>
      <c r="OVV351" s="50"/>
      <c r="OVW351" s="50"/>
      <c r="OVX351" s="50"/>
      <c r="OVY351" s="50"/>
      <c r="OVZ351" s="50"/>
      <c r="OWA351" s="50"/>
      <c r="OWB351" s="50"/>
      <c r="OWC351" s="50"/>
      <c r="OWD351" s="50"/>
      <c r="OWE351" s="50"/>
      <c r="OWF351" s="50"/>
      <c r="OWG351" s="50"/>
      <c r="OWH351" s="50"/>
      <c r="OWI351" s="50"/>
      <c r="OWJ351" s="50"/>
      <c r="OWK351" s="50"/>
      <c r="OWL351" s="50"/>
      <c r="OWM351" s="50"/>
      <c r="OWN351" s="50"/>
      <c r="OWO351" s="50"/>
      <c r="OWP351" s="50"/>
      <c r="OWQ351" s="50"/>
      <c r="OWR351" s="50"/>
      <c r="OWS351" s="50"/>
      <c r="OWT351" s="50"/>
      <c r="OWU351" s="50"/>
      <c r="OWV351" s="50"/>
      <c r="OWW351" s="50"/>
      <c r="OWX351" s="50"/>
      <c r="OWY351" s="50"/>
      <c r="OWZ351" s="50"/>
      <c r="OXA351" s="50"/>
      <c r="OXB351" s="50"/>
      <c r="OXC351" s="50"/>
      <c r="OXD351" s="50"/>
      <c r="OXE351" s="50"/>
      <c r="OXF351" s="50"/>
      <c r="OXG351" s="50"/>
      <c r="OXH351" s="50"/>
      <c r="OXI351" s="50"/>
      <c r="OXJ351" s="50"/>
      <c r="OXK351" s="50"/>
      <c r="OXL351" s="50"/>
      <c r="OXM351" s="50"/>
      <c r="OXN351" s="50"/>
      <c r="OXO351" s="50"/>
      <c r="OXP351" s="50"/>
      <c r="OXQ351" s="50"/>
      <c r="OXR351" s="50"/>
      <c r="OXS351" s="50"/>
      <c r="OXT351" s="50"/>
      <c r="OXU351" s="50"/>
      <c r="OXV351" s="50"/>
      <c r="OXW351" s="50"/>
      <c r="OXX351" s="50"/>
      <c r="OXY351" s="50"/>
      <c r="OXZ351" s="50"/>
      <c r="OYA351" s="50"/>
      <c r="OYB351" s="50"/>
      <c r="OYC351" s="50"/>
      <c r="OYD351" s="50"/>
      <c r="OYE351" s="50"/>
      <c r="OYF351" s="50"/>
      <c r="OYG351" s="50"/>
      <c r="OYH351" s="50"/>
      <c r="OYI351" s="50"/>
      <c r="OYJ351" s="50"/>
      <c r="OYK351" s="50"/>
      <c r="OYL351" s="50"/>
      <c r="OYM351" s="50"/>
      <c r="OYN351" s="50"/>
      <c r="OYO351" s="50"/>
      <c r="OYP351" s="50"/>
      <c r="OYQ351" s="50"/>
      <c r="OYR351" s="50"/>
      <c r="OYS351" s="50"/>
      <c r="OYT351" s="50"/>
      <c r="OYU351" s="50"/>
      <c r="OYV351" s="50"/>
      <c r="OYW351" s="50"/>
      <c r="OYX351" s="50"/>
      <c r="OYY351" s="50"/>
      <c r="OYZ351" s="50"/>
      <c r="OZA351" s="50"/>
      <c r="OZB351" s="50"/>
      <c r="OZC351" s="50"/>
      <c r="OZD351" s="50"/>
      <c r="OZE351" s="50"/>
      <c r="OZF351" s="50"/>
      <c r="OZG351" s="50"/>
      <c r="OZH351" s="50"/>
      <c r="OZI351" s="50"/>
      <c r="OZJ351" s="50"/>
      <c r="OZK351" s="50"/>
      <c r="OZL351" s="50"/>
      <c r="OZM351" s="50"/>
      <c r="OZN351" s="50"/>
      <c r="OZO351" s="50"/>
      <c r="OZP351" s="50"/>
      <c r="OZQ351" s="50"/>
      <c r="OZR351" s="50"/>
      <c r="OZS351" s="50"/>
      <c r="OZT351" s="50"/>
      <c r="OZU351" s="50"/>
      <c r="OZV351" s="50"/>
      <c r="OZW351" s="50"/>
      <c r="OZX351" s="50"/>
      <c r="OZY351" s="50"/>
      <c r="OZZ351" s="50"/>
      <c r="PAA351" s="50"/>
      <c r="PAB351" s="50"/>
      <c r="PAC351" s="50"/>
      <c r="PAD351" s="50"/>
      <c r="PAE351" s="50"/>
      <c r="PAF351" s="50"/>
      <c r="PAG351" s="50"/>
      <c r="PAH351" s="50"/>
      <c r="PAI351" s="50"/>
      <c r="PAJ351" s="50"/>
      <c r="PAK351" s="50"/>
      <c r="PAL351" s="50"/>
      <c r="PAM351" s="50"/>
      <c r="PAN351" s="50"/>
      <c r="PAO351" s="50"/>
      <c r="PAP351" s="50"/>
      <c r="PAQ351" s="50"/>
      <c r="PAR351" s="50"/>
      <c r="PAS351" s="50"/>
      <c r="PAT351" s="50"/>
      <c r="PAU351" s="50"/>
      <c r="PAV351" s="50"/>
      <c r="PAW351" s="50"/>
      <c r="PAX351" s="50"/>
      <c r="PAY351" s="50"/>
      <c r="PAZ351" s="50"/>
      <c r="PBA351" s="50"/>
      <c r="PBB351" s="50"/>
      <c r="PBC351" s="50"/>
      <c r="PBD351" s="50"/>
      <c r="PBE351" s="50"/>
      <c r="PBF351" s="50"/>
      <c r="PBG351" s="50"/>
      <c r="PBH351" s="50"/>
      <c r="PBI351" s="50"/>
      <c r="PBJ351" s="50"/>
      <c r="PBK351" s="50"/>
      <c r="PBL351" s="50"/>
      <c r="PBM351" s="50"/>
      <c r="PBN351" s="50"/>
      <c r="PBO351" s="50"/>
      <c r="PBP351" s="50"/>
      <c r="PBQ351" s="50"/>
      <c r="PBR351" s="50"/>
      <c r="PBS351" s="50"/>
      <c r="PBT351" s="50"/>
      <c r="PBU351" s="50"/>
      <c r="PBV351" s="50"/>
      <c r="PBW351" s="50"/>
      <c r="PBX351" s="50"/>
      <c r="PBY351" s="50"/>
      <c r="PBZ351" s="50"/>
      <c r="PCA351" s="50"/>
      <c r="PCB351" s="50"/>
      <c r="PCC351" s="50"/>
      <c r="PCD351" s="50"/>
      <c r="PCE351" s="50"/>
      <c r="PCF351" s="50"/>
      <c r="PCG351" s="50"/>
      <c r="PCH351" s="50"/>
      <c r="PCI351" s="50"/>
      <c r="PCJ351" s="50"/>
      <c r="PCK351" s="50"/>
      <c r="PCL351" s="50"/>
      <c r="PCM351" s="50"/>
      <c r="PCN351" s="50"/>
      <c r="PCO351" s="50"/>
      <c r="PCP351" s="50"/>
      <c r="PCQ351" s="50"/>
      <c r="PCR351" s="50"/>
      <c r="PCS351" s="50"/>
      <c r="PCT351" s="50"/>
      <c r="PCU351" s="50"/>
      <c r="PCV351" s="50"/>
      <c r="PCW351" s="50"/>
      <c r="PCX351" s="50"/>
      <c r="PCY351" s="50"/>
      <c r="PCZ351" s="50"/>
      <c r="PDA351" s="50"/>
      <c r="PDB351" s="50"/>
      <c r="PDC351" s="50"/>
      <c r="PDD351" s="50"/>
      <c r="PDE351" s="50"/>
      <c r="PDF351" s="50"/>
      <c r="PDG351" s="50"/>
      <c r="PDH351" s="50"/>
      <c r="PDI351" s="50"/>
      <c r="PDJ351" s="50"/>
      <c r="PDK351" s="50"/>
      <c r="PDL351" s="50"/>
      <c r="PDM351" s="50"/>
      <c r="PDN351" s="50"/>
      <c r="PDO351" s="50"/>
      <c r="PDP351" s="50"/>
      <c r="PDQ351" s="50"/>
      <c r="PDR351" s="50"/>
      <c r="PDS351" s="50"/>
      <c r="PDT351" s="50"/>
      <c r="PDU351" s="50"/>
      <c r="PDV351" s="50"/>
      <c r="PDW351" s="50"/>
      <c r="PDX351" s="50"/>
      <c r="PDY351" s="50"/>
      <c r="PDZ351" s="50"/>
      <c r="PEA351" s="50"/>
      <c r="PEB351" s="50"/>
      <c r="PEC351" s="50"/>
      <c r="PED351" s="50"/>
      <c r="PEE351" s="50"/>
      <c r="PEF351" s="50"/>
      <c r="PEG351" s="50"/>
      <c r="PEH351" s="50"/>
      <c r="PEI351" s="50"/>
      <c r="PEJ351" s="50"/>
      <c r="PEK351" s="50"/>
      <c r="PEL351" s="50"/>
      <c r="PEM351" s="50"/>
      <c r="PEN351" s="50"/>
      <c r="PEO351" s="50"/>
      <c r="PEP351" s="50"/>
      <c r="PEQ351" s="50"/>
      <c r="PER351" s="50"/>
      <c r="PES351" s="50"/>
      <c r="PET351" s="50"/>
      <c r="PEU351" s="50"/>
      <c r="PEV351" s="50"/>
      <c r="PEW351" s="50"/>
      <c r="PEX351" s="50"/>
      <c r="PEY351" s="50"/>
      <c r="PEZ351" s="50"/>
      <c r="PFA351" s="50"/>
      <c r="PFB351" s="50"/>
      <c r="PFC351" s="50"/>
      <c r="PFD351" s="50"/>
      <c r="PFE351" s="50"/>
      <c r="PFF351" s="50"/>
      <c r="PFG351" s="50"/>
      <c r="PFH351" s="50"/>
      <c r="PFI351" s="50"/>
      <c r="PFJ351" s="50"/>
      <c r="PFK351" s="50"/>
      <c r="PFL351" s="50"/>
      <c r="PFM351" s="50"/>
      <c r="PFN351" s="50"/>
      <c r="PFO351" s="50"/>
      <c r="PFP351" s="50"/>
      <c r="PFQ351" s="50"/>
      <c r="PFR351" s="50"/>
      <c r="PFS351" s="50"/>
      <c r="PFT351" s="50"/>
      <c r="PFU351" s="50"/>
      <c r="PFV351" s="50"/>
      <c r="PFW351" s="50"/>
      <c r="PFX351" s="50"/>
      <c r="PFY351" s="50"/>
      <c r="PFZ351" s="50"/>
      <c r="PGA351" s="50"/>
      <c r="PGB351" s="50"/>
      <c r="PGC351" s="50"/>
      <c r="PGD351" s="50"/>
      <c r="PGE351" s="50"/>
      <c r="PGF351" s="50"/>
      <c r="PGG351" s="50"/>
      <c r="PGH351" s="50"/>
      <c r="PGI351" s="50"/>
      <c r="PGJ351" s="50"/>
      <c r="PGK351" s="50"/>
      <c r="PGL351" s="50"/>
      <c r="PGM351" s="50"/>
      <c r="PGN351" s="50"/>
      <c r="PGO351" s="50"/>
      <c r="PGP351" s="50"/>
      <c r="PGQ351" s="50"/>
      <c r="PGR351" s="50"/>
      <c r="PGS351" s="50"/>
      <c r="PGT351" s="50"/>
      <c r="PGU351" s="50"/>
      <c r="PGV351" s="50"/>
      <c r="PGW351" s="50"/>
      <c r="PGX351" s="50"/>
      <c r="PGY351" s="50"/>
      <c r="PGZ351" s="50"/>
      <c r="PHA351" s="50"/>
      <c r="PHB351" s="50"/>
      <c r="PHC351" s="50"/>
      <c r="PHD351" s="50"/>
      <c r="PHE351" s="50"/>
      <c r="PHF351" s="50"/>
      <c r="PHG351" s="50"/>
      <c r="PHH351" s="50"/>
      <c r="PHI351" s="50"/>
      <c r="PHJ351" s="50"/>
      <c r="PHK351" s="50"/>
      <c r="PHL351" s="50"/>
      <c r="PHM351" s="50"/>
      <c r="PHN351" s="50"/>
      <c r="PHO351" s="50"/>
      <c r="PHP351" s="50"/>
      <c r="PHQ351" s="50"/>
      <c r="PHR351" s="50"/>
      <c r="PHS351" s="50"/>
      <c r="PHT351" s="50"/>
      <c r="PHU351" s="50"/>
      <c r="PHV351" s="50"/>
      <c r="PHW351" s="50"/>
      <c r="PHX351" s="50"/>
      <c r="PHY351" s="50"/>
      <c r="PHZ351" s="50"/>
      <c r="PIA351" s="50"/>
      <c r="PIB351" s="50"/>
      <c r="PIC351" s="50"/>
      <c r="PID351" s="50"/>
      <c r="PIE351" s="50"/>
      <c r="PIF351" s="50"/>
      <c r="PIG351" s="50"/>
      <c r="PIH351" s="50"/>
      <c r="PII351" s="50"/>
      <c r="PIJ351" s="50"/>
      <c r="PIK351" s="50"/>
      <c r="PIL351" s="50"/>
      <c r="PIM351" s="50"/>
      <c r="PIN351" s="50"/>
      <c r="PIO351" s="50"/>
      <c r="PIP351" s="50"/>
      <c r="PIQ351" s="50"/>
      <c r="PIR351" s="50"/>
      <c r="PIS351" s="50"/>
      <c r="PIT351" s="50"/>
      <c r="PIU351" s="50"/>
      <c r="PIV351" s="50"/>
      <c r="PIW351" s="50"/>
      <c r="PIX351" s="50"/>
      <c r="PIY351" s="50"/>
      <c r="PIZ351" s="50"/>
      <c r="PJA351" s="50"/>
      <c r="PJB351" s="50"/>
      <c r="PJC351" s="50"/>
      <c r="PJD351" s="50"/>
      <c r="PJE351" s="50"/>
      <c r="PJF351" s="50"/>
      <c r="PJG351" s="50"/>
      <c r="PJH351" s="50"/>
      <c r="PJI351" s="50"/>
      <c r="PJJ351" s="50"/>
      <c r="PJK351" s="50"/>
      <c r="PJL351" s="50"/>
      <c r="PJM351" s="50"/>
      <c r="PJN351" s="50"/>
      <c r="PJO351" s="50"/>
      <c r="PJP351" s="50"/>
      <c r="PJQ351" s="50"/>
      <c r="PJR351" s="50"/>
      <c r="PJS351" s="50"/>
      <c r="PJT351" s="50"/>
      <c r="PJU351" s="50"/>
      <c r="PJV351" s="50"/>
      <c r="PJW351" s="50"/>
      <c r="PJX351" s="50"/>
      <c r="PJY351" s="50"/>
      <c r="PJZ351" s="50"/>
      <c r="PKA351" s="50"/>
      <c r="PKB351" s="50"/>
      <c r="PKC351" s="50"/>
      <c r="PKD351" s="50"/>
      <c r="PKE351" s="50"/>
      <c r="PKF351" s="50"/>
      <c r="PKG351" s="50"/>
      <c r="PKH351" s="50"/>
      <c r="PKI351" s="50"/>
      <c r="PKJ351" s="50"/>
      <c r="PKK351" s="50"/>
      <c r="PKL351" s="50"/>
      <c r="PKM351" s="50"/>
      <c r="PKN351" s="50"/>
      <c r="PKO351" s="50"/>
      <c r="PKP351" s="50"/>
      <c r="PKQ351" s="50"/>
      <c r="PKR351" s="50"/>
      <c r="PKS351" s="50"/>
      <c r="PKT351" s="50"/>
      <c r="PKU351" s="50"/>
      <c r="PKV351" s="50"/>
      <c r="PKW351" s="50"/>
      <c r="PKX351" s="50"/>
      <c r="PKY351" s="50"/>
      <c r="PKZ351" s="50"/>
      <c r="PLA351" s="50"/>
      <c r="PLB351" s="50"/>
      <c r="PLC351" s="50"/>
      <c r="PLD351" s="50"/>
      <c r="PLE351" s="50"/>
      <c r="PLF351" s="50"/>
      <c r="PLG351" s="50"/>
      <c r="PLH351" s="50"/>
      <c r="PLI351" s="50"/>
      <c r="PLJ351" s="50"/>
      <c r="PLK351" s="50"/>
      <c r="PLL351" s="50"/>
      <c r="PLM351" s="50"/>
      <c r="PLN351" s="50"/>
      <c r="PLO351" s="50"/>
      <c r="PLP351" s="50"/>
      <c r="PLQ351" s="50"/>
      <c r="PLR351" s="50"/>
      <c r="PLS351" s="50"/>
      <c r="PLT351" s="50"/>
      <c r="PLU351" s="50"/>
      <c r="PLV351" s="50"/>
      <c r="PLW351" s="50"/>
      <c r="PLX351" s="50"/>
      <c r="PLY351" s="50"/>
      <c r="PLZ351" s="50"/>
      <c r="PMA351" s="50"/>
      <c r="PMB351" s="50"/>
      <c r="PMC351" s="50"/>
      <c r="PMD351" s="50"/>
      <c r="PME351" s="50"/>
      <c r="PMF351" s="50"/>
      <c r="PMG351" s="50"/>
      <c r="PMH351" s="50"/>
      <c r="PMI351" s="50"/>
      <c r="PMJ351" s="50"/>
      <c r="PMK351" s="50"/>
      <c r="PML351" s="50"/>
      <c r="PMM351" s="50"/>
      <c r="PMN351" s="50"/>
      <c r="PMO351" s="50"/>
      <c r="PMP351" s="50"/>
      <c r="PMQ351" s="50"/>
      <c r="PMR351" s="50"/>
      <c r="PMS351" s="50"/>
      <c r="PMT351" s="50"/>
      <c r="PMU351" s="50"/>
      <c r="PMV351" s="50"/>
      <c r="PMW351" s="50"/>
      <c r="PMX351" s="50"/>
      <c r="PMY351" s="50"/>
      <c r="PMZ351" s="50"/>
      <c r="PNA351" s="50"/>
      <c r="PNB351" s="50"/>
      <c r="PNC351" s="50"/>
      <c r="PND351" s="50"/>
      <c r="PNE351" s="50"/>
      <c r="PNF351" s="50"/>
      <c r="PNG351" s="50"/>
      <c r="PNH351" s="50"/>
      <c r="PNI351" s="50"/>
      <c r="PNJ351" s="50"/>
      <c r="PNK351" s="50"/>
      <c r="PNL351" s="50"/>
      <c r="PNM351" s="50"/>
      <c r="PNN351" s="50"/>
      <c r="PNO351" s="50"/>
      <c r="PNP351" s="50"/>
      <c r="PNQ351" s="50"/>
      <c r="PNR351" s="50"/>
      <c r="PNS351" s="50"/>
      <c r="PNT351" s="50"/>
      <c r="PNU351" s="50"/>
      <c r="PNV351" s="50"/>
      <c r="PNW351" s="50"/>
      <c r="PNX351" s="50"/>
      <c r="PNY351" s="50"/>
      <c r="PNZ351" s="50"/>
      <c r="POA351" s="50"/>
      <c r="POB351" s="50"/>
      <c r="POC351" s="50"/>
      <c r="POD351" s="50"/>
      <c r="POE351" s="50"/>
      <c r="POF351" s="50"/>
      <c r="POG351" s="50"/>
      <c r="POH351" s="50"/>
      <c r="POI351" s="50"/>
      <c r="POJ351" s="50"/>
      <c r="POK351" s="50"/>
      <c r="POL351" s="50"/>
      <c r="POM351" s="50"/>
      <c r="PON351" s="50"/>
      <c r="POO351" s="50"/>
      <c r="POP351" s="50"/>
      <c r="POQ351" s="50"/>
      <c r="POR351" s="50"/>
      <c r="POS351" s="50"/>
      <c r="POT351" s="50"/>
      <c r="POU351" s="50"/>
      <c r="POV351" s="50"/>
      <c r="POW351" s="50"/>
      <c r="POX351" s="50"/>
      <c r="POY351" s="50"/>
      <c r="POZ351" s="50"/>
      <c r="PPA351" s="50"/>
      <c r="PPB351" s="50"/>
      <c r="PPC351" s="50"/>
      <c r="PPD351" s="50"/>
      <c r="PPE351" s="50"/>
      <c r="PPF351" s="50"/>
      <c r="PPG351" s="50"/>
      <c r="PPH351" s="50"/>
      <c r="PPI351" s="50"/>
      <c r="PPJ351" s="50"/>
      <c r="PPK351" s="50"/>
      <c r="PPL351" s="50"/>
      <c r="PPM351" s="50"/>
      <c r="PPN351" s="50"/>
      <c r="PPO351" s="50"/>
      <c r="PPP351" s="50"/>
      <c r="PPQ351" s="50"/>
      <c r="PPR351" s="50"/>
      <c r="PPS351" s="50"/>
      <c r="PPT351" s="50"/>
      <c r="PPU351" s="50"/>
      <c r="PPV351" s="50"/>
      <c r="PPW351" s="50"/>
      <c r="PPX351" s="50"/>
      <c r="PPY351" s="50"/>
      <c r="PPZ351" s="50"/>
      <c r="PQA351" s="50"/>
      <c r="PQB351" s="50"/>
      <c r="PQC351" s="50"/>
      <c r="PQD351" s="50"/>
      <c r="PQE351" s="50"/>
      <c r="PQF351" s="50"/>
      <c r="PQG351" s="50"/>
      <c r="PQH351" s="50"/>
      <c r="PQI351" s="50"/>
      <c r="PQJ351" s="50"/>
      <c r="PQK351" s="50"/>
      <c r="PQL351" s="50"/>
      <c r="PQM351" s="50"/>
      <c r="PQN351" s="50"/>
      <c r="PQO351" s="50"/>
      <c r="PQP351" s="50"/>
      <c r="PQQ351" s="50"/>
      <c r="PQR351" s="50"/>
      <c r="PQS351" s="50"/>
      <c r="PQT351" s="50"/>
      <c r="PQU351" s="50"/>
      <c r="PQV351" s="50"/>
      <c r="PQW351" s="50"/>
      <c r="PQX351" s="50"/>
      <c r="PQY351" s="50"/>
      <c r="PQZ351" s="50"/>
      <c r="PRA351" s="50"/>
      <c r="PRB351" s="50"/>
      <c r="PRC351" s="50"/>
      <c r="PRD351" s="50"/>
      <c r="PRE351" s="50"/>
      <c r="PRF351" s="50"/>
      <c r="PRG351" s="50"/>
      <c r="PRH351" s="50"/>
      <c r="PRI351" s="50"/>
      <c r="PRJ351" s="50"/>
      <c r="PRK351" s="50"/>
      <c r="PRL351" s="50"/>
      <c r="PRM351" s="50"/>
      <c r="PRN351" s="50"/>
      <c r="PRO351" s="50"/>
      <c r="PRP351" s="50"/>
      <c r="PRQ351" s="50"/>
      <c r="PRR351" s="50"/>
      <c r="PRS351" s="50"/>
      <c r="PRT351" s="50"/>
      <c r="PRU351" s="50"/>
      <c r="PRV351" s="50"/>
      <c r="PRW351" s="50"/>
      <c r="PRX351" s="50"/>
      <c r="PRY351" s="50"/>
      <c r="PRZ351" s="50"/>
      <c r="PSA351" s="50"/>
      <c r="PSB351" s="50"/>
      <c r="PSC351" s="50"/>
      <c r="PSD351" s="50"/>
      <c r="PSE351" s="50"/>
      <c r="PSF351" s="50"/>
      <c r="PSG351" s="50"/>
      <c r="PSH351" s="50"/>
      <c r="PSI351" s="50"/>
      <c r="PSJ351" s="50"/>
      <c r="PSK351" s="50"/>
      <c r="PSL351" s="50"/>
      <c r="PSM351" s="50"/>
      <c r="PSN351" s="50"/>
      <c r="PSO351" s="50"/>
      <c r="PSP351" s="50"/>
      <c r="PSQ351" s="50"/>
      <c r="PSR351" s="50"/>
      <c r="PSS351" s="50"/>
      <c r="PST351" s="50"/>
      <c r="PSU351" s="50"/>
      <c r="PSV351" s="50"/>
      <c r="PSW351" s="50"/>
      <c r="PSX351" s="50"/>
      <c r="PSY351" s="50"/>
      <c r="PSZ351" s="50"/>
      <c r="PTA351" s="50"/>
      <c r="PTB351" s="50"/>
      <c r="PTC351" s="50"/>
      <c r="PTD351" s="50"/>
      <c r="PTE351" s="50"/>
      <c r="PTF351" s="50"/>
      <c r="PTG351" s="50"/>
      <c r="PTH351" s="50"/>
      <c r="PTI351" s="50"/>
      <c r="PTJ351" s="50"/>
      <c r="PTK351" s="50"/>
      <c r="PTL351" s="50"/>
      <c r="PTM351" s="50"/>
      <c r="PTN351" s="50"/>
      <c r="PTO351" s="50"/>
      <c r="PTP351" s="50"/>
      <c r="PTQ351" s="50"/>
      <c r="PTR351" s="50"/>
      <c r="PTS351" s="50"/>
      <c r="PTT351" s="50"/>
      <c r="PTU351" s="50"/>
      <c r="PTV351" s="50"/>
      <c r="PTW351" s="50"/>
      <c r="PTX351" s="50"/>
      <c r="PTY351" s="50"/>
      <c r="PTZ351" s="50"/>
      <c r="PUA351" s="50"/>
      <c r="PUB351" s="50"/>
      <c r="PUC351" s="50"/>
      <c r="PUD351" s="50"/>
      <c r="PUE351" s="50"/>
      <c r="PUF351" s="50"/>
      <c r="PUG351" s="50"/>
      <c r="PUH351" s="50"/>
      <c r="PUI351" s="50"/>
      <c r="PUJ351" s="50"/>
      <c r="PUK351" s="50"/>
      <c r="PUL351" s="50"/>
      <c r="PUM351" s="50"/>
      <c r="PUN351" s="50"/>
      <c r="PUO351" s="50"/>
      <c r="PUP351" s="50"/>
      <c r="PUQ351" s="50"/>
      <c r="PUR351" s="50"/>
      <c r="PUS351" s="50"/>
      <c r="PUT351" s="50"/>
      <c r="PUU351" s="50"/>
      <c r="PUV351" s="50"/>
      <c r="PUW351" s="50"/>
      <c r="PUX351" s="50"/>
      <c r="PUY351" s="50"/>
      <c r="PUZ351" s="50"/>
      <c r="PVA351" s="50"/>
      <c r="PVB351" s="50"/>
      <c r="PVC351" s="50"/>
      <c r="PVD351" s="50"/>
      <c r="PVE351" s="50"/>
      <c r="PVF351" s="50"/>
      <c r="PVG351" s="50"/>
      <c r="PVH351" s="50"/>
      <c r="PVI351" s="50"/>
      <c r="PVJ351" s="50"/>
      <c r="PVK351" s="50"/>
      <c r="PVL351" s="50"/>
      <c r="PVM351" s="50"/>
      <c r="PVN351" s="50"/>
      <c r="PVO351" s="50"/>
      <c r="PVP351" s="50"/>
      <c r="PVQ351" s="50"/>
      <c r="PVR351" s="50"/>
      <c r="PVS351" s="50"/>
      <c r="PVT351" s="50"/>
      <c r="PVU351" s="50"/>
      <c r="PVV351" s="50"/>
      <c r="PVW351" s="50"/>
      <c r="PVX351" s="50"/>
      <c r="PVY351" s="50"/>
      <c r="PVZ351" s="50"/>
      <c r="PWA351" s="50"/>
      <c r="PWB351" s="50"/>
      <c r="PWC351" s="50"/>
      <c r="PWD351" s="50"/>
      <c r="PWE351" s="50"/>
      <c r="PWF351" s="50"/>
      <c r="PWG351" s="50"/>
      <c r="PWH351" s="50"/>
      <c r="PWI351" s="50"/>
      <c r="PWJ351" s="50"/>
      <c r="PWK351" s="50"/>
      <c r="PWL351" s="50"/>
      <c r="PWM351" s="50"/>
      <c r="PWN351" s="50"/>
      <c r="PWO351" s="50"/>
      <c r="PWP351" s="50"/>
      <c r="PWQ351" s="50"/>
      <c r="PWR351" s="50"/>
      <c r="PWS351" s="50"/>
      <c r="PWT351" s="50"/>
      <c r="PWU351" s="50"/>
      <c r="PWV351" s="50"/>
      <c r="PWW351" s="50"/>
      <c r="PWX351" s="50"/>
      <c r="PWY351" s="50"/>
      <c r="PWZ351" s="50"/>
      <c r="PXA351" s="50"/>
      <c r="PXB351" s="50"/>
      <c r="PXC351" s="50"/>
      <c r="PXD351" s="50"/>
      <c r="PXE351" s="50"/>
      <c r="PXF351" s="50"/>
      <c r="PXG351" s="50"/>
      <c r="PXH351" s="50"/>
      <c r="PXI351" s="50"/>
      <c r="PXJ351" s="50"/>
      <c r="PXK351" s="50"/>
      <c r="PXL351" s="50"/>
      <c r="PXM351" s="50"/>
      <c r="PXN351" s="50"/>
      <c r="PXO351" s="50"/>
      <c r="PXP351" s="50"/>
      <c r="PXQ351" s="50"/>
      <c r="PXR351" s="50"/>
      <c r="PXS351" s="50"/>
      <c r="PXT351" s="50"/>
      <c r="PXU351" s="50"/>
      <c r="PXV351" s="50"/>
      <c r="PXW351" s="50"/>
      <c r="PXX351" s="50"/>
      <c r="PXY351" s="50"/>
      <c r="PXZ351" s="50"/>
      <c r="PYA351" s="50"/>
      <c r="PYB351" s="50"/>
      <c r="PYC351" s="50"/>
      <c r="PYD351" s="50"/>
      <c r="PYE351" s="50"/>
      <c r="PYF351" s="50"/>
      <c r="PYG351" s="50"/>
      <c r="PYH351" s="50"/>
      <c r="PYI351" s="50"/>
      <c r="PYJ351" s="50"/>
      <c r="PYK351" s="50"/>
      <c r="PYL351" s="50"/>
      <c r="PYM351" s="50"/>
      <c r="PYN351" s="50"/>
      <c r="PYO351" s="50"/>
      <c r="PYP351" s="50"/>
      <c r="PYQ351" s="50"/>
      <c r="PYR351" s="50"/>
      <c r="PYS351" s="50"/>
      <c r="PYT351" s="50"/>
      <c r="PYU351" s="50"/>
      <c r="PYV351" s="50"/>
      <c r="PYW351" s="50"/>
      <c r="PYX351" s="50"/>
      <c r="PYY351" s="50"/>
      <c r="PYZ351" s="50"/>
      <c r="PZA351" s="50"/>
      <c r="PZB351" s="50"/>
      <c r="PZC351" s="50"/>
      <c r="PZD351" s="50"/>
      <c r="PZE351" s="50"/>
      <c r="PZF351" s="50"/>
      <c r="PZG351" s="50"/>
      <c r="PZH351" s="50"/>
      <c r="PZI351" s="50"/>
      <c r="PZJ351" s="50"/>
      <c r="PZK351" s="50"/>
      <c r="PZL351" s="50"/>
      <c r="PZM351" s="50"/>
      <c r="PZN351" s="50"/>
      <c r="PZO351" s="50"/>
      <c r="PZP351" s="50"/>
      <c r="PZQ351" s="50"/>
      <c r="PZR351" s="50"/>
      <c r="PZS351" s="50"/>
      <c r="PZT351" s="50"/>
      <c r="PZU351" s="50"/>
      <c r="PZV351" s="50"/>
      <c r="PZW351" s="50"/>
      <c r="PZX351" s="50"/>
      <c r="PZY351" s="50"/>
      <c r="PZZ351" s="50"/>
      <c r="QAA351" s="50"/>
      <c r="QAB351" s="50"/>
      <c r="QAC351" s="50"/>
      <c r="QAD351" s="50"/>
      <c r="QAE351" s="50"/>
      <c r="QAF351" s="50"/>
      <c r="QAG351" s="50"/>
      <c r="QAH351" s="50"/>
      <c r="QAI351" s="50"/>
      <c r="QAJ351" s="50"/>
      <c r="QAK351" s="50"/>
      <c r="QAL351" s="50"/>
      <c r="QAM351" s="50"/>
      <c r="QAN351" s="50"/>
      <c r="QAO351" s="50"/>
      <c r="QAP351" s="50"/>
      <c r="QAQ351" s="50"/>
      <c r="QAR351" s="50"/>
      <c r="QAS351" s="50"/>
      <c r="QAT351" s="50"/>
      <c r="QAU351" s="50"/>
      <c r="QAV351" s="50"/>
      <c r="QAW351" s="50"/>
      <c r="QAX351" s="50"/>
      <c r="QAY351" s="50"/>
      <c r="QAZ351" s="50"/>
      <c r="QBA351" s="50"/>
      <c r="QBB351" s="50"/>
      <c r="QBC351" s="50"/>
      <c r="QBD351" s="50"/>
      <c r="QBE351" s="50"/>
      <c r="QBF351" s="50"/>
      <c r="QBG351" s="50"/>
      <c r="QBH351" s="50"/>
      <c r="QBI351" s="50"/>
      <c r="QBJ351" s="50"/>
      <c r="QBK351" s="50"/>
      <c r="QBL351" s="50"/>
      <c r="QBM351" s="50"/>
      <c r="QBN351" s="50"/>
      <c r="QBO351" s="50"/>
      <c r="QBP351" s="50"/>
      <c r="QBQ351" s="50"/>
      <c r="QBR351" s="50"/>
      <c r="QBS351" s="50"/>
      <c r="QBT351" s="50"/>
      <c r="QBU351" s="50"/>
      <c r="QBV351" s="50"/>
      <c r="QBW351" s="50"/>
      <c r="QBX351" s="50"/>
      <c r="QBY351" s="50"/>
      <c r="QBZ351" s="50"/>
      <c r="QCA351" s="50"/>
      <c r="QCB351" s="50"/>
      <c r="QCC351" s="50"/>
      <c r="QCD351" s="50"/>
      <c r="QCE351" s="50"/>
      <c r="QCF351" s="50"/>
      <c r="QCG351" s="50"/>
      <c r="QCH351" s="50"/>
      <c r="QCI351" s="50"/>
      <c r="QCJ351" s="50"/>
      <c r="QCK351" s="50"/>
      <c r="QCL351" s="50"/>
      <c r="QCM351" s="50"/>
      <c r="QCN351" s="50"/>
      <c r="QCO351" s="50"/>
      <c r="QCP351" s="50"/>
      <c r="QCQ351" s="50"/>
      <c r="QCR351" s="50"/>
      <c r="QCS351" s="50"/>
      <c r="QCT351" s="50"/>
      <c r="QCU351" s="50"/>
      <c r="QCV351" s="50"/>
      <c r="QCW351" s="50"/>
      <c r="QCX351" s="50"/>
      <c r="QCY351" s="50"/>
      <c r="QCZ351" s="50"/>
      <c r="QDA351" s="50"/>
      <c r="QDB351" s="50"/>
      <c r="QDC351" s="50"/>
      <c r="QDD351" s="50"/>
      <c r="QDE351" s="50"/>
      <c r="QDF351" s="50"/>
      <c r="QDG351" s="50"/>
      <c r="QDH351" s="50"/>
      <c r="QDI351" s="50"/>
      <c r="QDJ351" s="50"/>
      <c r="QDK351" s="50"/>
      <c r="QDL351" s="50"/>
      <c r="QDM351" s="50"/>
      <c r="QDN351" s="50"/>
      <c r="QDO351" s="50"/>
      <c r="QDP351" s="50"/>
      <c r="QDQ351" s="50"/>
      <c r="QDR351" s="50"/>
      <c r="QDS351" s="50"/>
      <c r="QDT351" s="50"/>
      <c r="QDU351" s="50"/>
      <c r="QDV351" s="50"/>
      <c r="QDW351" s="50"/>
      <c r="QDX351" s="50"/>
      <c r="QDY351" s="50"/>
      <c r="QDZ351" s="50"/>
      <c r="QEA351" s="50"/>
      <c r="QEB351" s="50"/>
      <c r="QEC351" s="50"/>
      <c r="QED351" s="50"/>
      <c r="QEE351" s="50"/>
      <c r="QEF351" s="50"/>
      <c r="QEG351" s="50"/>
      <c r="QEH351" s="50"/>
      <c r="QEI351" s="50"/>
      <c r="QEJ351" s="50"/>
      <c r="QEK351" s="50"/>
      <c r="QEL351" s="50"/>
      <c r="QEM351" s="50"/>
      <c r="QEN351" s="50"/>
      <c r="QEO351" s="50"/>
      <c r="QEP351" s="50"/>
      <c r="QEQ351" s="50"/>
      <c r="QER351" s="50"/>
      <c r="QES351" s="50"/>
      <c r="QET351" s="50"/>
      <c r="QEU351" s="50"/>
      <c r="QEV351" s="50"/>
      <c r="QEW351" s="50"/>
      <c r="QEX351" s="50"/>
      <c r="QEY351" s="50"/>
      <c r="QEZ351" s="50"/>
      <c r="QFA351" s="50"/>
      <c r="QFB351" s="50"/>
      <c r="QFC351" s="50"/>
      <c r="QFD351" s="50"/>
      <c r="QFE351" s="50"/>
      <c r="QFF351" s="50"/>
      <c r="QFG351" s="50"/>
      <c r="QFH351" s="50"/>
      <c r="QFI351" s="50"/>
      <c r="QFJ351" s="50"/>
      <c r="QFK351" s="50"/>
      <c r="QFL351" s="50"/>
      <c r="QFM351" s="50"/>
      <c r="QFN351" s="50"/>
      <c r="QFO351" s="50"/>
      <c r="QFP351" s="50"/>
      <c r="QFQ351" s="50"/>
      <c r="QFR351" s="50"/>
      <c r="QFS351" s="50"/>
      <c r="QFT351" s="50"/>
      <c r="QFU351" s="50"/>
      <c r="QFV351" s="50"/>
      <c r="QFW351" s="50"/>
      <c r="QFX351" s="50"/>
      <c r="QFY351" s="50"/>
      <c r="QFZ351" s="50"/>
      <c r="QGA351" s="50"/>
      <c r="QGB351" s="50"/>
      <c r="QGC351" s="50"/>
      <c r="QGD351" s="50"/>
      <c r="QGE351" s="50"/>
      <c r="QGF351" s="50"/>
      <c r="QGG351" s="50"/>
      <c r="QGH351" s="50"/>
      <c r="QGI351" s="50"/>
      <c r="QGJ351" s="50"/>
      <c r="QGK351" s="50"/>
      <c r="QGL351" s="50"/>
      <c r="QGM351" s="50"/>
      <c r="QGN351" s="50"/>
      <c r="QGO351" s="50"/>
      <c r="QGP351" s="50"/>
      <c r="QGQ351" s="50"/>
      <c r="QGR351" s="50"/>
      <c r="QGS351" s="50"/>
      <c r="QGT351" s="50"/>
      <c r="QGU351" s="50"/>
      <c r="QGV351" s="50"/>
      <c r="QGW351" s="50"/>
      <c r="QGX351" s="50"/>
      <c r="QGY351" s="50"/>
      <c r="QGZ351" s="50"/>
      <c r="QHA351" s="50"/>
      <c r="QHB351" s="50"/>
      <c r="QHC351" s="50"/>
      <c r="QHD351" s="50"/>
      <c r="QHE351" s="50"/>
      <c r="QHF351" s="50"/>
      <c r="QHG351" s="50"/>
      <c r="QHH351" s="50"/>
      <c r="QHI351" s="50"/>
      <c r="QHJ351" s="50"/>
      <c r="QHK351" s="50"/>
      <c r="QHL351" s="50"/>
      <c r="QHM351" s="50"/>
      <c r="QHN351" s="50"/>
      <c r="QHO351" s="50"/>
      <c r="QHP351" s="50"/>
      <c r="QHQ351" s="50"/>
      <c r="QHR351" s="50"/>
      <c r="QHS351" s="50"/>
      <c r="QHT351" s="50"/>
      <c r="QHU351" s="50"/>
      <c r="QHV351" s="50"/>
      <c r="QHW351" s="50"/>
      <c r="QHX351" s="50"/>
      <c r="QHY351" s="50"/>
      <c r="QHZ351" s="50"/>
      <c r="QIA351" s="50"/>
      <c r="QIB351" s="50"/>
      <c r="QIC351" s="50"/>
      <c r="QID351" s="50"/>
      <c r="QIE351" s="50"/>
      <c r="QIF351" s="50"/>
      <c r="QIG351" s="50"/>
      <c r="QIH351" s="50"/>
      <c r="QII351" s="50"/>
      <c r="QIJ351" s="50"/>
      <c r="QIK351" s="50"/>
      <c r="QIL351" s="50"/>
      <c r="QIM351" s="50"/>
      <c r="QIN351" s="50"/>
      <c r="QIO351" s="50"/>
      <c r="QIP351" s="50"/>
      <c r="QIQ351" s="50"/>
      <c r="QIR351" s="50"/>
      <c r="QIS351" s="50"/>
      <c r="QIT351" s="50"/>
      <c r="QIU351" s="50"/>
      <c r="QIV351" s="50"/>
      <c r="QIW351" s="50"/>
      <c r="QIX351" s="50"/>
      <c r="QIY351" s="50"/>
      <c r="QIZ351" s="50"/>
      <c r="QJA351" s="50"/>
      <c r="QJB351" s="50"/>
      <c r="QJC351" s="50"/>
      <c r="QJD351" s="50"/>
      <c r="QJE351" s="50"/>
      <c r="QJF351" s="50"/>
      <c r="QJG351" s="50"/>
      <c r="QJH351" s="50"/>
      <c r="QJI351" s="50"/>
      <c r="QJJ351" s="50"/>
      <c r="QJK351" s="50"/>
      <c r="QJL351" s="50"/>
      <c r="QJM351" s="50"/>
      <c r="QJN351" s="50"/>
      <c r="QJO351" s="50"/>
      <c r="QJP351" s="50"/>
      <c r="QJQ351" s="50"/>
      <c r="QJR351" s="50"/>
      <c r="QJS351" s="50"/>
      <c r="QJT351" s="50"/>
      <c r="QJU351" s="50"/>
      <c r="QJV351" s="50"/>
      <c r="QJW351" s="50"/>
      <c r="QJX351" s="50"/>
      <c r="QJY351" s="50"/>
      <c r="QJZ351" s="50"/>
      <c r="QKA351" s="50"/>
      <c r="QKB351" s="50"/>
      <c r="QKC351" s="50"/>
      <c r="QKD351" s="50"/>
      <c r="QKE351" s="50"/>
      <c r="QKF351" s="50"/>
      <c r="QKG351" s="50"/>
      <c r="QKH351" s="50"/>
      <c r="QKI351" s="50"/>
      <c r="QKJ351" s="50"/>
      <c r="QKK351" s="50"/>
      <c r="QKL351" s="50"/>
      <c r="QKM351" s="50"/>
      <c r="QKN351" s="50"/>
      <c r="QKO351" s="50"/>
      <c r="QKP351" s="50"/>
      <c r="QKQ351" s="50"/>
      <c r="QKR351" s="50"/>
      <c r="QKS351" s="50"/>
      <c r="QKT351" s="50"/>
      <c r="QKU351" s="50"/>
      <c r="QKV351" s="50"/>
      <c r="QKW351" s="50"/>
      <c r="QKX351" s="50"/>
      <c r="QKY351" s="50"/>
      <c r="QKZ351" s="50"/>
      <c r="QLA351" s="50"/>
      <c r="QLB351" s="50"/>
      <c r="QLC351" s="50"/>
      <c r="QLD351" s="50"/>
      <c r="QLE351" s="50"/>
      <c r="QLF351" s="50"/>
      <c r="QLG351" s="50"/>
      <c r="QLH351" s="50"/>
      <c r="QLI351" s="50"/>
      <c r="QLJ351" s="50"/>
      <c r="QLK351" s="50"/>
      <c r="QLL351" s="50"/>
      <c r="QLM351" s="50"/>
      <c r="QLN351" s="50"/>
      <c r="QLO351" s="50"/>
      <c r="QLP351" s="50"/>
      <c r="QLQ351" s="50"/>
      <c r="QLR351" s="50"/>
      <c r="QLS351" s="50"/>
      <c r="QLT351" s="50"/>
      <c r="QLU351" s="50"/>
      <c r="QLV351" s="50"/>
      <c r="QLW351" s="50"/>
      <c r="QLX351" s="50"/>
      <c r="QLY351" s="50"/>
      <c r="QLZ351" s="50"/>
      <c r="QMA351" s="50"/>
      <c r="QMB351" s="50"/>
      <c r="QMC351" s="50"/>
      <c r="QMD351" s="50"/>
      <c r="QME351" s="50"/>
      <c r="QMF351" s="50"/>
      <c r="QMG351" s="50"/>
      <c r="QMH351" s="50"/>
      <c r="QMI351" s="50"/>
      <c r="QMJ351" s="50"/>
      <c r="QMK351" s="50"/>
      <c r="QML351" s="50"/>
      <c r="QMM351" s="50"/>
      <c r="QMN351" s="50"/>
      <c r="QMO351" s="50"/>
      <c r="QMP351" s="50"/>
      <c r="QMQ351" s="50"/>
      <c r="QMR351" s="50"/>
      <c r="QMS351" s="50"/>
      <c r="QMT351" s="50"/>
      <c r="QMU351" s="50"/>
      <c r="QMV351" s="50"/>
      <c r="QMW351" s="50"/>
      <c r="QMX351" s="50"/>
      <c r="QMY351" s="50"/>
      <c r="QMZ351" s="50"/>
      <c r="QNA351" s="50"/>
      <c r="QNB351" s="50"/>
      <c r="QNC351" s="50"/>
      <c r="QND351" s="50"/>
      <c r="QNE351" s="50"/>
      <c r="QNF351" s="50"/>
      <c r="QNG351" s="50"/>
      <c r="QNH351" s="50"/>
      <c r="QNI351" s="50"/>
      <c r="QNJ351" s="50"/>
      <c r="QNK351" s="50"/>
      <c r="QNL351" s="50"/>
      <c r="QNM351" s="50"/>
      <c r="QNN351" s="50"/>
      <c r="QNO351" s="50"/>
      <c r="QNP351" s="50"/>
      <c r="QNQ351" s="50"/>
      <c r="QNR351" s="50"/>
      <c r="QNS351" s="50"/>
      <c r="QNT351" s="50"/>
      <c r="QNU351" s="50"/>
      <c r="QNV351" s="50"/>
      <c r="QNW351" s="50"/>
      <c r="QNX351" s="50"/>
      <c r="QNY351" s="50"/>
      <c r="QNZ351" s="50"/>
      <c r="QOA351" s="50"/>
      <c r="QOB351" s="50"/>
      <c r="QOC351" s="50"/>
      <c r="QOD351" s="50"/>
      <c r="QOE351" s="50"/>
      <c r="QOF351" s="50"/>
      <c r="QOG351" s="50"/>
      <c r="QOH351" s="50"/>
      <c r="QOI351" s="50"/>
      <c r="QOJ351" s="50"/>
      <c r="QOK351" s="50"/>
      <c r="QOL351" s="50"/>
      <c r="QOM351" s="50"/>
      <c r="QON351" s="50"/>
      <c r="QOO351" s="50"/>
      <c r="QOP351" s="50"/>
      <c r="QOQ351" s="50"/>
      <c r="QOR351" s="50"/>
      <c r="QOS351" s="50"/>
      <c r="QOT351" s="50"/>
      <c r="QOU351" s="50"/>
      <c r="QOV351" s="50"/>
      <c r="QOW351" s="50"/>
      <c r="QOX351" s="50"/>
      <c r="QOY351" s="50"/>
      <c r="QOZ351" s="50"/>
      <c r="QPA351" s="50"/>
      <c r="QPB351" s="50"/>
      <c r="QPC351" s="50"/>
      <c r="QPD351" s="50"/>
      <c r="QPE351" s="50"/>
      <c r="QPF351" s="50"/>
      <c r="QPG351" s="50"/>
      <c r="QPH351" s="50"/>
      <c r="QPI351" s="50"/>
      <c r="QPJ351" s="50"/>
      <c r="QPK351" s="50"/>
      <c r="QPL351" s="50"/>
      <c r="QPM351" s="50"/>
      <c r="QPN351" s="50"/>
      <c r="QPO351" s="50"/>
      <c r="QPP351" s="50"/>
      <c r="QPQ351" s="50"/>
      <c r="QPR351" s="50"/>
      <c r="QPS351" s="50"/>
      <c r="QPT351" s="50"/>
      <c r="QPU351" s="50"/>
      <c r="QPV351" s="50"/>
      <c r="QPW351" s="50"/>
      <c r="QPX351" s="50"/>
      <c r="QPY351" s="50"/>
      <c r="QPZ351" s="50"/>
      <c r="QQA351" s="50"/>
      <c r="QQB351" s="50"/>
      <c r="QQC351" s="50"/>
      <c r="QQD351" s="50"/>
      <c r="QQE351" s="50"/>
      <c r="QQF351" s="50"/>
      <c r="QQG351" s="50"/>
      <c r="QQH351" s="50"/>
      <c r="QQI351" s="50"/>
      <c r="QQJ351" s="50"/>
      <c r="QQK351" s="50"/>
      <c r="QQL351" s="50"/>
      <c r="QQM351" s="50"/>
      <c r="QQN351" s="50"/>
      <c r="QQO351" s="50"/>
      <c r="QQP351" s="50"/>
      <c r="QQQ351" s="50"/>
      <c r="QQR351" s="50"/>
      <c r="QQS351" s="50"/>
      <c r="QQT351" s="50"/>
      <c r="QQU351" s="50"/>
      <c r="QQV351" s="50"/>
      <c r="QQW351" s="50"/>
      <c r="QQX351" s="50"/>
      <c r="QQY351" s="50"/>
      <c r="QQZ351" s="50"/>
      <c r="QRA351" s="50"/>
      <c r="QRB351" s="50"/>
      <c r="QRC351" s="50"/>
      <c r="QRD351" s="50"/>
      <c r="QRE351" s="50"/>
      <c r="QRF351" s="50"/>
      <c r="QRG351" s="50"/>
      <c r="QRH351" s="50"/>
      <c r="QRI351" s="50"/>
      <c r="QRJ351" s="50"/>
      <c r="QRK351" s="50"/>
      <c r="QRL351" s="50"/>
      <c r="QRM351" s="50"/>
      <c r="QRN351" s="50"/>
      <c r="QRO351" s="50"/>
      <c r="QRP351" s="50"/>
      <c r="QRQ351" s="50"/>
      <c r="QRR351" s="50"/>
      <c r="QRS351" s="50"/>
      <c r="QRT351" s="50"/>
      <c r="QRU351" s="50"/>
      <c r="QRV351" s="50"/>
      <c r="QRW351" s="50"/>
      <c r="QRX351" s="50"/>
      <c r="QRY351" s="50"/>
      <c r="QRZ351" s="50"/>
      <c r="QSA351" s="50"/>
      <c r="QSB351" s="50"/>
      <c r="QSC351" s="50"/>
      <c r="QSD351" s="50"/>
      <c r="QSE351" s="50"/>
      <c r="QSF351" s="50"/>
      <c r="QSG351" s="50"/>
      <c r="QSH351" s="50"/>
      <c r="QSI351" s="50"/>
      <c r="QSJ351" s="50"/>
      <c r="QSK351" s="50"/>
      <c r="QSL351" s="50"/>
      <c r="QSM351" s="50"/>
      <c r="QSN351" s="50"/>
      <c r="QSO351" s="50"/>
      <c r="QSP351" s="50"/>
      <c r="QSQ351" s="50"/>
      <c r="QSR351" s="50"/>
      <c r="QSS351" s="50"/>
      <c r="QST351" s="50"/>
      <c r="QSU351" s="50"/>
      <c r="QSV351" s="50"/>
      <c r="QSW351" s="50"/>
      <c r="QSX351" s="50"/>
      <c r="QSY351" s="50"/>
      <c r="QSZ351" s="50"/>
      <c r="QTA351" s="50"/>
      <c r="QTB351" s="50"/>
      <c r="QTC351" s="50"/>
      <c r="QTD351" s="50"/>
      <c r="QTE351" s="50"/>
      <c r="QTF351" s="50"/>
      <c r="QTG351" s="50"/>
      <c r="QTH351" s="50"/>
      <c r="QTI351" s="50"/>
      <c r="QTJ351" s="50"/>
      <c r="QTK351" s="50"/>
      <c r="QTL351" s="50"/>
      <c r="QTM351" s="50"/>
      <c r="QTN351" s="50"/>
      <c r="QTO351" s="50"/>
      <c r="QTP351" s="50"/>
      <c r="QTQ351" s="50"/>
      <c r="QTR351" s="50"/>
      <c r="QTS351" s="50"/>
      <c r="QTT351" s="50"/>
      <c r="QTU351" s="50"/>
      <c r="QTV351" s="50"/>
      <c r="QTW351" s="50"/>
      <c r="QTX351" s="50"/>
      <c r="QTY351" s="50"/>
      <c r="QTZ351" s="50"/>
      <c r="QUA351" s="50"/>
      <c r="QUB351" s="50"/>
      <c r="QUC351" s="50"/>
      <c r="QUD351" s="50"/>
      <c r="QUE351" s="50"/>
      <c r="QUF351" s="50"/>
      <c r="QUG351" s="50"/>
      <c r="QUH351" s="50"/>
      <c r="QUI351" s="50"/>
      <c r="QUJ351" s="50"/>
      <c r="QUK351" s="50"/>
      <c r="QUL351" s="50"/>
      <c r="QUM351" s="50"/>
      <c r="QUN351" s="50"/>
      <c r="QUO351" s="50"/>
      <c r="QUP351" s="50"/>
      <c r="QUQ351" s="50"/>
      <c r="QUR351" s="50"/>
      <c r="QUS351" s="50"/>
      <c r="QUT351" s="50"/>
      <c r="QUU351" s="50"/>
      <c r="QUV351" s="50"/>
      <c r="QUW351" s="50"/>
      <c r="QUX351" s="50"/>
      <c r="QUY351" s="50"/>
      <c r="QUZ351" s="50"/>
      <c r="QVA351" s="50"/>
      <c r="QVB351" s="50"/>
      <c r="QVC351" s="50"/>
      <c r="QVD351" s="50"/>
      <c r="QVE351" s="50"/>
      <c r="QVF351" s="50"/>
      <c r="QVG351" s="50"/>
      <c r="QVH351" s="50"/>
      <c r="QVI351" s="50"/>
      <c r="QVJ351" s="50"/>
      <c r="QVK351" s="50"/>
      <c r="QVL351" s="50"/>
      <c r="QVM351" s="50"/>
      <c r="QVN351" s="50"/>
      <c r="QVO351" s="50"/>
      <c r="QVP351" s="50"/>
      <c r="QVQ351" s="50"/>
      <c r="QVR351" s="50"/>
      <c r="QVS351" s="50"/>
      <c r="QVT351" s="50"/>
      <c r="QVU351" s="50"/>
      <c r="QVV351" s="50"/>
      <c r="QVW351" s="50"/>
      <c r="QVX351" s="50"/>
      <c r="QVY351" s="50"/>
      <c r="QVZ351" s="50"/>
      <c r="QWA351" s="50"/>
      <c r="QWB351" s="50"/>
      <c r="QWC351" s="50"/>
      <c r="QWD351" s="50"/>
      <c r="QWE351" s="50"/>
      <c r="QWF351" s="50"/>
      <c r="QWG351" s="50"/>
      <c r="QWH351" s="50"/>
      <c r="QWI351" s="50"/>
      <c r="QWJ351" s="50"/>
      <c r="QWK351" s="50"/>
      <c r="QWL351" s="50"/>
      <c r="QWM351" s="50"/>
      <c r="QWN351" s="50"/>
      <c r="QWO351" s="50"/>
      <c r="QWP351" s="50"/>
      <c r="QWQ351" s="50"/>
      <c r="QWR351" s="50"/>
      <c r="QWS351" s="50"/>
      <c r="QWT351" s="50"/>
      <c r="QWU351" s="50"/>
      <c r="QWV351" s="50"/>
      <c r="QWW351" s="50"/>
      <c r="QWX351" s="50"/>
      <c r="QWY351" s="50"/>
      <c r="QWZ351" s="50"/>
      <c r="QXA351" s="50"/>
      <c r="QXB351" s="50"/>
      <c r="QXC351" s="50"/>
      <c r="QXD351" s="50"/>
      <c r="QXE351" s="50"/>
      <c r="QXF351" s="50"/>
      <c r="QXG351" s="50"/>
      <c r="QXH351" s="50"/>
      <c r="QXI351" s="50"/>
      <c r="QXJ351" s="50"/>
      <c r="QXK351" s="50"/>
      <c r="QXL351" s="50"/>
      <c r="QXM351" s="50"/>
      <c r="QXN351" s="50"/>
      <c r="QXO351" s="50"/>
      <c r="QXP351" s="50"/>
      <c r="QXQ351" s="50"/>
      <c r="QXR351" s="50"/>
      <c r="QXS351" s="50"/>
      <c r="QXT351" s="50"/>
      <c r="QXU351" s="50"/>
      <c r="QXV351" s="50"/>
      <c r="QXW351" s="50"/>
      <c r="QXX351" s="50"/>
      <c r="QXY351" s="50"/>
      <c r="QXZ351" s="50"/>
      <c r="QYA351" s="50"/>
      <c r="QYB351" s="50"/>
      <c r="QYC351" s="50"/>
      <c r="QYD351" s="50"/>
      <c r="QYE351" s="50"/>
      <c r="QYF351" s="50"/>
      <c r="QYG351" s="50"/>
      <c r="QYH351" s="50"/>
      <c r="QYI351" s="50"/>
      <c r="QYJ351" s="50"/>
      <c r="QYK351" s="50"/>
      <c r="QYL351" s="50"/>
      <c r="QYM351" s="50"/>
      <c r="QYN351" s="50"/>
      <c r="QYO351" s="50"/>
      <c r="QYP351" s="50"/>
      <c r="QYQ351" s="50"/>
      <c r="QYR351" s="50"/>
      <c r="QYS351" s="50"/>
      <c r="QYT351" s="50"/>
      <c r="QYU351" s="50"/>
      <c r="QYV351" s="50"/>
      <c r="QYW351" s="50"/>
      <c r="QYX351" s="50"/>
      <c r="QYY351" s="50"/>
      <c r="QYZ351" s="50"/>
      <c r="QZA351" s="50"/>
      <c r="QZB351" s="50"/>
      <c r="QZC351" s="50"/>
      <c r="QZD351" s="50"/>
      <c r="QZE351" s="50"/>
      <c r="QZF351" s="50"/>
      <c r="QZG351" s="50"/>
      <c r="QZH351" s="50"/>
      <c r="QZI351" s="50"/>
      <c r="QZJ351" s="50"/>
      <c r="QZK351" s="50"/>
      <c r="QZL351" s="50"/>
      <c r="QZM351" s="50"/>
      <c r="QZN351" s="50"/>
      <c r="QZO351" s="50"/>
      <c r="QZP351" s="50"/>
      <c r="QZQ351" s="50"/>
      <c r="QZR351" s="50"/>
      <c r="QZS351" s="50"/>
      <c r="QZT351" s="50"/>
      <c r="QZU351" s="50"/>
      <c r="QZV351" s="50"/>
      <c r="QZW351" s="50"/>
      <c r="QZX351" s="50"/>
      <c r="QZY351" s="50"/>
      <c r="QZZ351" s="50"/>
      <c r="RAA351" s="50"/>
      <c r="RAB351" s="50"/>
      <c r="RAC351" s="50"/>
      <c r="RAD351" s="50"/>
      <c r="RAE351" s="50"/>
      <c r="RAF351" s="50"/>
      <c r="RAG351" s="50"/>
      <c r="RAH351" s="50"/>
      <c r="RAI351" s="50"/>
      <c r="RAJ351" s="50"/>
      <c r="RAK351" s="50"/>
      <c r="RAL351" s="50"/>
      <c r="RAM351" s="50"/>
      <c r="RAN351" s="50"/>
      <c r="RAO351" s="50"/>
      <c r="RAP351" s="50"/>
      <c r="RAQ351" s="50"/>
      <c r="RAR351" s="50"/>
      <c r="RAS351" s="50"/>
      <c r="RAT351" s="50"/>
      <c r="RAU351" s="50"/>
      <c r="RAV351" s="50"/>
      <c r="RAW351" s="50"/>
      <c r="RAX351" s="50"/>
      <c r="RAY351" s="50"/>
      <c r="RAZ351" s="50"/>
      <c r="RBA351" s="50"/>
      <c r="RBB351" s="50"/>
      <c r="RBC351" s="50"/>
      <c r="RBD351" s="50"/>
      <c r="RBE351" s="50"/>
      <c r="RBF351" s="50"/>
      <c r="RBG351" s="50"/>
      <c r="RBH351" s="50"/>
      <c r="RBI351" s="50"/>
      <c r="RBJ351" s="50"/>
      <c r="RBK351" s="50"/>
      <c r="RBL351" s="50"/>
      <c r="RBM351" s="50"/>
      <c r="RBN351" s="50"/>
      <c r="RBO351" s="50"/>
      <c r="RBP351" s="50"/>
      <c r="RBQ351" s="50"/>
      <c r="RBR351" s="50"/>
      <c r="RBS351" s="50"/>
      <c r="RBT351" s="50"/>
      <c r="RBU351" s="50"/>
      <c r="RBV351" s="50"/>
      <c r="RBW351" s="50"/>
      <c r="RBX351" s="50"/>
      <c r="RBY351" s="50"/>
      <c r="RBZ351" s="50"/>
      <c r="RCA351" s="50"/>
      <c r="RCB351" s="50"/>
      <c r="RCC351" s="50"/>
      <c r="RCD351" s="50"/>
      <c r="RCE351" s="50"/>
      <c r="RCF351" s="50"/>
      <c r="RCG351" s="50"/>
      <c r="RCH351" s="50"/>
      <c r="RCI351" s="50"/>
      <c r="RCJ351" s="50"/>
      <c r="RCK351" s="50"/>
      <c r="RCL351" s="50"/>
      <c r="RCM351" s="50"/>
      <c r="RCN351" s="50"/>
      <c r="RCO351" s="50"/>
      <c r="RCP351" s="50"/>
      <c r="RCQ351" s="50"/>
      <c r="RCR351" s="50"/>
      <c r="RCS351" s="50"/>
      <c r="RCT351" s="50"/>
      <c r="RCU351" s="50"/>
      <c r="RCV351" s="50"/>
      <c r="RCW351" s="50"/>
      <c r="RCX351" s="50"/>
      <c r="RCY351" s="50"/>
      <c r="RCZ351" s="50"/>
      <c r="RDA351" s="50"/>
      <c r="RDB351" s="50"/>
      <c r="RDC351" s="50"/>
      <c r="RDD351" s="50"/>
      <c r="RDE351" s="50"/>
      <c r="RDF351" s="50"/>
      <c r="RDG351" s="50"/>
      <c r="RDH351" s="50"/>
      <c r="RDI351" s="50"/>
      <c r="RDJ351" s="50"/>
      <c r="RDK351" s="50"/>
      <c r="RDL351" s="50"/>
      <c r="RDM351" s="50"/>
      <c r="RDN351" s="50"/>
      <c r="RDO351" s="50"/>
      <c r="RDP351" s="50"/>
      <c r="RDQ351" s="50"/>
      <c r="RDR351" s="50"/>
      <c r="RDS351" s="50"/>
      <c r="RDT351" s="50"/>
      <c r="RDU351" s="50"/>
      <c r="RDV351" s="50"/>
      <c r="RDW351" s="50"/>
      <c r="RDX351" s="50"/>
      <c r="RDY351" s="50"/>
      <c r="RDZ351" s="50"/>
      <c r="REA351" s="50"/>
      <c r="REB351" s="50"/>
      <c r="REC351" s="50"/>
      <c r="RED351" s="50"/>
      <c r="REE351" s="50"/>
      <c r="REF351" s="50"/>
      <c r="REG351" s="50"/>
      <c r="REH351" s="50"/>
      <c r="REI351" s="50"/>
      <c r="REJ351" s="50"/>
      <c r="REK351" s="50"/>
      <c r="REL351" s="50"/>
      <c r="REM351" s="50"/>
      <c r="REN351" s="50"/>
      <c r="REO351" s="50"/>
      <c r="REP351" s="50"/>
      <c r="REQ351" s="50"/>
      <c r="RER351" s="50"/>
      <c r="RES351" s="50"/>
      <c r="RET351" s="50"/>
      <c r="REU351" s="50"/>
      <c r="REV351" s="50"/>
      <c r="REW351" s="50"/>
      <c r="REX351" s="50"/>
      <c r="REY351" s="50"/>
      <c r="REZ351" s="50"/>
      <c r="RFA351" s="50"/>
      <c r="RFB351" s="50"/>
      <c r="RFC351" s="50"/>
      <c r="RFD351" s="50"/>
      <c r="RFE351" s="50"/>
      <c r="RFF351" s="50"/>
      <c r="RFG351" s="50"/>
      <c r="RFH351" s="50"/>
      <c r="RFI351" s="50"/>
      <c r="RFJ351" s="50"/>
      <c r="RFK351" s="50"/>
      <c r="RFL351" s="50"/>
      <c r="RFM351" s="50"/>
      <c r="RFN351" s="50"/>
      <c r="RFO351" s="50"/>
      <c r="RFP351" s="50"/>
      <c r="RFQ351" s="50"/>
      <c r="RFR351" s="50"/>
      <c r="RFS351" s="50"/>
      <c r="RFT351" s="50"/>
      <c r="RFU351" s="50"/>
      <c r="RFV351" s="50"/>
      <c r="RFW351" s="50"/>
      <c r="RFX351" s="50"/>
      <c r="RFY351" s="50"/>
      <c r="RFZ351" s="50"/>
      <c r="RGA351" s="50"/>
      <c r="RGB351" s="50"/>
      <c r="RGC351" s="50"/>
      <c r="RGD351" s="50"/>
      <c r="RGE351" s="50"/>
      <c r="RGF351" s="50"/>
      <c r="RGG351" s="50"/>
      <c r="RGH351" s="50"/>
      <c r="RGI351" s="50"/>
      <c r="RGJ351" s="50"/>
      <c r="RGK351" s="50"/>
      <c r="RGL351" s="50"/>
      <c r="RGM351" s="50"/>
      <c r="RGN351" s="50"/>
      <c r="RGO351" s="50"/>
      <c r="RGP351" s="50"/>
      <c r="RGQ351" s="50"/>
      <c r="RGR351" s="50"/>
      <c r="RGS351" s="50"/>
      <c r="RGT351" s="50"/>
      <c r="RGU351" s="50"/>
      <c r="RGV351" s="50"/>
      <c r="RGW351" s="50"/>
      <c r="RGX351" s="50"/>
      <c r="RGY351" s="50"/>
      <c r="RGZ351" s="50"/>
      <c r="RHA351" s="50"/>
      <c r="RHB351" s="50"/>
      <c r="RHC351" s="50"/>
      <c r="RHD351" s="50"/>
      <c r="RHE351" s="50"/>
      <c r="RHF351" s="50"/>
      <c r="RHG351" s="50"/>
      <c r="RHH351" s="50"/>
      <c r="RHI351" s="50"/>
      <c r="RHJ351" s="50"/>
      <c r="RHK351" s="50"/>
      <c r="RHL351" s="50"/>
      <c r="RHM351" s="50"/>
      <c r="RHN351" s="50"/>
      <c r="RHO351" s="50"/>
      <c r="RHP351" s="50"/>
      <c r="RHQ351" s="50"/>
      <c r="RHR351" s="50"/>
      <c r="RHS351" s="50"/>
      <c r="RHT351" s="50"/>
      <c r="RHU351" s="50"/>
      <c r="RHV351" s="50"/>
      <c r="RHW351" s="50"/>
      <c r="RHX351" s="50"/>
      <c r="RHY351" s="50"/>
      <c r="RHZ351" s="50"/>
      <c r="RIA351" s="50"/>
      <c r="RIB351" s="50"/>
      <c r="RIC351" s="50"/>
      <c r="RID351" s="50"/>
      <c r="RIE351" s="50"/>
      <c r="RIF351" s="50"/>
      <c r="RIG351" s="50"/>
      <c r="RIH351" s="50"/>
      <c r="RII351" s="50"/>
      <c r="RIJ351" s="50"/>
      <c r="RIK351" s="50"/>
      <c r="RIL351" s="50"/>
      <c r="RIM351" s="50"/>
      <c r="RIN351" s="50"/>
      <c r="RIO351" s="50"/>
      <c r="RIP351" s="50"/>
      <c r="RIQ351" s="50"/>
      <c r="RIR351" s="50"/>
      <c r="RIS351" s="50"/>
      <c r="RIT351" s="50"/>
      <c r="RIU351" s="50"/>
      <c r="RIV351" s="50"/>
      <c r="RIW351" s="50"/>
      <c r="RIX351" s="50"/>
      <c r="RIY351" s="50"/>
      <c r="RIZ351" s="50"/>
      <c r="RJA351" s="50"/>
      <c r="RJB351" s="50"/>
      <c r="RJC351" s="50"/>
      <c r="RJD351" s="50"/>
      <c r="RJE351" s="50"/>
      <c r="RJF351" s="50"/>
      <c r="RJG351" s="50"/>
      <c r="RJH351" s="50"/>
      <c r="RJI351" s="50"/>
      <c r="RJJ351" s="50"/>
      <c r="RJK351" s="50"/>
      <c r="RJL351" s="50"/>
      <c r="RJM351" s="50"/>
      <c r="RJN351" s="50"/>
      <c r="RJO351" s="50"/>
      <c r="RJP351" s="50"/>
      <c r="RJQ351" s="50"/>
      <c r="RJR351" s="50"/>
      <c r="RJS351" s="50"/>
      <c r="RJT351" s="50"/>
      <c r="RJU351" s="50"/>
      <c r="RJV351" s="50"/>
      <c r="RJW351" s="50"/>
      <c r="RJX351" s="50"/>
      <c r="RJY351" s="50"/>
      <c r="RJZ351" s="50"/>
      <c r="RKA351" s="50"/>
      <c r="RKB351" s="50"/>
      <c r="RKC351" s="50"/>
      <c r="RKD351" s="50"/>
      <c r="RKE351" s="50"/>
      <c r="RKF351" s="50"/>
      <c r="RKG351" s="50"/>
      <c r="RKH351" s="50"/>
      <c r="RKI351" s="50"/>
      <c r="RKJ351" s="50"/>
      <c r="RKK351" s="50"/>
      <c r="RKL351" s="50"/>
      <c r="RKM351" s="50"/>
      <c r="RKN351" s="50"/>
      <c r="RKO351" s="50"/>
      <c r="RKP351" s="50"/>
      <c r="RKQ351" s="50"/>
      <c r="RKR351" s="50"/>
      <c r="RKS351" s="50"/>
      <c r="RKT351" s="50"/>
      <c r="RKU351" s="50"/>
      <c r="RKV351" s="50"/>
      <c r="RKW351" s="50"/>
      <c r="RKX351" s="50"/>
      <c r="RKY351" s="50"/>
      <c r="RKZ351" s="50"/>
      <c r="RLA351" s="50"/>
      <c r="RLB351" s="50"/>
      <c r="RLC351" s="50"/>
      <c r="RLD351" s="50"/>
      <c r="RLE351" s="50"/>
      <c r="RLF351" s="50"/>
      <c r="RLG351" s="50"/>
      <c r="RLH351" s="50"/>
      <c r="RLI351" s="50"/>
      <c r="RLJ351" s="50"/>
      <c r="RLK351" s="50"/>
      <c r="RLL351" s="50"/>
      <c r="RLM351" s="50"/>
      <c r="RLN351" s="50"/>
      <c r="RLO351" s="50"/>
      <c r="RLP351" s="50"/>
      <c r="RLQ351" s="50"/>
      <c r="RLR351" s="50"/>
      <c r="RLS351" s="50"/>
      <c r="RLT351" s="50"/>
      <c r="RLU351" s="50"/>
      <c r="RLV351" s="50"/>
      <c r="RLW351" s="50"/>
      <c r="RLX351" s="50"/>
      <c r="RLY351" s="50"/>
      <c r="RLZ351" s="50"/>
      <c r="RMA351" s="50"/>
      <c r="RMB351" s="50"/>
      <c r="RMC351" s="50"/>
      <c r="RMD351" s="50"/>
      <c r="RME351" s="50"/>
      <c r="RMF351" s="50"/>
      <c r="RMG351" s="50"/>
      <c r="RMH351" s="50"/>
      <c r="RMI351" s="50"/>
      <c r="RMJ351" s="50"/>
      <c r="RMK351" s="50"/>
      <c r="RML351" s="50"/>
      <c r="RMM351" s="50"/>
      <c r="RMN351" s="50"/>
      <c r="RMO351" s="50"/>
      <c r="RMP351" s="50"/>
      <c r="RMQ351" s="50"/>
      <c r="RMR351" s="50"/>
      <c r="RMS351" s="50"/>
      <c r="RMT351" s="50"/>
      <c r="RMU351" s="50"/>
      <c r="RMV351" s="50"/>
      <c r="RMW351" s="50"/>
      <c r="RMX351" s="50"/>
      <c r="RMY351" s="50"/>
      <c r="RMZ351" s="50"/>
      <c r="RNA351" s="50"/>
      <c r="RNB351" s="50"/>
      <c r="RNC351" s="50"/>
      <c r="RND351" s="50"/>
      <c r="RNE351" s="50"/>
      <c r="RNF351" s="50"/>
      <c r="RNG351" s="50"/>
      <c r="RNH351" s="50"/>
      <c r="RNI351" s="50"/>
      <c r="RNJ351" s="50"/>
      <c r="RNK351" s="50"/>
      <c r="RNL351" s="50"/>
      <c r="RNM351" s="50"/>
      <c r="RNN351" s="50"/>
      <c r="RNO351" s="50"/>
      <c r="RNP351" s="50"/>
      <c r="RNQ351" s="50"/>
      <c r="RNR351" s="50"/>
      <c r="RNS351" s="50"/>
      <c r="RNT351" s="50"/>
      <c r="RNU351" s="50"/>
      <c r="RNV351" s="50"/>
      <c r="RNW351" s="50"/>
      <c r="RNX351" s="50"/>
      <c r="RNY351" s="50"/>
      <c r="RNZ351" s="50"/>
      <c r="ROA351" s="50"/>
      <c r="ROB351" s="50"/>
      <c r="ROC351" s="50"/>
      <c r="ROD351" s="50"/>
      <c r="ROE351" s="50"/>
      <c r="ROF351" s="50"/>
      <c r="ROG351" s="50"/>
      <c r="ROH351" s="50"/>
      <c r="ROI351" s="50"/>
      <c r="ROJ351" s="50"/>
      <c r="ROK351" s="50"/>
      <c r="ROL351" s="50"/>
      <c r="ROM351" s="50"/>
      <c r="RON351" s="50"/>
      <c r="ROO351" s="50"/>
      <c r="ROP351" s="50"/>
      <c r="ROQ351" s="50"/>
      <c r="ROR351" s="50"/>
      <c r="ROS351" s="50"/>
      <c r="ROT351" s="50"/>
      <c r="ROU351" s="50"/>
      <c r="ROV351" s="50"/>
      <c r="ROW351" s="50"/>
      <c r="ROX351" s="50"/>
      <c r="ROY351" s="50"/>
      <c r="ROZ351" s="50"/>
      <c r="RPA351" s="50"/>
      <c r="RPB351" s="50"/>
      <c r="RPC351" s="50"/>
      <c r="RPD351" s="50"/>
      <c r="RPE351" s="50"/>
      <c r="RPF351" s="50"/>
      <c r="RPG351" s="50"/>
      <c r="RPH351" s="50"/>
      <c r="RPI351" s="50"/>
      <c r="RPJ351" s="50"/>
      <c r="RPK351" s="50"/>
      <c r="RPL351" s="50"/>
      <c r="RPM351" s="50"/>
      <c r="RPN351" s="50"/>
      <c r="RPO351" s="50"/>
      <c r="RPP351" s="50"/>
      <c r="RPQ351" s="50"/>
      <c r="RPR351" s="50"/>
      <c r="RPS351" s="50"/>
      <c r="RPT351" s="50"/>
      <c r="RPU351" s="50"/>
      <c r="RPV351" s="50"/>
      <c r="RPW351" s="50"/>
      <c r="RPX351" s="50"/>
      <c r="RPY351" s="50"/>
      <c r="RPZ351" s="50"/>
      <c r="RQA351" s="50"/>
      <c r="RQB351" s="50"/>
      <c r="RQC351" s="50"/>
      <c r="RQD351" s="50"/>
      <c r="RQE351" s="50"/>
      <c r="RQF351" s="50"/>
      <c r="RQG351" s="50"/>
      <c r="RQH351" s="50"/>
      <c r="RQI351" s="50"/>
      <c r="RQJ351" s="50"/>
      <c r="RQK351" s="50"/>
      <c r="RQL351" s="50"/>
      <c r="RQM351" s="50"/>
      <c r="RQN351" s="50"/>
      <c r="RQO351" s="50"/>
      <c r="RQP351" s="50"/>
      <c r="RQQ351" s="50"/>
      <c r="RQR351" s="50"/>
      <c r="RQS351" s="50"/>
      <c r="RQT351" s="50"/>
      <c r="RQU351" s="50"/>
      <c r="RQV351" s="50"/>
      <c r="RQW351" s="50"/>
      <c r="RQX351" s="50"/>
      <c r="RQY351" s="50"/>
      <c r="RQZ351" s="50"/>
      <c r="RRA351" s="50"/>
      <c r="RRB351" s="50"/>
      <c r="RRC351" s="50"/>
      <c r="RRD351" s="50"/>
      <c r="RRE351" s="50"/>
      <c r="RRF351" s="50"/>
      <c r="RRG351" s="50"/>
      <c r="RRH351" s="50"/>
      <c r="RRI351" s="50"/>
      <c r="RRJ351" s="50"/>
      <c r="RRK351" s="50"/>
      <c r="RRL351" s="50"/>
      <c r="RRM351" s="50"/>
      <c r="RRN351" s="50"/>
      <c r="RRO351" s="50"/>
      <c r="RRP351" s="50"/>
      <c r="RRQ351" s="50"/>
      <c r="RRR351" s="50"/>
      <c r="RRS351" s="50"/>
      <c r="RRT351" s="50"/>
      <c r="RRU351" s="50"/>
      <c r="RRV351" s="50"/>
      <c r="RRW351" s="50"/>
      <c r="RRX351" s="50"/>
      <c r="RRY351" s="50"/>
      <c r="RRZ351" s="50"/>
      <c r="RSA351" s="50"/>
      <c r="RSB351" s="50"/>
      <c r="RSC351" s="50"/>
      <c r="RSD351" s="50"/>
      <c r="RSE351" s="50"/>
      <c r="RSF351" s="50"/>
      <c r="RSG351" s="50"/>
      <c r="RSH351" s="50"/>
      <c r="RSI351" s="50"/>
      <c r="RSJ351" s="50"/>
      <c r="RSK351" s="50"/>
      <c r="RSL351" s="50"/>
      <c r="RSM351" s="50"/>
      <c r="RSN351" s="50"/>
      <c r="RSO351" s="50"/>
      <c r="RSP351" s="50"/>
      <c r="RSQ351" s="50"/>
      <c r="RSR351" s="50"/>
      <c r="RSS351" s="50"/>
      <c r="RST351" s="50"/>
      <c r="RSU351" s="50"/>
      <c r="RSV351" s="50"/>
      <c r="RSW351" s="50"/>
      <c r="RSX351" s="50"/>
      <c r="RSY351" s="50"/>
      <c r="RSZ351" s="50"/>
      <c r="RTA351" s="50"/>
      <c r="RTB351" s="50"/>
      <c r="RTC351" s="50"/>
      <c r="RTD351" s="50"/>
      <c r="RTE351" s="50"/>
      <c r="RTF351" s="50"/>
      <c r="RTG351" s="50"/>
      <c r="RTH351" s="50"/>
      <c r="RTI351" s="50"/>
      <c r="RTJ351" s="50"/>
      <c r="RTK351" s="50"/>
      <c r="RTL351" s="50"/>
      <c r="RTM351" s="50"/>
      <c r="RTN351" s="50"/>
      <c r="RTO351" s="50"/>
      <c r="RTP351" s="50"/>
      <c r="RTQ351" s="50"/>
      <c r="RTR351" s="50"/>
      <c r="RTS351" s="50"/>
      <c r="RTT351" s="50"/>
      <c r="RTU351" s="50"/>
      <c r="RTV351" s="50"/>
      <c r="RTW351" s="50"/>
      <c r="RTX351" s="50"/>
      <c r="RTY351" s="50"/>
      <c r="RTZ351" s="50"/>
      <c r="RUA351" s="50"/>
      <c r="RUB351" s="50"/>
      <c r="RUC351" s="50"/>
      <c r="RUD351" s="50"/>
      <c r="RUE351" s="50"/>
      <c r="RUF351" s="50"/>
      <c r="RUG351" s="50"/>
      <c r="RUH351" s="50"/>
      <c r="RUI351" s="50"/>
      <c r="RUJ351" s="50"/>
      <c r="RUK351" s="50"/>
      <c r="RUL351" s="50"/>
      <c r="RUM351" s="50"/>
      <c r="RUN351" s="50"/>
      <c r="RUO351" s="50"/>
      <c r="RUP351" s="50"/>
      <c r="RUQ351" s="50"/>
      <c r="RUR351" s="50"/>
      <c r="RUS351" s="50"/>
      <c r="RUT351" s="50"/>
      <c r="RUU351" s="50"/>
      <c r="RUV351" s="50"/>
      <c r="RUW351" s="50"/>
      <c r="RUX351" s="50"/>
      <c r="RUY351" s="50"/>
      <c r="RUZ351" s="50"/>
      <c r="RVA351" s="50"/>
      <c r="RVB351" s="50"/>
      <c r="RVC351" s="50"/>
      <c r="RVD351" s="50"/>
      <c r="RVE351" s="50"/>
      <c r="RVF351" s="50"/>
      <c r="RVG351" s="50"/>
      <c r="RVH351" s="50"/>
      <c r="RVI351" s="50"/>
      <c r="RVJ351" s="50"/>
      <c r="RVK351" s="50"/>
      <c r="RVL351" s="50"/>
      <c r="RVM351" s="50"/>
      <c r="RVN351" s="50"/>
      <c r="RVO351" s="50"/>
      <c r="RVP351" s="50"/>
      <c r="RVQ351" s="50"/>
      <c r="RVR351" s="50"/>
      <c r="RVS351" s="50"/>
      <c r="RVT351" s="50"/>
      <c r="RVU351" s="50"/>
      <c r="RVV351" s="50"/>
      <c r="RVW351" s="50"/>
      <c r="RVX351" s="50"/>
      <c r="RVY351" s="50"/>
      <c r="RVZ351" s="50"/>
      <c r="RWA351" s="50"/>
      <c r="RWB351" s="50"/>
      <c r="RWC351" s="50"/>
      <c r="RWD351" s="50"/>
      <c r="RWE351" s="50"/>
      <c r="RWF351" s="50"/>
      <c r="RWG351" s="50"/>
      <c r="RWH351" s="50"/>
      <c r="RWI351" s="50"/>
      <c r="RWJ351" s="50"/>
      <c r="RWK351" s="50"/>
      <c r="RWL351" s="50"/>
      <c r="RWM351" s="50"/>
      <c r="RWN351" s="50"/>
      <c r="RWO351" s="50"/>
      <c r="RWP351" s="50"/>
      <c r="RWQ351" s="50"/>
      <c r="RWR351" s="50"/>
      <c r="RWS351" s="50"/>
      <c r="RWT351" s="50"/>
      <c r="RWU351" s="50"/>
      <c r="RWV351" s="50"/>
      <c r="RWW351" s="50"/>
      <c r="RWX351" s="50"/>
      <c r="RWY351" s="50"/>
      <c r="RWZ351" s="50"/>
      <c r="RXA351" s="50"/>
      <c r="RXB351" s="50"/>
      <c r="RXC351" s="50"/>
      <c r="RXD351" s="50"/>
      <c r="RXE351" s="50"/>
      <c r="RXF351" s="50"/>
      <c r="RXG351" s="50"/>
      <c r="RXH351" s="50"/>
      <c r="RXI351" s="50"/>
      <c r="RXJ351" s="50"/>
      <c r="RXK351" s="50"/>
      <c r="RXL351" s="50"/>
      <c r="RXM351" s="50"/>
      <c r="RXN351" s="50"/>
      <c r="RXO351" s="50"/>
      <c r="RXP351" s="50"/>
      <c r="RXQ351" s="50"/>
      <c r="RXR351" s="50"/>
      <c r="RXS351" s="50"/>
      <c r="RXT351" s="50"/>
      <c r="RXU351" s="50"/>
      <c r="RXV351" s="50"/>
      <c r="RXW351" s="50"/>
      <c r="RXX351" s="50"/>
      <c r="RXY351" s="50"/>
      <c r="RXZ351" s="50"/>
      <c r="RYA351" s="50"/>
      <c r="RYB351" s="50"/>
      <c r="RYC351" s="50"/>
      <c r="RYD351" s="50"/>
      <c r="RYE351" s="50"/>
      <c r="RYF351" s="50"/>
      <c r="RYG351" s="50"/>
      <c r="RYH351" s="50"/>
      <c r="RYI351" s="50"/>
      <c r="RYJ351" s="50"/>
      <c r="RYK351" s="50"/>
      <c r="RYL351" s="50"/>
      <c r="RYM351" s="50"/>
      <c r="RYN351" s="50"/>
      <c r="RYO351" s="50"/>
      <c r="RYP351" s="50"/>
      <c r="RYQ351" s="50"/>
      <c r="RYR351" s="50"/>
      <c r="RYS351" s="50"/>
      <c r="RYT351" s="50"/>
      <c r="RYU351" s="50"/>
      <c r="RYV351" s="50"/>
      <c r="RYW351" s="50"/>
      <c r="RYX351" s="50"/>
      <c r="RYY351" s="50"/>
      <c r="RYZ351" s="50"/>
      <c r="RZA351" s="50"/>
      <c r="RZB351" s="50"/>
      <c r="RZC351" s="50"/>
      <c r="RZD351" s="50"/>
      <c r="RZE351" s="50"/>
      <c r="RZF351" s="50"/>
      <c r="RZG351" s="50"/>
      <c r="RZH351" s="50"/>
      <c r="RZI351" s="50"/>
      <c r="RZJ351" s="50"/>
      <c r="RZK351" s="50"/>
      <c r="RZL351" s="50"/>
      <c r="RZM351" s="50"/>
      <c r="RZN351" s="50"/>
      <c r="RZO351" s="50"/>
      <c r="RZP351" s="50"/>
      <c r="RZQ351" s="50"/>
      <c r="RZR351" s="50"/>
      <c r="RZS351" s="50"/>
      <c r="RZT351" s="50"/>
      <c r="RZU351" s="50"/>
      <c r="RZV351" s="50"/>
      <c r="RZW351" s="50"/>
      <c r="RZX351" s="50"/>
      <c r="RZY351" s="50"/>
      <c r="RZZ351" s="50"/>
      <c r="SAA351" s="50"/>
      <c r="SAB351" s="50"/>
      <c r="SAC351" s="50"/>
      <c r="SAD351" s="50"/>
      <c r="SAE351" s="50"/>
      <c r="SAF351" s="50"/>
      <c r="SAG351" s="50"/>
      <c r="SAH351" s="50"/>
      <c r="SAI351" s="50"/>
      <c r="SAJ351" s="50"/>
      <c r="SAK351" s="50"/>
      <c r="SAL351" s="50"/>
      <c r="SAM351" s="50"/>
      <c r="SAN351" s="50"/>
      <c r="SAO351" s="50"/>
      <c r="SAP351" s="50"/>
      <c r="SAQ351" s="50"/>
      <c r="SAR351" s="50"/>
      <c r="SAS351" s="50"/>
      <c r="SAT351" s="50"/>
      <c r="SAU351" s="50"/>
      <c r="SAV351" s="50"/>
      <c r="SAW351" s="50"/>
      <c r="SAX351" s="50"/>
      <c r="SAY351" s="50"/>
      <c r="SAZ351" s="50"/>
      <c r="SBA351" s="50"/>
      <c r="SBB351" s="50"/>
      <c r="SBC351" s="50"/>
      <c r="SBD351" s="50"/>
      <c r="SBE351" s="50"/>
      <c r="SBF351" s="50"/>
      <c r="SBG351" s="50"/>
      <c r="SBH351" s="50"/>
      <c r="SBI351" s="50"/>
      <c r="SBJ351" s="50"/>
      <c r="SBK351" s="50"/>
      <c r="SBL351" s="50"/>
      <c r="SBM351" s="50"/>
      <c r="SBN351" s="50"/>
      <c r="SBO351" s="50"/>
      <c r="SBP351" s="50"/>
      <c r="SBQ351" s="50"/>
      <c r="SBR351" s="50"/>
      <c r="SBS351" s="50"/>
      <c r="SBT351" s="50"/>
      <c r="SBU351" s="50"/>
      <c r="SBV351" s="50"/>
      <c r="SBW351" s="50"/>
      <c r="SBX351" s="50"/>
      <c r="SBY351" s="50"/>
      <c r="SBZ351" s="50"/>
      <c r="SCA351" s="50"/>
      <c r="SCB351" s="50"/>
      <c r="SCC351" s="50"/>
      <c r="SCD351" s="50"/>
      <c r="SCE351" s="50"/>
      <c r="SCF351" s="50"/>
      <c r="SCG351" s="50"/>
      <c r="SCH351" s="50"/>
      <c r="SCI351" s="50"/>
      <c r="SCJ351" s="50"/>
      <c r="SCK351" s="50"/>
      <c r="SCL351" s="50"/>
      <c r="SCM351" s="50"/>
      <c r="SCN351" s="50"/>
      <c r="SCO351" s="50"/>
      <c r="SCP351" s="50"/>
      <c r="SCQ351" s="50"/>
      <c r="SCR351" s="50"/>
      <c r="SCS351" s="50"/>
      <c r="SCT351" s="50"/>
      <c r="SCU351" s="50"/>
      <c r="SCV351" s="50"/>
      <c r="SCW351" s="50"/>
      <c r="SCX351" s="50"/>
      <c r="SCY351" s="50"/>
      <c r="SCZ351" s="50"/>
      <c r="SDA351" s="50"/>
      <c r="SDB351" s="50"/>
      <c r="SDC351" s="50"/>
      <c r="SDD351" s="50"/>
      <c r="SDE351" s="50"/>
      <c r="SDF351" s="50"/>
      <c r="SDG351" s="50"/>
      <c r="SDH351" s="50"/>
      <c r="SDI351" s="50"/>
      <c r="SDJ351" s="50"/>
      <c r="SDK351" s="50"/>
      <c r="SDL351" s="50"/>
      <c r="SDM351" s="50"/>
      <c r="SDN351" s="50"/>
      <c r="SDO351" s="50"/>
      <c r="SDP351" s="50"/>
      <c r="SDQ351" s="50"/>
      <c r="SDR351" s="50"/>
      <c r="SDS351" s="50"/>
      <c r="SDT351" s="50"/>
      <c r="SDU351" s="50"/>
      <c r="SDV351" s="50"/>
      <c r="SDW351" s="50"/>
      <c r="SDX351" s="50"/>
      <c r="SDY351" s="50"/>
      <c r="SDZ351" s="50"/>
      <c r="SEA351" s="50"/>
      <c r="SEB351" s="50"/>
      <c r="SEC351" s="50"/>
      <c r="SED351" s="50"/>
      <c r="SEE351" s="50"/>
      <c r="SEF351" s="50"/>
      <c r="SEG351" s="50"/>
      <c r="SEH351" s="50"/>
      <c r="SEI351" s="50"/>
      <c r="SEJ351" s="50"/>
      <c r="SEK351" s="50"/>
      <c r="SEL351" s="50"/>
      <c r="SEM351" s="50"/>
      <c r="SEN351" s="50"/>
      <c r="SEO351" s="50"/>
      <c r="SEP351" s="50"/>
      <c r="SEQ351" s="50"/>
      <c r="SER351" s="50"/>
      <c r="SES351" s="50"/>
      <c r="SET351" s="50"/>
      <c r="SEU351" s="50"/>
      <c r="SEV351" s="50"/>
      <c r="SEW351" s="50"/>
      <c r="SEX351" s="50"/>
      <c r="SEY351" s="50"/>
      <c r="SEZ351" s="50"/>
      <c r="SFA351" s="50"/>
      <c r="SFB351" s="50"/>
      <c r="SFC351" s="50"/>
      <c r="SFD351" s="50"/>
      <c r="SFE351" s="50"/>
      <c r="SFF351" s="50"/>
      <c r="SFG351" s="50"/>
      <c r="SFH351" s="50"/>
      <c r="SFI351" s="50"/>
      <c r="SFJ351" s="50"/>
      <c r="SFK351" s="50"/>
      <c r="SFL351" s="50"/>
      <c r="SFM351" s="50"/>
      <c r="SFN351" s="50"/>
      <c r="SFO351" s="50"/>
      <c r="SFP351" s="50"/>
      <c r="SFQ351" s="50"/>
      <c r="SFR351" s="50"/>
      <c r="SFS351" s="50"/>
      <c r="SFT351" s="50"/>
      <c r="SFU351" s="50"/>
      <c r="SFV351" s="50"/>
      <c r="SFW351" s="50"/>
      <c r="SFX351" s="50"/>
      <c r="SFY351" s="50"/>
      <c r="SFZ351" s="50"/>
      <c r="SGA351" s="50"/>
      <c r="SGB351" s="50"/>
      <c r="SGC351" s="50"/>
      <c r="SGD351" s="50"/>
      <c r="SGE351" s="50"/>
      <c r="SGF351" s="50"/>
      <c r="SGG351" s="50"/>
      <c r="SGH351" s="50"/>
      <c r="SGI351" s="50"/>
      <c r="SGJ351" s="50"/>
      <c r="SGK351" s="50"/>
      <c r="SGL351" s="50"/>
      <c r="SGM351" s="50"/>
      <c r="SGN351" s="50"/>
      <c r="SGO351" s="50"/>
      <c r="SGP351" s="50"/>
      <c r="SGQ351" s="50"/>
      <c r="SGR351" s="50"/>
      <c r="SGS351" s="50"/>
      <c r="SGT351" s="50"/>
      <c r="SGU351" s="50"/>
      <c r="SGV351" s="50"/>
      <c r="SGW351" s="50"/>
      <c r="SGX351" s="50"/>
      <c r="SGY351" s="50"/>
      <c r="SGZ351" s="50"/>
      <c r="SHA351" s="50"/>
      <c r="SHB351" s="50"/>
      <c r="SHC351" s="50"/>
      <c r="SHD351" s="50"/>
      <c r="SHE351" s="50"/>
      <c r="SHF351" s="50"/>
      <c r="SHG351" s="50"/>
      <c r="SHH351" s="50"/>
      <c r="SHI351" s="50"/>
      <c r="SHJ351" s="50"/>
      <c r="SHK351" s="50"/>
      <c r="SHL351" s="50"/>
      <c r="SHM351" s="50"/>
      <c r="SHN351" s="50"/>
      <c r="SHO351" s="50"/>
      <c r="SHP351" s="50"/>
      <c r="SHQ351" s="50"/>
      <c r="SHR351" s="50"/>
      <c r="SHS351" s="50"/>
      <c r="SHT351" s="50"/>
      <c r="SHU351" s="50"/>
      <c r="SHV351" s="50"/>
      <c r="SHW351" s="50"/>
      <c r="SHX351" s="50"/>
      <c r="SHY351" s="50"/>
      <c r="SHZ351" s="50"/>
      <c r="SIA351" s="50"/>
      <c r="SIB351" s="50"/>
      <c r="SIC351" s="50"/>
      <c r="SID351" s="50"/>
      <c r="SIE351" s="50"/>
      <c r="SIF351" s="50"/>
      <c r="SIG351" s="50"/>
      <c r="SIH351" s="50"/>
      <c r="SII351" s="50"/>
      <c r="SIJ351" s="50"/>
      <c r="SIK351" s="50"/>
      <c r="SIL351" s="50"/>
      <c r="SIM351" s="50"/>
      <c r="SIN351" s="50"/>
      <c r="SIO351" s="50"/>
      <c r="SIP351" s="50"/>
      <c r="SIQ351" s="50"/>
      <c r="SIR351" s="50"/>
      <c r="SIS351" s="50"/>
      <c r="SIT351" s="50"/>
      <c r="SIU351" s="50"/>
      <c r="SIV351" s="50"/>
      <c r="SIW351" s="50"/>
      <c r="SIX351" s="50"/>
      <c r="SIY351" s="50"/>
      <c r="SIZ351" s="50"/>
      <c r="SJA351" s="50"/>
      <c r="SJB351" s="50"/>
      <c r="SJC351" s="50"/>
      <c r="SJD351" s="50"/>
      <c r="SJE351" s="50"/>
      <c r="SJF351" s="50"/>
      <c r="SJG351" s="50"/>
      <c r="SJH351" s="50"/>
      <c r="SJI351" s="50"/>
      <c r="SJJ351" s="50"/>
      <c r="SJK351" s="50"/>
      <c r="SJL351" s="50"/>
      <c r="SJM351" s="50"/>
      <c r="SJN351" s="50"/>
      <c r="SJO351" s="50"/>
      <c r="SJP351" s="50"/>
      <c r="SJQ351" s="50"/>
      <c r="SJR351" s="50"/>
      <c r="SJS351" s="50"/>
      <c r="SJT351" s="50"/>
      <c r="SJU351" s="50"/>
      <c r="SJV351" s="50"/>
      <c r="SJW351" s="50"/>
      <c r="SJX351" s="50"/>
      <c r="SJY351" s="50"/>
      <c r="SJZ351" s="50"/>
      <c r="SKA351" s="50"/>
      <c r="SKB351" s="50"/>
      <c r="SKC351" s="50"/>
      <c r="SKD351" s="50"/>
      <c r="SKE351" s="50"/>
      <c r="SKF351" s="50"/>
      <c r="SKG351" s="50"/>
      <c r="SKH351" s="50"/>
      <c r="SKI351" s="50"/>
      <c r="SKJ351" s="50"/>
      <c r="SKK351" s="50"/>
      <c r="SKL351" s="50"/>
      <c r="SKM351" s="50"/>
      <c r="SKN351" s="50"/>
      <c r="SKO351" s="50"/>
      <c r="SKP351" s="50"/>
      <c r="SKQ351" s="50"/>
      <c r="SKR351" s="50"/>
      <c r="SKS351" s="50"/>
      <c r="SKT351" s="50"/>
      <c r="SKU351" s="50"/>
      <c r="SKV351" s="50"/>
      <c r="SKW351" s="50"/>
      <c r="SKX351" s="50"/>
      <c r="SKY351" s="50"/>
      <c r="SKZ351" s="50"/>
      <c r="SLA351" s="50"/>
      <c r="SLB351" s="50"/>
      <c r="SLC351" s="50"/>
      <c r="SLD351" s="50"/>
      <c r="SLE351" s="50"/>
      <c r="SLF351" s="50"/>
      <c r="SLG351" s="50"/>
      <c r="SLH351" s="50"/>
      <c r="SLI351" s="50"/>
      <c r="SLJ351" s="50"/>
      <c r="SLK351" s="50"/>
      <c r="SLL351" s="50"/>
      <c r="SLM351" s="50"/>
      <c r="SLN351" s="50"/>
      <c r="SLO351" s="50"/>
      <c r="SLP351" s="50"/>
      <c r="SLQ351" s="50"/>
      <c r="SLR351" s="50"/>
      <c r="SLS351" s="50"/>
      <c r="SLT351" s="50"/>
      <c r="SLU351" s="50"/>
      <c r="SLV351" s="50"/>
      <c r="SLW351" s="50"/>
      <c r="SLX351" s="50"/>
      <c r="SLY351" s="50"/>
      <c r="SLZ351" s="50"/>
      <c r="SMA351" s="50"/>
      <c r="SMB351" s="50"/>
      <c r="SMC351" s="50"/>
      <c r="SMD351" s="50"/>
      <c r="SME351" s="50"/>
      <c r="SMF351" s="50"/>
      <c r="SMG351" s="50"/>
      <c r="SMH351" s="50"/>
      <c r="SMI351" s="50"/>
      <c r="SMJ351" s="50"/>
      <c r="SMK351" s="50"/>
      <c r="SML351" s="50"/>
      <c r="SMM351" s="50"/>
      <c r="SMN351" s="50"/>
      <c r="SMO351" s="50"/>
      <c r="SMP351" s="50"/>
      <c r="SMQ351" s="50"/>
      <c r="SMR351" s="50"/>
      <c r="SMS351" s="50"/>
      <c r="SMT351" s="50"/>
      <c r="SMU351" s="50"/>
      <c r="SMV351" s="50"/>
      <c r="SMW351" s="50"/>
      <c r="SMX351" s="50"/>
      <c r="SMY351" s="50"/>
      <c r="SMZ351" s="50"/>
      <c r="SNA351" s="50"/>
      <c r="SNB351" s="50"/>
      <c r="SNC351" s="50"/>
      <c r="SND351" s="50"/>
      <c r="SNE351" s="50"/>
      <c r="SNF351" s="50"/>
      <c r="SNG351" s="50"/>
      <c r="SNH351" s="50"/>
      <c r="SNI351" s="50"/>
      <c r="SNJ351" s="50"/>
      <c r="SNK351" s="50"/>
      <c r="SNL351" s="50"/>
      <c r="SNM351" s="50"/>
      <c r="SNN351" s="50"/>
      <c r="SNO351" s="50"/>
      <c r="SNP351" s="50"/>
      <c r="SNQ351" s="50"/>
      <c r="SNR351" s="50"/>
      <c r="SNS351" s="50"/>
      <c r="SNT351" s="50"/>
      <c r="SNU351" s="50"/>
      <c r="SNV351" s="50"/>
      <c r="SNW351" s="50"/>
      <c r="SNX351" s="50"/>
      <c r="SNY351" s="50"/>
      <c r="SNZ351" s="50"/>
      <c r="SOA351" s="50"/>
      <c r="SOB351" s="50"/>
      <c r="SOC351" s="50"/>
      <c r="SOD351" s="50"/>
      <c r="SOE351" s="50"/>
      <c r="SOF351" s="50"/>
      <c r="SOG351" s="50"/>
      <c r="SOH351" s="50"/>
      <c r="SOI351" s="50"/>
      <c r="SOJ351" s="50"/>
      <c r="SOK351" s="50"/>
      <c r="SOL351" s="50"/>
      <c r="SOM351" s="50"/>
      <c r="SON351" s="50"/>
      <c r="SOO351" s="50"/>
      <c r="SOP351" s="50"/>
      <c r="SOQ351" s="50"/>
      <c r="SOR351" s="50"/>
      <c r="SOS351" s="50"/>
      <c r="SOT351" s="50"/>
      <c r="SOU351" s="50"/>
      <c r="SOV351" s="50"/>
      <c r="SOW351" s="50"/>
      <c r="SOX351" s="50"/>
      <c r="SOY351" s="50"/>
      <c r="SOZ351" s="50"/>
      <c r="SPA351" s="50"/>
      <c r="SPB351" s="50"/>
      <c r="SPC351" s="50"/>
      <c r="SPD351" s="50"/>
      <c r="SPE351" s="50"/>
      <c r="SPF351" s="50"/>
      <c r="SPG351" s="50"/>
      <c r="SPH351" s="50"/>
      <c r="SPI351" s="50"/>
      <c r="SPJ351" s="50"/>
      <c r="SPK351" s="50"/>
      <c r="SPL351" s="50"/>
      <c r="SPM351" s="50"/>
      <c r="SPN351" s="50"/>
      <c r="SPO351" s="50"/>
      <c r="SPP351" s="50"/>
      <c r="SPQ351" s="50"/>
      <c r="SPR351" s="50"/>
      <c r="SPS351" s="50"/>
      <c r="SPT351" s="50"/>
      <c r="SPU351" s="50"/>
      <c r="SPV351" s="50"/>
      <c r="SPW351" s="50"/>
      <c r="SPX351" s="50"/>
      <c r="SPY351" s="50"/>
      <c r="SPZ351" s="50"/>
      <c r="SQA351" s="50"/>
      <c r="SQB351" s="50"/>
      <c r="SQC351" s="50"/>
      <c r="SQD351" s="50"/>
      <c r="SQE351" s="50"/>
      <c r="SQF351" s="50"/>
      <c r="SQG351" s="50"/>
      <c r="SQH351" s="50"/>
      <c r="SQI351" s="50"/>
      <c r="SQJ351" s="50"/>
      <c r="SQK351" s="50"/>
      <c r="SQL351" s="50"/>
      <c r="SQM351" s="50"/>
      <c r="SQN351" s="50"/>
      <c r="SQO351" s="50"/>
      <c r="SQP351" s="50"/>
      <c r="SQQ351" s="50"/>
      <c r="SQR351" s="50"/>
      <c r="SQS351" s="50"/>
      <c r="SQT351" s="50"/>
      <c r="SQU351" s="50"/>
      <c r="SQV351" s="50"/>
      <c r="SQW351" s="50"/>
      <c r="SQX351" s="50"/>
      <c r="SQY351" s="50"/>
      <c r="SQZ351" s="50"/>
      <c r="SRA351" s="50"/>
      <c r="SRB351" s="50"/>
      <c r="SRC351" s="50"/>
      <c r="SRD351" s="50"/>
      <c r="SRE351" s="50"/>
      <c r="SRF351" s="50"/>
      <c r="SRG351" s="50"/>
      <c r="SRH351" s="50"/>
      <c r="SRI351" s="50"/>
      <c r="SRJ351" s="50"/>
      <c r="SRK351" s="50"/>
      <c r="SRL351" s="50"/>
      <c r="SRM351" s="50"/>
      <c r="SRN351" s="50"/>
      <c r="SRO351" s="50"/>
      <c r="SRP351" s="50"/>
      <c r="SRQ351" s="50"/>
      <c r="SRR351" s="50"/>
      <c r="SRS351" s="50"/>
      <c r="SRT351" s="50"/>
      <c r="SRU351" s="50"/>
      <c r="SRV351" s="50"/>
      <c r="SRW351" s="50"/>
      <c r="SRX351" s="50"/>
      <c r="SRY351" s="50"/>
      <c r="SRZ351" s="50"/>
      <c r="SSA351" s="50"/>
      <c r="SSB351" s="50"/>
      <c r="SSC351" s="50"/>
      <c r="SSD351" s="50"/>
      <c r="SSE351" s="50"/>
      <c r="SSF351" s="50"/>
      <c r="SSG351" s="50"/>
      <c r="SSH351" s="50"/>
      <c r="SSI351" s="50"/>
      <c r="SSJ351" s="50"/>
      <c r="SSK351" s="50"/>
      <c r="SSL351" s="50"/>
      <c r="SSM351" s="50"/>
      <c r="SSN351" s="50"/>
      <c r="SSO351" s="50"/>
      <c r="SSP351" s="50"/>
      <c r="SSQ351" s="50"/>
      <c r="SSR351" s="50"/>
      <c r="SSS351" s="50"/>
      <c r="SST351" s="50"/>
      <c r="SSU351" s="50"/>
      <c r="SSV351" s="50"/>
      <c r="SSW351" s="50"/>
      <c r="SSX351" s="50"/>
      <c r="SSY351" s="50"/>
      <c r="SSZ351" s="50"/>
      <c r="STA351" s="50"/>
      <c r="STB351" s="50"/>
      <c r="STC351" s="50"/>
      <c r="STD351" s="50"/>
      <c r="STE351" s="50"/>
      <c r="STF351" s="50"/>
      <c r="STG351" s="50"/>
      <c r="STH351" s="50"/>
      <c r="STI351" s="50"/>
      <c r="STJ351" s="50"/>
      <c r="STK351" s="50"/>
      <c r="STL351" s="50"/>
      <c r="STM351" s="50"/>
      <c r="STN351" s="50"/>
      <c r="STO351" s="50"/>
      <c r="STP351" s="50"/>
      <c r="STQ351" s="50"/>
      <c r="STR351" s="50"/>
      <c r="STS351" s="50"/>
      <c r="STT351" s="50"/>
      <c r="STU351" s="50"/>
      <c r="STV351" s="50"/>
      <c r="STW351" s="50"/>
      <c r="STX351" s="50"/>
      <c r="STY351" s="50"/>
      <c r="STZ351" s="50"/>
      <c r="SUA351" s="50"/>
      <c r="SUB351" s="50"/>
      <c r="SUC351" s="50"/>
      <c r="SUD351" s="50"/>
      <c r="SUE351" s="50"/>
      <c r="SUF351" s="50"/>
      <c r="SUG351" s="50"/>
      <c r="SUH351" s="50"/>
      <c r="SUI351" s="50"/>
      <c r="SUJ351" s="50"/>
      <c r="SUK351" s="50"/>
      <c r="SUL351" s="50"/>
      <c r="SUM351" s="50"/>
      <c r="SUN351" s="50"/>
      <c r="SUO351" s="50"/>
      <c r="SUP351" s="50"/>
      <c r="SUQ351" s="50"/>
      <c r="SUR351" s="50"/>
      <c r="SUS351" s="50"/>
      <c r="SUT351" s="50"/>
      <c r="SUU351" s="50"/>
      <c r="SUV351" s="50"/>
      <c r="SUW351" s="50"/>
      <c r="SUX351" s="50"/>
      <c r="SUY351" s="50"/>
      <c r="SUZ351" s="50"/>
      <c r="SVA351" s="50"/>
      <c r="SVB351" s="50"/>
      <c r="SVC351" s="50"/>
      <c r="SVD351" s="50"/>
      <c r="SVE351" s="50"/>
      <c r="SVF351" s="50"/>
      <c r="SVG351" s="50"/>
      <c r="SVH351" s="50"/>
      <c r="SVI351" s="50"/>
      <c r="SVJ351" s="50"/>
      <c r="SVK351" s="50"/>
      <c r="SVL351" s="50"/>
      <c r="SVM351" s="50"/>
      <c r="SVN351" s="50"/>
      <c r="SVO351" s="50"/>
      <c r="SVP351" s="50"/>
      <c r="SVQ351" s="50"/>
      <c r="SVR351" s="50"/>
      <c r="SVS351" s="50"/>
      <c r="SVT351" s="50"/>
      <c r="SVU351" s="50"/>
      <c r="SVV351" s="50"/>
      <c r="SVW351" s="50"/>
      <c r="SVX351" s="50"/>
      <c r="SVY351" s="50"/>
      <c r="SVZ351" s="50"/>
      <c r="SWA351" s="50"/>
      <c r="SWB351" s="50"/>
      <c r="SWC351" s="50"/>
      <c r="SWD351" s="50"/>
      <c r="SWE351" s="50"/>
      <c r="SWF351" s="50"/>
      <c r="SWG351" s="50"/>
      <c r="SWH351" s="50"/>
      <c r="SWI351" s="50"/>
      <c r="SWJ351" s="50"/>
      <c r="SWK351" s="50"/>
      <c r="SWL351" s="50"/>
      <c r="SWM351" s="50"/>
      <c r="SWN351" s="50"/>
      <c r="SWO351" s="50"/>
      <c r="SWP351" s="50"/>
      <c r="SWQ351" s="50"/>
      <c r="SWR351" s="50"/>
      <c r="SWS351" s="50"/>
      <c r="SWT351" s="50"/>
      <c r="SWU351" s="50"/>
      <c r="SWV351" s="50"/>
      <c r="SWW351" s="50"/>
      <c r="SWX351" s="50"/>
      <c r="SWY351" s="50"/>
      <c r="SWZ351" s="50"/>
      <c r="SXA351" s="50"/>
      <c r="SXB351" s="50"/>
      <c r="SXC351" s="50"/>
      <c r="SXD351" s="50"/>
      <c r="SXE351" s="50"/>
      <c r="SXF351" s="50"/>
      <c r="SXG351" s="50"/>
      <c r="SXH351" s="50"/>
      <c r="SXI351" s="50"/>
      <c r="SXJ351" s="50"/>
      <c r="SXK351" s="50"/>
      <c r="SXL351" s="50"/>
      <c r="SXM351" s="50"/>
      <c r="SXN351" s="50"/>
      <c r="SXO351" s="50"/>
      <c r="SXP351" s="50"/>
      <c r="SXQ351" s="50"/>
      <c r="SXR351" s="50"/>
      <c r="SXS351" s="50"/>
      <c r="SXT351" s="50"/>
      <c r="SXU351" s="50"/>
      <c r="SXV351" s="50"/>
      <c r="SXW351" s="50"/>
      <c r="SXX351" s="50"/>
      <c r="SXY351" s="50"/>
      <c r="SXZ351" s="50"/>
      <c r="SYA351" s="50"/>
      <c r="SYB351" s="50"/>
      <c r="SYC351" s="50"/>
      <c r="SYD351" s="50"/>
      <c r="SYE351" s="50"/>
      <c r="SYF351" s="50"/>
      <c r="SYG351" s="50"/>
      <c r="SYH351" s="50"/>
      <c r="SYI351" s="50"/>
      <c r="SYJ351" s="50"/>
      <c r="SYK351" s="50"/>
      <c r="SYL351" s="50"/>
      <c r="SYM351" s="50"/>
      <c r="SYN351" s="50"/>
      <c r="SYO351" s="50"/>
      <c r="SYP351" s="50"/>
      <c r="SYQ351" s="50"/>
      <c r="SYR351" s="50"/>
      <c r="SYS351" s="50"/>
      <c r="SYT351" s="50"/>
      <c r="SYU351" s="50"/>
      <c r="SYV351" s="50"/>
      <c r="SYW351" s="50"/>
      <c r="SYX351" s="50"/>
      <c r="SYY351" s="50"/>
      <c r="SYZ351" s="50"/>
      <c r="SZA351" s="50"/>
      <c r="SZB351" s="50"/>
      <c r="SZC351" s="50"/>
      <c r="SZD351" s="50"/>
      <c r="SZE351" s="50"/>
      <c r="SZF351" s="50"/>
      <c r="SZG351" s="50"/>
      <c r="SZH351" s="50"/>
      <c r="SZI351" s="50"/>
      <c r="SZJ351" s="50"/>
      <c r="SZK351" s="50"/>
      <c r="SZL351" s="50"/>
      <c r="SZM351" s="50"/>
      <c r="SZN351" s="50"/>
      <c r="SZO351" s="50"/>
      <c r="SZP351" s="50"/>
      <c r="SZQ351" s="50"/>
      <c r="SZR351" s="50"/>
      <c r="SZS351" s="50"/>
      <c r="SZT351" s="50"/>
      <c r="SZU351" s="50"/>
      <c r="SZV351" s="50"/>
      <c r="SZW351" s="50"/>
      <c r="SZX351" s="50"/>
      <c r="SZY351" s="50"/>
      <c r="SZZ351" s="50"/>
      <c r="TAA351" s="50"/>
      <c r="TAB351" s="50"/>
      <c r="TAC351" s="50"/>
      <c r="TAD351" s="50"/>
      <c r="TAE351" s="50"/>
      <c r="TAF351" s="50"/>
      <c r="TAG351" s="50"/>
      <c r="TAH351" s="50"/>
      <c r="TAI351" s="50"/>
      <c r="TAJ351" s="50"/>
      <c r="TAK351" s="50"/>
      <c r="TAL351" s="50"/>
      <c r="TAM351" s="50"/>
      <c r="TAN351" s="50"/>
      <c r="TAO351" s="50"/>
      <c r="TAP351" s="50"/>
      <c r="TAQ351" s="50"/>
      <c r="TAR351" s="50"/>
      <c r="TAS351" s="50"/>
      <c r="TAT351" s="50"/>
      <c r="TAU351" s="50"/>
      <c r="TAV351" s="50"/>
      <c r="TAW351" s="50"/>
      <c r="TAX351" s="50"/>
      <c r="TAY351" s="50"/>
      <c r="TAZ351" s="50"/>
      <c r="TBA351" s="50"/>
      <c r="TBB351" s="50"/>
      <c r="TBC351" s="50"/>
      <c r="TBD351" s="50"/>
      <c r="TBE351" s="50"/>
      <c r="TBF351" s="50"/>
      <c r="TBG351" s="50"/>
      <c r="TBH351" s="50"/>
      <c r="TBI351" s="50"/>
      <c r="TBJ351" s="50"/>
      <c r="TBK351" s="50"/>
      <c r="TBL351" s="50"/>
      <c r="TBM351" s="50"/>
      <c r="TBN351" s="50"/>
      <c r="TBO351" s="50"/>
      <c r="TBP351" s="50"/>
      <c r="TBQ351" s="50"/>
      <c r="TBR351" s="50"/>
      <c r="TBS351" s="50"/>
      <c r="TBT351" s="50"/>
      <c r="TBU351" s="50"/>
      <c r="TBV351" s="50"/>
      <c r="TBW351" s="50"/>
      <c r="TBX351" s="50"/>
      <c r="TBY351" s="50"/>
      <c r="TBZ351" s="50"/>
      <c r="TCA351" s="50"/>
      <c r="TCB351" s="50"/>
      <c r="TCC351" s="50"/>
      <c r="TCD351" s="50"/>
      <c r="TCE351" s="50"/>
      <c r="TCF351" s="50"/>
      <c r="TCG351" s="50"/>
      <c r="TCH351" s="50"/>
      <c r="TCI351" s="50"/>
      <c r="TCJ351" s="50"/>
      <c r="TCK351" s="50"/>
      <c r="TCL351" s="50"/>
      <c r="TCM351" s="50"/>
      <c r="TCN351" s="50"/>
      <c r="TCO351" s="50"/>
      <c r="TCP351" s="50"/>
      <c r="TCQ351" s="50"/>
      <c r="TCR351" s="50"/>
      <c r="TCS351" s="50"/>
      <c r="TCT351" s="50"/>
      <c r="TCU351" s="50"/>
      <c r="TCV351" s="50"/>
      <c r="TCW351" s="50"/>
      <c r="TCX351" s="50"/>
      <c r="TCY351" s="50"/>
      <c r="TCZ351" s="50"/>
      <c r="TDA351" s="50"/>
      <c r="TDB351" s="50"/>
      <c r="TDC351" s="50"/>
      <c r="TDD351" s="50"/>
      <c r="TDE351" s="50"/>
      <c r="TDF351" s="50"/>
      <c r="TDG351" s="50"/>
      <c r="TDH351" s="50"/>
      <c r="TDI351" s="50"/>
      <c r="TDJ351" s="50"/>
      <c r="TDK351" s="50"/>
      <c r="TDL351" s="50"/>
      <c r="TDM351" s="50"/>
      <c r="TDN351" s="50"/>
      <c r="TDO351" s="50"/>
      <c r="TDP351" s="50"/>
      <c r="TDQ351" s="50"/>
      <c r="TDR351" s="50"/>
      <c r="TDS351" s="50"/>
      <c r="TDT351" s="50"/>
      <c r="TDU351" s="50"/>
      <c r="TDV351" s="50"/>
      <c r="TDW351" s="50"/>
      <c r="TDX351" s="50"/>
      <c r="TDY351" s="50"/>
      <c r="TDZ351" s="50"/>
      <c r="TEA351" s="50"/>
      <c r="TEB351" s="50"/>
      <c r="TEC351" s="50"/>
      <c r="TED351" s="50"/>
      <c r="TEE351" s="50"/>
      <c r="TEF351" s="50"/>
      <c r="TEG351" s="50"/>
      <c r="TEH351" s="50"/>
      <c r="TEI351" s="50"/>
      <c r="TEJ351" s="50"/>
      <c r="TEK351" s="50"/>
      <c r="TEL351" s="50"/>
      <c r="TEM351" s="50"/>
      <c r="TEN351" s="50"/>
      <c r="TEO351" s="50"/>
      <c r="TEP351" s="50"/>
      <c r="TEQ351" s="50"/>
      <c r="TER351" s="50"/>
      <c r="TES351" s="50"/>
      <c r="TET351" s="50"/>
      <c r="TEU351" s="50"/>
      <c r="TEV351" s="50"/>
      <c r="TEW351" s="50"/>
      <c r="TEX351" s="50"/>
      <c r="TEY351" s="50"/>
      <c r="TEZ351" s="50"/>
      <c r="TFA351" s="50"/>
      <c r="TFB351" s="50"/>
      <c r="TFC351" s="50"/>
      <c r="TFD351" s="50"/>
      <c r="TFE351" s="50"/>
      <c r="TFF351" s="50"/>
      <c r="TFG351" s="50"/>
      <c r="TFH351" s="50"/>
      <c r="TFI351" s="50"/>
      <c r="TFJ351" s="50"/>
      <c r="TFK351" s="50"/>
      <c r="TFL351" s="50"/>
      <c r="TFM351" s="50"/>
      <c r="TFN351" s="50"/>
      <c r="TFO351" s="50"/>
      <c r="TFP351" s="50"/>
      <c r="TFQ351" s="50"/>
      <c r="TFR351" s="50"/>
      <c r="TFS351" s="50"/>
      <c r="TFT351" s="50"/>
      <c r="TFU351" s="50"/>
      <c r="TFV351" s="50"/>
      <c r="TFW351" s="50"/>
      <c r="TFX351" s="50"/>
      <c r="TFY351" s="50"/>
      <c r="TFZ351" s="50"/>
      <c r="TGA351" s="50"/>
      <c r="TGB351" s="50"/>
      <c r="TGC351" s="50"/>
      <c r="TGD351" s="50"/>
      <c r="TGE351" s="50"/>
      <c r="TGF351" s="50"/>
      <c r="TGG351" s="50"/>
      <c r="TGH351" s="50"/>
      <c r="TGI351" s="50"/>
      <c r="TGJ351" s="50"/>
      <c r="TGK351" s="50"/>
      <c r="TGL351" s="50"/>
      <c r="TGM351" s="50"/>
      <c r="TGN351" s="50"/>
      <c r="TGO351" s="50"/>
      <c r="TGP351" s="50"/>
      <c r="TGQ351" s="50"/>
      <c r="TGR351" s="50"/>
      <c r="TGS351" s="50"/>
      <c r="TGT351" s="50"/>
      <c r="TGU351" s="50"/>
      <c r="TGV351" s="50"/>
      <c r="TGW351" s="50"/>
      <c r="TGX351" s="50"/>
      <c r="TGY351" s="50"/>
      <c r="TGZ351" s="50"/>
      <c r="THA351" s="50"/>
      <c r="THB351" s="50"/>
      <c r="THC351" s="50"/>
      <c r="THD351" s="50"/>
      <c r="THE351" s="50"/>
      <c r="THF351" s="50"/>
      <c r="THG351" s="50"/>
      <c r="THH351" s="50"/>
      <c r="THI351" s="50"/>
      <c r="THJ351" s="50"/>
      <c r="THK351" s="50"/>
      <c r="THL351" s="50"/>
      <c r="THM351" s="50"/>
      <c r="THN351" s="50"/>
      <c r="THO351" s="50"/>
      <c r="THP351" s="50"/>
      <c r="THQ351" s="50"/>
      <c r="THR351" s="50"/>
      <c r="THS351" s="50"/>
      <c r="THT351" s="50"/>
      <c r="THU351" s="50"/>
      <c r="THV351" s="50"/>
      <c r="THW351" s="50"/>
      <c r="THX351" s="50"/>
      <c r="THY351" s="50"/>
      <c r="THZ351" s="50"/>
      <c r="TIA351" s="50"/>
      <c r="TIB351" s="50"/>
      <c r="TIC351" s="50"/>
      <c r="TID351" s="50"/>
      <c r="TIE351" s="50"/>
      <c r="TIF351" s="50"/>
      <c r="TIG351" s="50"/>
      <c r="TIH351" s="50"/>
      <c r="TII351" s="50"/>
      <c r="TIJ351" s="50"/>
      <c r="TIK351" s="50"/>
      <c r="TIL351" s="50"/>
      <c r="TIM351" s="50"/>
      <c r="TIN351" s="50"/>
      <c r="TIO351" s="50"/>
      <c r="TIP351" s="50"/>
      <c r="TIQ351" s="50"/>
      <c r="TIR351" s="50"/>
      <c r="TIS351" s="50"/>
      <c r="TIT351" s="50"/>
      <c r="TIU351" s="50"/>
      <c r="TIV351" s="50"/>
      <c r="TIW351" s="50"/>
      <c r="TIX351" s="50"/>
      <c r="TIY351" s="50"/>
      <c r="TIZ351" s="50"/>
      <c r="TJA351" s="50"/>
      <c r="TJB351" s="50"/>
      <c r="TJC351" s="50"/>
      <c r="TJD351" s="50"/>
      <c r="TJE351" s="50"/>
      <c r="TJF351" s="50"/>
      <c r="TJG351" s="50"/>
      <c r="TJH351" s="50"/>
      <c r="TJI351" s="50"/>
      <c r="TJJ351" s="50"/>
      <c r="TJK351" s="50"/>
      <c r="TJL351" s="50"/>
      <c r="TJM351" s="50"/>
      <c r="TJN351" s="50"/>
      <c r="TJO351" s="50"/>
      <c r="TJP351" s="50"/>
      <c r="TJQ351" s="50"/>
      <c r="TJR351" s="50"/>
      <c r="TJS351" s="50"/>
      <c r="TJT351" s="50"/>
      <c r="TJU351" s="50"/>
      <c r="TJV351" s="50"/>
      <c r="TJW351" s="50"/>
      <c r="TJX351" s="50"/>
      <c r="TJY351" s="50"/>
      <c r="TJZ351" s="50"/>
      <c r="TKA351" s="50"/>
      <c r="TKB351" s="50"/>
      <c r="TKC351" s="50"/>
      <c r="TKD351" s="50"/>
      <c r="TKE351" s="50"/>
      <c r="TKF351" s="50"/>
      <c r="TKG351" s="50"/>
      <c r="TKH351" s="50"/>
      <c r="TKI351" s="50"/>
      <c r="TKJ351" s="50"/>
      <c r="TKK351" s="50"/>
      <c r="TKL351" s="50"/>
      <c r="TKM351" s="50"/>
      <c r="TKN351" s="50"/>
      <c r="TKO351" s="50"/>
      <c r="TKP351" s="50"/>
      <c r="TKQ351" s="50"/>
      <c r="TKR351" s="50"/>
      <c r="TKS351" s="50"/>
      <c r="TKT351" s="50"/>
      <c r="TKU351" s="50"/>
      <c r="TKV351" s="50"/>
      <c r="TKW351" s="50"/>
      <c r="TKX351" s="50"/>
      <c r="TKY351" s="50"/>
      <c r="TKZ351" s="50"/>
      <c r="TLA351" s="50"/>
      <c r="TLB351" s="50"/>
      <c r="TLC351" s="50"/>
      <c r="TLD351" s="50"/>
      <c r="TLE351" s="50"/>
      <c r="TLF351" s="50"/>
      <c r="TLG351" s="50"/>
      <c r="TLH351" s="50"/>
      <c r="TLI351" s="50"/>
      <c r="TLJ351" s="50"/>
      <c r="TLK351" s="50"/>
      <c r="TLL351" s="50"/>
      <c r="TLM351" s="50"/>
      <c r="TLN351" s="50"/>
      <c r="TLO351" s="50"/>
      <c r="TLP351" s="50"/>
      <c r="TLQ351" s="50"/>
      <c r="TLR351" s="50"/>
      <c r="TLS351" s="50"/>
      <c r="TLT351" s="50"/>
      <c r="TLU351" s="50"/>
      <c r="TLV351" s="50"/>
      <c r="TLW351" s="50"/>
      <c r="TLX351" s="50"/>
      <c r="TLY351" s="50"/>
      <c r="TLZ351" s="50"/>
      <c r="TMA351" s="50"/>
      <c r="TMB351" s="50"/>
      <c r="TMC351" s="50"/>
      <c r="TMD351" s="50"/>
      <c r="TME351" s="50"/>
      <c r="TMF351" s="50"/>
      <c r="TMG351" s="50"/>
      <c r="TMH351" s="50"/>
      <c r="TMI351" s="50"/>
      <c r="TMJ351" s="50"/>
      <c r="TMK351" s="50"/>
      <c r="TML351" s="50"/>
      <c r="TMM351" s="50"/>
      <c r="TMN351" s="50"/>
      <c r="TMO351" s="50"/>
      <c r="TMP351" s="50"/>
      <c r="TMQ351" s="50"/>
      <c r="TMR351" s="50"/>
      <c r="TMS351" s="50"/>
      <c r="TMT351" s="50"/>
      <c r="TMU351" s="50"/>
      <c r="TMV351" s="50"/>
      <c r="TMW351" s="50"/>
      <c r="TMX351" s="50"/>
      <c r="TMY351" s="50"/>
      <c r="TMZ351" s="50"/>
      <c r="TNA351" s="50"/>
      <c r="TNB351" s="50"/>
      <c r="TNC351" s="50"/>
      <c r="TND351" s="50"/>
      <c r="TNE351" s="50"/>
      <c r="TNF351" s="50"/>
      <c r="TNG351" s="50"/>
      <c r="TNH351" s="50"/>
      <c r="TNI351" s="50"/>
      <c r="TNJ351" s="50"/>
      <c r="TNK351" s="50"/>
      <c r="TNL351" s="50"/>
      <c r="TNM351" s="50"/>
      <c r="TNN351" s="50"/>
      <c r="TNO351" s="50"/>
      <c r="TNP351" s="50"/>
      <c r="TNQ351" s="50"/>
      <c r="TNR351" s="50"/>
      <c r="TNS351" s="50"/>
      <c r="TNT351" s="50"/>
      <c r="TNU351" s="50"/>
      <c r="TNV351" s="50"/>
      <c r="TNW351" s="50"/>
      <c r="TNX351" s="50"/>
      <c r="TNY351" s="50"/>
      <c r="TNZ351" s="50"/>
      <c r="TOA351" s="50"/>
      <c r="TOB351" s="50"/>
      <c r="TOC351" s="50"/>
      <c r="TOD351" s="50"/>
      <c r="TOE351" s="50"/>
      <c r="TOF351" s="50"/>
      <c r="TOG351" s="50"/>
      <c r="TOH351" s="50"/>
      <c r="TOI351" s="50"/>
      <c r="TOJ351" s="50"/>
      <c r="TOK351" s="50"/>
      <c r="TOL351" s="50"/>
      <c r="TOM351" s="50"/>
      <c r="TON351" s="50"/>
      <c r="TOO351" s="50"/>
      <c r="TOP351" s="50"/>
      <c r="TOQ351" s="50"/>
      <c r="TOR351" s="50"/>
      <c r="TOS351" s="50"/>
      <c r="TOT351" s="50"/>
      <c r="TOU351" s="50"/>
      <c r="TOV351" s="50"/>
      <c r="TOW351" s="50"/>
      <c r="TOX351" s="50"/>
      <c r="TOY351" s="50"/>
      <c r="TOZ351" s="50"/>
      <c r="TPA351" s="50"/>
      <c r="TPB351" s="50"/>
      <c r="TPC351" s="50"/>
      <c r="TPD351" s="50"/>
      <c r="TPE351" s="50"/>
      <c r="TPF351" s="50"/>
      <c r="TPG351" s="50"/>
      <c r="TPH351" s="50"/>
      <c r="TPI351" s="50"/>
      <c r="TPJ351" s="50"/>
      <c r="TPK351" s="50"/>
      <c r="TPL351" s="50"/>
      <c r="TPM351" s="50"/>
      <c r="TPN351" s="50"/>
      <c r="TPO351" s="50"/>
      <c r="TPP351" s="50"/>
      <c r="TPQ351" s="50"/>
      <c r="TPR351" s="50"/>
      <c r="TPS351" s="50"/>
      <c r="TPT351" s="50"/>
      <c r="TPU351" s="50"/>
      <c r="TPV351" s="50"/>
      <c r="TPW351" s="50"/>
      <c r="TPX351" s="50"/>
      <c r="TPY351" s="50"/>
      <c r="TPZ351" s="50"/>
      <c r="TQA351" s="50"/>
      <c r="TQB351" s="50"/>
      <c r="TQC351" s="50"/>
      <c r="TQD351" s="50"/>
      <c r="TQE351" s="50"/>
      <c r="TQF351" s="50"/>
      <c r="TQG351" s="50"/>
      <c r="TQH351" s="50"/>
      <c r="TQI351" s="50"/>
      <c r="TQJ351" s="50"/>
      <c r="TQK351" s="50"/>
      <c r="TQL351" s="50"/>
      <c r="TQM351" s="50"/>
      <c r="TQN351" s="50"/>
      <c r="TQO351" s="50"/>
      <c r="TQP351" s="50"/>
      <c r="TQQ351" s="50"/>
      <c r="TQR351" s="50"/>
      <c r="TQS351" s="50"/>
      <c r="TQT351" s="50"/>
      <c r="TQU351" s="50"/>
      <c r="TQV351" s="50"/>
      <c r="TQW351" s="50"/>
      <c r="TQX351" s="50"/>
      <c r="TQY351" s="50"/>
      <c r="TQZ351" s="50"/>
      <c r="TRA351" s="50"/>
      <c r="TRB351" s="50"/>
      <c r="TRC351" s="50"/>
      <c r="TRD351" s="50"/>
      <c r="TRE351" s="50"/>
      <c r="TRF351" s="50"/>
      <c r="TRG351" s="50"/>
      <c r="TRH351" s="50"/>
      <c r="TRI351" s="50"/>
      <c r="TRJ351" s="50"/>
      <c r="TRK351" s="50"/>
      <c r="TRL351" s="50"/>
      <c r="TRM351" s="50"/>
      <c r="TRN351" s="50"/>
      <c r="TRO351" s="50"/>
      <c r="TRP351" s="50"/>
      <c r="TRQ351" s="50"/>
      <c r="TRR351" s="50"/>
      <c r="TRS351" s="50"/>
      <c r="TRT351" s="50"/>
      <c r="TRU351" s="50"/>
      <c r="TRV351" s="50"/>
      <c r="TRW351" s="50"/>
      <c r="TRX351" s="50"/>
      <c r="TRY351" s="50"/>
      <c r="TRZ351" s="50"/>
      <c r="TSA351" s="50"/>
      <c r="TSB351" s="50"/>
      <c r="TSC351" s="50"/>
      <c r="TSD351" s="50"/>
      <c r="TSE351" s="50"/>
      <c r="TSF351" s="50"/>
      <c r="TSG351" s="50"/>
      <c r="TSH351" s="50"/>
      <c r="TSI351" s="50"/>
      <c r="TSJ351" s="50"/>
      <c r="TSK351" s="50"/>
      <c r="TSL351" s="50"/>
      <c r="TSM351" s="50"/>
      <c r="TSN351" s="50"/>
      <c r="TSO351" s="50"/>
      <c r="TSP351" s="50"/>
      <c r="TSQ351" s="50"/>
      <c r="TSR351" s="50"/>
      <c r="TSS351" s="50"/>
      <c r="TST351" s="50"/>
      <c r="TSU351" s="50"/>
      <c r="TSV351" s="50"/>
      <c r="TSW351" s="50"/>
      <c r="TSX351" s="50"/>
      <c r="TSY351" s="50"/>
      <c r="TSZ351" s="50"/>
      <c r="TTA351" s="50"/>
      <c r="TTB351" s="50"/>
      <c r="TTC351" s="50"/>
      <c r="TTD351" s="50"/>
      <c r="TTE351" s="50"/>
      <c r="TTF351" s="50"/>
      <c r="TTG351" s="50"/>
      <c r="TTH351" s="50"/>
      <c r="TTI351" s="50"/>
      <c r="TTJ351" s="50"/>
      <c r="TTK351" s="50"/>
      <c r="TTL351" s="50"/>
      <c r="TTM351" s="50"/>
      <c r="TTN351" s="50"/>
      <c r="TTO351" s="50"/>
      <c r="TTP351" s="50"/>
      <c r="TTQ351" s="50"/>
      <c r="TTR351" s="50"/>
      <c r="TTS351" s="50"/>
      <c r="TTT351" s="50"/>
      <c r="TTU351" s="50"/>
      <c r="TTV351" s="50"/>
      <c r="TTW351" s="50"/>
      <c r="TTX351" s="50"/>
      <c r="TTY351" s="50"/>
      <c r="TTZ351" s="50"/>
      <c r="TUA351" s="50"/>
      <c r="TUB351" s="50"/>
      <c r="TUC351" s="50"/>
      <c r="TUD351" s="50"/>
      <c r="TUE351" s="50"/>
      <c r="TUF351" s="50"/>
      <c r="TUG351" s="50"/>
      <c r="TUH351" s="50"/>
      <c r="TUI351" s="50"/>
      <c r="TUJ351" s="50"/>
      <c r="TUK351" s="50"/>
      <c r="TUL351" s="50"/>
      <c r="TUM351" s="50"/>
      <c r="TUN351" s="50"/>
      <c r="TUO351" s="50"/>
      <c r="TUP351" s="50"/>
      <c r="TUQ351" s="50"/>
      <c r="TUR351" s="50"/>
      <c r="TUS351" s="50"/>
      <c r="TUT351" s="50"/>
      <c r="TUU351" s="50"/>
      <c r="TUV351" s="50"/>
      <c r="TUW351" s="50"/>
      <c r="TUX351" s="50"/>
      <c r="TUY351" s="50"/>
      <c r="TUZ351" s="50"/>
      <c r="TVA351" s="50"/>
      <c r="TVB351" s="50"/>
      <c r="TVC351" s="50"/>
      <c r="TVD351" s="50"/>
      <c r="TVE351" s="50"/>
      <c r="TVF351" s="50"/>
      <c r="TVG351" s="50"/>
      <c r="TVH351" s="50"/>
      <c r="TVI351" s="50"/>
      <c r="TVJ351" s="50"/>
      <c r="TVK351" s="50"/>
      <c r="TVL351" s="50"/>
      <c r="TVM351" s="50"/>
      <c r="TVN351" s="50"/>
      <c r="TVO351" s="50"/>
      <c r="TVP351" s="50"/>
      <c r="TVQ351" s="50"/>
      <c r="TVR351" s="50"/>
      <c r="TVS351" s="50"/>
      <c r="TVT351" s="50"/>
      <c r="TVU351" s="50"/>
      <c r="TVV351" s="50"/>
      <c r="TVW351" s="50"/>
      <c r="TVX351" s="50"/>
      <c r="TVY351" s="50"/>
      <c r="TVZ351" s="50"/>
      <c r="TWA351" s="50"/>
      <c r="TWB351" s="50"/>
      <c r="TWC351" s="50"/>
      <c r="TWD351" s="50"/>
      <c r="TWE351" s="50"/>
      <c r="TWF351" s="50"/>
      <c r="TWG351" s="50"/>
      <c r="TWH351" s="50"/>
      <c r="TWI351" s="50"/>
      <c r="TWJ351" s="50"/>
      <c r="TWK351" s="50"/>
      <c r="TWL351" s="50"/>
      <c r="TWM351" s="50"/>
      <c r="TWN351" s="50"/>
      <c r="TWO351" s="50"/>
      <c r="TWP351" s="50"/>
      <c r="TWQ351" s="50"/>
      <c r="TWR351" s="50"/>
      <c r="TWS351" s="50"/>
      <c r="TWT351" s="50"/>
      <c r="TWU351" s="50"/>
      <c r="TWV351" s="50"/>
      <c r="TWW351" s="50"/>
      <c r="TWX351" s="50"/>
      <c r="TWY351" s="50"/>
      <c r="TWZ351" s="50"/>
      <c r="TXA351" s="50"/>
      <c r="TXB351" s="50"/>
      <c r="TXC351" s="50"/>
      <c r="TXD351" s="50"/>
      <c r="TXE351" s="50"/>
      <c r="TXF351" s="50"/>
      <c r="TXG351" s="50"/>
      <c r="TXH351" s="50"/>
      <c r="TXI351" s="50"/>
      <c r="TXJ351" s="50"/>
      <c r="TXK351" s="50"/>
      <c r="TXL351" s="50"/>
      <c r="TXM351" s="50"/>
      <c r="TXN351" s="50"/>
      <c r="TXO351" s="50"/>
      <c r="TXP351" s="50"/>
      <c r="TXQ351" s="50"/>
      <c r="TXR351" s="50"/>
      <c r="TXS351" s="50"/>
      <c r="TXT351" s="50"/>
      <c r="TXU351" s="50"/>
      <c r="TXV351" s="50"/>
      <c r="TXW351" s="50"/>
      <c r="TXX351" s="50"/>
      <c r="TXY351" s="50"/>
      <c r="TXZ351" s="50"/>
      <c r="TYA351" s="50"/>
      <c r="TYB351" s="50"/>
      <c r="TYC351" s="50"/>
      <c r="TYD351" s="50"/>
      <c r="TYE351" s="50"/>
      <c r="TYF351" s="50"/>
      <c r="TYG351" s="50"/>
      <c r="TYH351" s="50"/>
      <c r="TYI351" s="50"/>
      <c r="TYJ351" s="50"/>
      <c r="TYK351" s="50"/>
      <c r="TYL351" s="50"/>
      <c r="TYM351" s="50"/>
      <c r="TYN351" s="50"/>
      <c r="TYO351" s="50"/>
      <c r="TYP351" s="50"/>
      <c r="TYQ351" s="50"/>
      <c r="TYR351" s="50"/>
      <c r="TYS351" s="50"/>
      <c r="TYT351" s="50"/>
      <c r="TYU351" s="50"/>
      <c r="TYV351" s="50"/>
      <c r="TYW351" s="50"/>
      <c r="TYX351" s="50"/>
      <c r="TYY351" s="50"/>
      <c r="TYZ351" s="50"/>
      <c r="TZA351" s="50"/>
      <c r="TZB351" s="50"/>
      <c r="TZC351" s="50"/>
      <c r="TZD351" s="50"/>
      <c r="TZE351" s="50"/>
      <c r="TZF351" s="50"/>
      <c r="TZG351" s="50"/>
      <c r="TZH351" s="50"/>
      <c r="TZI351" s="50"/>
      <c r="TZJ351" s="50"/>
      <c r="TZK351" s="50"/>
      <c r="TZL351" s="50"/>
      <c r="TZM351" s="50"/>
      <c r="TZN351" s="50"/>
      <c r="TZO351" s="50"/>
      <c r="TZP351" s="50"/>
      <c r="TZQ351" s="50"/>
      <c r="TZR351" s="50"/>
      <c r="TZS351" s="50"/>
      <c r="TZT351" s="50"/>
      <c r="TZU351" s="50"/>
      <c r="TZV351" s="50"/>
      <c r="TZW351" s="50"/>
      <c r="TZX351" s="50"/>
      <c r="TZY351" s="50"/>
      <c r="TZZ351" s="50"/>
      <c r="UAA351" s="50"/>
      <c r="UAB351" s="50"/>
      <c r="UAC351" s="50"/>
      <c r="UAD351" s="50"/>
      <c r="UAE351" s="50"/>
      <c r="UAF351" s="50"/>
      <c r="UAG351" s="50"/>
      <c r="UAH351" s="50"/>
      <c r="UAI351" s="50"/>
      <c r="UAJ351" s="50"/>
      <c r="UAK351" s="50"/>
      <c r="UAL351" s="50"/>
      <c r="UAM351" s="50"/>
      <c r="UAN351" s="50"/>
      <c r="UAO351" s="50"/>
      <c r="UAP351" s="50"/>
      <c r="UAQ351" s="50"/>
      <c r="UAR351" s="50"/>
      <c r="UAS351" s="50"/>
      <c r="UAT351" s="50"/>
      <c r="UAU351" s="50"/>
      <c r="UAV351" s="50"/>
      <c r="UAW351" s="50"/>
      <c r="UAX351" s="50"/>
      <c r="UAY351" s="50"/>
      <c r="UAZ351" s="50"/>
      <c r="UBA351" s="50"/>
      <c r="UBB351" s="50"/>
      <c r="UBC351" s="50"/>
      <c r="UBD351" s="50"/>
      <c r="UBE351" s="50"/>
      <c r="UBF351" s="50"/>
      <c r="UBG351" s="50"/>
      <c r="UBH351" s="50"/>
      <c r="UBI351" s="50"/>
      <c r="UBJ351" s="50"/>
      <c r="UBK351" s="50"/>
      <c r="UBL351" s="50"/>
      <c r="UBM351" s="50"/>
      <c r="UBN351" s="50"/>
      <c r="UBO351" s="50"/>
      <c r="UBP351" s="50"/>
      <c r="UBQ351" s="50"/>
      <c r="UBR351" s="50"/>
      <c r="UBS351" s="50"/>
      <c r="UBT351" s="50"/>
      <c r="UBU351" s="50"/>
      <c r="UBV351" s="50"/>
      <c r="UBW351" s="50"/>
      <c r="UBX351" s="50"/>
      <c r="UBY351" s="50"/>
      <c r="UBZ351" s="50"/>
      <c r="UCA351" s="50"/>
      <c r="UCB351" s="50"/>
      <c r="UCC351" s="50"/>
      <c r="UCD351" s="50"/>
      <c r="UCE351" s="50"/>
      <c r="UCF351" s="50"/>
      <c r="UCG351" s="50"/>
      <c r="UCH351" s="50"/>
      <c r="UCI351" s="50"/>
      <c r="UCJ351" s="50"/>
      <c r="UCK351" s="50"/>
      <c r="UCL351" s="50"/>
      <c r="UCM351" s="50"/>
      <c r="UCN351" s="50"/>
      <c r="UCO351" s="50"/>
      <c r="UCP351" s="50"/>
      <c r="UCQ351" s="50"/>
      <c r="UCR351" s="50"/>
      <c r="UCS351" s="50"/>
      <c r="UCT351" s="50"/>
      <c r="UCU351" s="50"/>
      <c r="UCV351" s="50"/>
      <c r="UCW351" s="50"/>
      <c r="UCX351" s="50"/>
      <c r="UCY351" s="50"/>
      <c r="UCZ351" s="50"/>
      <c r="UDA351" s="50"/>
      <c r="UDB351" s="50"/>
      <c r="UDC351" s="50"/>
      <c r="UDD351" s="50"/>
      <c r="UDE351" s="50"/>
      <c r="UDF351" s="50"/>
      <c r="UDG351" s="50"/>
      <c r="UDH351" s="50"/>
      <c r="UDI351" s="50"/>
      <c r="UDJ351" s="50"/>
      <c r="UDK351" s="50"/>
      <c r="UDL351" s="50"/>
      <c r="UDM351" s="50"/>
      <c r="UDN351" s="50"/>
      <c r="UDO351" s="50"/>
      <c r="UDP351" s="50"/>
      <c r="UDQ351" s="50"/>
      <c r="UDR351" s="50"/>
      <c r="UDS351" s="50"/>
      <c r="UDT351" s="50"/>
      <c r="UDU351" s="50"/>
      <c r="UDV351" s="50"/>
      <c r="UDW351" s="50"/>
      <c r="UDX351" s="50"/>
      <c r="UDY351" s="50"/>
      <c r="UDZ351" s="50"/>
      <c r="UEA351" s="50"/>
      <c r="UEB351" s="50"/>
      <c r="UEC351" s="50"/>
      <c r="UED351" s="50"/>
      <c r="UEE351" s="50"/>
      <c r="UEF351" s="50"/>
      <c r="UEG351" s="50"/>
      <c r="UEH351" s="50"/>
      <c r="UEI351" s="50"/>
      <c r="UEJ351" s="50"/>
      <c r="UEK351" s="50"/>
      <c r="UEL351" s="50"/>
      <c r="UEM351" s="50"/>
      <c r="UEN351" s="50"/>
      <c r="UEO351" s="50"/>
      <c r="UEP351" s="50"/>
      <c r="UEQ351" s="50"/>
      <c r="UER351" s="50"/>
      <c r="UES351" s="50"/>
      <c r="UET351" s="50"/>
      <c r="UEU351" s="50"/>
      <c r="UEV351" s="50"/>
      <c r="UEW351" s="50"/>
      <c r="UEX351" s="50"/>
      <c r="UEY351" s="50"/>
      <c r="UEZ351" s="50"/>
      <c r="UFA351" s="50"/>
      <c r="UFB351" s="50"/>
      <c r="UFC351" s="50"/>
      <c r="UFD351" s="50"/>
      <c r="UFE351" s="50"/>
      <c r="UFF351" s="50"/>
      <c r="UFG351" s="50"/>
      <c r="UFH351" s="50"/>
      <c r="UFI351" s="50"/>
      <c r="UFJ351" s="50"/>
      <c r="UFK351" s="50"/>
      <c r="UFL351" s="50"/>
      <c r="UFM351" s="50"/>
      <c r="UFN351" s="50"/>
      <c r="UFO351" s="50"/>
      <c r="UFP351" s="50"/>
      <c r="UFQ351" s="50"/>
      <c r="UFR351" s="50"/>
      <c r="UFS351" s="50"/>
      <c r="UFT351" s="50"/>
      <c r="UFU351" s="50"/>
      <c r="UFV351" s="50"/>
      <c r="UFW351" s="50"/>
      <c r="UFX351" s="50"/>
      <c r="UFY351" s="50"/>
      <c r="UFZ351" s="50"/>
      <c r="UGA351" s="50"/>
      <c r="UGB351" s="50"/>
      <c r="UGC351" s="50"/>
      <c r="UGD351" s="50"/>
      <c r="UGE351" s="50"/>
      <c r="UGF351" s="50"/>
      <c r="UGG351" s="50"/>
      <c r="UGH351" s="50"/>
      <c r="UGI351" s="50"/>
      <c r="UGJ351" s="50"/>
      <c r="UGK351" s="50"/>
      <c r="UGL351" s="50"/>
      <c r="UGM351" s="50"/>
      <c r="UGN351" s="50"/>
      <c r="UGO351" s="50"/>
      <c r="UGP351" s="50"/>
      <c r="UGQ351" s="50"/>
      <c r="UGR351" s="50"/>
      <c r="UGS351" s="50"/>
      <c r="UGT351" s="50"/>
      <c r="UGU351" s="50"/>
      <c r="UGV351" s="50"/>
      <c r="UGW351" s="50"/>
      <c r="UGX351" s="50"/>
      <c r="UGY351" s="50"/>
      <c r="UGZ351" s="50"/>
      <c r="UHA351" s="50"/>
      <c r="UHB351" s="50"/>
      <c r="UHC351" s="50"/>
      <c r="UHD351" s="50"/>
      <c r="UHE351" s="50"/>
      <c r="UHF351" s="50"/>
      <c r="UHG351" s="50"/>
      <c r="UHH351" s="50"/>
      <c r="UHI351" s="50"/>
      <c r="UHJ351" s="50"/>
      <c r="UHK351" s="50"/>
      <c r="UHL351" s="50"/>
      <c r="UHM351" s="50"/>
      <c r="UHN351" s="50"/>
      <c r="UHO351" s="50"/>
      <c r="UHP351" s="50"/>
      <c r="UHQ351" s="50"/>
      <c r="UHR351" s="50"/>
      <c r="UHS351" s="50"/>
      <c r="UHT351" s="50"/>
      <c r="UHU351" s="50"/>
      <c r="UHV351" s="50"/>
      <c r="UHW351" s="50"/>
      <c r="UHX351" s="50"/>
      <c r="UHY351" s="50"/>
      <c r="UHZ351" s="50"/>
      <c r="UIA351" s="50"/>
      <c r="UIB351" s="50"/>
      <c r="UIC351" s="50"/>
      <c r="UID351" s="50"/>
      <c r="UIE351" s="50"/>
      <c r="UIF351" s="50"/>
      <c r="UIG351" s="50"/>
      <c r="UIH351" s="50"/>
      <c r="UII351" s="50"/>
      <c r="UIJ351" s="50"/>
      <c r="UIK351" s="50"/>
      <c r="UIL351" s="50"/>
      <c r="UIM351" s="50"/>
      <c r="UIN351" s="50"/>
      <c r="UIO351" s="50"/>
      <c r="UIP351" s="50"/>
      <c r="UIQ351" s="50"/>
      <c r="UIR351" s="50"/>
      <c r="UIS351" s="50"/>
      <c r="UIT351" s="50"/>
      <c r="UIU351" s="50"/>
      <c r="UIV351" s="50"/>
      <c r="UIW351" s="50"/>
      <c r="UIX351" s="50"/>
      <c r="UIY351" s="50"/>
      <c r="UIZ351" s="50"/>
      <c r="UJA351" s="50"/>
      <c r="UJB351" s="50"/>
      <c r="UJC351" s="50"/>
      <c r="UJD351" s="50"/>
      <c r="UJE351" s="50"/>
      <c r="UJF351" s="50"/>
      <c r="UJG351" s="50"/>
      <c r="UJH351" s="50"/>
      <c r="UJI351" s="50"/>
      <c r="UJJ351" s="50"/>
      <c r="UJK351" s="50"/>
      <c r="UJL351" s="50"/>
      <c r="UJM351" s="50"/>
      <c r="UJN351" s="50"/>
      <c r="UJO351" s="50"/>
      <c r="UJP351" s="50"/>
      <c r="UJQ351" s="50"/>
      <c r="UJR351" s="50"/>
      <c r="UJS351" s="50"/>
      <c r="UJT351" s="50"/>
      <c r="UJU351" s="50"/>
      <c r="UJV351" s="50"/>
      <c r="UJW351" s="50"/>
      <c r="UJX351" s="50"/>
      <c r="UJY351" s="50"/>
      <c r="UJZ351" s="50"/>
      <c r="UKA351" s="50"/>
      <c r="UKB351" s="50"/>
      <c r="UKC351" s="50"/>
      <c r="UKD351" s="50"/>
      <c r="UKE351" s="50"/>
      <c r="UKF351" s="50"/>
      <c r="UKG351" s="50"/>
      <c r="UKH351" s="50"/>
      <c r="UKI351" s="50"/>
      <c r="UKJ351" s="50"/>
      <c r="UKK351" s="50"/>
      <c r="UKL351" s="50"/>
      <c r="UKM351" s="50"/>
      <c r="UKN351" s="50"/>
      <c r="UKO351" s="50"/>
      <c r="UKP351" s="50"/>
      <c r="UKQ351" s="50"/>
      <c r="UKR351" s="50"/>
      <c r="UKS351" s="50"/>
      <c r="UKT351" s="50"/>
      <c r="UKU351" s="50"/>
      <c r="UKV351" s="50"/>
      <c r="UKW351" s="50"/>
      <c r="UKX351" s="50"/>
      <c r="UKY351" s="50"/>
      <c r="UKZ351" s="50"/>
      <c r="ULA351" s="50"/>
      <c r="ULB351" s="50"/>
      <c r="ULC351" s="50"/>
      <c r="ULD351" s="50"/>
      <c r="ULE351" s="50"/>
      <c r="ULF351" s="50"/>
      <c r="ULG351" s="50"/>
      <c r="ULH351" s="50"/>
      <c r="ULI351" s="50"/>
      <c r="ULJ351" s="50"/>
      <c r="ULK351" s="50"/>
      <c r="ULL351" s="50"/>
      <c r="ULM351" s="50"/>
      <c r="ULN351" s="50"/>
      <c r="ULO351" s="50"/>
      <c r="ULP351" s="50"/>
      <c r="ULQ351" s="50"/>
      <c r="ULR351" s="50"/>
      <c r="ULS351" s="50"/>
      <c r="ULT351" s="50"/>
      <c r="ULU351" s="50"/>
      <c r="ULV351" s="50"/>
      <c r="ULW351" s="50"/>
      <c r="ULX351" s="50"/>
      <c r="ULY351" s="50"/>
      <c r="ULZ351" s="50"/>
      <c r="UMA351" s="50"/>
      <c r="UMB351" s="50"/>
      <c r="UMC351" s="50"/>
      <c r="UMD351" s="50"/>
      <c r="UME351" s="50"/>
      <c r="UMF351" s="50"/>
      <c r="UMG351" s="50"/>
      <c r="UMH351" s="50"/>
      <c r="UMI351" s="50"/>
      <c r="UMJ351" s="50"/>
      <c r="UMK351" s="50"/>
      <c r="UML351" s="50"/>
      <c r="UMM351" s="50"/>
      <c r="UMN351" s="50"/>
      <c r="UMO351" s="50"/>
      <c r="UMP351" s="50"/>
      <c r="UMQ351" s="50"/>
      <c r="UMR351" s="50"/>
      <c r="UMS351" s="50"/>
      <c r="UMT351" s="50"/>
      <c r="UMU351" s="50"/>
      <c r="UMV351" s="50"/>
      <c r="UMW351" s="50"/>
      <c r="UMX351" s="50"/>
      <c r="UMY351" s="50"/>
      <c r="UMZ351" s="50"/>
      <c r="UNA351" s="50"/>
      <c r="UNB351" s="50"/>
      <c r="UNC351" s="50"/>
      <c r="UND351" s="50"/>
      <c r="UNE351" s="50"/>
      <c r="UNF351" s="50"/>
      <c r="UNG351" s="50"/>
      <c r="UNH351" s="50"/>
      <c r="UNI351" s="50"/>
      <c r="UNJ351" s="50"/>
      <c r="UNK351" s="50"/>
      <c r="UNL351" s="50"/>
      <c r="UNM351" s="50"/>
      <c r="UNN351" s="50"/>
      <c r="UNO351" s="50"/>
      <c r="UNP351" s="50"/>
      <c r="UNQ351" s="50"/>
      <c r="UNR351" s="50"/>
      <c r="UNS351" s="50"/>
      <c r="UNT351" s="50"/>
      <c r="UNU351" s="50"/>
      <c r="UNV351" s="50"/>
      <c r="UNW351" s="50"/>
      <c r="UNX351" s="50"/>
      <c r="UNY351" s="50"/>
      <c r="UNZ351" s="50"/>
      <c r="UOA351" s="50"/>
      <c r="UOB351" s="50"/>
      <c r="UOC351" s="50"/>
      <c r="UOD351" s="50"/>
      <c r="UOE351" s="50"/>
      <c r="UOF351" s="50"/>
      <c r="UOG351" s="50"/>
      <c r="UOH351" s="50"/>
      <c r="UOI351" s="50"/>
      <c r="UOJ351" s="50"/>
      <c r="UOK351" s="50"/>
      <c r="UOL351" s="50"/>
      <c r="UOM351" s="50"/>
      <c r="UON351" s="50"/>
      <c r="UOO351" s="50"/>
      <c r="UOP351" s="50"/>
      <c r="UOQ351" s="50"/>
      <c r="UOR351" s="50"/>
      <c r="UOS351" s="50"/>
      <c r="UOT351" s="50"/>
      <c r="UOU351" s="50"/>
      <c r="UOV351" s="50"/>
      <c r="UOW351" s="50"/>
      <c r="UOX351" s="50"/>
      <c r="UOY351" s="50"/>
      <c r="UOZ351" s="50"/>
      <c r="UPA351" s="50"/>
      <c r="UPB351" s="50"/>
      <c r="UPC351" s="50"/>
      <c r="UPD351" s="50"/>
      <c r="UPE351" s="50"/>
      <c r="UPF351" s="50"/>
      <c r="UPG351" s="50"/>
      <c r="UPH351" s="50"/>
      <c r="UPI351" s="50"/>
      <c r="UPJ351" s="50"/>
      <c r="UPK351" s="50"/>
      <c r="UPL351" s="50"/>
      <c r="UPM351" s="50"/>
      <c r="UPN351" s="50"/>
      <c r="UPO351" s="50"/>
      <c r="UPP351" s="50"/>
      <c r="UPQ351" s="50"/>
      <c r="UPR351" s="50"/>
      <c r="UPS351" s="50"/>
      <c r="UPT351" s="50"/>
      <c r="UPU351" s="50"/>
      <c r="UPV351" s="50"/>
      <c r="UPW351" s="50"/>
      <c r="UPX351" s="50"/>
      <c r="UPY351" s="50"/>
      <c r="UPZ351" s="50"/>
      <c r="UQA351" s="50"/>
      <c r="UQB351" s="50"/>
      <c r="UQC351" s="50"/>
      <c r="UQD351" s="50"/>
      <c r="UQE351" s="50"/>
      <c r="UQF351" s="50"/>
      <c r="UQG351" s="50"/>
      <c r="UQH351" s="50"/>
      <c r="UQI351" s="50"/>
      <c r="UQJ351" s="50"/>
      <c r="UQK351" s="50"/>
      <c r="UQL351" s="50"/>
      <c r="UQM351" s="50"/>
      <c r="UQN351" s="50"/>
      <c r="UQO351" s="50"/>
      <c r="UQP351" s="50"/>
      <c r="UQQ351" s="50"/>
      <c r="UQR351" s="50"/>
      <c r="UQS351" s="50"/>
      <c r="UQT351" s="50"/>
      <c r="UQU351" s="50"/>
      <c r="UQV351" s="50"/>
      <c r="UQW351" s="50"/>
      <c r="UQX351" s="50"/>
      <c r="UQY351" s="50"/>
      <c r="UQZ351" s="50"/>
      <c r="URA351" s="50"/>
      <c r="URB351" s="50"/>
      <c r="URC351" s="50"/>
      <c r="URD351" s="50"/>
      <c r="URE351" s="50"/>
      <c r="URF351" s="50"/>
      <c r="URG351" s="50"/>
      <c r="URH351" s="50"/>
      <c r="URI351" s="50"/>
      <c r="URJ351" s="50"/>
      <c r="URK351" s="50"/>
      <c r="URL351" s="50"/>
      <c r="URM351" s="50"/>
      <c r="URN351" s="50"/>
      <c r="URO351" s="50"/>
      <c r="URP351" s="50"/>
      <c r="URQ351" s="50"/>
      <c r="URR351" s="50"/>
      <c r="URS351" s="50"/>
      <c r="URT351" s="50"/>
      <c r="URU351" s="50"/>
      <c r="URV351" s="50"/>
      <c r="URW351" s="50"/>
      <c r="URX351" s="50"/>
      <c r="URY351" s="50"/>
      <c r="URZ351" s="50"/>
      <c r="USA351" s="50"/>
      <c r="USB351" s="50"/>
      <c r="USC351" s="50"/>
      <c r="USD351" s="50"/>
      <c r="USE351" s="50"/>
      <c r="USF351" s="50"/>
      <c r="USG351" s="50"/>
      <c r="USH351" s="50"/>
      <c r="USI351" s="50"/>
      <c r="USJ351" s="50"/>
      <c r="USK351" s="50"/>
      <c r="USL351" s="50"/>
      <c r="USM351" s="50"/>
      <c r="USN351" s="50"/>
      <c r="USO351" s="50"/>
      <c r="USP351" s="50"/>
      <c r="USQ351" s="50"/>
      <c r="USR351" s="50"/>
      <c r="USS351" s="50"/>
      <c r="UST351" s="50"/>
      <c r="USU351" s="50"/>
      <c r="USV351" s="50"/>
      <c r="USW351" s="50"/>
      <c r="USX351" s="50"/>
      <c r="USY351" s="50"/>
      <c r="USZ351" s="50"/>
      <c r="UTA351" s="50"/>
      <c r="UTB351" s="50"/>
      <c r="UTC351" s="50"/>
      <c r="UTD351" s="50"/>
      <c r="UTE351" s="50"/>
      <c r="UTF351" s="50"/>
      <c r="UTG351" s="50"/>
      <c r="UTH351" s="50"/>
      <c r="UTI351" s="50"/>
      <c r="UTJ351" s="50"/>
      <c r="UTK351" s="50"/>
      <c r="UTL351" s="50"/>
      <c r="UTM351" s="50"/>
      <c r="UTN351" s="50"/>
      <c r="UTO351" s="50"/>
      <c r="UTP351" s="50"/>
      <c r="UTQ351" s="50"/>
      <c r="UTR351" s="50"/>
      <c r="UTS351" s="50"/>
      <c r="UTT351" s="50"/>
      <c r="UTU351" s="50"/>
      <c r="UTV351" s="50"/>
      <c r="UTW351" s="50"/>
      <c r="UTX351" s="50"/>
      <c r="UTY351" s="50"/>
      <c r="UTZ351" s="50"/>
      <c r="UUA351" s="50"/>
      <c r="UUB351" s="50"/>
      <c r="UUC351" s="50"/>
      <c r="UUD351" s="50"/>
      <c r="UUE351" s="50"/>
      <c r="UUF351" s="50"/>
      <c r="UUG351" s="50"/>
      <c r="UUH351" s="50"/>
      <c r="UUI351" s="50"/>
      <c r="UUJ351" s="50"/>
      <c r="UUK351" s="50"/>
      <c r="UUL351" s="50"/>
      <c r="UUM351" s="50"/>
      <c r="UUN351" s="50"/>
      <c r="UUO351" s="50"/>
      <c r="UUP351" s="50"/>
      <c r="UUQ351" s="50"/>
      <c r="UUR351" s="50"/>
      <c r="UUS351" s="50"/>
      <c r="UUT351" s="50"/>
      <c r="UUU351" s="50"/>
      <c r="UUV351" s="50"/>
      <c r="UUW351" s="50"/>
      <c r="UUX351" s="50"/>
      <c r="UUY351" s="50"/>
      <c r="UUZ351" s="50"/>
      <c r="UVA351" s="50"/>
      <c r="UVB351" s="50"/>
      <c r="UVC351" s="50"/>
      <c r="UVD351" s="50"/>
      <c r="UVE351" s="50"/>
      <c r="UVF351" s="50"/>
      <c r="UVG351" s="50"/>
      <c r="UVH351" s="50"/>
      <c r="UVI351" s="50"/>
      <c r="UVJ351" s="50"/>
      <c r="UVK351" s="50"/>
      <c r="UVL351" s="50"/>
      <c r="UVM351" s="50"/>
      <c r="UVN351" s="50"/>
      <c r="UVO351" s="50"/>
      <c r="UVP351" s="50"/>
      <c r="UVQ351" s="50"/>
      <c r="UVR351" s="50"/>
      <c r="UVS351" s="50"/>
      <c r="UVT351" s="50"/>
      <c r="UVU351" s="50"/>
      <c r="UVV351" s="50"/>
      <c r="UVW351" s="50"/>
      <c r="UVX351" s="50"/>
      <c r="UVY351" s="50"/>
      <c r="UVZ351" s="50"/>
      <c r="UWA351" s="50"/>
      <c r="UWB351" s="50"/>
      <c r="UWC351" s="50"/>
      <c r="UWD351" s="50"/>
      <c r="UWE351" s="50"/>
      <c r="UWF351" s="50"/>
      <c r="UWG351" s="50"/>
      <c r="UWH351" s="50"/>
      <c r="UWI351" s="50"/>
      <c r="UWJ351" s="50"/>
      <c r="UWK351" s="50"/>
      <c r="UWL351" s="50"/>
      <c r="UWM351" s="50"/>
      <c r="UWN351" s="50"/>
      <c r="UWO351" s="50"/>
      <c r="UWP351" s="50"/>
      <c r="UWQ351" s="50"/>
      <c r="UWR351" s="50"/>
      <c r="UWS351" s="50"/>
      <c r="UWT351" s="50"/>
      <c r="UWU351" s="50"/>
      <c r="UWV351" s="50"/>
      <c r="UWW351" s="50"/>
      <c r="UWX351" s="50"/>
      <c r="UWY351" s="50"/>
      <c r="UWZ351" s="50"/>
      <c r="UXA351" s="50"/>
      <c r="UXB351" s="50"/>
      <c r="UXC351" s="50"/>
      <c r="UXD351" s="50"/>
      <c r="UXE351" s="50"/>
      <c r="UXF351" s="50"/>
      <c r="UXG351" s="50"/>
      <c r="UXH351" s="50"/>
      <c r="UXI351" s="50"/>
      <c r="UXJ351" s="50"/>
      <c r="UXK351" s="50"/>
      <c r="UXL351" s="50"/>
      <c r="UXM351" s="50"/>
      <c r="UXN351" s="50"/>
      <c r="UXO351" s="50"/>
      <c r="UXP351" s="50"/>
      <c r="UXQ351" s="50"/>
      <c r="UXR351" s="50"/>
      <c r="UXS351" s="50"/>
      <c r="UXT351" s="50"/>
      <c r="UXU351" s="50"/>
      <c r="UXV351" s="50"/>
      <c r="UXW351" s="50"/>
      <c r="UXX351" s="50"/>
      <c r="UXY351" s="50"/>
      <c r="UXZ351" s="50"/>
      <c r="UYA351" s="50"/>
      <c r="UYB351" s="50"/>
      <c r="UYC351" s="50"/>
      <c r="UYD351" s="50"/>
      <c r="UYE351" s="50"/>
      <c r="UYF351" s="50"/>
      <c r="UYG351" s="50"/>
      <c r="UYH351" s="50"/>
      <c r="UYI351" s="50"/>
      <c r="UYJ351" s="50"/>
      <c r="UYK351" s="50"/>
      <c r="UYL351" s="50"/>
      <c r="UYM351" s="50"/>
      <c r="UYN351" s="50"/>
      <c r="UYO351" s="50"/>
      <c r="UYP351" s="50"/>
      <c r="UYQ351" s="50"/>
      <c r="UYR351" s="50"/>
      <c r="UYS351" s="50"/>
      <c r="UYT351" s="50"/>
      <c r="UYU351" s="50"/>
      <c r="UYV351" s="50"/>
      <c r="UYW351" s="50"/>
      <c r="UYX351" s="50"/>
      <c r="UYY351" s="50"/>
      <c r="UYZ351" s="50"/>
      <c r="UZA351" s="50"/>
      <c r="UZB351" s="50"/>
      <c r="UZC351" s="50"/>
      <c r="UZD351" s="50"/>
      <c r="UZE351" s="50"/>
      <c r="UZF351" s="50"/>
      <c r="UZG351" s="50"/>
      <c r="UZH351" s="50"/>
      <c r="UZI351" s="50"/>
      <c r="UZJ351" s="50"/>
      <c r="UZK351" s="50"/>
      <c r="UZL351" s="50"/>
      <c r="UZM351" s="50"/>
      <c r="UZN351" s="50"/>
      <c r="UZO351" s="50"/>
      <c r="UZP351" s="50"/>
      <c r="UZQ351" s="50"/>
      <c r="UZR351" s="50"/>
      <c r="UZS351" s="50"/>
      <c r="UZT351" s="50"/>
      <c r="UZU351" s="50"/>
      <c r="UZV351" s="50"/>
      <c r="UZW351" s="50"/>
      <c r="UZX351" s="50"/>
      <c r="UZY351" s="50"/>
      <c r="UZZ351" s="50"/>
      <c r="VAA351" s="50"/>
      <c r="VAB351" s="50"/>
      <c r="VAC351" s="50"/>
      <c r="VAD351" s="50"/>
      <c r="VAE351" s="50"/>
      <c r="VAF351" s="50"/>
      <c r="VAG351" s="50"/>
      <c r="VAH351" s="50"/>
      <c r="VAI351" s="50"/>
      <c r="VAJ351" s="50"/>
      <c r="VAK351" s="50"/>
      <c r="VAL351" s="50"/>
      <c r="VAM351" s="50"/>
      <c r="VAN351" s="50"/>
      <c r="VAO351" s="50"/>
      <c r="VAP351" s="50"/>
      <c r="VAQ351" s="50"/>
      <c r="VAR351" s="50"/>
      <c r="VAS351" s="50"/>
      <c r="VAT351" s="50"/>
      <c r="VAU351" s="50"/>
      <c r="VAV351" s="50"/>
      <c r="VAW351" s="50"/>
      <c r="VAX351" s="50"/>
      <c r="VAY351" s="50"/>
      <c r="VAZ351" s="50"/>
      <c r="VBA351" s="50"/>
      <c r="VBB351" s="50"/>
      <c r="VBC351" s="50"/>
      <c r="VBD351" s="50"/>
      <c r="VBE351" s="50"/>
      <c r="VBF351" s="50"/>
      <c r="VBG351" s="50"/>
      <c r="VBH351" s="50"/>
      <c r="VBI351" s="50"/>
      <c r="VBJ351" s="50"/>
      <c r="VBK351" s="50"/>
      <c r="VBL351" s="50"/>
      <c r="VBM351" s="50"/>
      <c r="VBN351" s="50"/>
      <c r="VBO351" s="50"/>
      <c r="VBP351" s="50"/>
      <c r="VBQ351" s="50"/>
      <c r="VBR351" s="50"/>
      <c r="VBS351" s="50"/>
      <c r="VBT351" s="50"/>
      <c r="VBU351" s="50"/>
      <c r="VBV351" s="50"/>
      <c r="VBW351" s="50"/>
      <c r="VBX351" s="50"/>
      <c r="VBY351" s="50"/>
      <c r="VBZ351" s="50"/>
      <c r="VCA351" s="50"/>
      <c r="VCB351" s="50"/>
      <c r="VCC351" s="50"/>
      <c r="VCD351" s="50"/>
      <c r="VCE351" s="50"/>
      <c r="VCF351" s="50"/>
      <c r="VCG351" s="50"/>
      <c r="VCH351" s="50"/>
      <c r="VCI351" s="50"/>
      <c r="VCJ351" s="50"/>
      <c r="VCK351" s="50"/>
      <c r="VCL351" s="50"/>
      <c r="VCM351" s="50"/>
      <c r="VCN351" s="50"/>
      <c r="VCO351" s="50"/>
      <c r="VCP351" s="50"/>
      <c r="VCQ351" s="50"/>
      <c r="VCR351" s="50"/>
      <c r="VCS351" s="50"/>
      <c r="VCT351" s="50"/>
      <c r="VCU351" s="50"/>
      <c r="VCV351" s="50"/>
      <c r="VCW351" s="50"/>
      <c r="VCX351" s="50"/>
      <c r="VCY351" s="50"/>
      <c r="VCZ351" s="50"/>
      <c r="VDA351" s="50"/>
      <c r="VDB351" s="50"/>
      <c r="VDC351" s="50"/>
      <c r="VDD351" s="50"/>
      <c r="VDE351" s="50"/>
      <c r="VDF351" s="50"/>
      <c r="VDG351" s="50"/>
      <c r="VDH351" s="50"/>
      <c r="VDI351" s="50"/>
      <c r="VDJ351" s="50"/>
      <c r="VDK351" s="50"/>
      <c r="VDL351" s="50"/>
      <c r="VDM351" s="50"/>
      <c r="VDN351" s="50"/>
      <c r="VDO351" s="50"/>
      <c r="VDP351" s="50"/>
      <c r="VDQ351" s="50"/>
      <c r="VDR351" s="50"/>
      <c r="VDS351" s="50"/>
      <c r="VDT351" s="50"/>
      <c r="VDU351" s="50"/>
      <c r="VDV351" s="50"/>
      <c r="VDW351" s="50"/>
      <c r="VDX351" s="50"/>
      <c r="VDY351" s="50"/>
      <c r="VDZ351" s="50"/>
      <c r="VEA351" s="50"/>
      <c r="VEB351" s="50"/>
      <c r="VEC351" s="50"/>
      <c r="VED351" s="50"/>
      <c r="VEE351" s="50"/>
      <c r="VEF351" s="50"/>
      <c r="VEG351" s="50"/>
      <c r="VEH351" s="50"/>
      <c r="VEI351" s="50"/>
      <c r="VEJ351" s="50"/>
      <c r="VEK351" s="50"/>
      <c r="VEL351" s="50"/>
      <c r="VEM351" s="50"/>
      <c r="VEN351" s="50"/>
      <c r="VEO351" s="50"/>
      <c r="VEP351" s="50"/>
      <c r="VEQ351" s="50"/>
      <c r="VER351" s="50"/>
      <c r="VES351" s="50"/>
      <c r="VET351" s="50"/>
      <c r="VEU351" s="50"/>
      <c r="VEV351" s="50"/>
      <c r="VEW351" s="50"/>
      <c r="VEX351" s="50"/>
      <c r="VEY351" s="50"/>
      <c r="VEZ351" s="50"/>
      <c r="VFA351" s="50"/>
      <c r="VFB351" s="50"/>
      <c r="VFC351" s="50"/>
      <c r="VFD351" s="50"/>
      <c r="VFE351" s="50"/>
      <c r="VFF351" s="50"/>
      <c r="VFG351" s="50"/>
      <c r="VFH351" s="50"/>
      <c r="VFI351" s="50"/>
      <c r="VFJ351" s="50"/>
      <c r="VFK351" s="50"/>
      <c r="VFL351" s="50"/>
      <c r="VFM351" s="50"/>
      <c r="VFN351" s="50"/>
      <c r="VFO351" s="50"/>
      <c r="VFP351" s="50"/>
      <c r="VFQ351" s="50"/>
      <c r="VFR351" s="50"/>
      <c r="VFS351" s="50"/>
      <c r="VFT351" s="50"/>
      <c r="VFU351" s="50"/>
      <c r="VFV351" s="50"/>
      <c r="VFW351" s="50"/>
      <c r="VFX351" s="50"/>
      <c r="VFY351" s="50"/>
      <c r="VFZ351" s="50"/>
      <c r="VGA351" s="50"/>
      <c r="VGB351" s="50"/>
      <c r="VGC351" s="50"/>
      <c r="VGD351" s="50"/>
      <c r="VGE351" s="50"/>
      <c r="VGF351" s="50"/>
      <c r="VGG351" s="50"/>
      <c r="VGH351" s="50"/>
      <c r="VGI351" s="50"/>
      <c r="VGJ351" s="50"/>
      <c r="VGK351" s="50"/>
      <c r="VGL351" s="50"/>
      <c r="VGM351" s="50"/>
      <c r="VGN351" s="50"/>
      <c r="VGO351" s="50"/>
      <c r="VGP351" s="50"/>
      <c r="VGQ351" s="50"/>
      <c r="VGR351" s="50"/>
      <c r="VGS351" s="50"/>
      <c r="VGT351" s="50"/>
      <c r="VGU351" s="50"/>
      <c r="VGV351" s="50"/>
      <c r="VGW351" s="50"/>
      <c r="VGX351" s="50"/>
      <c r="VGY351" s="50"/>
      <c r="VGZ351" s="50"/>
      <c r="VHA351" s="50"/>
      <c r="VHB351" s="50"/>
      <c r="VHC351" s="50"/>
      <c r="VHD351" s="50"/>
      <c r="VHE351" s="50"/>
      <c r="VHF351" s="50"/>
      <c r="VHG351" s="50"/>
      <c r="VHH351" s="50"/>
      <c r="VHI351" s="50"/>
      <c r="VHJ351" s="50"/>
      <c r="VHK351" s="50"/>
      <c r="VHL351" s="50"/>
      <c r="VHM351" s="50"/>
      <c r="VHN351" s="50"/>
      <c r="VHO351" s="50"/>
      <c r="VHP351" s="50"/>
      <c r="VHQ351" s="50"/>
      <c r="VHR351" s="50"/>
      <c r="VHS351" s="50"/>
      <c r="VHT351" s="50"/>
      <c r="VHU351" s="50"/>
      <c r="VHV351" s="50"/>
      <c r="VHW351" s="50"/>
      <c r="VHX351" s="50"/>
      <c r="VHY351" s="50"/>
      <c r="VHZ351" s="50"/>
      <c r="VIA351" s="50"/>
      <c r="VIB351" s="50"/>
      <c r="VIC351" s="50"/>
      <c r="VID351" s="50"/>
      <c r="VIE351" s="50"/>
      <c r="VIF351" s="50"/>
      <c r="VIG351" s="50"/>
      <c r="VIH351" s="50"/>
      <c r="VII351" s="50"/>
      <c r="VIJ351" s="50"/>
      <c r="VIK351" s="50"/>
      <c r="VIL351" s="50"/>
      <c r="VIM351" s="50"/>
      <c r="VIN351" s="50"/>
      <c r="VIO351" s="50"/>
      <c r="VIP351" s="50"/>
      <c r="VIQ351" s="50"/>
      <c r="VIR351" s="50"/>
      <c r="VIS351" s="50"/>
      <c r="VIT351" s="50"/>
      <c r="VIU351" s="50"/>
      <c r="VIV351" s="50"/>
      <c r="VIW351" s="50"/>
      <c r="VIX351" s="50"/>
      <c r="VIY351" s="50"/>
      <c r="VIZ351" s="50"/>
      <c r="VJA351" s="50"/>
      <c r="VJB351" s="50"/>
      <c r="VJC351" s="50"/>
      <c r="VJD351" s="50"/>
      <c r="VJE351" s="50"/>
      <c r="VJF351" s="50"/>
      <c r="VJG351" s="50"/>
      <c r="VJH351" s="50"/>
      <c r="VJI351" s="50"/>
      <c r="VJJ351" s="50"/>
      <c r="VJK351" s="50"/>
      <c r="VJL351" s="50"/>
      <c r="VJM351" s="50"/>
      <c r="VJN351" s="50"/>
      <c r="VJO351" s="50"/>
      <c r="VJP351" s="50"/>
      <c r="VJQ351" s="50"/>
      <c r="VJR351" s="50"/>
      <c r="VJS351" s="50"/>
      <c r="VJT351" s="50"/>
      <c r="VJU351" s="50"/>
      <c r="VJV351" s="50"/>
      <c r="VJW351" s="50"/>
      <c r="VJX351" s="50"/>
      <c r="VJY351" s="50"/>
      <c r="VJZ351" s="50"/>
      <c r="VKA351" s="50"/>
      <c r="VKB351" s="50"/>
      <c r="VKC351" s="50"/>
      <c r="VKD351" s="50"/>
      <c r="VKE351" s="50"/>
      <c r="VKF351" s="50"/>
      <c r="VKG351" s="50"/>
      <c r="VKH351" s="50"/>
      <c r="VKI351" s="50"/>
      <c r="VKJ351" s="50"/>
      <c r="VKK351" s="50"/>
      <c r="VKL351" s="50"/>
      <c r="VKM351" s="50"/>
      <c r="VKN351" s="50"/>
      <c r="VKO351" s="50"/>
      <c r="VKP351" s="50"/>
      <c r="VKQ351" s="50"/>
      <c r="VKR351" s="50"/>
      <c r="VKS351" s="50"/>
      <c r="VKT351" s="50"/>
      <c r="VKU351" s="50"/>
      <c r="VKV351" s="50"/>
      <c r="VKW351" s="50"/>
      <c r="VKX351" s="50"/>
      <c r="VKY351" s="50"/>
      <c r="VKZ351" s="50"/>
      <c r="VLA351" s="50"/>
      <c r="VLB351" s="50"/>
      <c r="VLC351" s="50"/>
      <c r="VLD351" s="50"/>
      <c r="VLE351" s="50"/>
      <c r="VLF351" s="50"/>
      <c r="VLG351" s="50"/>
      <c r="VLH351" s="50"/>
      <c r="VLI351" s="50"/>
      <c r="VLJ351" s="50"/>
      <c r="VLK351" s="50"/>
      <c r="VLL351" s="50"/>
      <c r="VLM351" s="50"/>
      <c r="VLN351" s="50"/>
      <c r="VLO351" s="50"/>
      <c r="VLP351" s="50"/>
      <c r="VLQ351" s="50"/>
      <c r="VLR351" s="50"/>
      <c r="VLS351" s="50"/>
      <c r="VLT351" s="50"/>
      <c r="VLU351" s="50"/>
      <c r="VLV351" s="50"/>
      <c r="VLW351" s="50"/>
      <c r="VLX351" s="50"/>
      <c r="VLY351" s="50"/>
      <c r="VLZ351" s="50"/>
      <c r="VMA351" s="50"/>
      <c r="VMB351" s="50"/>
      <c r="VMC351" s="50"/>
      <c r="VMD351" s="50"/>
      <c r="VME351" s="50"/>
      <c r="VMF351" s="50"/>
      <c r="VMG351" s="50"/>
      <c r="VMH351" s="50"/>
      <c r="VMI351" s="50"/>
      <c r="VMJ351" s="50"/>
      <c r="VMK351" s="50"/>
      <c r="VML351" s="50"/>
      <c r="VMM351" s="50"/>
      <c r="VMN351" s="50"/>
      <c r="VMO351" s="50"/>
      <c r="VMP351" s="50"/>
      <c r="VMQ351" s="50"/>
      <c r="VMR351" s="50"/>
      <c r="VMS351" s="50"/>
      <c r="VMT351" s="50"/>
      <c r="VMU351" s="50"/>
      <c r="VMV351" s="50"/>
      <c r="VMW351" s="50"/>
      <c r="VMX351" s="50"/>
      <c r="VMY351" s="50"/>
      <c r="VMZ351" s="50"/>
      <c r="VNA351" s="50"/>
      <c r="VNB351" s="50"/>
      <c r="VNC351" s="50"/>
      <c r="VND351" s="50"/>
      <c r="VNE351" s="50"/>
      <c r="VNF351" s="50"/>
      <c r="VNG351" s="50"/>
      <c r="VNH351" s="50"/>
      <c r="VNI351" s="50"/>
      <c r="VNJ351" s="50"/>
      <c r="VNK351" s="50"/>
      <c r="VNL351" s="50"/>
      <c r="VNM351" s="50"/>
      <c r="VNN351" s="50"/>
      <c r="VNO351" s="50"/>
      <c r="VNP351" s="50"/>
      <c r="VNQ351" s="50"/>
      <c r="VNR351" s="50"/>
      <c r="VNS351" s="50"/>
      <c r="VNT351" s="50"/>
      <c r="VNU351" s="50"/>
      <c r="VNV351" s="50"/>
      <c r="VNW351" s="50"/>
      <c r="VNX351" s="50"/>
      <c r="VNY351" s="50"/>
      <c r="VNZ351" s="50"/>
      <c r="VOA351" s="50"/>
      <c r="VOB351" s="50"/>
      <c r="VOC351" s="50"/>
      <c r="VOD351" s="50"/>
      <c r="VOE351" s="50"/>
      <c r="VOF351" s="50"/>
      <c r="VOG351" s="50"/>
      <c r="VOH351" s="50"/>
      <c r="VOI351" s="50"/>
      <c r="VOJ351" s="50"/>
      <c r="VOK351" s="50"/>
      <c r="VOL351" s="50"/>
      <c r="VOM351" s="50"/>
      <c r="VON351" s="50"/>
      <c r="VOO351" s="50"/>
      <c r="VOP351" s="50"/>
      <c r="VOQ351" s="50"/>
      <c r="VOR351" s="50"/>
      <c r="VOS351" s="50"/>
      <c r="VOT351" s="50"/>
      <c r="VOU351" s="50"/>
      <c r="VOV351" s="50"/>
      <c r="VOW351" s="50"/>
      <c r="VOX351" s="50"/>
      <c r="VOY351" s="50"/>
      <c r="VOZ351" s="50"/>
      <c r="VPA351" s="50"/>
      <c r="VPB351" s="50"/>
      <c r="VPC351" s="50"/>
      <c r="VPD351" s="50"/>
      <c r="VPE351" s="50"/>
      <c r="VPF351" s="50"/>
      <c r="VPG351" s="50"/>
      <c r="VPH351" s="50"/>
      <c r="VPI351" s="50"/>
      <c r="VPJ351" s="50"/>
      <c r="VPK351" s="50"/>
      <c r="VPL351" s="50"/>
      <c r="VPM351" s="50"/>
      <c r="VPN351" s="50"/>
      <c r="VPO351" s="50"/>
      <c r="VPP351" s="50"/>
      <c r="VPQ351" s="50"/>
      <c r="VPR351" s="50"/>
      <c r="VPS351" s="50"/>
      <c r="VPT351" s="50"/>
      <c r="VPU351" s="50"/>
      <c r="VPV351" s="50"/>
      <c r="VPW351" s="50"/>
      <c r="VPX351" s="50"/>
      <c r="VPY351" s="50"/>
      <c r="VPZ351" s="50"/>
      <c r="VQA351" s="50"/>
      <c r="VQB351" s="50"/>
      <c r="VQC351" s="50"/>
      <c r="VQD351" s="50"/>
      <c r="VQE351" s="50"/>
      <c r="VQF351" s="50"/>
      <c r="VQG351" s="50"/>
      <c r="VQH351" s="50"/>
      <c r="VQI351" s="50"/>
      <c r="VQJ351" s="50"/>
      <c r="VQK351" s="50"/>
      <c r="VQL351" s="50"/>
      <c r="VQM351" s="50"/>
      <c r="VQN351" s="50"/>
      <c r="VQO351" s="50"/>
      <c r="VQP351" s="50"/>
      <c r="VQQ351" s="50"/>
      <c r="VQR351" s="50"/>
      <c r="VQS351" s="50"/>
      <c r="VQT351" s="50"/>
      <c r="VQU351" s="50"/>
      <c r="VQV351" s="50"/>
      <c r="VQW351" s="50"/>
      <c r="VQX351" s="50"/>
      <c r="VQY351" s="50"/>
      <c r="VQZ351" s="50"/>
      <c r="VRA351" s="50"/>
      <c r="VRB351" s="50"/>
      <c r="VRC351" s="50"/>
      <c r="VRD351" s="50"/>
      <c r="VRE351" s="50"/>
      <c r="VRF351" s="50"/>
      <c r="VRG351" s="50"/>
      <c r="VRH351" s="50"/>
      <c r="VRI351" s="50"/>
      <c r="VRJ351" s="50"/>
      <c r="VRK351" s="50"/>
      <c r="VRL351" s="50"/>
      <c r="VRM351" s="50"/>
      <c r="VRN351" s="50"/>
      <c r="VRO351" s="50"/>
      <c r="VRP351" s="50"/>
      <c r="VRQ351" s="50"/>
      <c r="VRR351" s="50"/>
      <c r="VRS351" s="50"/>
      <c r="VRT351" s="50"/>
      <c r="VRU351" s="50"/>
      <c r="VRV351" s="50"/>
      <c r="VRW351" s="50"/>
      <c r="VRX351" s="50"/>
      <c r="VRY351" s="50"/>
      <c r="VRZ351" s="50"/>
      <c r="VSA351" s="50"/>
      <c r="VSB351" s="50"/>
      <c r="VSC351" s="50"/>
      <c r="VSD351" s="50"/>
      <c r="VSE351" s="50"/>
      <c r="VSF351" s="50"/>
      <c r="VSG351" s="50"/>
      <c r="VSH351" s="50"/>
      <c r="VSI351" s="50"/>
      <c r="VSJ351" s="50"/>
      <c r="VSK351" s="50"/>
      <c r="VSL351" s="50"/>
      <c r="VSM351" s="50"/>
      <c r="VSN351" s="50"/>
      <c r="VSO351" s="50"/>
      <c r="VSP351" s="50"/>
      <c r="VSQ351" s="50"/>
      <c r="VSR351" s="50"/>
      <c r="VSS351" s="50"/>
      <c r="VST351" s="50"/>
      <c r="VSU351" s="50"/>
      <c r="VSV351" s="50"/>
      <c r="VSW351" s="50"/>
      <c r="VSX351" s="50"/>
      <c r="VSY351" s="50"/>
      <c r="VSZ351" s="50"/>
      <c r="VTA351" s="50"/>
      <c r="VTB351" s="50"/>
      <c r="VTC351" s="50"/>
      <c r="VTD351" s="50"/>
      <c r="VTE351" s="50"/>
      <c r="VTF351" s="50"/>
      <c r="VTG351" s="50"/>
      <c r="VTH351" s="50"/>
      <c r="VTI351" s="50"/>
      <c r="VTJ351" s="50"/>
      <c r="VTK351" s="50"/>
      <c r="VTL351" s="50"/>
      <c r="VTM351" s="50"/>
      <c r="VTN351" s="50"/>
      <c r="VTO351" s="50"/>
      <c r="VTP351" s="50"/>
      <c r="VTQ351" s="50"/>
      <c r="VTR351" s="50"/>
      <c r="VTS351" s="50"/>
      <c r="VTT351" s="50"/>
      <c r="VTU351" s="50"/>
      <c r="VTV351" s="50"/>
      <c r="VTW351" s="50"/>
      <c r="VTX351" s="50"/>
      <c r="VTY351" s="50"/>
      <c r="VTZ351" s="50"/>
      <c r="VUA351" s="50"/>
      <c r="VUB351" s="50"/>
      <c r="VUC351" s="50"/>
      <c r="VUD351" s="50"/>
      <c r="VUE351" s="50"/>
      <c r="VUF351" s="50"/>
      <c r="VUG351" s="50"/>
      <c r="VUH351" s="50"/>
      <c r="VUI351" s="50"/>
      <c r="VUJ351" s="50"/>
      <c r="VUK351" s="50"/>
      <c r="VUL351" s="50"/>
      <c r="VUM351" s="50"/>
      <c r="VUN351" s="50"/>
      <c r="VUO351" s="50"/>
      <c r="VUP351" s="50"/>
      <c r="VUQ351" s="50"/>
      <c r="VUR351" s="50"/>
      <c r="VUS351" s="50"/>
      <c r="VUT351" s="50"/>
      <c r="VUU351" s="50"/>
      <c r="VUV351" s="50"/>
      <c r="VUW351" s="50"/>
      <c r="VUX351" s="50"/>
      <c r="VUY351" s="50"/>
      <c r="VUZ351" s="50"/>
      <c r="VVA351" s="50"/>
      <c r="VVB351" s="50"/>
      <c r="VVC351" s="50"/>
      <c r="VVD351" s="50"/>
      <c r="VVE351" s="50"/>
      <c r="VVF351" s="50"/>
      <c r="VVG351" s="50"/>
      <c r="VVH351" s="50"/>
      <c r="VVI351" s="50"/>
      <c r="VVJ351" s="50"/>
      <c r="VVK351" s="50"/>
      <c r="VVL351" s="50"/>
      <c r="VVM351" s="50"/>
      <c r="VVN351" s="50"/>
      <c r="VVO351" s="50"/>
      <c r="VVP351" s="50"/>
      <c r="VVQ351" s="50"/>
      <c r="VVR351" s="50"/>
      <c r="VVS351" s="50"/>
      <c r="VVT351" s="50"/>
      <c r="VVU351" s="50"/>
      <c r="VVV351" s="50"/>
      <c r="VVW351" s="50"/>
      <c r="VVX351" s="50"/>
      <c r="VVY351" s="50"/>
      <c r="VVZ351" s="50"/>
      <c r="VWA351" s="50"/>
      <c r="VWB351" s="50"/>
      <c r="VWC351" s="50"/>
      <c r="VWD351" s="50"/>
      <c r="VWE351" s="50"/>
      <c r="VWF351" s="50"/>
      <c r="VWG351" s="50"/>
      <c r="VWH351" s="50"/>
      <c r="VWI351" s="50"/>
      <c r="VWJ351" s="50"/>
      <c r="VWK351" s="50"/>
      <c r="VWL351" s="50"/>
      <c r="VWM351" s="50"/>
      <c r="VWN351" s="50"/>
      <c r="VWO351" s="50"/>
      <c r="VWP351" s="50"/>
      <c r="VWQ351" s="50"/>
      <c r="VWR351" s="50"/>
      <c r="VWS351" s="50"/>
      <c r="VWT351" s="50"/>
      <c r="VWU351" s="50"/>
      <c r="VWV351" s="50"/>
      <c r="VWW351" s="50"/>
      <c r="VWX351" s="50"/>
      <c r="VWY351" s="50"/>
      <c r="VWZ351" s="50"/>
      <c r="VXA351" s="50"/>
      <c r="VXB351" s="50"/>
      <c r="VXC351" s="50"/>
      <c r="VXD351" s="50"/>
      <c r="VXE351" s="50"/>
      <c r="VXF351" s="50"/>
      <c r="VXG351" s="50"/>
      <c r="VXH351" s="50"/>
      <c r="VXI351" s="50"/>
      <c r="VXJ351" s="50"/>
      <c r="VXK351" s="50"/>
      <c r="VXL351" s="50"/>
      <c r="VXM351" s="50"/>
      <c r="VXN351" s="50"/>
      <c r="VXO351" s="50"/>
      <c r="VXP351" s="50"/>
      <c r="VXQ351" s="50"/>
      <c r="VXR351" s="50"/>
      <c r="VXS351" s="50"/>
      <c r="VXT351" s="50"/>
      <c r="VXU351" s="50"/>
      <c r="VXV351" s="50"/>
      <c r="VXW351" s="50"/>
      <c r="VXX351" s="50"/>
      <c r="VXY351" s="50"/>
      <c r="VXZ351" s="50"/>
      <c r="VYA351" s="50"/>
      <c r="VYB351" s="50"/>
      <c r="VYC351" s="50"/>
      <c r="VYD351" s="50"/>
      <c r="VYE351" s="50"/>
      <c r="VYF351" s="50"/>
      <c r="VYG351" s="50"/>
      <c r="VYH351" s="50"/>
      <c r="VYI351" s="50"/>
      <c r="VYJ351" s="50"/>
      <c r="VYK351" s="50"/>
      <c r="VYL351" s="50"/>
      <c r="VYM351" s="50"/>
      <c r="VYN351" s="50"/>
      <c r="VYO351" s="50"/>
      <c r="VYP351" s="50"/>
      <c r="VYQ351" s="50"/>
      <c r="VYR351" s="50"/>
      <c r="VYS351" s="50"/>
      <c r="VYT351" s="50"/>
      <c r="VYU351" s="50"/>
      <c r="VYV351" s="50"/>
      <c r="VYW351" s="50"/>
      <c r="VYX351" s="50"/>
      <c r="VYY351" s="50"/>
      <c r="VYZ351" s="50"/>
      <c r="VZA351" s="50"/>
      <c r="VZB351" s="50"/>
      <c r="VZC351" s="50"/>
      <c r="VZD351" s="50"/>
      <c r="VZE351" s="50"/>
      <c r="VZF351" s="50"/>
      <c r="VZG351" s="50"/>
      <c r="VZH351" s="50"/>
      <c r="VZI351" s="50"/>
      <c r="VZJ351" s="50"/>
      <c r="VZK351" s="50"/>
      <c r="VZL351" s="50"/>
      <c r="VZM351" s="50"/>
      <c r="VZN351" s="50"/>
      <c r="VZO351" s="50"/>
      <c r="VZP351" s="50"/>
      <c r="VZQ351" s="50"/>
      <c r="VZR351" s="50"/>
      <c r="VZS351" s="50"/>
      <c r="VZT351" s="50"/>
      <c r="VZU351" s="50"/>
      <c r="VZV351" s="50"/>
      <c r="VZW351" s="50"/>
      <c r="VZX351" s="50"/>
      <c r="VZY351" s="50"/>
      <c r="VZZ351" s="50"/>
      <c r="WAA351" s="50"/>
      <c r="WAB351" s="50"/>
      <c r="WAC351" s="50"/>
      <c r="WAD351" s="50"/>
      <c r="WAE351" s="50"/>
      <c r="WAF351" s="50"/>
      <c r="WAG351" s="50"/>
      <c r="WAH351" s="50"/>
      <c r="WAI351" s="50"/>
      <c r="WAJ351" s="50"/>
      <c r="WAK351" s="50"/>
      <c r="WAL351" s="50"/>
      <c r="WAM351" s="50"/>
      <c r="WAN351" s="50"/>
      <c r="WAO351" s="50"/>
      <c r="WAP351" s="50"/>
      <c r="WAQ351" s="50"/>
      <c r="WAR351" s="50"/>
      <c r="WAS351" s="50"/>
      <c r="WAT351" s="50"/>
      <c r="WAU351" s="50"/>
      <c r="WAV351" s="50"/>
      <c r="WAW351" s="50"/>
      <c r="WAX351" s="50"/>
      <c r="WAY351" s="50"/>
      <c r="WAZ351" s="50"/>
      <c r="WBA351" s="50"/>
      <c r="WBB351" s="50"/>
      <c r="WBC351" s="50"/>
      <c r="WBD351" s="50"/>
      <c r="WBE351" s="50"/>
      <c r="WBF351" s="50"/>
      <c r="WBG351" s="50"/>
      <c r="WBH351" s="50"/>
      <c r="WBI351" s="50"/>
      <c r="WBJ351" s="50"/>
      <c r="WBK351" s="50"/>
      <c r="WBL351" s="50"/>
      <c r="WBM351" s="50"/>
      <c r="WBN351" s="50"/>
      <c r="WBO351" s="50"/>
      <c r="WBP351" s="50"/>
      <c r="WBQ351" s="50"/>
      <c r="WBR351" s="50"/>
      <c r="WBS351" s="50"/>
      <c r="WBT351" s="50"/>
      <c r="WBU351" s="50"/>
      <c r="WBV351" s="50"/>
      <c r="WBW351" s="50"/>
      <c r="WBX351" s="50"/>
      <c r="WBY351" s="50"/>
      <c r="WBZ351" s="50"/>
      <c r="WCA351" s="50"/>
      <c r="WCB351" s="50"/>
      <c r="WCC351" s="50"/>
      <c r="WCD351" s="50"/>
      <c r="WCE351" s="50"/>
      <c r="WCF351" s="50"/>
      <c r="WCG351" s="50"/>
      <c r="WCH351" s="50"/>
      <c r="WCI351" s="50"/>
      <c r="WCJ351" s="50"/>
      <c r="WCK351" s="50"/>
      <c r="WCL351" s="50"/>
      <c r="WCM351" s="50"/>
      <c r="WCN351" s="50"/>
      <c r="WCO351" s="50"/>
      <c r="WCP351" s="50"/>
      <c r="WCQ351" s="50"/>
      <c r="WCR351" s="50"/>
      <c r="WCS351" s="50"/>
      <c r="WCT351" s="50"/>
      <c r="WCU351" s="50"/>
      <c r="WCV351" s="50"/>
      <c r="WCW351" s="50"/>
      <c r="WCX351" s="50"/>
      <c r="WCY351" s="50"/>
      <c r="WCZ351" s="50"/>
      <c r="WDA351" s="50"/>
      <c r="WDB351" s="50"/>
      <c r="WDC351" s="50"/>
      <c r="WDD351" s="50"/>
      <c r="WDE351" s="50"/>
      <c r="WDF351" s="50"/>
      <c r="WDG351" s="50"/>
      <c r="WDH351" s="50"/>
      <c r="WDI351" s="50"/>
      <c r="WDJ351" s="50"/>
      <c r="WDK351" s="50"/>
      <c r="WDL351" s="50"/>
      <c r="WDM351" s="50"/>
      <c r="WDN351" s="50"/>
      <c r="WDO351" s="50"/>
      <c r="WDP351" s="50"/>
      <c r="WDQ351" s="50"/>
      <c r="WDR351" s="50"/>
      <c r="WDS351" s="50"/>
      <c r="WDT351" s="50"/>
      <c r="WDU351" s="50"/>
      <c r="WDV351" s="50"/>
      <c r="WDW351" s="50"/>
      <c r="WDX351" s="50"/>
      <c r="WDY351" s="50"/>
      <c r="WDZ351" s="50"/>
      <c r="WEA351" s="50"/>
      <c r="WEB351" s="50"/>
      <c r="WEC351" s="50"/>
      <c r="WED351" s="50"/>
      <c r="WEE351" s="50"/>
      <c r="WEF351" s="50"/>
      <c r="WEG351" s="50"/>
      <c r="WEH351" s="50"/>
      <c r="WEI351" s="50"/>
      <c r="WEJ351" s="50"/>
      <c r="WEK351" s="50"/>
      <c r="WEL351" s="50"/>
      <c r="WEM351" s="50"/>
      <c r="WEN351" s="50"/>
      <c r="WEO351" s="50"/>
      <c r="WEP351" s="50"/>
      <c r="WEQ351" s="50"/>
      <c r="WER351" s="50"/>
      <c r="WES351" s="50"/>
      <c r="WET351" s="50"/>
      <c r="WEU351" s="50"/>
      <c r="WEV351" s="50"/>
      <c r="WEW351" s="50"/>
      <c r="WEX351" s="50"/>
      <c r="WEY351" s="50"/>
      <c r="WEZ351" s="50"/>
      <c r="WFA351" s="50"/>
      <c r="WFB351" s="50"/>
      <c r="WFC351" s="50"/>
      <c r="WFD351" s="50"/>
      <c r="WFE351" s="50"/>
      <c r="WFF351" s="50"/>
      <c r="WFG351" s="50"/>
      <c r="WFH351" s="50"/>
      <c r="WFI351" s="50"/>
      <c r="WFJ351" s="50"/>
      <c r="WFK351" s="50"/>
      <c r="WFL351" s="50"/>
      <c r="WFM351" s="50"/>
      <c r="WFN351" s="50"/>
      <c r="WFO351" s="50"/>
      <c r="WFP351" s="50"/>
      <c r="WFQ351" s="50"/>
      <c r="WFR351" s="50"/>
      <c r="WFS351" s="50"/>
      <c r="WFT351" s="50"/>
      <c r="WFU351" s="50"/>
      <c r="WFV351" s="50"/>
      <c r="WFW351" s="50"/>
      <c r="WFX351" s="50"/>
      <c r="WFY351" s="50"/>
      <c r="WFZ351" s="50"/>
      <c r="WGA351" s="50"/>
      <c r="WGB351" s="50"/>
      <c r="WGC351" s="50"/>
      <c r="WGD351" s="50"/>
      <c r="WGE351" s="50"/>
      <c r="WGF351" s="50"/>
      <c r="WGG351" s="50"/>
      <c r="WGH351" s="50"/>
      <c r="WGI351" s="50"/>
      <c r="WGJ351" s="50"/>
      <c r="WGK351" s="50"/>
      <c r="WGL351" s="50"/>
      <c r="WGM351" s="50"/>
      <c r="WGN351" s="50"/>
      <c r="WGO351" s="50"/>
      <c r="WGP351" s="50"/>
      <c r="WGQ351" s="50"/>
      <c r="WGR351" s="50"/>
      <c r="WGS351" s="50"/>
      <c r="WGT351" s="50"/>
      <c r="WGU351" s="50"/>
      <c r="WGV351" s="50"/>
      <c r="WGW351" s="50"/>
      <c r="WGX351" s="50"/>
      <c r="WGY351" s="50"/>
      <c r="WGZ351" s="50"/>
      <c r="WHA351" s="50"/>
      <c r="WHB351" s="50"/>
      <c r="WHC351" s="50"/>
      <c r="WHD351" s="50"/>
      <c r="WHE351" s="50"/>
      <c r="WHF351" s="50"/>
      <c r="WHG351" s="50"/>
      <c r="WHH351" s="50"/>
      <c r="WHI351" s="50"/>
      <c r="WHJ351" s="50"/>
      <c r="WHK351" s="50"/>
      <c r="WHL351" s="50"/>
      <c r="WHM351" s="50"/>
      <c r="WHN351" s="50"/>
      <c r="WHO351" s="50"/>
      <c r="WHP351" s="50"/>
      <c r="WHQ351" s="50"/>
      <c r="WHR351" s="50"/>
      <c r="WHS351" s="50"/>
      <c r="WHT351" s="50"/>
      <c r="WHU351" s="50"/>
      <c r="WHV351" s="50"/>
      <c r="WHW351" s="50"/>
      <c r="WHX351" s="50"/>
      <c r="WHY351" s="50"/>
      <c r="WHZ351" s="50"/>
      <c r="WIA351" s="50"/>
      <c r="WIB351" s="50"/>
      <c r="WIC351" s="50"/>
      <c r="WID351" s="50"/>
      <c r="WIE351" s="50"/>
      <c r="WIF351" s="50"/>
      <c r="WIG351" s="50"/>
      <c r="WIH351" s="50"/>
      <c r="WII351" s="50"/>
      <c r="WIJ351" s="50"/>
      <c r="WIK351" s="50"/>
      <c r="WIL351" s="50"/>
      <c r="WIM351" s="50"/>
      <c r="WIN351" s="50"/>
      <c r="WIO351" s="50"/>
      <c r="WIP351" s="50"/>
      <c r="WIQ351" s="50"/>
      <c r="WIR351" s="50"/>
      <c r="WIS351" s="50"/>
      <c r="WIT351" s="50"/>
      <c r="WIU351" s="50"/>
      <c r="WIV351" s="50"/>
      <c r="WIW351" s="50"/>
      <c r="WIX351" s="50"/>
      <c r="WIY351" s="50"/>
      <c r="WIZ351" s="50"/>
      <c r="WJA351" s="50"/>
      <c r="WJB351" s="50"/>
      <c r="WJC351" s="50"/>
      <c r="WJD351" s="50"/>
      <c r="WJE351" s="50"/>
      <c r="WJF351" s="50"/>
      <c r="WJG351" s="50"/>
      <c r="WJH351" s="50"/>
      <c r="WJI351" s="50"/>
      <c r="WJJ351" s="50"/>
      <c r="WJK351" s="50"/>
      <c r="WJL351" s="50"/>
      <c r="WJM351" s="50"/>
      <c r="WJN351" s="50"/>
      <c r="WJO351" s="50"/>
      <c r="WJP351" s="50"/>
      <c r="WJQ351" s="50"/>
      <c r="WJR351" s="50"/>
      <c r="WJS351" s="50"/>
      <c r="WJT351" s="50"/>
      <c r="WJU351" s="50"/>
      <c r="WJV351" s="50"/>
      <c r="WJW351" s="50"/>
      <c r="WJX351" s="50"/>
      <c r="WJY351" s="50"/>
      <c r="WJZ351" s="50"/>
      <c r="WKA351" s="50"/>
      <c r="WKB351" s="50"/>
      <c r="WKC351" s="50"/>
      <c r="WKD351" s="50"/>
      <c r="WKE351" s="50"/>
      <c r="WKF351" s="50"/>
      <c r="WKG351" s="50"/>
      <c r="WKH351" s="50"/>
      <c r="WKI351" s="50"/>
      <c r="WKJ351" s="50"/>
      <c r="WKK351" s="50"/>
      <c r="WKL351" s="50"/>
      <c r="WKM351" s="50"/>
      <c r="WKN351" s="50"/>
      <c r="WKO351" s="50"/>
      <c r="WKP351" s="50"/>
      <c r="WKQ351" s="50"/>
      <c r="WKR351" s="50"/>
      <c r="WKS351" s="50"/>
      <c r="WKT351" s="50"/>
      <c r="WKU351" s="50"/>
      <c r="WKV351" s="50"/>
      <c r="WKW351" s="50"/>
      <c r="WKX351" s="50"/>
      <c r="WKY351" s="50"/>
      <c r="WKZ351" s="50"/>
      <c r="WLA351" s="50"/>
      <c r="WLB351" s="50"/>
      <c r="WLC351" s="50"/>
      <c r="WLD351" s="50"/>
      <c r="WLE351" s="50"/>
      <c r="WLF351" s="50"/>
      <c r="WLG351" s="50"/>
      <c r="WLH351" s="50"/>
      <c r="WLI351" s="50"/>
      <c r="WLJ351" s="50"/>
      <c r="WLK351" s="50"/>
      <c r="WLL351" s="50"/>
      <c r="WLM351" s="50"/>
      <c r="WLN351" s="50"/>
      <c r="WLO351" s="50"/>
      <c r="WLP351" s="50"/>
      <c r="WLQ351" s="50"/>
      <c r="WLR351" s="50"/>
      <c r="WLS351" s="50"/>
      <c r="WLT351" s="50"/>
      <c r="WLU351" s="50"/>
      <c r="WLV351" s="50"/>
      <c r="WLW351" s="50"/>
      <c r="WLX351" s="50"/>
      <c r="WLY351" s="50"/>
      <c r="WLZ351" s="50"/>
      <c r="WMA351" s="50"/>
      <c r="WMB351" s="50"/>
      <c r="WMC351" s="50"/>
      <c r="WMD351" s="50"/>
      <c r="WME351" s="50"/>
      <c r="WMF351" s="50"/>
      <c r="WMG351" s="50"/>
      <c r="WMH351" s="50"/>
      <c r="WMI351" s="50"/>
      <c r="WMJ351" s="50"/>
      <c r="WMK351" s="50"/>
      <c r="WML351" s="50"/>
      <c r="WMM351" s="50"/>
      <c r="WMN351" s="50"/>
      <c r="WMO351" s="50"/>
      <c r="WMP351" s="50"/>
      <c r="WMQ351" s="50"/>
      <c r="WMR351" s="50"/>
      <c r="WMS351" s="50"/>
      <c r="WMT351" s="50"/>
      <c r="WMU351" s="50"/>
      <c r="WMV351" s="50"/>
      <c r="WMW351" s="50"/>
      <c r="WMX351" s="50"/>
      <c r="WMY351" s="50"/>
      <c r="WMZ351" s="50"/>
      <c r="WNA351" s="50"/>
      <c r="WNB351" s="50"/>
      <c r="WNC351" s="50"/>
      <c r="WND351" s="50"/>
      <c r="WNE351" s="50"/>
      <c r="WNF351" s="50"/>
      <c r="WNG351" s="50"/>
      <c r="WNH351" s="50"/>
      <c r="WNI351" s="50"/>
      <c r="WNJ351" s="50"/>
      <c r="WNK351" s="50"/>
      <c r="WNL351" s="50"/>
      <c r="WNM351" s="50"/>
      <c r="WNN351" s="50"/>
      <c r="WNO351" s="50"/>
      <c r="WNP351" s="50"/>
      <c r="WNQ351" s="50"/>
      <c r="WNR351" s="50"/>
      <c r="WNS351" s="50"/>
      <c r="WNT351" s="50"/>
      <c r="WNU351" s="50"/>
      <c r="WNV351" s="50"/>
      <c r="WNW351" s="50"/>
      <c r="WNX351" s="50"/>
      <c r="WNY351" s="50"/>
      <c r="WNZ351" s="50"/>
      <c r="WOA351" s="50"/>
      <c r="WOB351" s="50"/>
      <c r="WOC351" s="50"/>
      <c r="WOD351" s="50"/>
      <c r="WOE351" s="50"/>
      <c r="WOF351" s="50"/>
      <c r="WOG351" s="50"/>
      <c r="WOH351" s="50"/>
      <c r="WOI351" s="50"/>
      <c r="WOJ351" s="50"/>
      <c r="WOK351" s="50"/>
      <c r="WOL351" s="50"/>
      <c r="WOM351" s="50"/>
      <c r="WON351" s="50"/>
      <c r="WOO351" s="50"/>
      <c r="WOP351" s="50"/>
      <c r="WOQ351" s="50"/>
      <c r="WOR351" s="50"/>
      <c r="WOS351" s="50"/>
      <c r="WOT351" s="50"/>
      <c r="WOU351" s="50"/>
      <c r="WOV351" s="50"/>
      <c r="WOW351" s="50"/>
      <c r="WOX351" s="50"/>
      <c r="WOY351" s="50"/>
      <c r="WOZ351" s="50"/>
      <c r="WPA351" s="50"/>
      <c r="WPB351" s="50"/>
      <c r="WPC351" s="50"/>
      <c r="WPD351" s="50"/>
      <c r="WPE351" s="50"/>
      <c r="WPF351" s="50"/>
      <c r="WPG351" s="50"/>
      <c r="WPH351" s="50"/>
      <c r="WPI351" s="50"/>
      <c r="WPJ351" s="50"/>
      <c r="WPK351" s="50"/>
      <c r="WPL351" s="50"/>
      <c r="WPM351" s="50"/>
      <c r="WPN351" s="50"/>
      <c r="WPO351" s="50"/>
      <c r="WPP351" s="50"/>
      <c r="WPQ351" s="50"/>
      <c r="WPR351" s="50"/>
      <c r="WPS351" s="50"/>
      <c r="WPT351" s="50"/>
      <c r="WPU351" s="50"/>
      <c r="WPV351" s="50"/>
      <c r="WPW351" s="50"/>
      <c r="WPX351" s="50"/>
      <c r="WPY351" s="50"/>
      <c r="WPZ351" s="50"/>
      <c r="WQA351" s="50"/>
      <c r="WQB351" s="50"/>
      <c r="WQC351" s="50"/>
      <c r="WQD351" s="50"/>
      <c r="WQE351" s="50"/>
      <c r="WQF351" s="50"/>
      <c r="WQG351" s="50"/>
      <c r="WQH351" s="50"/>
      <c r="WQI351" s="50"/>
      <c r="WQJ351" s="50"/>
      <c r="WQK351" s="50"/>
      <c r="WQL351" s="50"/>
      <c r="WQM351" s="50"/>
      <c r="WQN351" s="50"/>
      <c r="WQO351" s="50"/>
      <c r="WQP351" s="50"/>
      <c r="WQQ351" s="50"/>
      <c r="WQR351" s="50"/>
      <c r="WQS351" s="50"/>
      <c r="WQT351" s="50"/>
      <c r="WQU351" s="50"/>
      <c r="WQV351" s="50"/>
      <c r="WQW351" s="50"/>
      <c r="WQX351" s="50"/>
      <c r="WQY351" s="50"/>
      <c r="WQZ351" s="50"/>
      <c r="WRA351" s="50"/>
      <c r="WRB351" s="50"/>
      <c r="WRC351" s="50"/>
      <c r="WRD351" s="50"/>
      <c r="WRE351" s="50"/>
      <c r="WRF351" s="50"/>
      <c r="WRG351" s="50"/>
      <c r="WRH351" s="50"/>
      <c r="WRI351" s="50"/>
      <c r="WRJ351" s="50"/>
      <c r="WRK351" s="50"/>
      <c r="WRL351" s="50"/>
      <c r="WRM351" s="50"/>
      <c r="WRN351" s="50"/>
      <c r="WRO351" s="50"/>
      <c r="WRP351" s="50"/>
      <c r="WRQ351" s="50"/>
      <c r="WRR351" s="50"/>
      <c r="WRS351" s="50"/>
      <c r="WRT351" s="50"/>
      <c r="WRU351" s="50"/>
      <c r="WRV351" s="50"/>
      <c r="WRW351" s="50"/>
      <c r="WRX351" s="50"/>
      <c r="WRY351" s="50"/>
      <c r="WRZ351" s="50"/>
      <c r="WSA351" s="50"/>
      <c r="WSB351" s="50"/>
      <c r="WSC351" s="50"/>
      <c r="WSD351" s="50"/>
      <c r="WSE351" s="50"/>
      <c r="WSF351" s="50"/>
      <c r="WSG351" s="50"/>
      <c r="WSH351" s="50"/>
      <c r="WSI351" s="50"/>
      <c r="WSJ351" s="50"/>
      <c r="WSK351" s="50"/>
      <c r="WSL351" s="50"/>
      <c r="WSM351" s="50"/>
      <c r="WSN351" s="50"/>
      <c r="WSO351" s="50"/>
      <c r="WSP351" s="50"/>
      <c r="WSQ351" s="50"/>
      <c r="WSR351" s="50"/>
      <c r="WSS351" s="50"/>
      <c r="WST351" s="50"/>
      <c r="WSU351" s="50"/>
      <c r="WSV351" s="50"/>
      <c r="WSW351" s="50"/>
      <c r="WSX351" s="50"/>
      <c r="WSY351" s="50"/>
      <c r="WSZ351" s="50"/>
      <c r="WTA351" s="50"/>
      <c r="WTB351" s="50"/>
      <c r="WTC351" s="50"/>
      <c r="WTD351" s="50"/>
      <c r="WTE351" s="50"/>
      <c r="WTF351" s="50"/>
      <c r="WTG351" s="50"/>
      <c r="WTH351" s="50"/>
      <c r="WTI351" s="50"/>
      <c r="WTJ351" s="50"/>
      <c r="WTK351" s="50"/>
      <c r="WTL351" s="50"/>
      <c r="WTM351" s="50"/>
      <c r="WTN351" s="50"/>
      <c r="WTO351" s="50"/>
      <c r="WTP351" s="50"/>
      <c r="WTQ351" s="50"/>
      <c r="WTR351" s="50"/>
      <c r="WTS351" s="50"/>
      <c r="WTT351" s="50"/>
      <c r="WTU351" s="50"/>
      <c r="WTV351" s="50"/>
      <c r="WTW351" s="50"/>
      <c r="WTX351" s="50"/>
      <c r="WTY351" s="50"/>
      <c r="WTZ351" s="50"/>
      <c r="WUA351" s="50"/>
      <c r="WUB351" s="50"/>
      <c r="WUC351" s="50"/>
      <c r="WUD351" s="50"/>
      <c r="WUE351" s="50"/>
      <c r="WUF351" s="50"/>
      <c r="WUG351" s="50"/>
      <c r="WUH351" s="50"/>
      <c r="WUI351" s="50"/>
      <c r="WUJ351" s="50"/>
      <c r="WUK351" s="50"/>
      <c r="WUL351" s="50"/>
      <c r="WUM351" s="50"/>
      <c r="WUN351" s="50"/>
      <c r="WUO351" s="50"/>
    </row>
    <row r="352" spans="1:16109" s="29" customFormat="1" ht="90.75" customHeight="1" x14ac:dyDescent="0.25">
      <c r="A352" s="20"/>
      <c r="B352" s="20"/>
      <c r="C352" s="20"/>
      <c r="D352" s="21"/>
      <c r="E352" s="21"/>
      <c r="F352" s="22"/>
      <c r="G352" s="22"/>
      <c r="H352" s="24"/>
      <c r="I352" s="25"/>
      <c r="J352" s="24"/>
      <c r="K352" s="37">
        <v>8</v>
      </c>
      <c r="L352" s="20" t="s">
        <v>31</v>
      </c>
      <c r="M352" s="20"/>
      <c r="N352" s="62" t="s">
        <v>209</v>
      </c>
      <c r="O352" s="24">
        <v>418</v>
      </c>
      <c r="P352" s="35">
        <v>100</v>
      </c>
      <c r="Q352" s="40">
        <v>2550</v>
      </c>
      <c r="R352" s="77">
        <f t="shared" si="69"/>
        <v>1065900</v>
      </c>
      <c r="S352" s="37">
        <v>5</v>
      </c>
      <c r="T352" s="28">
        <f t="shared" si="70"/>
        <v>53295</v>
      </c>
      <c r="U352" s="77">
        <f t="shared" si="71"/>
        <v>1012605</v>
      </c>
      <c r="V352" s="20"/>
      <c r="W352" s="26"/>
      <c r="X352" s="27"/>
      <c r="Y352" s="20"/>
      <c r="Z352" s="2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50"/>
      <c r="AR352" s="50"/>
      <c r="AS352" s="50"/>
      <c r="AT352" s="50"/>
      <c r="AU352" s="50"/>
      <c r="AV352" s="50"/>
      <c r="AW352" s="50"/>
      <c r="AX352" s="50"/>
      <c r="AY352" s="50"/>
      <c r="AZ352" s="50"/>
      <c r="BA352" s="50"/>
      <c r="BB352" s="50"/>
      <c r="BC352" s="50"/>
      <c r="BD352" s="50"/>
      <c r="BE352" s="50"/>
      <c r="BF352" s="50"/>
      <c r="BG352" s="50"/>
      <c r="BH352" s="50"/>
      <c r="BI352" s="50"/>
      <c r="BJ352" s="50"/>
      <c r="BK352" s="50"/>
      <c r="BL352" s="50"/>
      <c r="BM352" s="50"/>
      <c r="BN352" s="50"/>
      <c r="BO352" s="50"/>
      <c r="BP352" s="50"/>
      <c r="BQ352" s="50"/>
      <c r="BR352" s="50"/>
      <c r="BS352" s="50"/>
      <c r="BT352" s="50"/>
      <c r="BU352" s="50"/>
      <c r="BV352" s="50"/>
      <c r="BW352" s="50"/>
      <c r="BX352" s="50"/>
      <c r="BY352" s="50"/>
      <c r="BZ352" s="50"/>
      <c r="CA352" s="50"/>
      <c r="CB352" s="50"/>
      <c r="CC352" s="50"/>
      <c r="CD352" s="50"/>
      <c r="CE352" s="50"/>
      <c r="CF352" s="50"/>
      <c r="CG352" s="50"/>
      <c r="CH352" s="50"/>
      <c r="CI352" s="50"/>
      <c r="CJ352" s="50"/>
      <c r="CK352" s="50"/>
      <c r="CL352" s="50"/>
      <c r="CM352" s="50"/>
      <c r="CN352" s="50"/>
      <c r="CO352" s="50"/>
      <c r="CP352" s="50"/>
      <c r="CQ352" s="50"/>
      <c r="CR352" s="50"/>
      <c r="CS352" s="50"/>
      <c r="CT352" s="50"/>
      <c r="CU352" s="50"/>
      <c r="CV352" s="50"/>
      <c r="CW352" s="50"/>
      <c r="CX352" s="50"/>
      <c r="CY352" s="50"/>
      <c r="CZ352" s="50"/>
      <c r="DA352" s="50"/>
      <c r="DB352" s="50"/>
      <c r="DC352" s="50"/>
      <c r="DD352" s="50"/>
      <c r="DE352" s="50"/>
      <c r="DF352" s="50"/>
      <c r="DG352" s="50"/>
      <c r="DH352" s="50"/>
      <c r="DI352" s="50"/>
      <c r="DJ352" s="50"/>
      <c r="DK352" s="50"/>
      <c r="DL352" s="50"/>
      <c r="DM352" s="50"/>
      <c r="DN352" s="50"/>
      <c r="DO352" s="50"/>
      <c r="DP352" s="50"/>
      <c r="DQ352" s="50"/>
      <c r="DR352" s="50"/>
      <c r="DS352" s="50"/>
      <c r="DT352" s="50"/>
      <c r="DU352" s="50"/>
      <c r="DV352" s="50"/>
      <c r="DW352" s="50"/>
      <c r="DX352" s="50"/>
      <c r="DY352" s="50"/>
      <c r="DZ352" s="50"/>
      <c r="EA352" s="50"/>
      <c r="EB352" s="50"/>
      <c r="EC352" s="50"/>
      <c r="ED352" s="50"/>
      <c r="EE352" s="50"/>
      <c r="EF352" s="50"/>
      <c r="EG352" s="50"/>
      <c r="EH352" s="50"/>
      <c r="EI352" s="50"/>
      <c r="EJ352" s="50"/>
      <c r="EK352" s="50"/>
      <c r="EL352" s="50"/>
      <c r="EM352" s="50"/>
      <c r="EN352" s="50"/>
      <c r="EO352" s="50"/>
      <c r="EP352" s="50"/>
      <c r="EQ352" s="50"/>
      <c r="ER352" s="50"/>
      <c r="ES352" s="50"/>
      <c r="ET352" s="50"/>
      <c r="EU352" s="50"/>
      <c r="EV352" s="50"/>
      <c r="EW352" s="50"/>
      <c r="EX352" s="50"/>
      <c r="EY352" s="50"/>
      <c r="EZ352" s="50"/>
      <c r="FA352" s="50"/>
      <c r="FB352" s="50"/>
      <c r="FC352" s="50"/>
      <c r="FD352" s="50"/>
      <c r="FE352" s="50"/>
      <c r="FF352" s="50"/>
      <c r="FG352" s="50"/>
      <c r="FH352" s="50"/>
      <c r="FI352" s="50"/>
      <c r="FJ352" s="50"/>
      <c r="FK352" s="50"/>
      <c r="FL352" s="50"/>
      <c r="FM352" s="50"/>
      <c r="FN352" s="50"/>
      <c r="FO352" s="50"/>
      <c r="FP352" s="50"/>
      <c r="FQ352" s="50"/>
      <c r="FR352" s="50"/>
      <c r="FS352" s="50"/>
      <c r="FT352" s="50"/>
      <c r="FU352" s="50"/>
      <c r="FV352" s="50"/>
      <c r="FW352" s="50"/>
      <c r="FX352" s="50"/>
      <c r="FY352" s="50"/>
      <c r="FZ352" s="50"/>
      <c r="GA352" s="50"/>
      <c r="GB352" s="50"/>
      <c r="GC352" s="50"/>
      <c r="GD352" s="50"/>
      <c r="GE352" s="50"/>
      <c r="GF352" s="50"/>
      <c r="GG352" s="50"/>
      <c r="GH352" s="50"/>
      <c r="GI352" s="50"/>
      <c r="GJ352" s="50"/>
      <c r="GK352" s="50"/>
      <c r="GL352" s="50"/>
      <c r="GM352" s="50"/>
      <c r="GN352" s="50"/>
      <c r="GO352" s="50"/>
      <c r="GP352" s="50"/>
      <c r="GQ352" s="50"/>
      <c r="GR352" s="50"/>
      <c r="GS352" s="50"/>
      <c r="GT352" s="50"/>
      <c r="GU352" s="50"/>
      <c r="GV352" s="50"/>
      <c r="GW352" s="50"/>
      <c r="GX352" s="50"/>
      <c r="GY352" s="50"/>
      <c r="GZ352" s="50"/>
      <c r="HA352" s="50"/>
      <c r="HB352" s="50"/>
      <c r="HC352" s="50"/>
      <c r="HD352" s="50"/>
      <c r="HE352" s="50"/>
      <c r="HF352" s="50"/>
      <c r="HG352" s="50"/>
      <c r="HH352" s="50"/>
      <c r="HI352" s="50"/>
      <c r="HJ352" s="50"/>
      <c r="HK352" s="50"/>
      <c r="HL352" s="50"/>
      <c r="HM352" s="50"/>
      <c r="HN352" s="50"/>
      <c r="HO352" s="50"/>
      <c r="HP352" s="50"/>
      <c r="HQ352" s="50"/>
      <c r="HR352" s="50"/>
      <c r="HS352" s="50"/>
      <c r="HT352" s="50"/>
      <c r="HU352" s="50"/>
      <c r="HV352" s="50"/>
      <c r="HW352" s="50"/>
      <c r="HX352" s="50"/>
      <c r="HY352" s="50"/>
      <c r="HZ352" s="50"/>
      <c r="IA352" s="50"/>
      <c r="IB352" s="50"/>
      <c r="IC352" s="50"/>
      <c r="ID352" s="50"/>
      <c r="IE352" s="50"/>
      <c r="IF352" s="50"/>
      <c r="IG352" s="50"/>
      <c r="IH352" s="50"/>
      <c r="II352" s="50"/>
      <c r="IJ352" s="50"/>
      <c r="IK352" s="50"/>
      <c r="IL352" s="50"/>
      <c r="IM352" s="50"/>
      <c r="IN352" s="50"/>
      <c r="IO352" s="50"/>
      <c r="IP352" s="50"/>
      <c r="IQ352" s="50"/>
      <c r="IR352" s="50"/>
      <c r="IS352" s="50"/>
      <c r="IT352" s="50"/>
      <c r="IU352" s="50"/>
      <c r="IV352" s="50"/>
      <c r="IW352" s="50"/>
      <c r="IX352" s="50"/>
      <c r="IY352" s="50"/>
      <c r="IZ352" s="50"/>
      <c r="JA352" s="50"/>
      <c r="JB352" s="50"/>
      <c r="JC352" s="50"/>
      <c r="JD352" s="50"/>
      <c r="JE352" s="50"/>
      <c r="JF352" s="50"/>
      <c r="JG352" s="50"/>
      <c r="JH352" s="50"/>
      <c r="JI352" s="50"/>
      <c r="JJ352" s="50"/>
      <c r="JK352" s="50"/>
      <c r="JL352" s="50"/>
      <c r="JM352" s="50"/>
      <c r="JN352" s="50"/>
      <c r="JO352" s="50"/>
      <c r="JP352" s="50"/>
      <c r="JQ352" s="50"/>
      <c r="JR352" s="50"/>
      <c r="JS352" s="50"/>
      <c r="JT352" s="50"/>
      <c r="JU352" s="50"/>
      <c r="JV352" s="50"/>
      <c r="JW352" s="50"/>
      <c r="JX352" s="50"/>
      <c r="JY352" s="50"/>
      <c r="JZ352" s="50"/>
      <c r="KA352" s="50"/>
      <c r="KB352" s="50"/>
      <c r="KC352" s="50"/>
      <c r="KD352" s="50"/>
      <c r="KE352" s="50"/>
      <c r="KF352" s="50"/>
      <c r="KG352" s="50"/>
      <c r="KH352" s="50"/>
      <c r="KI352" s="50"/>
      <c r="KJ352" s="50"/>
      <c r="KK352" s="50"/>
      <c r="KL352" s="50"/>
      <c r="KM352" s="50"/>
      <c r="KN352" s="50"/>
      <c r="KO352" s="50"/>
      <c r="KP352" s="50"/>
      <c r="KQ352" s="50"/>
      <c r="KR352" s="50"/>
      <c r="KS352" s="50"/>
      <c r="KT352" s="50"/>
      <c r="KU352" s="50"/>
      <c r="KV352" s="50"/>
      <c r="KW352" s="50"/>
      <c r="KX352" s="50"/>
      <c r="KY352" s="50"/>
      <c r="KZ352" s="50"/>
      <c r="LA352" s="50"/>
      <c r="LB352" s="50"/>
      <c r="LC352" s="50"/>
      <c r="LD352" s="50"/>
      <c r="LE352" s="50"/>
      <c r="LF352" s="50"/>
      <c r="LG352" s="50"/>
      <c r="LH352" s="50"/>
      <c r="LI352" s="50"/>
      <c r="LJ352" s="50"/>
      <c r="LK352" s="50"/>
      <c r="LL352" s="50"/>
      <c r="LM352" s="50"/>
      <c r="LN352" s="50"/>
      <c r="LO352" s="50"/>
      <c r="LP352" s="50"/>
      <c r="LQ352" s="50"/>
      <c r="LR352" s="50"/>
      <c r="LS352" s="50"/>
      <c r="LT352" s="50"/>
      <c r="LU352" s="50"/>
      <c r="LV352" s="50"/>
      <c r="LW352" s="50"/>
      <c r="LX352" s="50"/>
      <c r="LY352" s="50"/>
      <c r="LZ352" s="50"/>
      <c r="MA352" s="50"/>
      <c r="MB352" s="50"/>
      <c r="MC352" s="50"/>
      <c r="MD352" s="50"/>
      <c r="ME352" s="50"/>
      <c r="MF352" s="50"/>
      <c r="MG352" s="50"/>
      <c r="MH352" s="50"/>
      <c r="MI352" s="50"/>
      <c r="MJ352" s="50"/>
      <c r="MK352" s="50"/>
      <c r="ML352" s="50"/>
      <c r="MM352" s="50"/>
      <c r="MN352" s="50"/>
      <c r="MO352" s="50"/>
      <c r="MP352" s="50"/>
      <c r="MQ352" s="50"/>
      <c r="MR352" s="50"/>
      <c r="MS352" s="50"/>
      <c r="MT352" s="50"/>
      <c r="MU352" s="50"/>
      <c r="MV352" s="50"/>
      <c r="MW352" s="50"/>
      <c r="MX352" s="50"/>
      <c r="MY352" s="50"/>
      <c r="MZ352" s="50"/>
      <c r="NA352" s="50"/>
      <c r="NB352" s="50"/>
      <c r="NC352" s="50"/>
      <c r="ND352" s="50"/>
      <c r="NE352" s="50"/>
      <c r="NF352" s="50"/>
      <c r="NG352" s="50"/>
      <c r="NH352" s="50"/>
      <c r="NI352" s="50"/>
      <c r="NJ352" s="50"/>
      <c r="NK352" s="50"/>
      <c r="NL352" s="50"/>
      <c r="NM352" s="50"/>
      <c r="NN352" s="50"/>
      <c r="NO352" s="50"/>
      <c r="NP352" s="50"/>
      <c r="NQ352" s="50"/>
      <c r="NR352" s="50"/>
      <c r="NS352" s="50"/>
      <c r="NT352" s="50"/>
      <c r="NU352" s="50"/>
      <c r="NV352" s="50"/>
      <c r="NW352" s="50"/>
      <c r="NX352" s="50"/>
      <c r="NY352" s="50"/>
      <c r="NZ352" s="50"/>
      <c r="OA352" s="50"/>
      <c r="OB352" s="50"/>
      <c r="OC352" s="50"/>
      <c r="OD352" s="50"/>
      <c r="OE352" s="50"/>
      <c r="OF352" s="50"/>
      <c r="OG352" s="50"/>
      <c r="OH352" s="50"/>
      <c r="OI352" s="50"/>
      <c r="OJ352" s="50"/>
      <c r="OK352" s="50"/>
      <c r="OL352" s="50"/>
      <c r="OM352" s="50"/>
      <c r="ON352" s="50"/>
      <c r="OO352" s="50"/>
      <c r="OP352" s="50"/>
      <c r="OQ352" s="50"/>
      <c r="OR352" s="50"/>
      <c r="OS352" s="50"/>
      <c r="OT352" s="50"/>
      <c r="OU352" s="50"/>
      <c r="OV352" s="50"/>
      <c r="OW352" s="50"/>
      <c r="OX352" s="50"/>
      <c r="OY352" s="50"/>
      <c r="OZ352" s="50"/>
      <c r="PA352" s="50"/>
      <c r="PB352" s="50"/>
      <c r="PC352" s="50"/>
      <c r="PD352" s="50"/>
      <c r="PE352" s="50"/>
      <c r="PF352" s="50"/>
      <c r="PG352" s="50"/>
      <c r="PH352" s="50"/>
      <c r="PI352" s="50"/>
      <c r="PJ352" s="50"/>
      <c r="PK352" s="50"/>
      <c r="PL352" s="50"/>
      <c r="PM352" s="50"/>
      <c r="PN352" s="50"/>
      <c r="PO352" s="50"/>
      <c r="PP352" s="50"/>
      <c r="PQ352" s="50"/>
      <c r="PR352" s="50"/>
      <c r="PS352" s="50"/>
      <c r="PT352" s="50"/>
      <c r="PU352" s="50"/>
      <c r="PV352" s="50"/>
      <c r="PW352" s="50"/>
      <c r="PX352" s="50"/>
      <c r="PY352" s="50"/>
      <c r="PZ352" s="50"/>
      <c r="QA352" s="50"/>
      <c r="QB352" s="50"/>
      <c r="QC352" s="50"/>
      <c r="QD352" s="50"/>
      <c r="QE352" s="50"/>
      <c r="QF352" s="50"/>
      <c r="QG352" s="50"/>
      <c r="QH352" s="50"/>
      <c r="QI352" s="50"/>
      <c r="QJ352" s="50"/>
      <c r="QK352" s="50"/>
      <c r="QL352" s="50"/>
      <c r="QM352" s="50"/>
      <c r="QN352" s="50"/>
      <c r="QO352" s="50"/>
      <c r="QP352" s="50"/>
      <c r="QQ352" s="50"/>
      <c r="QR352" s="50"/>
      <c r="QS352" s="50"/>
      <c r="QT352" s="50"/>
      <c r="QU352" s="50"/>
      <c r="QV352" s="50"/>
      <c r="QW352" s="50"/>
      <c r="QX352" s="50"/>
      <c r="QY352" s="50"/>
      <c r="QZ352" s="50"/>
      <c r="RA352" s="50"/>
      <c r="RB352" s="50"/>
      <c r="RC352" s="50"/>
      <c r="RD352" s="50"/>
      <c r="RE352" s="50"/>
      <c r="RF352" s="50"/>
      <c r="RG352" s="50"/>
      <c r="RH352" s="50"/>
      <c r="RI352" s="50"/>
      <c r="RJ352" s="50"/>
      <c r="RK352" s="50"/>
      <c r="RL352" s="50"/>
      <c r="RM352" s="50"/>
      <c r="RN352" s="50"/>
      <c r="RO352" s="50"/>
      <c r="RP352" s="50"/>
      <c r="RQ352" s="50"/>
      <c r="RR352" s="50"/>
      <c r="RS352" s="50"/>
      <c r="RT352" s="50"/>
      <c r="RU352" s="50"/>
      <c r="RV352" s="50"/>
      <c r="RW352" s="50"/>
      <c r="RX352" s="50"/>
      <c r="RY352" s="50"/>
      <c r="RZ352" s="50"/>
      <c r="SA352" s="50"/>
      <c r="SB352" s="50"/>
      <c r="SC352" s="50"/>
      <c r="SD352" s="50"/>
      <c r="SE352" s="50"/>
      <c r="SF352" s="50"/>
      <c r="SG352" s="50"/>
      <c r="SH352" s="50"/>
      <c r="SI352" s="50"/>
      <c r="SJ352" s="50"/>
      <c r="SK352" s="50"/>
      <c r="SL352" s="50"/>
      <c r="SM352" s="50"/>
      <c r="SN352" s="50"/>
      <c r="SO352" s="50"/>
      <c r="SP352" s="50"/>
      <c r="SQ352" s="50"/>
      <c r="SR352" s="50"/>
      <c r="SS352" s="50"/>
      <c r="ST352" s="50"/>
      <c r="SU352" s="50"/>
      <c r="SV352" s="50"/>
      <c r="SW352" s="50"/>
      <c r="SX352" s="50"/>
      <c r="SY352" s="50"/>
      <c r="SZ352" s="50"/>
      <c r="TA352" s="50"/>
      <c r="TB352" s="50"/>
      <c r="TC352" s="50"/>
      <c r="TD352" s="50"/>
      <c r="TE352" s="50"/>
      <c r="TF352" s="50"/>
      <c r="TG352" s="50"/>
      <c r="TH352" s="50"/>
      <c r="TI352" s="50"/>
      <c r="TJ352" s="50"/>
      <c r="TK352" s="50"/>
      <c r="TL352" s="50"/>
      <c r="TM352" s="50"/>
      <c r="TN352" s="50"/>
      <c r="TO352" s="50"/>
      <c r="TP352" s="50"/>
      <c r="TQ352" s="50"/>
      <c r="TR352" s="50"/>
      <c r="TS352" s="50"/>
      <c r="TT352" s="50"/>
      <c r="TU352" s="50"/>
      <c r="TV352" s="50"/>
      <c r="TW352" s="50"/>
      <c r="TX352" s="50"/>
      <c r="TY352" s="50"/>
      <c r="TZ352" s="50"/>
      <c r="UA352" s="50"/>
      <c r="UB352" s="50"/>
      <c r="UC352" s="50"/>
      <c r="UD352" s="50"/>
      <c r="UE352" s="50"/>
      <c r="UF352" s="50"/>
      <c r="UG352" s="50"/>
      <c r="UH352" s="50"/>
      <c r="UI352" s="50"/>
      <c r="UJ352" s="50"/>
      <c r="UK352" s="50"/>
      <c r="UL352" s="50"/>
      <c r="UM352" s="50"/>
      <c r="UN352" s="50"/>
      <c r="UO352" s="50"/>
      <c r="UP352" s="50"/>
      <c r="UQ352" s="50"/>
      <c r="UR352" s="50"/>
      <c r="US352" s="50"/>
      <c r="UT352" s="50"/>
      <c r="UU352" s="50"/>
      <c r="UV352" s="50"/>
      <c r="UW352" s="50"/>
      <c r="UX352" s="50"/>
      <c r="UY352" s="50"/>
      <c r="UZ352" s="50"/>
      <c r="VA352" s="50"/>
      <c r="VB352" s="50"/>
      <c r="VC352" s="50"/>
      <c r="VD352" s="50"/>
      <c r="VE352" s="50"/>
      <c r="VF352" s="50"/>
      <c r="VG352" s="50"/>
      <c r="VH352" s="50"/>
      <c r="VI352" s="50"/>
      <c r="VJ352" s="50"/>
      <c r="VK352" s="50"/>
      <c r="VL352" s="50"/>
      <c r="VM352" s="50"/>
      <c r="VN352" s="50"/>
      <c r="VO352" s="50"/>
      <c r="VP352" s="50"/>
      <c r="VQ352" s="50"/>
      <c r="VR352" s="50"/>
      <c r="VS352" s="50"/>
      <c r="VT352" s="50"/>
      <c r="VU352" s="50"/>
      <c r="VV352" s="50"/>
      <c r="VW352" s="50"/>
      <c r="VX352" s="50"/>
      <c r="VY352" s="50"/>
      <c r="VZ352" s="50"/>
      <c r="WA352" s="50"/>
      <c r="WB352" s="50"/>
      <c r="WC352" s="50"/>
      <c r="WD352" s="50"/>
      <c r="WE352" s="50"/>
      <c r="WF352" s="50"/>
      <c r="WG352" s="50"/>
      <c r="WH352" s="50"/>
      <c r="WI352" s="50"/>
      <c r="WJ352" s="50"/>
      <c r="WK352" s="50"/>
      <c r="WL352" s="50"/>
      <c r="WM352" s="50"/>
      <c r="WN352" s="50"/>
      <c r="WO352" s="50"/>
      <c r="WP352" s="50"/>
      <c r="WQ352" s="50"/>
      <c r="WR352" s="50"/>
      <c r="WS352" s="50"/>
      <c r="WT352" s="50"/>
      <c r="WU352" s="50"/>
      <c r="WV352" s="50"/>
      <c r="WW352" s="50"/>
      <c r="WX352" s="50"/>
      <c r="WY352" s="50"/>
      <c r="WZ352" s="50"/>
      <c r="XA352" s="50"/>
      <c r="XB352" s="50"/>
      <c r="XC352" s="50"/>
      <c r="XD352" s="50"/>
      <c r="XE352" s="50"/>
      <c r="XF352" s="50"/>
      <c r="XG352" s="50"/>
      <c r="XH352" s="50"/>
      <c r="XI352" s="50"/>
      <c r="XJ352" s="50"/>
      <c r="XK352" s="50"/>
      <c r="XL352" s="50"/>
      <c r="XM352" s="50"/>
      <c r="XN352" s="50"/>
      <c r="XO352" s="50"/>
      <c r="XP352" s="50"/>
      <c r="XQ352" s="50"/>
      <c r="XR352" s="50"/>
      <c r="XS352" s="50"/>
      <c r="XT352" s="50"/>
      <c r="XU352" s="50"/>
      <c r="XV352" s="50"/>
      <c r="XW352" s="50"/>
      <c r="XX352" s="50"/>
      <c r="XY352" s="50"/>
      <c r="XZ352" s="50"/>
      <c r="YA352" s="50"/>
      <c r="YB352" s="50"/>
      <c r="YC352" s="50"/>
      <c r="YD352" s="50"/>
      <c r="YE352" s="50"/>
      <c r="YF352" s="50"/>
      <c r="YG352" s="50"/>
      <c r="YH352" s="50"/>
      <c r="YI352" s="50"/>
      <c r="YJ352" s="50"/>
      <c r="YK352" s="50"/>
      <c r="YL352" s="50"/>
      <c r="YM352" s="50"/>
      <c r="YN352" s="50"/>
      <c r="YO352" s="50"/>
      <c r="YP352" s="50"/>
      <c r="YQ352" s="50"/>
      <c r="YR352" s="50"/>
      <c r="YS352" s="50"/>
      <c r="YT352" s="50"/>
      <c r="YU352" s="50"/>
      <c r="YV352" s="50"/>
      <c r="YW352" s="50"/>
      <c r="YX352" s="50"/>
      <c r="YY352" s="50"/>
      <c r="YZ352" s="50"/>
      <c r="ZA352" s="50"/>
      <c r="ZB352" s="50"/>
      <c r="ZC352" s="50"/>
      <c r="ZD352" s="50"/>
      <c r="ZE352" s="50"/>
      <c r="ZF352" s="50"/>
      <c r="ZG352" s="50"/>
      <c r="ZH352" s="50"/>
      <c r="ZI352" s="50"/>
      <c r="ZJ352" s="50"/>
      <c r="ZK352" s="50"/>
      <c r="ZL352" s="50"/>
      <c r="ZM352" s="50"/>
      <c r="ZN352" s="50"/>
      <c r="ZO352" s="50"/>
      <c r="ZP352" s="50"/>
      <c r="ZQ352" s="50"/>
      <c r="ZR352" s="50"/>
      <c r="ZS352" s="50"/>
      <c r="ZT352" s="50"/>
      <c r="ZU352" s="50"/>
      <c r="ZV352" s="50"/>
      <c r="ZW352" s="50"/>
      <c r="ZX352" s="50"/>
      <c r="ZY352" s="50"/>
      <c r="ZZ352" s="50"/>
      <c r="AAA352" s="50"/>
      <c r="AAB352" s="50"/>
      <c r="AAC352" s="50"/>
      <c r="AAD352" s="50"/>
      <c r="AAE352" s="50"/>
      <c r="AAF352" s="50"/>
      <c r="AAG352" s="50"/>
      <c r="AAH352" s="50"/>
      <c r="AAI352" s="50"/>
      <c r="AAJ352" s="50"/>
      <c r="AAK352" s="50"/>
      <c r="AAL352" s="50"/>
      <c r="AAM352" s="50"/>
      <c r="AAN352" s="50"/>
      <c r="AAO352" s="50"/>
      <c r="AAP352" s="50"/>
      <c r="AAQ352" s="50"/>
      <c r="AAR352" s="50"/>
      <c r="AAS352" s="50"/>
      <c r="AAT352" s="50"/>
      <c r="AAU352" s="50"/>
      <c r="AAV352" s="50"/>
      <c r="AAW352" s="50"/>
      <c r="AAX352" s="50"/>
      <c r="AAY352" s="50"/>
      <c r="AAZ352" s="50"/>
      <c r="ABA352" s="50"/>
      <c r="ABB352" s="50"/>
      <c r="ABC352" s="50"/>
      <c r="ABD352" s="50"/>
      <c r="ABE352" s="50"/>
      <c r="ABF352" s="50"/>
      <c r="ABG352" s="50"/>
      <c r="ABH352" s="50"/>
      <c r="ABI352" s="50"/>
      <c r="ABJ352" s="50"/>
      <c r="ABK352" s="50"/>
      <c r="ABL352" s="50"/>
      <c r="ABM352" s="50"/>
      <c r="ABN352" s="50"/>
      <c r="ABO352" s="50"/>
      <c r="ABP352" s="50"/>
      <c r="ABQ352" s="50"/>
      <c r="ABR352" s="50"/>
      <c r="ABS352" s="50"/>
      <c r="ABT352" s="50"/>
      <c r="ABU352" s="50"/>
      <c r="ABV352" s="50"/>
      <c r="ABW352" s="50"/>
      <c r="ABX352" s="50"/>
      <c r="ABY352" s="50"/>
      <c r="ABZ352" s="50"/>
      <c r="ACA352" s="50"/>
      <c r="ACB352" s="50"/>
      <c r="ACC352" s="50"/>
      <c r="ACD352" s="50"/>
      <c r="ACE352" s="50"/>
      <c r="ACF352" s="50"/>
      <c r="ACG352" s="50"/>
      <c r="ACH352" s="50"/>
      <c r="ACI352" s="50"/>
      <c r="ACJ352" s="50"/>
      <c r="ACK352" s="50"/>
      <c r="ACL352" s="50"/>
      <c r="ACM352" s="50"/>
      <c r="ACN352" s="50"/>
      <c r="ACO352" s="50"/>
      <c r="ACP352" s="50"/>
      <c r="ACQ352" s="50"/>
      <c r="ACR352" s="50"/>
      <c r="ACS352" s="50"/>
      <c r="ACT352" s="50"/>
      <c r="ACU352" s="50"/>
      <c r="ACV352" s="50"/>
      <c r="ACW352" s="50"/>
      <c r="ACX352" s="50"/>
      <c r="ACY352" s="50"/>
      <c r="ACZ352" s="50"/>
      <c r="ADA352" s="50"/>
      <c r="ADB352" s="50"/>
      <c r="ADC352" s="50"/>
      <c r="ADD352" s="50"/>
      <c r="ADE352" s="50"/>
      <c r="ADF352" s="50"/>
      <c r="ADG352" s="50"/>
      <c r="ADH352" s="50"/>
      <c r="ADI352" s="50"/>
      <c r="ADJ352" s="50"/>
      <c r="ADK352" s="50"/>
      <c r="ADL352" s="50"/>
      <c r="ADM352" s="50"/>
      <c r="ADN352" s="50"/>
      <c r="ADO352" s="50"/>
      <c r="ADP352" s="50"/>
      <c r="ADQ352" s="50"/>
      <c r="ADR352" s="50"/>
      <c r="ADS352" s="50"/>
      <c r="ADT352" s="50"/>
      <c r="ADU352" s="50"/>
      <c r="ADV352" s="50"/>
      <c r="ADW352" s="50"/>
      <c r="ADX352" s="50"/>
      <c r="ADY352" s="50"/>
      <c r="ADZ352" s="50"/>
      <c r="AEA352" s="50"/>
      <c r="AEB352" s="50"/>
      <c r="AEC352" s="50"/>
      <c r="AED352" s="50"/>
      <c r="AEE352" s="50"/>
      <c r="AEF352" s="50"/>
      <c r="AEG352" s="50"/>
      <c r="AEH352" s="50"/>
      <c r="AEI352" s="50"/>
      <c r="AEJ352" s="50"/>
      <c r="AEK352" s="50"/>
      <c r="AEL352" s="50"/>
      <c r="AEM352" s="50"/>
      <c r="AEN352" s="50"/>
      <c r="AEO352" s="50"/>
      <c r="AEP352" s="50"/>
      <c r="AEQ352" s="50"/>
      <c r="AER352" s="50"/>
      <c r="AES352" s="50"/>
      <c r="AET352" s="50"/>
      <c r="AEU352" s="50"/>
      <c r="AEV352" s="50"/>
      <c r="AEW352" s="50"/>
      <c r="AEX352" s="50"/>
      <c r="AEY352" s="50"/>
      <c r="AEZ352" s="50"/>
      <c r="AFA352" s="50"/>
      <c r="AFB352" s="50"/>
      <c r="AFC352" s="50"/>
      <c r="AFD352" s="50"/>
      <c r="AFE352" s="50"/>
      <c r="AFF352" s="50"/>
      <c r="AFG352" s="50"/>
      <c r="AFH352" s="50"/>
      <c r="AFI352" s="50"/>
      <c r="AFJ352" s="50"/>
      <c r="AFK352" s="50"/>
      <c r="AFL352" s="50"/>
      <c r="AFM352" s="50"/>
      <c r="AFN352" s="50"/>
      <c r="AFO352" s="50"/>
      <c r="AFP352" s="50"/>
      <c r="AFQ352" s="50"/>
      <c r="AFR352" s="50"/>
      <c r="AFS352" s="50"/>
      <c r="AFT352" s="50"/>
      <c r="AFU352" s="50"/>
      <c r="AFV352" s="50"/>
      <c r="AFW352" s="50"/>
      <c r="AFX352" s="50"/>
      <c r="AFY352" s="50"/>
      <c r="AFZ352" s="50"/>
      <c r="AGA352" s="50"/>
      <c r="AGB352" s="50"/>
      <c r="AGC352" s="50"/>
      <c r="AGD352" s="50"/>
      <c r="AGE352" s="50"/>
      <c r="AGF352" s="50"/>
      <c r="AGG352" s="50"/>
      <c r="AGH352" s="50"/>
      <c r="AGI352" s="50"/>
      <c r="AGJ352" s="50"/>
      <c r="AGK352" s="50"/>
      <c r="AGL352" s="50"/>
      <c r="AGM352" s="50"/>
      <c r="AGN352" s="50"/>
      <c r="AGO352" s="50"/>
      <c r="AGP352" s="50"/>
      <c r="AGQ352" s="50"/>
      <c r="AGR352" s="50"/>
      <c r="AGS352" s="50"/>
      <c r="AGT352" s="50"/>
      <c r="AGU352" s="50"/>
      <c r="AGV352" s="50"/>
      <c r="AGW352" s="50"/>
      <c r="AGX352" s="50"/>
      <c r="AGY352" s="50"/>
      <c r="AGZ352" s="50"/>
      <c r="AHA352" s="50"/>
      <c r="AHB352" s="50"/>
      <c r="AHC352" s="50"/>
      <c r="AHD352" s="50"/>
      <c r="AHE352" s="50"/>
      <c r="AHF352" s="50"/>
      <c r="AHG352" s="50"/>
      <c r="AHH352" s="50"/>
      <c r="AHI352" s="50"/>
      <c r="AHJ352" s="50"/>
      <c r="AHK352" s="50"/>
      <c r="AHL352" s="50"/>
      <c r="AHM352" s="50"/>
      <c r="AHN352" s="50"/>
      <c r="AHO352" s="50"/>
      <c r="AHP352" s="50"/>
      <c r="AHQ352" s="50"/>
      <c r="AHR352" s="50"/>
      <c r="AHS352" s="50"/>
      <c r="AHT352" s="50"/>
      <c r="AHU352" s="50"/>
      <c r="AHV352" s="50"/>
      <c r="AHW352" s="50"/>
      <c r="AHX352" s="50"/>
      <c r="AHY352" s="50"/>
      <c r="AHZ352" s="50"/>
      <c r="AIA352" s="50"/>
      <c r="AIB352" s="50"/>
      <c r="AIC352" s="50"/>
      <c r="AID352" s="50"/>
      <c r="AIE352" s="50"/>
      <c r="AIF352" s="50"/>
      <c r="AIG352" s="50"/>
      <c r="AIH352" s="50"/>
      <c r="AII352" s="50"/>
      <c r="AIJ352" s="50"/>
      <c r="AIK352" s="50"/>
      <c r="AIL352" s="50"/>
      <c r="AIM352" s="50"/>
      <c r="AIN352" s="50"/>
      <c r="AIO352" s="50"/>
      <c r="AIP352" s="50"/>
      <c r="AIQ352" s="50"/>
      <c r="AIR352" s="50"/>
      <c r="AIS352" s="50"/>
      <c r="AIT352" s="50"/>
      <c r="AIU352" s="50"/>
      <c r="AIV352" s="50"/>
      <c r="AIW352" s="50"/>
      <c r="AIX352" s="50"/>
      <c r="AIY352" s="50"/>
      <c r="AIZ352" s="50"/>
      <c r="AJA352" s="50"/>
      <c r="AJB352" s="50"/>
      <c r="AJC352" s="50"/>
      <c r="AJD352" s="50"/>
      <c r="AJE352" s="50"/>
      <c r="AJF352" s="50"/>
      <c r="AJG352" s="50"/>
      <c r="AJH352" s="50"/>
      <c r="AJI352" s="50"/>
      <c r="AJJ352" s="50"/>
      <c r="AJK352" s="50"/>
      <c r="AJL352" s="50"/>
      <c r="AJM352" s="50"/>
      <c r="AJN352" s="50"/>
      <c r="AJO352" s="50"/>
      <c r="AJP352" s="50"/>
      <c r="AJQ352" s="50"/>
      <c r="AJR352" s="50"/>
      <c r="AJS352" s="50"/>
      <c r="AJT352" s="50"/>
      <c r="AJU352" s="50"/>
      <c r="AJV352" s="50"/>
      <c r="AJW352" s="50"/>
      <c r="AJX352" s="50"/>
      <c r="AJY352" s="50"/>
      <c r="AJZ352" s="50"/>
      <c r="AKA352" s="50"/>
      <c r="AKB352" s="50"/>
      <c r="AKC352" s="50"/>
      <c r="AKD352" s="50"/>
      <c r="AKE352" s="50"/>
      <c r="AKF352" s="50"/>
      <c r="AKG352" s="50"/>
      <c r="AKH352" s="50"/>
      <c r="AKI352" s="50"/>
      <c r="AKJ352" s="50"/>
      <c r="AKK352" s="50"/>
      <c r="AKL352" s="50"/>
      <c r="AKM352" s="50"/>
      <c r="AKN352" s="50"/>
      <c r="AKO352" s="50"/>
      <c r="AKP352" s="50"/>
      <c r="AKQ352" s="50"/>
      <c r="AKR352" s="50"/>
      <c r="AKS352" s="50"/>
      <c r="AKT352" s="50"/>
      <c r="AKU352" s="50"/>
      <c r="AKV352" s="50"/>
      <c r="AKW352" s="50"/>
      <c r="AKX352" s="50"/>
      <c r="AKY352" s="50"/>
      <c r="AKZ352" s="50"/>
      <c r="ALA352" s="50"/>
      <c r="ALB352" s="50"/>
      <c r="ALC352" s="50"/>
      <c r="ALD352" s="50"/>
      <c r="ALE352" s="50"/>
      <c r="ALF352" s="50"/>
      <c r="ALG352" s="50"/>
      <c r="ALH352" s="50"/>
      <c r="ALI352" s="50"/>
      <c r="ALJ352" s="50"/>
      <c r="ALK352" s="50"/>
      <c r="ALL352" s="50"/>
      <c r="ALM352" s="50"/>
      <c r="ALN352" s="50"/>
      <c r="ALO352" s="50"/>
      <c r="ALP352" s="50"/>
      <c r="ALQ352" s="50"/>
      <c r="ALR352" s="50"/>
      <c r="ALS352" s="50"/>
      <c r="ALT352" s="50"/>
      <c r="ALU352" s="50"/>
      <c r="ALV352" s="50"/>
      <c r="ALW352" s="50"/>
      <c r="ALX352" s="50"/>
      <c r="ALY352" s="50"/>
      <c r="ALZ352" s="50"/>
      <c r="AMA352" s="50"/>
      <c r="AMB352" s="50"/>
      <c r="AMC352" s="50"/>
      <c r="AMD352" s="50"/>
      <c r="AME352" s="50"/>
      <c r="AMF352" s="50"/>
      <c r="AMG352" s="50"/>
      <c r="AMH352" s="50"/>
      <c r="AMI352" s="50"/>
      <c r="AMJ352" s="50"/>
      <c r="AMK352" s="50"/>
      <c r="AML352" s="50"/>
      <c r="AMM352" s="50"/>
      <c r="AMN352" s="50"/>
      <c r="AMO352" s="50"/>
      <c r="AMP352" s="50"/>
      <c r="AMQ352" s="50"/>
      <c r="AMR352" s="50"/>
      <c r="AMS352" s="50"/>
      <c r="AMT352" s="50"/>
      <c r="AMU352" s="50"/>
      <c r="AMV352" s="50"/>
      <c r="AMW352" s="50"/>
      <c r="AMX352" s="50"/>
      <c r="AMY352" s="50"/>
      <c r="AMZ352" s="50"/>
      <c r="ANA352" s="50"/>
      <c r="ANB352" s="50"/>
      <c r="ANC352" s="50"/>
      <c r="AND352" s="50"/>
      <c r="ANE352" s="50"/>
      <c r="ANF352" s="50"/>
      <c r="ANG352" s="50"/>
      <c r="ANH352" s="50"/>
      <c r="ANI352" s="50"/>
      <c r="ANJ352" s="50"/>
      <c r="ANK352" s="50"/>
      <c r="ANL352" s="50"/>
      <c r="ANM352" s="50"/>
      <c r="ANN352" s="50"/>
      <c r="ANO352" s="50"/>
      <c r="ANP352" s="50"/>
      <c r="ANQ352" s="50"/>
      <c r="ANR352" s="50"/>
      <c r="ANS352" s="50"/>
      <c r="ANT352" s="50"/>
      <c r="ANU352" s="50"/>
      <c r="ANV352" s="50"/>
      <c r="ANW352" s="50"/>
      <c r="ANX352" s="50"/>
      <c r="ANY352" s="50"/>
      <c r="ANZ352" s="50"/>
      <c r="AOA352" s="50"/>
      <c r="AOB352" s="50"/>
      <c r="AOC352" s="50"/>
      <c r="AOD352" s="50"/>
      <c r="AOE352" s="50"/>
      <c r="AOF352" s="50"/>
      <c r="AOG352" s="50"/>
      <c r="AOH352" s="50"/>
      <c r="AOI352" s="50"/>
      <c r="AOJ352" s="50"/>
      <c r="AOK352" s="50"/>
      <c r="AOL352" s="50"/>
      <c r="AOM352" s="50"/>
      <c r="AON352" s="50"/>
      <c r="AOO352" s="50"/>
      <c r="AOP352" s="50"/>
      <c r="AOQ352" s="50"/>
      <c r="AOR352" s="50"/>
      <c r="AOS352" s="50"/>
      <c r="AOT352" s="50"/>
      <c r="AOU352" s="50"/>
      <c r="AOV352" s="50"/>
      <c r="AOW352" s="50"/>
      <c r="AOX352" s="50"/>
      <c r="AOY352" s="50"/>
      <c r="AOZ352" s="50"/>
      <c r="APA352" s="50"/>
      <c r="APB352" s="50"/>
      <c r="APC352" s="50"/>
      <c r="APD352" s="50"/>
      <c r="APE352" s="50"/>
      <c r="APF352" s="50"/>
      <c r="APG352" s="50"/>
      <c r="APH352" s="50"/>
      <c r="API352" s="50"/>
      <c r="APJ352" s="50"/>
      <c r="APK352" s="50"/>
      <c r="APL352" s="50"/>
      <c r="APM352" s="50"/>
      <c r="APN352" s="50"/>
      <c r="APO352" s="50"/>
      <c r="APP352" s="50"/>
      <c r="APQ352" s="50"/>
      <c r="APR352" s="50"/>
      <c r="APS352" s="50"/>
      <c r="APT352" s="50"/>
      <c r="APU352" s="50"/>
      <c r="APV352" s="50"/>
      <c r="APW352" s="50"/>
      <c r="APX352" s="50"/>
      <c r="APY352" s="50"/>
      <c r="APZ352" s="50"/>
      <c r="AQA352" s="50"/>
      <c r="AQB352" s="50"/>
      <c r="AQC352" s="50"/>
      <c r="AQD352" s="50"/>
      <c r="AQE352" s="50"/>
      <c r="AQF352" s="50"/>
      <c r="AQG352" s="50"/>
      <c r="AQH352" s="50"/>
      <c r="AQI352" s="50"/>
      <c r="AQJ352" s="50"/>
      <c r="AQK352" s="50"/>
      <c r="AQL352" s="50"/>
      <c r="AQM352" s="50"/>
      <c r="AQN352" s="50"/>
      <c r="AQO352" s="50"/>
      <c r="AQP352" s="50"/>
      <c r="AQQ352" s="50"/>
      <c r="AQR352" s="50"/>
      <c r="AQS352" s="50"/>
      <c r="AQT352" s="50"/>
      <c r="AQU352" s="50"/>
      <c r="AQV352" s="50"/>
      <c r="AQW352" s="50"/>
      <c r="AQX352" s="50"/>
      <c r="AQY352" s="50"/>
      <c r="AQZ352" s="50"/>
      <c r="ARA352" s="50"/>
      <c r="ARB352" s="50"/>
      <c r="ARC352" s="50"/>
      <c r="ARD352" s="50"/>
      <c r="ARE352" s="50"/>
      <c r="ARF352" s="50"/>
      <c r="ARG352" s="50"/>
      <c r="ARH352" s="50"/>
      <c r="ARI352" s="50"/>
      <c r="ARJ352" s="50"/>
      <c r="ARK352" s="50"/>
      <c r="ARL352" s="50"/>
      <c r="ARM352" s="50"/>
      <c r="ARN352" s="50"/>
      <c r="ARO352" s="50"/>
      <c r="ARP352" s="50"/>
      <c r="ARQ352" s="50"/>
      <c r="ARR352" s="50"/>
      <c r="ARS352" s="50"/>
      <c r="ART352" s="50"/>
      <c r="ARU352" s="50"/>
      <c r="ARV352" s="50"/>
      <c r="ARW352" s="50"/>
      <c r="ARX352" s="50"/>
      <c r="ARY352" s="50"/>
      <c r="ARZ352" s="50"/>
      <c r="ASA352" s="50"/>
      <c r="ASB352" s="50"/>
      <c r="ASC352" s="50"/>
      <c r="ASD352" s="50"/>
      <c r="ASE352" s="50"/>
      <c r="ASF352" s="50"/>
      <c r="ASG352" s="50"/>
      <c r="ASH352" s="50"/>
      <c r="ASI352" s="50"/>
      <c r="ASJ352" s="50"/>
      <c r="ASK352" s="50"/>
      <c r="ASL352" s="50"/>
      <c r="ASM352" s="50"/>
      <c r="ASN352" s="50"/>
      <c r="ASO352" s="50"/>
      <c r="ASP352" s="50"/>
      <c r="ASQ352" s="50"/>
      <c r="ASR352" s="50"/>
      <c r="ASS352" s="50"/>
      <c r="AST352" s="50"/>
      <c r="ASU352" s="50"/>
      <c r="ASV352" s="50"/>
      <c r="ASW352" s="50"/>
      <c r="ASX352" s="50"/>
      <c r="ASY352" s="50"/>
      <c r="ASZ352" s="50"/>
      <c r="ATA352" s="50"/>
      <c r="ATB352" s="50"/>
      <c r="ATC352" s="50"/>
      <c r="ATD352" s="50"/>
      <c r="ATE352" s="50"/>
      <c r="ATF352" s="50"/>
      <c r="ATG352" s="50"/>
      <c r="ATH352" s="50"/>
      <c r="ATI352" s="50"/>
      <c r="ATJ352" s="50"/>
      <c r="ATK352" s="50"/>
      <c r="ATL352" s="50"/>
      <c r="ATM352" s="50"/>
      <c r="ATN352" s="50"/>
      <c r="ATO352" s="50"/>
      <c r="ATP352" s="50"/>
      <c r="ATQ352" s="50"/>
      <c r="ATR352" s="50"/>
      <c r="ATS352" s="50"/>
      <c r="ATT352" s="50"/>
      <c r="ATU352" s="50"/>
      <c r="ATV352" s="50"/>
      <c r="ATW352" s="50"/>
      <c r="ATX352" s="50"/>
      <c r="ATY352" s="50"/>
      <c r="ATZ352" s="50"/>
      <c r="AUA352" s="50"/>
      <c r="AUB352" s="50"/>
      <c r="AUC352" s="50"/>
      <c r="AUD352" s="50"/>
      <c r="AUE352" s="50"/>
      <c r="AUF352" s="50"/>
      <c r="AUG352" s="50"/>
      <c r="AUH352" s="50"/>
      <c r="AUI352" s="50"/>
      <c r="AUJ352" s="50"/>
      <c r="AUK352" s="50"/>
      <c r="AUL352" s="50"/>
      <c r="AUM352" s="50"/>
      <c r="AUN352" s="50"/>
      <c r="AUO352" s="50"/>
      <c r="AUP352" s="50"/>
      <c r="AUQ352" s="50"/>
      <c r="AUR352" s="50"/>
      <c r="AUS352" s="50"/>
      <c r="AUT352" s="50"/>
      <c r="AUU352" s="50"/>
      <c r="AUV352" s="50"/>
      <c r="AUW352" s="50"/>
      <c r="AUX352" s="50"/>
      <c r="AUY352" s="50"/>
      <c r="AUZ352" s="50"/>
      <c r="AVA352" s="50"/>
      <c r="AVB352" s="50"/>
      <c r="AVC352" s="50"/>
      <c r="AVD352" s="50"/>
      <c r="AVE352" s="50"/>
      <c r="AVF352" s="50"/>
      <c r="AVG352" s="50"/>
      <c r="AVH352" s="50"/>
      <c r="AVI352" s="50"/>
      <c r="AVJ352" s="50"/>
      <c r="AVK352" s="50"/>
      <c r="AVL352" s="50"/>
      <c r="AVM352" s="50"/>
      <c r="AVN352" s="50"/>
      <c r="AVO352" s="50"/>
      <c r="AVP352" s="50"/>
      <c r="AVQ352" s="50"/>
      <c r="AVR352" s="50"/>
      <c r="AVS352" s="50"/>
      <c r="AVT352" s="50"/>
      <c r="AVU352" s="50"/>
      <c r="AVV352" s="50"/>
      <c r="AVW352" s="50"/>
      <c r="AVX352" s="50"/>
      <c r="AVY352" s="50"/>
      <c r="AVZ352" s="50"/>
      <c r="AWA352" s="50"/>
      <c r="AWB352" s="50"/>
      <c r="AWC352" s="50"/>
      <c r="AWD352" s="50"/>
      <c r="AWE352" s="50"/>
      <c r="AWF352" s="50"/>
      <c r="AWG352" s="50"/>
      <c r="AWH352" s="50"/>
      <c r="AWI352" s="50"/>
      <c r="AWJ352" s="50"/>
      <c r="AWK352" s="50"/>
      <c r="AWL352" s="50"/>
      <c r="AWM352" s="50"/>
      <c r="AWN352" s="50"/>
      <c r="AWO352" s="50"/>
      <c r="AWP352" s="50"/>
      <c r="AWQ352" s="50"/>
      <c r="AWR352" s="50"/>
      <c r="AWS352" s="50"/>
      <c r="AWT352" s="50"/>
      <c r="AWU352" s="50"/>
      <c r="AWV352" s="50"/>
      <c r="AWW352" s="50"/>
      <c r="AWX352" s="50"/>
      <c r="AWY352" s="50"/>
      <c r="AWZ352" s="50"/>
      <c r="AXA352" s="50"/>
      <c r="AXB352" s="50"/>
      <c r="AXC352" s="50"/>
      <c r="AXD352" s="50"/>
      <c r="AXE352" s="50"/>
      <c r="AXF352" s="50"/>
      <c r="AXG352" s="50"/>
      <c r="AXH352" s="50"/>
      <c r="AXI352" s="50"/>
      <c r="AXJ352" s="50"/>
      <c r="AXK352" s="50"/>
      <c r="AXL352" s="50"/>
      <c r="AXM352" s="50"/>
      <c r="AXN352" s="50"/>
      <c r="AXO352" s="50"/>
      <c r="AXP352" s="50"/>
      <c r="AXQ352" s="50"/>
      <c r="AXR352" s="50"/>
      <c r="AXS352" s="50"/>
      <c r="AXT352" s="50"/>
      <c r="AXU352" s="50"/>
      <c r="AXV352" s="50"/>
      <c r="AXW352" s="50"/>
      <c r="AXX352" s="50"/>
      <c r="AXY352" s="50"/>
      <c r="AXZ352" s="50"/>
      <c r="AYA352" s="50"/>
      <c r="AYB352" s="50"/>
      <c r="AYC352" s="50"/>
      <c r="AYD352" s="50"/>
      <c r="AYE352" s="50"/>
      <c r="AYF352" s="50"/>
      <c r="AYG352" s="50"/>
      <c r="AYH352" s="50"/>
      <c r="AYI352" s="50"/>
      <c r="AYJ352" s="50"/>
      <c r="AYK352" s="50"/>
      <c r="AYL352" s="50"/>
      <c r="AYM352" s="50"/>
      <c r="AYN352" s="50"/>
      <c r="AYO352" s="50"/>
      <c r="AYP352" s="50"/>
      <c r="AYQ352" s="50"/>
      <c r="AYR352" s="50"/>
      <c r="AYS352" s="50"/>
      <c r="AYT352" s="50"/>
      <c r="AYU352" s="50"/>
      <c r="AYV352" s="50"/>
      <c r="AYW352" s="50"/>
      <c r="AYX352" s="50"/>
      <c r="AYY352" s="50"/>
      <c r="AYZ352" s="50"/>
      <c r="AZA352" s="50"/>
      <c r="AZB352" s="50"/>
      <c r="AZC352" s="50"/>
      <c r="AZD352" s="50"/>
      <c r="AZE352" s="50"/>
      <c r="AZF352" s="50"/>
      <c r="AZG352" s="50"/>
      <c r="AZH352" s="50"/>
      <c r="AZI352" s="50"/>
      <c r="AZJ352" s="50"/>
      <c r="AZK352" s="50"/>
      <c r="AZL352" s="50"/>
      <c r="AZM352" s="50"/>
      <c r="AZN352" s="50"/>
      <c r="AZO352" s="50"/>
      <c r="AZP352" s="50"/>
      <c r="AZQ352" s="50"/>
      <c r="AZR352" s="50"/>
      <c r="AZS352" s="50"/>
      <c r="AZT352" s="50"/>
      <c r="AZU352" s="50"/>
      <c r="AZV352" s="50"/>
      <c r="AZW352" s="50"/>
      <c r="AZX352" s="50"/>
      <c r="AZY352" s="50"/>
      <c r="AZZ352" s="50"/>
      <c r="BAA352" s="50"/>
      <c r="BAB352" s="50"/>
      <c r="BAC352" s="50"/>
      <c r="BAD352" s="50"/>
      <c r="BAE352" s="50"/>
      <c r="BAF352" s="50"/>
      <c r="BAG352" s="50"/>
      <c r="BAH352" s="50"/>
      <c r="BAI352" s="50"/>
      <c r="BAJ352" s="50"/>
      <c r="BAK352" s="50"/>
      <c r="BAL352" s="50"/>
      <c r="BAM352" s="50"/>
      <c r="BAN352" s="50"/>
      <c r="BAO352" s="50"/>
      <c r="BAP352" s="50"/>
      <c r="BAQ352" s="50"/>
      <c r="BAR352" s="50"/>
      <c r="BAS352" s="50"/>
      <c r="BAT352" s="50"/>
      <c r="BAU352" s="50"/>
      <c r="BAV352" s="50"/>
      <c r="BAW352" s="50"/>
      <c r="BAX352" s="50"/>
      <c r="BAY352" s="50"/>
      <c r="BAZ352" s="50"/>
      <c r="BBA352" s="50"/>
      <c r="BBB352" s="50"/>
      <c r="BBC352" s="50"/>
      <c r="BBD352" s="50"/>
      <c r="BBE352" s="50"/>
      <c r="BBF352" s="50"/>
      <c r="BBG352" s="50"/>
      <c r="BBH352" s="50"/>
      <c r="BBI352" s="50"/>
      <c r="BBJ352" s="50"/>
      <c r="BBK352" s="50"/>
      <c r="BBL352" s="50"/>
      <c r="BBM352" s="50"/>
      <c r="BBN352" s="50"/>
      <c r="BBO352" s="50"/>
      <c r="BBP352" s="50"/>
      <c r="BBQ352" s="50"/>
      <c r="BBR352" s="50"/>
      <c r="BBS352" s="50"/>
      <c r="BBT352" s="50"/>
      <c r="BBU352" s="50"/>
      <c r="BBV352" s="50"/>
      <c r="BBW352" s="50"/>
      <c r="BBX352" s="50"/>
      <c r="BBY352" s="50"/>
      <c r="BBZ352" s="50"/>
      <c r="BCA352" s="50"/>
      <c r="BCB352" s="50"/>
      <c r="BCC352" s="50"/>
      <c r="BCD352" s="50"/>
      <c r="BCE352" s="50"/>
      <c r="BCF352" s="50"/>
      <c r="BCG352" s="50"/>
      <c r="BCH352" s="50"/>
      <c r="BCI352" s="50"/>
      <c r="BCJ352" s="50"/>
      <c r="BCK352" s="50"/>
      <c r="BCL352" s="50"/>
      <c r="BCM352" s="50"/>
      <c r="BCN352" s="50"/>
      <c r="BCO352" s="50"/>
      <c r="BCP352" s="50"/>
      <c r="BCQ352" s="50"/>
      <c r="BCR352" s="50"/>
      <c r="BCS352" s="50"/>
      <c r="BCT352" s="50"/>
      <c r="BCU352" s="50"/>
      <c r="BCV352" s="50"/>
      <c r="BCW352" s="50"/>
      <c r="BCX352" s="50"/>
      <c r="BCY352" s="50"/>
      <c r="BCZ352" s="50"/>
      <c r="BDA352" s="50"/>
      <c r="BDB352" s="50"/>
      <c r="BDC352" s="50"/>
      <c r="BDD352" s="50"/>
      <c r="BDE352" s="50"/>
      <c r="BDF352" s="50"/>
      <c r="BDG352" s="50"/>
      <c r="BDH352" s="50"/>
      <c r="BDI352" s="50"/>
      <c r="BDJ352" s="50"/>
      <c r="BDK352" s="50"/>
      <c r="BDL352" s="50"/>
      <c r="BDM352" s="50"/>
      <c r="BDN352" s="50"/>
      <c r="BDO352" s="50"/>
      <c r="BDP352" s="50"/>
      <c r="BDQ352" s="50"/>
      <c r="BDR352" s="50"/>
      <c r="BDS352" s="50"/>
      <c r="BDT352" s="50"/>
      <c r="BDU352" s="50"/>
      <c r="BDV352" s="50"/>
      <c r="BDW352" s="50"/>
      <c r="BDX352" s="50"/>
      <c r="BDY352" s="50"/>
      <c r="BDZ352" s="50"/>
      <c r="BEA352" s="50"/>
      <c r="BEB352" s="50"/>
      <c r="BEC352" s="50"/>
      <c r="BED352" s="50"/>
      <c r="BEE352" s="50"/>
      <c r="BEF352" s="50"/>
      <c r="BEG352" s="50"/>
      <c r="BEH352" s="50"/>
      <c r="BEI352" s="50"/>
      <c r="BEJ352" s="50"/>
      <c r="BEK352" s="50"/>
      <c r="BEL352" s="50"/>
      <c r="BEM352" s="50"/>
      <c r="BEN352" s="50"/>
      <c r="BEO352" s="50"/>
      <c r="BEP352" s="50"/>
      <c r="BEQ352" s="50"/>
      <c r="BER352" s="50"/>
      <c r="BES352" s="50"/>
      <c r="BET352" s="50"/>
      <c r="BEU352" s="50"/>
      <c r="BEV352" s="50"/>
      <c r="BEW352" s="50"/>
      <c r="BEX352" s="50"/>
      <c r="BEY352" s="50"/>
      <c r="BEZ352" s="50"/>
      <c r="BFA352" s="50"/>
      <c r="BFB352" s="50"/>
      <c r="BFC352" s="50"/>
      <c r="BFD352" s="50"/>
      <c r="BFE352" s="50"/>
      <c r="BFF352" s="50"/>
      <c r="BFG352" s="50"/>
      <c r="BFH352" s="50"/>
      <c r="BFI352" s="50"/>
      <c r="BFJ352" s="50"/>
      <c r="BFK352" s="50"/>
      <c r="BFL352" s="50"/>
      <c r="BFM352" s="50"/>
      <c r="BFN352" s="50"/>
      <c r="BFO352" s="50"/>
      <c r="BFP352" s="50"/>
      <c r="BFQ352" s="50"/>
      <c r="BFR352" s="50"/>
      <c r="BFS352" s="50"/>
      <c r="BFT352" s="50"/>
      <c r="BFU352" s="50"/>
      <c r="BFV352" s="50"/>
      <c r="BFW352" s="50"/>
      <c r="BFX352" s="50"/>
      <c r="BFY352" s="50"/>
      <c r="BFZ352" s="50"/>
      <c r="BGA352" s="50"/>
      <c r="BGB352" s="50"/>
      <c r="BGC352" s="50"/>
      <c r="BGD352" s="50"/>
      <c r="BGE352" s="50"/>
      <c r="BGF352" s="50"/>
      <c r="BGG352" s="50"/>
      <c r="BGH352" s="50"/>
      <c r="BGI352" s="50"/>
      <c r="BGJ352" s="50"/>
      <c r="BGK352" s="50"/>
      <c r="BGL352" s="50"/>
      <c r="BGM352" s="50"/>
      <c r="BGN352" s="50"/>
      <c r="BGO352" s="50"/>
      <c r="BGP352" s="50"/>
      <c r="BGQ352" s="50"/>
      <c r="BGR352" s="50"/>
      <c r="BGS352" s="50"/>
      <c r="BGT352" s="50"/>
      <c r="BGU352" s="50"/>
      <c r="BGV352" s="50"/>
      <c r="BGW352" s="50"/>
      <c r="BGX352" s="50"/>
      <c r="BGY352" s="50"/>
      <c r="BGZ352" s="50"/>
      <c r="BHA352" s="50"/>
      <c r="BHB352" s="50"/>
      <c r="BHC352" s="50"/>
      <c r="BHD352" s="50"/>
      <c r="BHE352" s="50"/>
      <c r="BHF352" s="50"/>
      <c r="BHG352" s="50"/>
      <c r="BHH352" s="50"/>
      <c r="BHI352" s="50"/>
      <c r="BHJ352" s="50"/>
      <c r="BHK352" s="50"/>
      <c r="BHL352" s="50"/>
      <c r="BHM352" s="50"/>
      <c r="BHN352" s="50"/>
      <c r="BHO352" s="50"/>
      <c r="BHP352" s="50"/>
      <c r="BHQ352" s="50"/>
      <c r="BHR352" s="50"/>
      <c r="BHS352" s="50"/>
      <c r="BHT352" s="50"/>
      <c r="BHU352" s="50"/>
      <c r="BHV352" s="50"/>
      <c r="BHW352" s="50"/>
      <c r="BHX352" s="50"/>
      <c r="BHY352" s="50"/>
      <c r="BHZ352" s="50"/>
      <c r="BIA352" s="50"/>
      <c r="BIB352" s="50"/>
      <c r="BIC352" s="50"/>
      <c r="BID352" s="50"/>
      <c r="BIE352" s="50"/>
      <c r="BIF352" s="50"/>
      <c r="BIG352" s="50"/>
      <c r="BIH352" s="50"/>
      <c r="BII352" s="50"/>
      <c r="BIJ352" s="50"/>
      <c r="BIK352" s="50"/>
      <c r="BIL352" s="50"/>
      <c r="BIM352" s="50"/>
      <c r="BIN352" s="50"/>
      <c r="BIO352" s="50"/>
      <c r="BIP352" s="50"/>
      <c r="BIQ352" s="50"/>
      <c r="BIR352" s="50"/>
      <c r="BIS352" s="50"/>
      <c r="BIT352" s="50"/>
      <c r="BIU352" s="50"/>
      <c r="BIV352" s="50"/>
      <c r="BIW352" s="50"/>
      <c r="BIX352" s="50"/>
      <c r="BIY352" s="50"/>
      <c r="BIZ352" s="50"/>
      <c r="BJA352" s="50"/>
      <c r="BJB352" s="50"/>
      <c r="BJC352" s="50"/>
      <c r="BJD352" s="50"/>
      <c r="BJE352" s="50"/>
      <c r="BJF352" s="50"/>
      <c r="BJG352" s="50"/>
      <c r="BJH352" s="50"/>
      <c r="BJI352" s="50"/>
      <c r="BJJ352" s="50"/>
      <c r="BJK352" s="50"/>
      <c r="BJL352" s="50"/>
      <c r="BJM352" s="50"/>
      <c r="BJN352" s="50"/>
      <c r="BJO352" s="50"/>
      <c r="BJP352" s="50"/>
      <c r="BJQ352" s="50"/>
      <c r="BJR352" s="50"/>
      <c r="BJS352" s="50"/>
      <c r="BJT352" s="50"/>
      <c r="BJU352" s="50"/>
      <c r="BJV352" s="50"/>
      <c r="BJW352" s="50"/>
      <c r="BJX352" s="50"/>
      <c r="BJY352" s="50"/>
      <c r="BJZ352" s="50"/>
      <c r="BKA352" s="50"/>
      <c r="BKB352" s="50"/>
      <c r="BKC352" s="50"/>
      <c r="BKD352" s="50"/>
      <c r="BKE352" s="50"/>
      <c r="BKF352" s="50"/>
      <c r="BKG352" s="50"/>
      <c r="BKH352" s="50"/>
      <c r="BKI352" s="50"/>
      <c r="BKJ352" s="50"/>
      <c r="BKK352" s="50"/>
      <c r="BKL352" s="50"/>
      <c r="BKM352" s="50"/>
      <c r="BKN352" s="50"/>
      <c r="BKO352" s="50"/>
      <c r="BKP352" s="50"/>
      <c r="BKQ352" s="50"/>
      <c r="BKR352" s="50"/>
      <c r="BKS352" s="50"/>
      <c r="BKT352" s="50"/>
      <c r="BKU352" s="50"/>
      <c r="BKV352" s="50"/>
      <c r="BKW352" s="50"/>
      <c r="BKX352" s="50"/>
      <c r="BKY352" s="50"/>
      <c r="BKZ352" s="50"/>
      <c r="BLA352" s="50"/>
      <c r="BLB352" s="50"/>
      <c r="BLC352" s="50"/>
      <c r="BLD352" s="50"/>
      <c r="BLE352" s="50"/>
      <c r="BLF352" s="50"/>
      <c r="BLG352" s="50"/>
      <c r="BLH352" s="50"/>
      <c r="BLI352" s="50"/>
      <c r="BLJ352" s="50"/>
      <c r="BLK352" s="50"/>
      <c r="BLL352" s="50"/>
      <c r="BLM352" s="50"/>
      <c r="BLN352" s="50"/>
      <c r="BLO352" s="50"/>
      <c r="BLP352" s="50"/>
      <c r="BLQ352" s="50"/>
      <c r="BLR352" s="50"/>
      <c r="BLS352" s="50"/>
      <c r="BLT352" s="50"/>
      <c r="BLU352" s="50"/>
      <c r="BLV352" s="50"/>
      <c r="BLW352" s="50"/>
      <c r="BLX352" s="50"/>
      <c r="BLY352" s="50"/>
      <c r="BLZ352" s="50"/>
      <c r="BMA352" s="50"/>
      <c r="BMB352" s="50"/>
      <c r="BMC352" s="50"/>
      <c r="BMD352" s="50"/>
      <c r="BME352" s="50"/>
      <c r="BMF352" s="50"/>
      <c r="BMG352" s="50"/>
      <c r="BMH352" s="50"/>
      <c r="BMI352" s="50"/>
      <c r="BMJ352" s="50"/>
      <c r="BMK352" s="50"/>
      <c r="BML352" s="50"/>
      <c r="BMM352" s="50"/>
      <c r="BMN352" s="50"/>
      <c r="BMO352" s="50"/>
      <c r="BMP352" s="50"/>
      <c r="BMQ352" s="50"/>
      <c r="BMR352" s="50"/>
      <c r="BMS352" s="50"/>
      <c r="BMT352" s="50"/>
      <c r="BMU352" s="50"/>
      <c r="BMV352" s="50"/>
      <c r="BMW352" s="50"/>
      <c r="BMX352" s="50"/>
      <c r="BMY352" s="50"/>
      <c r="BMZ352" s="50"/>
      <c r="BNA352" s="50"/>
      <c r="BNB352" s="50"/>
      <c r="BNC352" s="50"/>
      <c r="BND352" s="50"/>
      <c r="BNE352" s="50"/>
      <c r="BNF352" s="50"/>
      <c r="BNG352" s="50"/>
      <c r="BNH352" s="50"/>
      <c r="BNI352" s="50"/>
      <c r="BNJ352" s="50"/>
      <c r="BNK352" s="50"/>
      <c r="BNL352" s="50"/>
      <c r="BNM352" s="50"/>
      <c r="BNN352" s="50"/>
      <c r="BNO352" s="50"/>
      <c r="BNP352" s="50"/>
      <c r="BNQ352" s="50"/>
      <c r="BNR352" s="50"/>
      <c r="BNS352" s="50"/>
      <c r="BNT352" s="50"/>
      <c r="BNU352" s="50"/>
      <c r="BNV352" s="50"/>
      <c r="BNW352" s="50"/>
      <c r="BNX352" s="50"/>
      <c r="BNY352" s="50"/>
      <c r="BNZ352" s="50"/>
      <c r="BOA352" s="50"/>
      <c r="BOB352" s="50"/>
      <c r="BOC352" s="50"/>
      <c r="BOD352" s="50"/>
      <c r="BOE352" s="50"/>
      <c r="BOF352" s="50"/>
      <c r="BOG352" s="50"/>
      <c r="BOH352" s="50"/>
      <c r="BOI352" s="50"/>
      <c r="BOJ352" s="50"/>
      <c r="BOK352" s="50"/>
      <c r="BOL352" s="50"/>
      <c r="BOM352" s="50"/>
      <c r="BON352" s="50"/>
      <c r="BOO352" s="50"/>
      <c r="BOP352" s="50"/>
      <c r="BOQ352" s="50"/>
      <c r="BOR352" s="50"/>
      <c r="BOS352" s="50"/>
      <c r="BOT352" s="50"/>
      <c r="BOU352" s="50"/>
      <c r="BOV352" s="50"/>
      <c r="BOW352" s="50"/>
      <c r="BOX352" s="50"/>
      <c r="BOY352" s="50"/>
      <c r="BOZ352" s="50"/>
      <c r="BPA352" s="50"/>
      <c r="BPB352" s="50"/>
      <c r="BPC352" s="50"/>
      <c r="BPD352" s="50"/>
      <c r="BPE352" s="50"/>
      <c r="BPF352" s="50"/>
      <c r="BPG352" s="50"/>
      <c r="BPH352" s="50"/>
      <c r="BPI352" s="50"/>
      <c r="BPJ352" s="50"/>
      <c r="BPK352" s="50"/>
      <c r="BPL352" s="50"/>
      <c r="BPM352" s="50"/>
      <c r="BPN352" s="50"/>
      <c r="BPO352" s="50"/>
      <c r="BPP352" s="50"/>
      <c r="BPQ352" s="50"/>
      <c r="BPR352" s="50"/>
      <c r="BPS352" s="50"/>
      <c r="BPT352" s="50"/>
      <c r="BPU352" s="50"/>
      <c r="BPV352" s="50"/>
      <c r="BPW352" s="50"/>
      <c r="BPX352" s="50"/>
      <c r="BPY352" s="50"/>
      <c r="BPZ352" s="50"/>
      <c r="BQA352" s="50"/>
      <c r="BQB352" s="50"/>
      <c r="BQC352" s="50"/>
      <c r="BQD352" s="50"/>
      <c r="BQE352" s="50"/>
      <c r="BQF352" s="50"/>
      <c r="BQG352" s="50"/>
      <c r="BQH352" s="50"/>
      <c r="BQI352" s="50"/>
      <c r="BQJ352" s="50"/>
      <c r="BQK352" s="50"/>
      <c r="BQL352" s="50"/>
      <c r="BQM352" s="50"/>
      <c r="BQN352" s="50"/>
      <c r="BQO352" s="50"/>
      <c r="BQP352" s="50"/>
      <c r="BQQ352" s="50"/>
      <c r="BQR352" s="50"/>
      <c r="BQS352" s="50"/>
      <c r="BQT352" s="50"/>
      <c r="BQU352" s="50"/>
      <c r="BQV352" s="50"/>
      <c r="BQW352" s="50"/>
      <c r="BQX352" s="50"/>
      <c r="BQY352" s="50"/>
      <c r="BQZ352" s="50"/>
      <c r="BRA352" s="50"/>
      <c r="BRB352" s="50"/>
      <c r="BRC352" s="50"/>
      <c r="BRD352" s="50"/>
      <c r="BRE352" s="50"/>
      <c r="BRF352" s="50"/>
      <c r="BRG352" s="50"/>
      <c r="BRH352" s="50"/>
      <c r="BRI352" s="50"/>
      <c r="BRJ352" s="50"/>
      <c r="BRK352" s="50"/>
      <c r="BRL352" s="50"/>
      <c r="BRM352" s="50"/>
      <c r="BRN352" s="50"/>
      <c r="BRO352" s="50"/>
      <c r="BRP352" s="50"/>
      <c r="BRQ352" s="50"/>
      <c r="BRR352" s="50"/>
      <c r="BRS352" s="50"/>
      <c r="BRT352" s="50"/>
      <c r="BRU352" s="50"/>
      <c r="BRV352" s="50"/>
      <c r="BRW352" s="50"/>
      <c r="BRX352" s="50"/>
      <c r="BRY352" s="50"/>
      <c r="BRZ352" s="50"/>
      <c r="BSA352" s="50"/>
      <c r="BSB352" s="50"/>
      <c r="BSC352" s="50"/>
      <c r="BSD352" s="50"/>
      <c r="BSE352" s="50"/>
      <c r="BSF352" s="50"/>
      <c r="BSG352" s="50"/>
      <c r="BSH352" s="50"/>
      <c r="BSI352" s="50"/>
      <c r="BSJ352" s="50"/>
      <c r="BSK352" s="50"/>
      <c r="BSL352" s="50"/>
      <c r="BSM352" s="50"/>
      <c r="BSN352" s="50"/>
      <c r="BSO352" s="50"/>
      <c r="BSP352" s="50"/>
      <c r="BSQ352" s="50"/>
      <c r="BSR352" s="50"/>
      <c r="BSS352" s="50"/>
      <c r="BST352" s="50"/>
      <c r="BSU352" s="50"/>
      <c r="BSV352" s="50"/>
      <c r="BSW352" s="50"/>
      <c r="BSX352" s="50"/>
      <c r="BSY352" s="50"/>
      <c r="BSZ352" s="50"/>
      <c r="BTA352" s="50"/>
      <c r="BTB352" s="50"/>
      <c r="BTC352" s="50"/>
      <c r="BTD352" s="50"/>
      <c r="BTE352" s="50"/>
      <c r="BTF352" s="50"/>
      <c r="BTG352" s="50"/>
      <c r="BTH352" s="50"/>
      <c r="BTI352" s="50"/>
      <c r="BTJ352" s="50"/>
      <c r="BTK352" s="50"/>
      <c r="BTL352" s="50"/>
      <c r="BTM352" s="50"/>
      <c r="BTN352" s="50"/>
      <c r="BTO352" s="50"/>
      <c r="BTP352" s="50"/>
      <c r="BTQ352" s="50"/>
      <c r="BTR352" s="50"/>
      <c r="BTS352" s="50"/>
      <c r="BTT352" s="50"/>
      <c r="BTU352" s="50"/>
      <c r="BTV352" s="50"/>
      <c r="BTW352" s="50"/>
      <c r="BTX352" s="50"/>
      <c r="BTY352" s="50"/>
      <c r="BTZ352" s="50"/>
      <c r="BUA352" s="50"/>
      <c r="BUB352" s="50"/>
      <c r="BUC352" s="50"/>
      <c r="BUD352" s="50"/>
      <c r="BUE352" s="50"/>
      <c r="BUF352" s="50"/>
      <c r="BUG352" s="50"/>
      <c r="BUH352" s="50"/>
      <c r="BUI352" s="50"/>
      <c r="BUJ352" s="50"/>
      <c r="BUK352" s="50"/>
      <c r="BUL352" s="50"/>
      <c r="BUM352" s="50"/>
      <c r="BUN352" s="50"/>
      <c r="BUO352" s="50"/>
      <c r="BUP352" s="50"/>
      <c r="BUQ352" s="50"/>
      <c r="BUR352" s="50"/>
      <c r="BUS352" s="50"/>
      <c r="BUT352" s="50"/>
      <c r="BUU352" s="50"/>
      <c r="BUV352" s="50"/>
      <c r="BUW352" s="50"/>
      <c r="BUX352" s="50"/>
      <c r="BUY352" s="50"/>
      <c r="BUZ352" s="50"/>
      <c r="BVA352" s="50"/>
      <c r="BVB352" s="50"/>
      <c r="BVC352" s="50"/>
      <c r="BVD352" s="50"/>
      <c r="BVE352" s="50"/>
      <c r="BVF352" s="50"/>
      <c r="BVG352" s="50"/>
      <c r="BVH352" s="50"/>
      <c r="BVI352" s="50"/>
      <c r="BVJ352" s="50"/>
      <c r="BVK352" s="50"/>
      <c r="BVL352" s="50"/>
      <c r="BVM352" s="50"/>
      <c r="BVN352" s="50"/>
      <c r="BVO352" s="50"/>
      <c r="BVP352" s="50"/>
      <c r="BVQ352" s="50"/>
      <c r="BVR352" s="50"/>
      <c r="BVS352" s="50"/>
      <c r="BVT352" s="50"/>
      <c r="BVU352" s="50"/>
      <c r="BVV352" s="50"/>
      <c r="BVW352" s="50"/>
      <c r="BVX352" s="50"/>
      <c r="BVY352" s="50"/>
      <c r="BVZ352" s="50"/>
      <c r="BWA352" s="50"/>
      <c r="BWB352" s="50"/>
      <c r="BWC352" s="50"/>
      <c r="BWD352" s="50"/>
      <c r="BWE352" s="50"/>
      <c r="BWF352" s="50"/>
      <c r="BWG352" s="50"/>
      <c r="BWH352" s="50"/>
      <c r="BWI352" s="50"/>
      <c r="BWJ352" s="50"/>
      <c r="BWK352" s="50"/>
      <c r="BWL352" s="50"/>
      <c r="BWM352" s="50"/>
      <c r="BWN352" s="50"/>
      <c r="BWO352" s="50"/>
      <c r="BWP352" s="50"/>
      <c r="BWQ352" s="50"/>
      <c r="BWR352" s="50"/>
      <c r="BWS352" s="50"/>
      <c r="BWT352" s="50"/>
      <c r="BWU352" s="50"/>
      <c r="BWV352" s="50"/>
      <c r="BWW352" s="50"/>
      <c r="BWX352" s="50"/>
      <c r="BWY352" s="50"/>
      <c r="BWZ352" s="50"/>
      <c r="BXA352" s="50"/>
      <c r="BXB352" s="50"/>
      <c r="BXC352" s="50"/>
      <c r="BXD352" s="50"/>
      <c r="BXE352" s="50"/>
      <c r="BXF352" s="50"/>
      <c r="BXG352" s="50"/>
      <c r="BXH352" s="50"/>
      <c r="BXI352" s="50"/>
      <c r="BXJ352" s="50"/>
      <c r="BXK352" s="50"/>
      <c r="BXL352" s="50"/>
      <c r="BXM352" s="50"/>
      <c r="BXN352" s="50"/>
      <c r="BXO352" s="50"/>
      <c r="BXP352" s="50"/>
      <c r="BXQ352" s="50"/>
      <c r="BXR352" s="50"/>
      <c r="BXS352" s="50"/>
      <c r="BXT352" s="50"/>
      <c r="BXU352" s="50"/>
      <c r="BXV352" s="50"/>
      <c r="BXW352" s="50"/>
      <c r="BXX352" s="50"/>
      <c r="BXY352" s="50"/>
      <c r="BXZ352" s="50"/>
      <c r="BYA352" s="50"/>
      <c r="BYB352" s="50"/>
      <c r="BYC352" s="50"/>
      <c r="BYD352" s="50"/>
      <c r="BYE352" s="50"/>
      <c r="BYF352" s="50"/>
      <c r="BYG352" s="50"/>
      <c r="BYH352" s="50"/>
      <c r="BYI352" s="50"/>
      <c r="BYJ352" s="50"/>
      <c r="BYK352" s="50"/>
      <c r="BYL352" s="50"/>
      <c r="BYM352" s="50"/>
      <c r="BYN352" s="50"/>
      <c r="BYO352" s="50"/>
      <c r="BYP352" s="50"/>
      <c r="BYQ352" s="50"/>
      <c r="BYR352" s="50"/>
      <c r="BYS352" s="50"/>
      <c r="BYT352" s="50"/>
      <c r="BYU352" s="50"/>
      <c r="BYV352" s="50"/>
      <c r="BYW352" s="50"/>
      <c r="BYX352" s="50"/>
      <c r="BYY352" s="50"/>
      <c r="BYZ352" s="50"/>
      <c r="BZA352" s="50"/>
      <c r="BZB352" s="50"/>
      <c r="BZC352" s="50"/>
      <c r="BZD352" s="50"/>
      <c r="BZE352" s="50"/>
      <c r="BZF352" s="50"/>
      <c r="BZG352" s="50"/>
      <c r="BZH352" s="50"/>
      <c r="BZI352" s="50"/>
      <c r="BZJ352" s="50"/>
      <c r="BZK352" s="50"/>
      <c r="BZL352" s="50"/>
      <c r="BZM352" s="50"/>
      <c r="BZN352" s="50"/>
      <c r="BZO352" s="50"/>
      <c r="BZP352" s="50"/>
      <c r="BZQ352" s="50"/>
      <c r="BZR352" s="50"/>
      <c r="BZS352" s="50"/>
      <c r="BZT352" s="50"/>
      <c r="BZU352" s="50"/>
      <c r="BZV352" s="50"/>
      <c r="BZW352" s="50"/>
      <c r="BZX352" s="50"/>
      <c r="BZY352" s="50"/>
      <c r="BZZ352" s="50"/>
      <c r="CAA352" s="50"/>
      <c r="CAB352" s="50"/>
      <c r="CAC352" s="50"/>
      <c r="CAD352" s="50"/>
      <c r="CAE352" s="50"/>
      <c r="CAF352" s="50"/>
      <c r="CAG352" s="50"/>
      <c r="CAH352" s="50"/>
      <c r="CAI352" s="50"/>
      <c r="CAJ352" s="50"/>
      <c r="CAK352" s="50"/>
      <c r="CAL352" s="50"/>
      <c r="CAM352" s="50"/>
      <c r="CAN352" s="50"/>
      <c r="CAO352" s="50"/>
      <c r="CAP352" s="50"/>
      <c r="CAQ352" s="50"/>
      <c r="CAR352" s="50"/>
      <c r="CAS352" s="50"/>
      <c r="CAT352" s="50"/>
      <c r="CAU352" s="50"/>
      <c r="CAV352" s="50"/>
      <c r="CAW352" s="50"/>
      <c r="CAX352" s="50"/>
      <c r="CAY352" s="50"/>
      <c r="CAZ352" s="50"/>
      <c r="CBA352" s="50"/>
      <c r="CBB352" s="50"/>
      <c r="CBC352" s="50"/>
      <c r="CBD352" s="50"/>
      <c r="CBE352" s="50"/>
      <c r="CBF352" s="50"/>
      <c r="CBG352" s="50"/>
      <c r="CBH352" s="50"/>
      <c r="CBI352" s="50"/>
      <c r="CBJ352" s="50"/>
      <c r="CBK352" s="50"/>
      <c r="CBL352" s="50"/>
      <c r="CBM352" s="50"/>
      <c r="CBN352" s="50"/>
      <c r="CBO352" s="50"/>
      <c r="CBP352" s="50"/>
      <c r="CBQ352" s="50"/>
      <c r="CBR352" s="50"/>
      <c r="CBS352" s="50"/>
      <c r="CBT352" s="50"/>
      <c r="CBU352" s="50"/>
      <c r="CBV352" s="50"/>
      <c r="CBW352" s="50"/>
      <c r="CBX352" s="50"/>
      <c r="CBY352" s="50"/>
      <c r="CBZ352" s="50"/>
      <c r="CCA352" s="50"/>
      <c r="CCB352" s="50"/>
      <c r="CCC352" s="50"/>
      <c r="CCD352" s="50"/>
      <c r="CCE352" s="50"/>
      <c r="CCF352" s="50"/>
      <c r="CCG352" s="50"/>
      <c r="CCH352" s="50"/>
      <c r="CCI352" s="50"/>
      <c r="CCJ352" s="50"/>
      <c r="CCK352" s="50"/>
      <c r="CCL352" s="50"/>
      <c r="CCM352" s="50"/>
      <c r="CCN352" s="50"/>
      <c r="CCO352" s="50"/>
      <c r="CCP352" s="50"/>
      <c r="CCQ352" s="50"/>
      <c r="CCR352" s="50"/>
      <c r="CCS352" s="50"/>
      <c r="CCT352" s="50"/>
      <c r="CCU352" s="50"/>
      <c r="CCV352" s="50"/>
      <c r="CCW352" s="50"/>
      <c r="CCX352" s="50"/>
      <c r="CCY352" s="50"/>
      <c r="CCZ352" s="50"/>
      <c r="CDA352" s="50"/>
      <c r="CDB352" s="50"/>
      <c r="CDC352" s="50"/>
      <c r="CDD352" s="50"/>
      <c r="CDE352" s="50"/>
      <c r="CDF352" s="50"/>
      <c r="CDG352" s="50"/>
      <c r="CDH352" s="50"/>
      <c r="CDI352" s="50"/>
      <c r="CDJ352" s="50"/>
      <c r="CDK352" s="50"/>
      <c r="CDL352" s="50"/>
      <c r="CDM352" s="50"/>
      <c r="CDN352" s="50"/>
      <c r="CDO352" s="50"/>
      <c r="CDP352" s="50"/>
      <c r="CDQ352" s="50"/>
      <c r="CDR352" s="50"/>
      <c r="CDS352" s="50"/>
      <c r="CDT352" s="50"/>
      <c r="CDU352" s="50"/>
      <c r="CDV352" s="50"/>
      <c r="CDW352" s="50"/>
      <c r="CDX352" s="50"/>
      <c r="CDY352" s="50"/>
      <c r="CDZ352" s="50"/>
      <c r="CEA352" s="50"/>
      <c r="CEB352" s="50"/>
      <c r="CEC352" s="50"/>
      <c r="CED352" s="50"/>
      <c r="CEE352" s="50"/>
      <c r="CEF352" s="50"/>
      <c r="CEG352" s="50"/>
      <c r="CEH352" s="50"/>
      <c r="CEI352" s="50"/>
      <c r="CEJ352" s="50"/>
      <c r="CEK352" s="50"/>
      <c r="CEL352" s="50"/>
      <c r="CEM352" s="50"/>
      <c r="CEN352" s="50"/>
      <c r="CEO352" s="50"/>
      <c r="CEP352" s="50"/>
      <c r="CEQ352" s="50"/>
      <c r="CER352" s="50"/>
      <c r="CES352" s="50"/>
      <c r="CET352" s="50"/>
      <c r="CEU352" s="50"/>
      <c r="CEV352" s="50"/>
      <c r="CEW352" s="50"/>
      <c r="CEX352" s="50"/>
      <c r="CEY352" s="50"/>
      <c r="CEZ352" s="50"/>
      <c r="CFA352" s="50"/>
      <c r="CFB352" s="50"/>
      <c r="CFC352" s="50"/>
      <c r="CFD352" s="50"/>
      <c r="CFE352" s="50"/>
      <c r="CFF352" s="50"/>
      <c r="CFG352" s="50"/>
      <c r="CFH352" s="50"/>
      <c r="CFI352" s="50"/>
      <c r="CFJ352" s="50"/>
      <c r="CFK352" s="50"/>
      <c r="CFL352" s="50"/>
      <c r="CFM352" s="50"/>
      <c r="CFN352" s="50"/>
      <c r="CFO352" s="50"/>
      <c r="CFP352" s="50"/>
      <c r="CFQ352" s="50"/>
      <c r="CFR352" s="50"/>
      <c r="CFS352" s="50"/>
      <c r="CFT352" s="50"/>
      <c r="CFU352" s="50"/>
      <c r="CFV352" s="50"/>
      <c r="CFW352" s="50"/>
      <c r="CFX352" s="50"/>
      <c r="CFY352" s="50"/>
      <c r="CFZ352" s="50"/>
      <c r="CGA352" s="50"/>
      <c r="CGB352" s="50"/>
      <c r="CGC352" s="50"/>
      <c r="CGD352" s="50"/>
      <c r="CGE352" s="50"/>
      <c r="CGF352" s="50"/>
      <c r="CGG352" s="50"/>
      <c r="CGH352" s="50"/>
      <c r="CGI352" s="50"/>
      <c r="CGJ352" s="50"/>
      <c r="CGK352" s="50"/>
      <c r="CGL352" s="50"/>
      <c r="CGM352" s="50"/>
      <c r="CGN352" s="50"/>
      <c r="CGO352" s="50"/>
      <c r="CGP352" s="50"/>
      <c r="CGQ352" s="50"/>
      <c r="CGR352" s="50"/>
      <c r="CGS352" s="50"/>
      <c r="CGT352" s="50"/>
      <c r="CGU352" s="50"/>
      <c r="CGV352" s="50"/>
      <c r="CGW352" s="50"/>
      <c r="CGX352" s="50"/>
      <c r="CGY352" s="50"/>
      <c r="CGZ352" s="50"/>
      <c r="CHA352" s="50"/>
      <c r="CHB352" s="50"/>
      <c r="CHC352" s="50"/>
      <c r="CHD352" s="50"/>
      <c r="CHE352" s="50"/>
      <c r="CHF352" s="50"/>
      <c r="CHG352" s="50"/>
      <c r="CHH352" s="50"/>
      <c r="CHI352" s="50"/>
      <c r="CHJ352" s="50"/>
      <c r="CHK352" s="50"/>
      <c r="CHL352" s="50"/>
      <c r="CHM352" s="50"/>
      <c r="CHN352" s="50"/>
      <c r="CHO352" s="50"/>
      <c r="CHP352" s="50"/>
      <c r="CHQ352" s="50"/>
      <c r="CHR352" s="50"/>
      <c r="CHS352" s="50"/>
      <c r="CHT352" s="50"/>
      <c r="CHU352" s="50"/>
      <c r="CHV352" s="50"/>
      <c r="CHW352" s="50"/>
      <c r="CHX352" s="50"/>
      <c r="CHY352" s="50"/>
      <c r="CHZ352" s="50"/>
      <c r="CIA352" s="50"/>
      <c r="CIB352" s="50"/>
      <c r="CIC352" s="50"/>
      <c r="CID352" s="50"/>
      <c r="CIE352" s="50"/>
      <c r="CIF352" s="50"/>
      <c r="CIG352" s="50"/>
      <c r="CIH352" s="50"/>
      <c r="CII352" s="50"/>
      <c r="CIJ352" s="50"/>
      <c r="CIK352" s="50"/>
      <c r="CIL352" s="50"/>
      <c r="CIM352" s="50"/>
      <c r="CIN352" s="50"/>
      <c r="CIO352" s="50"/>
      <c r="CIP352" s="50"/>
      <c r="CIQ352" s="50"/>
      <c r="CIR352" s="50"/>
      <c r="CIS352" s="50"/>
      <c r="CIT352" s="50"/>
      <c r="CIU352" s="50"/>
      <c r="CIV352" s="50"/>
      <c r="CIW352" s="50"/>
      <c r="CIX352" s="50"/>
      <c r="CIY352" s="50"/>
      <c r="CIZ352" s="50"/>
      <c r="CJA352" s="50"/>
      <c r="CJB352" s="50"/>
      <c r="CJC352" s="50"/>
      <c r="CJD352" s="50"/>
      <c r="CJE352" s="50"/>
      <c r="CJF352" s="50"/>
      <c r="CJG352" s="50"/>
      <c r="CJH352" s="50"/>
      <c r="CJI352" s="50"/>
      <c r="CJJ352" s="50"/>
      <c r="CJK352" s="50"/>
      <c r="CJL352" s="50"/>
      <c r="CJM352" s="50"/>
      <c r="CJN352" s="50"/>
      <c r="CJO352" s="50"/>
      <c r="CJP352" s="50"/>
      <c r="CJQ352" s="50"/>
      <c r="CJR352" s="50"/>
      <c r="CJS352" s="50"/>
      <c r="CJT352" s="50"/>
      <c r="CJU352" s="50"/>
      <c r="CJV352" s="50"/>
      <c r="CJW352" s="50"/>
      <c r="CJX352" s="50"/>
      <c r="CJY352" s="50"/>
      <c r="CJZ352" s="50"/>
      <c r="CKA352" s="50"/>
      <c r="CKB352" s="50"/>
      <c r="CKC352" s="50"/>
      <c r="CKD352" s="50"/>
      <c r="CKE352" s="50"/>
      <c r="CKF352" s="50"/>
      <c r="CKG352" s="50"/>
      <c r="CKH352" s="50"/>
      <c r="CKI352" s="50"/>
      <c r="CKJ352" s="50"/>
      <c r="CKK352" s="50"/>
      <c r="CKL352" s="50"/>
      <c r="CKM352" s="50"/>
      <c r="CKN352" s="50"/>
      <c r="CKO352" s="50"/>
      <c r="CKP352" s="50"/>
      <c r="CKQ352" s="50"/>
      <c r="CKR352" s="50"/>
      <c r="CKS352" s="50"/>
      <c r="CKT352" s="50"/>
      <c r="CKU352" s="50"/>
      <c r="CKV352" s="50"/>
      <c r="CKW352" s="50"/>
      <c r="CKX352" s="50"/>
      <c r="CKY352" s="50"/>
      <c r="CKZ352" s="50"/>
      <c r="CLA352" s="50"/>
      <c r="CLB352" s="50"/>
      <c r="CLC352" s="50"/>
      <c r="CLD352" s="50"/>
      <c r="CLE352" s="50"/>
      <c r="CLF352" s="50"/>
      <c r="CLG352" s="50"/>
      <c r="CLH352" s="50"/>
      <c r="CLI352" s="50"/>
      <c r="CLJ352" s="50"/>
      <c r="CLK352" s="50"/>
      <c r="CLL352" s="50"/>
      <c r="CLM352" s="50"/>
      <c r="CLN352" s="50"/>
      <c r="CLO352" s="50"/>
      <c r="CLP352" s="50"/>
      <c r="CLQ352" s="50"/>
      <c r="CLR352" s="50"/>
      <c r="CLS352" s="50"/>
      <c r="CLT352" s="50"/>
      <c r="CLU352" s="50"/>
      <c r="CLV352" s="50"/>
      <c r="CLW352" s="50"/>
      <c r="CLX352" s="50"/>
      <c r="CLY352" s="50"/>
      <c r="CLZ352" s="50"/>
      <c r="CMA352" s="50"/>
      <c r="CMB352" s="50"/>
      <c r="CMC352" s="50"/>
      <c r="CMD352" s="50"/>
      <c r="CME352" s="50"/>
      <c r="CMF352" s="50"/>
      <c r="CMG352" s="50"/>
      <c r="CMH352" s="50"/>
      <c r="CMI352" s="50"/>
      <c r="CMJ352" s="50"/>
      <c r="CMK352" s="50"/>
      <c r="CML352" s="50"/>
      <c r="CMM352" s="50"/>
      <c r="CMN352" s="50"/>
      <c r="CMO352" s="50"/>
      <c r="CMP352" s="50"/>
      <c r="CMQ352" s="50"/>
      <c r="CMR352" s="50"/>
      <c r="CMS352" s="50"/>
      <c r="CMT352" s="50"/>
      <c r="CMU352" s="50"/>
      <c r="CMV352" s="50"/>
      <c r="CMW352" s="50"/>
      <c r="CMX352" s="50"/>
      <c r="CMY352" s="50"/>
      <c r="CMZ352" s="50"/>
      <c r="CNA352" s="50"/>
      <c r="CNB352" s="50"/>
      <c r="CNC352" s="50"/>
      <c r="CND352" s="50"/>
      <c r="CNE352" s="50"/>
      <c r="CNF352" s="50"/>
      <c r="CNG352" s="50"/>
      <c r="CNH352" s="50"/>
      <c r="CNI352" s="50"/>
      <c r="CNJ352" s="50"/>
      <c r="CNK352" s="50"/>
      <c r="CNL352" s="50"/>
      <c r="CNM352" s="50"/>
      <c r="CNN352" s="50"/>
      <c r="CNO352" s="50"/>
      <c r="CNP352" s="50"/>
      <c r="CNQ352" s="50"/>
      <c r="CNR352" s="50"/>
      <c r="CNS352" s="50"/>
      <c r="CNT352" s="50"/>
      <c r="CNU352" s="50"/>
      <c r="CNV352" s="50"/>
      <c r="CNW352" s="50"/>
      <c r="CNX352" s="50"/>
      <c r="CNY352" s="50"/>
      <c r="CNZ352" s="50"/>
      <c r="COA352" s="50"/>
      <c r="COB352" s="50"/>
      <c r="COC352" s="50"/>
      <c r="COD352" s="50"/>
      <c r="COE352" s="50"/>
      <c r="COF352" s="50"/>
      <c r="COG352" s="50"/>
      <c r="COH352" s="50"/>
      <c r="COI352" s="50"/>
      <c r="COJ352" s="50"/>
      <c r="COK352" s="50"/>
      <c r="COL352" s="50"/>
      <c r="COM352" s="50"/>
      <c r="CON352" s="50"/>
      <c r="COO352" s="50"/>
      <c r="COP352" s="50"/>
      <c r="COQ352" s="50"/>
      <c r="COR352" s="50"/>
      <c r="COS352" s="50"/>
      <c r="COT352" s="50"/>
      <c r="COU352" s="50"/>
      <c r="COV352" s="50"/>
      <c r="COW352" s="50"/>
      <c r="COX352" s="50"/>
      <c r="COY352" s="50"/>
      <c r="COZ352" s="50"/>
      <c r="CPA352" s="50"/>
      <c r="CPB352" s="50"/>
      <c r="CPC352" s="50"/>
      <c r="CPD352" s="50"/>
      <c r="CPE352" s="50"/>
      <c r="CPF352" s="50"/>
      <c r="CPG352" s="50"/>
      <c r="CPH352" s="50"/>
      <c r="CPI352" s="50"/>
      <c r="CPJ352" s="50"/>
      <c r="CPK352" s="50"/>
      <c r="CPL352" s="50"/>
      <c r="CPM352" s="50"/>
      <c r="CPN352" s="50"/>
      <c r="CPO352" s="50"/>
      <c r="CPP352" s="50"/>
      <c r="CPQ352" s="50"/>
      <c r="CPR352" s="50"/>
      <c r="CPS352" s="50"/>
      <c r="CPT352" s="50"/>
      <c r="CPU352" s="50"/>
      <c r="CPV352" s="50"/>
      <c r="CPW352" s="50"/>
      <c r="CPX352" s="50"/>
      <c r="CPY352" s="50"/>
      <c r="CPZ352" s="50"/>
      <c r="CQA352" s="50"/>
      <c r="CQB352" s="50"/>
      <c r="CQC352" s="50"/>
      <c r="CQD352" s="50"/>
      <c r="CQE352" s="50"/>
      <c r="CQF352" s="50"/>
      <c r="CQG352" s="50"/>
      <c r="CQH352" s="50"/>
      <c r="CQI352" s="50"/>
      <c r="CQJ352" s="50"/>
      <c r="CQK352" s="50"/>
      <c r="CQL352" s="50"/>
      <c r="CQM352" s="50"/>
      <c r="CQN352" s="50"/>
      <c r="CQO352" s="50"/>
      <c r="CQP352" s="50"/>
      <c r="CQQ352" s="50"/>
      <c r="CQR352" s="50"/>
      <c r="CQS352" s="50"/>
      <c r="CQT352" s="50"/>
      <c r="CQU352" s="50"/>
      <c r="CQV352" s="50"/>
      <c r="CQW352" s="50"/>
      <c r="CQX352" s="50"/>
      <c r="CQY352" s="50"/>
      <c r="CQZ352" s="50"/>
      <c r="CRA352" s="50"/>
      <c r="CRB352" s="50"/>
      <c r="CRC352" s="50"/>
      <c r="CRD352" s="50"/>
      <c r="CRE352" s="50"/>
      <c r="CRF352" s="50"/>
      <c r="CRG352" s="50"/>
      <c r="CRH352" s="50"/>
      <c r="CRI352" s="50"/>
      <c r="CRJ352" s="50"/>
      <c r="CRK352" s="50"/>
      <c r="CRL352" s="50"/>
      <c r="CRM352" s="50"/>
      <c r="CRN352" s="50"/>
      <c r="CRO352" s="50"/>
      <c r="CRP352" s="50"/>
      <c r="CRQ352" s="50"/>
      <c r="CRR352" s="50"/>
      <c r="CRS352" s="50"/>
      <c r="CRT352" s="50"/>
      <c r="CRU352" s="50"/>
      <c r="CRV352" s="50"/>
      <c r="CRW352" s="50"/>
      <c r="CRX352" s="50"/>
      <c r="CRY352" s="50"/>
      <c r="CRZ352" s="50"/>
      <c r="CSA352" s="50"/>
      <c r="CSB352" s="50"/>
      <c r="CSC352" s="50"/>
      <c r="CSD352" s="50"/>
      <c r="CSE352" s="50"/>
      <c r="CSF352" s="50"/>
      <c r="CSG352" s="50"/>
      <c r="CSH352" s="50"/>
      <c r="CSI352" s="50"/>
      <c r="CSJ352" s="50"/>
      <c r="CSK352" s="50"/>
      <c r="CSL352" s="50"/>
      <c r="CSM352" s="50"/>
      <c r="CSN352" s="50"/>
      <c r="CSO352" s="50"/>
      <c r="CSP352" s="50"/>
      <c r="CSQ352" s="50"/>
      <c r="CSR352" s="50"/>
      <c r="CSS352" s="50"/>
      <c r="CST352" s="50"/>
      <c r="CSU352" s="50"/>
      <c r="CSV352" s="50"/>
      <c r="CSW352" s="50"/>
      <c r="CSX352" s="50"/>
      <c r="CSY352" s="50"/>
      <c r="CSZ352" s="50"/>
      <c r="CTA352" s="50"/>
      <c r="CTB352" s="50"/>
      <c r="CTC352" s="50"/>
      <c r="CTD352" s="50"/>
      <c r="CTE352" s="50"/>
      <c r="CTF352" s="50"/>
      <c r="CTG352" s="50"/>
      <c r="CTH352" s="50"/>
      <c r="CTI352" s="50"/>
      <c r="CTJ352" s="50"/>
      <c r="CTK352" s="50"/>
      <c r="CTL352" s="50"/>
      <c r="CTM352" s="50"/>
      <c r="CTN352" s="50"/>
      <c r="CTO352" s="50"/>
      <c r="CTP352" s="50"/>
      <c r="CTQ352" s="50"/>
      <c r="CTR352" s="50"/>
      <c r="CTS352" s="50"/>
      <c r="CTT352" s="50"/>
      <c r="CTU352" s="50"/>
      <c r="CTV352" s="50"/>
      <c r="CTW352" s="50"/>
      <c r="CTX352" s="50"/>
      <c r="CTY352" s="50"/>
      <c r="CTZ352" s="50"/>
      <c r="CUA352" s="50"/>
      <c r="CUB352" s="50"/>
      <c r="CUC352" s="50"/>
      <c r="CUD352" s="50"/>
      <c r="CUE352" s="50"/>
      <c r="CUF352" s="50"/>
      <c r="CUG352" s="50"/>
      <c r="CUH352" s="50"/>
      <c r="CUI352" s="50"/>
      <c r="CUJ352" s="50"/>
      <c r="CUK352" s="50"/>
      <c r="CUL352" s="50"/>
      <c r="CUM352" s="50"/>
      <c r="CUN352" s="50"/>
      <c r="CUO352" s="50"/>
      <c r="CUP352" s="50"/>
      <c r="CUQ352" s="50"/>
      <c r="CUR352" s="50"/>
      <c r="CUS352" s="50"/>
      <c r="CUT352" s="50"/>
      <c r="CUU352" s="50"/>
      <c r="CUV352" s="50"/>
      <c r="CUW352" s="50"/>
      <c r="CUX352" s="50"/>
      <c r="CUY352" s="50"/>
      <c r="CUZ352" s="50"/>
      <c r="CVA352" s="50"/>
      <c r="CVB352" s="50"/>
      <c r="CVC352" s="50"/>
      <c r="CVD352" s="50"/>
      <c r="CVE352" s="50"/>
      <c r="CVF352" s="50"/>
      <c r="CVG352" s="50"/>
      <c r="CVH352" s="50"/>
      <c r="CVI352" s="50"/>
      <c r="CVJ352" s="50"/>
      <c r="CVK352" s="50"/>
      <c r="CVL352" s="50"/>
      <c r="CVM352" s="50"/>
      <c r="CVN352" s="50"/>
      <c r="CVO352" s="50"/>
      <c r="CVP352" s="50"/>
      <c r="CVQ352" s="50"/>
      <c r="CVR352" s="50"/>
      <c r="CVS352" s="50"/>
      <c r="CVT352" s="50"/>
      <c r="CVU352" s="50"/>
      <c r="CVV352" s="50"/>
      <c r="CVW352" s="50"/>
      <c r="CVX352" s="50"/>
      <c r="CVY352" s="50"/>
      <c r="CVZ352" s="50"/>
      <c r="CWA352" s="50"/>
      <c r="CWB352" s="50"/>
      <c r="CWC352" s="50"/>
      <c r="CWD352" s="50"/>
      <c r="CWE352" s="50"/>
      <c r="CWF352" s="50"/>
      <c r="CWG352" s="50"/>
      <c r="CWH352" s="50"/>
      <c r="CWI352" s="50"/>
      <c r="CWJ352" s="50"/>
      <c r="CWK352" s="50"/>
      <c r="CWL352" s="50"/>
      <c r="CWM352" s="50"/>
      <c r="CWN352" s="50"/>
      <c r="CWO352" s="50"/>
      <c r="CWP352" s="50"/>
      <c r="CWQ352" s="50"/>
      <c r="CWR352" s="50"/>
      <c r="CWS352" s="50"/>
      <c r="CWT352" s="50"/>
      <c r="CWU352" s="50"/>
      <c r="CWV352" s="50"/>
      <c r="CWW352" s="50"/>
      <c r="CWX352" s="50"/>
      <c r="CWY352" s="50"/>
      <c r="CWZ352" s="50"/>
      <c r="CXA352" s="50"/>
      <c r="CXB352" s="50"/>
      <c r="CXC352" s="50"/>
      <c r="CXD352" s="50"/>
      <c r="CXE352" s="50"/>
      <c r="CXF352" s="50"/>
      <c r="CXG352" s="50"/>
      <c r="CXH352" s="50"/>
      <c r="CXI352" s="50"/>
      <c r="CXJ352" s="50"/>
      <c r="CXK352" s="50"/>
      <c r="CXL352" s="50"/>
      <c r="CXM352" s="50"/>
      <c r="CXN352" s="50"/>
      <c r="CXO352" s="50"/>
      <c r="CXP352" s="50"/>
      <c r="CXQ352" s="50"/>
      <c r="CXR352" s="50"/>
      <c r="CXS352" s="50"/>
      <c r="CXT352" s="50"/>
      <c r="CXU352" s="50"/>
      <c r="CXV352" s="50"/>
      <c r="CXW352" s="50"/>
      <c r="CXX352" s="50"/>
      <c r="CXY352" s="50"/>
      <c r="CXZ352" s="50"/>
      <c r="CYA352" s="50"/>
      <c r="CYB352" s="50"/>
      <c r="CYC352" s="50"/>
      <c r="CYD352" s="50"/>
      <c r="CYE352" s="50"/>
      <c r="CYF352" s="50"/>
      <c r="CYG352" s="50"/>
      <c r="CYH352" s="50"/>
      <c r="CYI352" s="50"/>
      <c r="CYJ352" s="50"/>
      <c r="CYK352" s="50"/>
      <c r="CYL352" s="50"/>
      <c r="CYM352" s="50"/>
      <c r="CYN352" s="50"/>
      <c r="CYO352" s="50"/>
      <c r="CYP352" s="50"/>
      <c r="CYQ352" s="50"/>
      <c r="CYR352" s="50"/>
      <c r="CYS352" s="50"/>
      <c r="CYT352" s="50"/>
      <c r="CYU352" s="50"/>
      <c r="CYV352" s="50"/>
      <c r="CYW352" s="50"/>
      <c r="CYX352" s="50"/>
      <c r="CYY352" s="50"/>
      <c r="CYZ352" s="50"/>
      <c r="CZA352" s="50"/>
      <c r="CZB352" s="50"/>
      <c r="CZC352" s="50"/>
      <c r="CZD352" s="50"/>
      <c r="CZE352" s="50"/>
      <c r="CZF352" s="50"/>
      <c r="CZG352" s="50"/>
      <c r="CZH352" s="50"/>
      <c r="CZI352" s="50"/>
      <c r="CZJ352" s="50"/>
      <c r="CZK352" s="50"/>
      <c r="CZL352" s="50"/>
      <c r="CZM352" s="50"/>
      <c r="CZN352" s="50"/>
      <c r="CZO352" s="50"/>
      <c r="CZP352" s="50"/>
      <c r="CZQ352" s="50"/>
      <c r="CZR352" s="50"/>
      <c r="CZS352" s="50"/>
      <c r="CZT352" s="50"/>
      <c r="CZU352" s="50"/>
      <c r="CZV352" s="50"/>
      <c r="CZW352" s="50"/>
      <c r="CZX352" s="50"/>
      <c r="CZY352" s="50"/>
      <c r="CZZ352" s="50"/>
      <c r="DAA352" s="50"/>
      <c r="DAB352" s="50"/>
      <c r="DAC352" s="50"/>
      <c r="DAD352" s="50"/>
      <c r="DAE352" s="50"/>
      <c r="DAF352" s="50"/>
      <c r="DAG352" s="50"/>
      <c r="DAH352" s="50"/>
      <c r="DAI352" s="50"/>
      <c r="DAJ352" s="50"/>
      <c r="DAK352" s="50"/>
      <c r="DAL352" s="50"/>
      <c r="DAM352" s="50"/>
      <c r="DAN352" s="50"/>
      <c r="DAO352" s="50"/>
      <c r="DAP352" s="50"/>
      <c r="DAQ352" s="50"/>
      <c r="DAR352" s="50"/>
      <c r="DAS352" s="50"/>
      <c r="DAT352" s="50"/>
      <c r="DAU352" s="50"/>
      <c r="DAV352" s="50"/>
      <c r="DAW352" s="50"/>
      <c r="DAX352" s="50"/>
      <c r="DAY352" s="50"/>
      <c r="DAZ352" s="50"/>
      <c r="DBA352" s="50"/>
      <c r="DBB352" s="50"/>
      <c r="DBC352" s="50"/>
      <c r="DBD352" s="50"/>
      <c r="DBE352" s="50"/>
      <c r="DBF352" s="50"/>
      <c r="DBG352" s="50"/>
      <c r="DBH352" s="50"/>
      <c r="DBI352" s="50"/>
      <c r="DBJ352" s="50"/>
      <c r="DBK352" s="50"/>
      <c r="DBL352" s="50"/>
      <c r="DBM352" s="50"/>
      <c r="DBN352" s="50"/>
      <c r="DBO352" s="50"/>
      <c r="DBP352" s="50"/>
      <c r="DBQ352" s="50"/>
      <c r="DBR352" s="50"/>
      <c r="DBS352" s="50"/>
      <c r="DBT352" s="50"/>
      <c r="DBU352" s="50"/>
      <c r="DBV352" s="50"/>
      <c r="DBW352" s="50"/>
      <c r="DBX352" s="50"/>
      <c r="DBY352" s="50"/>
      <c r="DBZ352" s="50"/>
      <c r="DCA352" s="50"/>
      <c r="DCB352" s="50"/>
      <c r="DCC352" s="50"/>
      <c r="DCD352" s="50"/>
      <c r="DCE352" s="50"/>
      <c r="DCF352" s="50"/>
      <c r="DCG352" s="50"/>
      <c r="DCH352" s="50"/>
      <c r="DCI352" s="50"/>
      <c r="DCJ352" s="50"/>
      <c r="DCK352" s="50"/>
      <c r="DCL352" s="50"/>
      <c r="DCM352" s="50"/>
      <c r="DCN352" s="50"/>
      <c r="DCO352" s="50"/>
      <c r="DCP352" s="50"/>
      <c r="DCQ352" s="50"/>
      <c r="DCR352" s="50"/>
      <c r="DCS352" s="50"/>
      <c r="DCT352" s="50"/>
      <c r="DCU352" s="50"/>
      <c r="DCV352" s="50"/>
      <c r="DCW352" s="50"/>
      <c r="DCX352" s="50"/>
      <c r="DCY352" s="50"/>
      <c r="DCZ352" s="50"/>
      <c r="DDA352" s="50"/>
      <c r="DDB352" s="50"/>
      <c r="DDC352" s="50"/>
      <c r="DDD352" s="50"/>
      <c r="DDE352" s="50"/>
      <c r="DDF352" s="50"/>
      <c r="DDG352" s="50"/>
      <c r="DDH352" s="50"/>
      <c r="DDI352" s="50"/>
      <c r="DDJ352" s="50"/>
      <c r="DDK352" s="50"/>
      <c r="DDL352" s="50"/>
      <c r="DDM352" s="50"/>
      <c r="DDN352" s="50"/>
      <c r="DDO352" s="50"/>
      <c r="DDP352" s="50"/>
      <c r="DDQ352" s="50"/>
      <c r="DDR352" s="50"/>
      <c r="DDS352" s="50"/>
      <c r="DDT352" s="50"/>
      <c r="DDU352" s="50"/>
      <c r="DDV352" s="50"/>
      <c r="DDW352" s="50"/>
      <c r="DDX352" s="50"/>
      <c r="DDY352" s="50"/>
      <c r="DDZ352" s="50"/>
      <c r="DEA352" s="50"/>
      <c r="DEB352" s="50"/>
      <c r="DEC352" s="50"/>
      <c r="DED352" s="50"/>
      <c r="DEE352" s="50"/>
      <c r="DEF352" s="50"/>
      <c r="DEG352" s="50"/>
      <c r="DEH352" s="50"/>
      <c r="DEI352" s="50"/>
      <c r="DEJ352" s="50"/>
      <c r="DEK352" s="50"/>
      <c r="DEL352" s="50"/>
      <c r="DEM352" s="50"/>
      <c r="DEN352" s="50"/>
      <c r="DEO352" s="50"/>
      <c r="DEP352" s="50"/>
      <c r="DEQ352" s="50"/>
      <c r="DER352" s="50"/>
      <c r="DES352" s="50"/>
      <c r="DET352" s="50"/>
      <c r="DEU352" s="50"/>
      <c r="DEV352" s="50"/>
      <c r="DEW352" s="50"/>
      <c r="DEX352" s="50"/>
      <c r="DEY352" s="50"/>
      <c r="DEZ352" s="50"/>
      <c r="DFA352" s="50"/>
      <c r="DFB352" s="50"/>
      <c r="DFC352" s="50"/>
      <c r="DFD352" s="50"/>
      <c r="DFE352" s="50"/>
      <c r="DFF352" s="50"/>
      <c r="DFG352" s="50"/>
      <c r="DFH352" s="50"/>
      <c r="DFI352" s="50"/>
      <c r="DFJ352" s="50"/>
      <c r="DFK352" s="50"/>
      <c r="DFL352" s="50"/>
      <c r="DFM352" s="50"/>
      <c r="DFN352" s="50"/>
      <c r="DFO352" s="50"/>
      <c r="DFP352" s="50"/>
      <c r="DFQ352" s="50"/>
      <c r="DFR352" s="50"/>
      <c r="DFS352" s="50"/>
      <c r="DFT352" s="50"/>
      <c r="DFU352" s="50"/>
      <c r="DFV352" s="50"/>
      <c r="DFW352" s="50"/>
      <c r="DFX352" s="50"/>
      <c r="DFY352" s="50"/>
      <c r="DFZ352" s="50"/>
      <c r="DGA352" s="50"/>
      <c r="DGB352" s="50"/>
      <c r="DGC352" s="50"/>
      <c r="DGD352" s="50"/>
      <c r="DGE352" s="50"/>
      <c r="DGF352" s="50"/>
      <c r="DGG352" s="50"/>
      <c r="DGH352" s="50"/>
      <c r="DGI352" s="50"/>
      <c r="DGJ352" s="50"/>
      <c r="DGK352" s="50"/>
      <c r="DGL352" s="50"/>
      <c r="DGM352" s="50"/>
      <c r="DGN352" s="50"/>
      <c r="DGO352" s="50"/>
      <c r="DGP352" s="50"/>
      <c r="DGQ352" s="50"/>
      <c r="DGR352" s="50"/>
      <c r="DGS352" s="50"/>
      <c r="DGT352" s="50"/>
      <c r="DGU352" s="50"/>
      <c r="DGV352" s="50"/>
      <c r="DGW352" s="50"/>
      <c r="DGX352" s="50"/>
      <c r="DGY352" s="50"/>
      <c r="DGZ352" s="50"/>
      <c r="DHA352" s="50"/>
      <c r="DHB352" s="50"/>
      <c r="DHC352" s="50"/>
      <c r="DHD352" s="50"/>
      <c r="DHE352" s="50"/>
      <c r="DHF352" s="50"/>
      <c r="DHG352" s="50"/>
      <c r="DHH352" s="50"/>
      <c r="DHI352" s="50"/>
      <c r="DHJ352" s="50"/>
      <c r="DHK352" s="50"/>
      <c r="DHL352" s="50"/>
      <c r="DHM352" s="50"/>
      <c r="DHN352" s="50"/>
      <c r="DHO352" s="50"/>
      <c r="DHP352" s="50"/>
      <c r="DHQ352" s="50"/>
      <c r="DHR352" s="50"/>
      <c r="DHS352" s="50"/>
      <c r="DHT352" s="50"/>
      <c r="DHU352" s="50"/>
      <c r="DHV352" s="50"/>
      <c r="DHW352" s="50"/>
      <c r="DHX352" s="50"/>
      <c r="DHY352" s="50"/>
      <c r="DHZ352" s="50"/>
      <c r="DIA352" s="50"/>
      <c r="DIB352" s="50"/>
      <c r="DIC352" s="50"/>
      <c r="DID352" s="50"/>
      <c r="DIE352" s="50"/>
      <c r="DIF352" s="50"/>
      <c r="DIG352" s="50"/>
      <c r="DIH352" s="50"/>
      <c r="DII352" s="50"/>
      <c r="DIJ352" s="50"/>
      <c r="DIK352" s="50"/>
      <c r="DIL352" s="50"/>
      <c r="DIM352" s="50"/>
      <c r="DIN352" s="50"/>
      <c r="DIO352" s="50"/>
      <c r="DIP352" s="50"/>
      <c r="DIQ352" s="50"/>
      <c r="DIR352" s="50"/>
      <c r="DIS352" s="50"/>
      <c r="DIT352" s="50"/>
      <c r="DIU352" s="50"/>
      <c r="DIV352" s="50"/>
      <c r="DIW352" s="50"/>
      <c r="DIX352" s="50"/>
      <c r="DIY352" s="50"/>
      <c r="DIZ352" s="50"/>
      <c r="DJA352" s="50"/>
      <c r="DJB352" s="50"/>
      <c r="DJC352" s="50"/>
      <c r="DJD352" s="50"/>
      <c r="DJE352" s="50"/>
      <c r="DJF352" s="50"/>
      <c r="DJG352" s="50"/>
      <c r="DJH352" s="50"/>
      <c r="DJI352" s="50"/>
      <c r="DJJ352" s="50"/>
      <c r="DJK352" s="50"/>
      <c r="DJL352" s="50"/>
      <c r="DJM352" s="50"/>
      <c r="DJN352" s="50"/>
      <c r="DJO352" s="50"/>
      <c r="DJP352" s="50"/>
      <c r="DJQ352" s="50"/>
      <c r="DJR352" s="50"/>
      <c r="DJS352" s="50"/>
      <c r="DJT352" s="50"/>
      <c r="DJU352" s="50"/>
      <c r="DJV352" s="50"/>
      <c r="DJW352" s="50"/>
      <c r="DJX352" s="50"/>
      <c r="DJY352" s="50"/>
      <c r="DJZ352" s="50"/>
      <c r="DKA352" s="50"/>
      <c r="DKB352" s="50"/>
      <c r="DKC352" s="50"/>
      <c r="DKD352" s="50"/>
      <c r="DKE352" s="50"/>
      <c r="DKF352" s="50"/>
      <c r="DKG352" s="50"/>
      <c r="DKH352" s="50"/>
      <c r="DKI352" s="50"/>
      <c r="DKJ352" s="50"/>
      <c r="DKK352" s="50"/>
      <c r="DKL352" s="50"/>
      <c r="DKM352" s="50"/>
      <c r="DKN352" s="50"/>
      <c r="DKO352" s="50"/>
      <c r="DKP352" s="50"/>
      <c r="DKQ352" s="50"/>
      <c r="DKR352" s="50"/>
      <c r="DKS352" s="50"/>
      <c r="DKT352" s="50"/>
      <c r="DKU352" s="50"/>
      <c r="DKV352" s="50"/>
      <c r="DKW352" s="50"/>
      <c r="DKX352" s="50"/>
      <c r="DKY352" s="50"/>
      <c r="DKZ352" s="50"/>
      <c r="DLA352" s="50"/>
      <c r="DLB352" s="50"/>
      <c r="DLC352" s="50"/>
      <c r="DLD352" s="50"/>
      <c r="DLE352" s="50"/>
      <c r="DLF352" s="50"/>
      <c r="DLG352" s="50"/>
      <c r="DLH352" s="50"/>
      <c r="DLI352" s="50"/>
      <c r="DLJ352" s="50"/>
      <c r="DLK352" s="50"/>
      <c r="DLL352" s="50"/>
      <c r="DLM352" s="50"/>
      <c r="DLN352" s="50"/>
      <c r="DLO352" s="50"/>
      <c r="DLP352" s="50"/>
      <c r="DLQ352" s="50"/>
      <c r="DLR352" s="50"/>
      <c r="DLS352" s="50"/>
      <c r="DLT352" s="50"/>
      <c r="DLU352" s="50"/>
      <c r="DLV352" s="50"/>
      <c r="DLW352" s="50"/>
      <c r="DLX352" s="50"/>
      <c r="DLY352" s="50"/>
      <c r="DLZ352" s="50"/>
      <c r="DMA352" s="50"/>
      <c r="DMB352" s="50"/>
      <c r="DMC352" s="50"/>
      <c r="DMD352" s="50"/>
      <c r="DME352" s="50"/>
      <c r="DMF352" s="50"/>
      <c r="DMG352" s="50"/>
      <c r="DMH352" s="50"/>
      <c r="DMI352" s="50"/>
      <c r="DMJ352" s="50"/>
      <c r="DMK352" s="50"/>
      <c r="DML352" s="50"/>
      <c r="DMM352" s="50"/>
      <c r="DMN352" s="50"/>
      <c r="DMO352" s="50"/>
      <c r="DMP352" s="50"/>
      <c r="DMQ352" s="50"/>
      <c r="DMR352" s="50"/>
      <c r="DMS352" s="50"/>
      <c r="DMT352" s="50"/>
      <c r="DMU352" s="50"/>
      <c r="DMV352" s="50"/>
      <c r="DMW352" s="50"/>
      <c r="DMX352" s="50"/>
      <c r="DMY352" s="50"/>
      <c r="DMZ352" s="50"/>
      <c r="DNA352" s="50"/>
      <c r="DNB352" s="50"/>
      <c r="DNC352" s="50"/>
      <c r="DND352" s="50"/>
      <c r="DNE352" s="50"/>
      <c r="DNF352" s="50"/>
      <c r="DNG352" s="50"/>
      <c r="DNH352" s="50"/>
      <c r="DNI352" s="50"/>
      <c r="DNJ352" s="50"/>
      <c r="DNK352" s="50"/>
      <c r="DNL352" s="50"/>
      <c r="DNM352" s="50"/>
      <c r="DNN352" s="50"/>
      <c r="DNO352" s="50"/>
      <c r="DNP352" s="50"/>
      <c r="DNQ352" s="50"/>
      <c r="DNR352" s="50"/>
      <c r="DNS352" s="50"/>
      <c r="DNT352" s="50"/>
      <c r="DNU352" s="50"/>
      <c r="DNV352" s="50"/>
      <c r="DNW352" s="50"/>
      <c r="DNX352" s="50"/>
      <c r="DNY352" s="50"/>
      <c r="DNZ352" s="50"/>
      <c r="DOA352" s="50"/>
      <c r="DOB352" s="50"/>
      <c r="DOC352" s="50"/>
      <c r="DOD352" s="50"/>
      <c r="DOE352" s="50"/>
      <c r="DOF352" s="50"/>
      <c r="DOG352" s="50"/>
      <c r="DOH352" s="50"/>
      <c r="DOI352" s="50"/>
      <c r="DOJ352" s="50"/>
      <c r="DOK352" s="50"/>
      <c r="DOL352" s="50"/>
      <c r="DOM352" s="50"/>
      <c r="DON352" s="50"/>
      <c r="DOO352" s="50"/>
      <c r="DOP352" s="50"/>
      <c r="DOQ352" s="50"/>
      <c r="DOR352" s="50"/>
      <c r="DOS352" s="50"/>
      <c r="DOT352" s="50"/>
      <c r="DOU352" s="50"/>
      <c r="DOV352" s="50"/>
      <c r="DOW352" s="50"/>
      <c r="DOX352" s="50"/>
      <c r="DOY352" s="50"/>
      <c r="DOZ352" s="50"/>
      <c r="DPA352" s="50"/>
      <c r="DPB352" s="50"/>
      <c r="DPC352" s="50"/>
      <c r="DPD352" s="50"/>
      <c r="DPE352" s="50"/>
      <c r="DPF352" s="50"/>
      <c r="DPG352" s="50"/>
      <c r="DPH352" s="50"/>
      <c r="DPI352" s="50"/>
      <c r="DPJ352" s="50"/>
      <c r="DPK352" s="50"/>
      <c r="DPL352" s="50"/>
      <c r="DPM352" s="50"/>
      <c r="DPN352" s="50"/>
      <c r="DPO352" s="50"/>
      <c r="DPP352" s="50"/>
      <c r="DPQ352" s="50"/>
      <c r="DPR352" s="50"/>
      <c r="DPS352" s="50"/>
      <c r="DPT352" s="50"/>
      <c r="DPU352" s="50"/>
      <c r="DPV352" s="50"/>
      <c r="DPW352" s="50"/>
      <c r="DPX352" s="50"/>
      <c r="DPY352" s="50"/>
      <c r="DPZ352" s="50"/>
      <c r="DQA352" s="50"/>
      <c r="DQB352" s="50"/>
      <c r="DQC352" s="50"/>
      <c r="DQD352" s="50"/>
      <c r="DQE352" s="50"/>
      <c r="DQF352" s="50"/>
      <c r="DQG352" s="50"/>
      <c r="DQH352" s="50"/>
      <c r="DQI352" s="50"/>
      <c r="DQJ352" s="50"/>
      <c r="DQK352" s="50"/>
      <c r="DQL352" s="50"/>
      <c r="DQM352" s="50"/>
      <c r="DQN352" s="50"/>
      <c r="DQO352" s="50"/>
      <c r="DQP352" s="50"/>
      <c r="DQQ352" s="50"/>
      <c r="DQR352" s="50"/>
      <c r="DQS352" s="50"/>
      <c r="DQT352" s="50"/>
      <c r="DQU352" s="50"/>
      <c r="DQV352" s="50"/>
      <c r="DQW352" s="50"/>
      <c r="DQX352" s="50"/>
      <c r="DQY352" s="50"/>
      <c r="DQZ352" s="50"/>
      <c r="DRA352" s="50"/>
      <c r="DRB352" s="50"/>
      <c r="DRC352" s="50"/>
      <c r="DRD352" s="50"/>
      <c r="DRE352" s="50"/>
      <c r="DRF352" s="50"/>
      <c r="DRG352" s="50"/>
      <c r="DRH352" s="50"/>
      <c r="DRI352" s="50"/>
      <c r="DRJ352" s="50"/>
      <c r="DRK352" s="50"/>
      <c r="DRL352" s="50"/>
      <c r="DRM352" s="50"/>
      <c r="DRN352" s="50"/>
      <c r="DRO352" s="50"/>
      <c r="DRP352" s="50"/>
      <c r="DRQ352" s="50"/>
      <c r="DRR352" s="50"/>
      <c r="DRS352" s="50"/>
      <c r="DRT352" s="50"/>
      <c r="DRU352" s="50"/>
      <c r="DRV352" s="50"/>
      <c r="DRW352" s="50"/>
      <c r="DRX352" s="50"/>
      <c r="DRY352" s="50"/>
      <c r="DRZ352" s="50"/>
      <c r="DSA352" s="50"/>
      <c r="DSB352" s="50"/>
      <c r="DSC352" s="50"/>
      <c r="DSD352" s="50"/>
      <c r="DSE352" s="50"/>
      <c r="DSF352" s="50"/>
      <c r="DSG352" s="50"/>
      <c r="DSH352" s="50"/>
      <c r="DSI352" s="50"/>
      <c r="DSJ352" s="50"/>
      <c r="DSK352" s="50"/>
      <c r="DSL352" s="50"/>
      <c r="DSM352" s="50"/>
      <c r="DSN352" s="50"/>
      <c r="DSO352" s="50"/>
      <c r="DSP352" s="50"/>
      <c r="DSQ352" s="50"/>
      <c r="DSR352" s="50"/>
      <c r="DSS352" s="50"/>
      <c r="DST352" s="50"/>
      <c r="DSU352" s="50"/>
      <c r="DSV352" s="50"/>
      <c r="DSW352" s="50"/>
      <c r="DSX352" s="50"/>
      <c r="DSY352" s="50"/>
      <c r="DSZ352" s="50"/>
      <c r="DTA352" s="50"/>
      <c r="DTB352" s="50"/>
      <c r="DTC352" s="50"/>
      <c r="DTD352" s="50"/>
      <c r="DTE352" s="50"/>
      <c r="DTF352" s="50"/>
      <c r="DTG352" s="50"/>
      <c r="DTH352" s="50"/>
      <c r="DTI352" s="50"/>
      <c r="DTJ352" s="50"/>
      <c r="DTK352" s="50"/>
      <c r="DTL352" s="50"/>
      <c r="DTM352" s="50"/>
      <c r="DTN352" s="50"/>
      <c r="DTO352" s="50"/>
      <c r="DTP352" s="50"/>
      <c r="DTQ352" s="50"/>
      <c r="DTR352" s="50"/>
      <c r="DTS352" s="50"/>
      <c r="DTT352" s="50"/>
      <c r="DTU352" s="50"/>
      <c r="DTV352" s="50"/>
      <c r="DTW352" s="50"/>
      <c r="DTX352" s="50"/>
      <c r="DTY352" s="50"/>
      <c r="DTZ352" s="50"/>
      <c r="DUA352" s="50"/>
      <c r="DUB352" s="50"/>
      <c r="DUC352" s="50"/>
      <c r="DUD352" s="50"/>
      <c r="DUE352" s="50"/>
      <c r="DUF352" s="50"/>
      <c r="DUG352" s="50"/>
      <c r="DUH352" s="50"/>
      <c r="DUI352" s="50"/>
      <c r="DUJ352" s="50"/>
      <c r="DUK352" s="50"/>
      <c r="DUL352" s="50"/>
      <c r="DUM352" s="50"/>
      <c r="DUN352" s="50"/>
      <c r="DUO352" s="50"/>
      <c r="DUP352" s="50"/>
      <c r="DUQ352" s="50"/>
      <c r="DUR352" s="50"/>
      <c r="DUS352" s="50"/>
      <c r="DUT352" s="50"/>
      <c r="DUU352" s="50"/>
      <c r="DUV352" s="50"/>
      <c r="DUW352" s="50"/>
      <c r="DUX352" s="50"/>
      <c r="DUY352" s="50"/>
      <c r="DUZ352" s="50"/>
      <c r="DVA352" s="50"/>
      <c r="DVB352" s="50"/>
      <c r="DVC352" s="50"/>
      <c r="DVD352" s="50"/>
      <c r="DVE352" s="50"/>
      <c r="DVF352" s="50"/>
      <c r="DVG352" s="50"/>
      <c r="DVH352" s="50"/>
      <c r="DVI352" s="50"/>
      <c r="DVJ352" s="50"/>
      <c r="DVK352" s="50"/>
      <c r="DVL352" s="50"/>
      <c r="DVM352" s="50"/>
      <c r="DVN352" s="50"/>
      <c r="DVO352" s="50"/>
      <c r="DVP352" s="50"/>
      <c r="DVQ352" s="50"/>
      <c r="DVR352" s="50"/>
      <c r="DVS352" s="50"/>
      <c r="DVT352" s="50"/>
      <c r="DVU352" s="50"/>
      <c r="DVV352" s="50"/>
      <c r="DVW352" s="50"/>
      <c r="DVX352" s="50"/>
      <c r="DVY352" s="50"/>
      <c r="DVZ352" s="50"/>
      <c r="DWA352" s="50"/>
      <c r="DWB352" s="50"/>
      <c r="DWC352" s="50"/>
      <c r="DWD352" s="50"/>
      <c r="DWE352" s="50"/>
      <c r="DWF352" s="50"/>
      <c r="DWG352" s="50"/>
      <c r="DWH352" s="50"/>
      <c r="DWI352" s="50"/>
      <c r="DWJ352" s="50"/>
      <c r="DWK352" s="50"/>
      <c r="DWL352" s="50"/>
      <c r="DWM352" s="50"/>
      <c r="DWN352" s="50"/>
      <c r="DWO352" s="50"/>
      <c r="DWP352" s="50"/>
      <c r="DWQ352" s="50"/>
      <c r="DWR352" s="50"/>
      <c r="DWS352" s="50"/>
      <c r="DWT352" s="50"/>
      <c r="DWU352" s="50"/>
      <c r="DWV352" s="50"/>
      <c r="DWW352" s="50"/>
      <c r="DWX352" s="50"/>
      <c r="DWY352" s="50"/>
      <c r="DWZ352" s="50"/>
      <c r="DXA352" s="50"/>
      <c r="DXB352" s="50"/>
      <c r="DXC352" s="50"/>
      <c r="DXD352" s="50"/>
      <c r="DXE352" s="50"/>
      <c r="DXF352" s="50"/>
      <c r="DXG352" s="50"/>
      <c r="DXH352" s="50"/>
      <c r="DXI352" s="50"/>
      <c r="DXJ352" s="50"/>
      <c r="DXK352" s="50"/>
      <c r="DXL352" s="50"/>
      <c r="DXM352" s="50"/>
      <c r="DXN352" s="50"/>
      <c r="DXO352" s="50"/>
      <c r="DXP352" s="50"/>
      <c r="DXQ352" s="50"/>
      <c r="DXR352" s="50"/>
      <c r="DXS352" s="50"/>
      <c r="DXT352" s="50"/>
      <c r="DXU352" s="50"/>
      <c r="DXV352" s="50"/>
      <c r="DXW352" s="50"/>
      <c r="DXX352" s="50"/>
      <c r="DXY352" s="50"/>
      <c r="DXZ352" s="50"/>
      <c r="DYA352" s="50"/>
      <c r="DYB352" s="50"/>
      <c r="DYC352" s="50"/>
      <c r="DYD352" s="50"/>
      <c r="DYE352" s="50"/>
      <c r="DYF352" s="50"/>
      <c r="DYG352" s="50"/>
      <c r="DYH352" s="50"/>
      <c r="DYI352" s="50"/>
      <c r="DYJ352" s="50"/>
      <c r="DYK352" s="50"/>
      <c r="DYL352" s="50"/>
      <c r="DYM352" s="50"/>
      <c r="DYN352" s="50"/>
      <c r="DYO352" s="50"/>
      <c r="DYP352" s="50"/>
      <c r="DYQ352" s="50"/>
      <c r="DYR352" s="50"/>
      <c r="DYS352" s="50"/>
      <c r="DYT352" s="50"/>
      <c r="DYU352" s="50"/>
      <c r="DYV352" s="50"/>
      <c r="DYW352" s="50"/>
      <c r="DYX352" s="50"/>
      <c r="DYY352" s="50"/>
      <c r="DYZ352" s="50"/>
      <c r="DZA352" s="50"/>
      <c r="DZB352" s="50"/>
      <c r="DZC352" s="50"/>
      <c r="DZD352" s="50"/>
      <c r="DZE352" s="50"/>
      <c r="DZF352" s="50"/>
      <c r="DZG352" s="50"/>
      <c r="DZH352" s="50"/>
      <c r="DZI352" s="50"/>
      <c r="DZJ352" s="50"/>
      <c r="DZK352" s="50"/>
      <c r="DZL352" s="50"/>
      <c r="DZM352" s="50"/>
      <c r="DZN352" s="50"/>
      <c r="DZO352" s="50"/>
      <c r="DZP352" s="50"/>
      <c r="DZQ352" s="50"/>
      <c r="DZR352" s="50"/>
      <c r="DZS352" s="50"/>
      <c r="DZT352" s="50"/>
      <c r="DZU352" s="50"/>
      <c r="DZV352" s="50"/>
      <c r="DZW352" s="50"/>
      <c r="DZX352" s="50"/>
      <c r="DZY352" s="50"/>
      <c r="DZZ352" s="50"/>
      <c r="EAA352" s="50"/>
      <c r="EAB352" s="50"/>
      <c r="EAC352" s="50"/>
      <c r="EAD352" s="50"/>
      <c r="EAE352" s="50"/>
      <c r="EAF352" s="50"/>
      <c r="EAG352" s="50"/>
      <c r="EAH352" s="50"/>
      <c r="EAI352" s="50"/>
      <c r="EAJ352" s="50"/>
      <c r="EAK352" s="50"/>
      <c r="EAL352" s="50"/>
      <c r="EAM352" s="50"/>
      <c r="EAN352" s="50"/>
      <c r="EAO352" s="50"/>
      <c r="EAP352" s="50"/>
      <c r="EAQ352" s="50"/>
      <c r="EAR352" s="50"/>
      <c r="EAS352" s="50"/>
      <c r="EAT352" s="50"/>
      <c r="EAU352" s="50"/>
      <c r="EAV352" s="50"/>
      <c r="EAW352" s="50"/>
      <c r="EAX352" s="50"/>
      <c r="EAY352" s="50"/>
      <c r="EAZ352" s="50"/>
      <c r="EBA352" s="50"/>
      <c r="EBB352" s="50"/>
      <c r="EBC352" s="50"/>
      <c r="EBD352" s="50"/>
      <c r="EBE352" s="50"/>
      <c r="EBF352" s="50"/>
      <c r="EBG352" s="50"/>
      <c r="EBH352" s="50"/>
      <c r="EBI352" s="50"/>
      <c r="EBJ352" s="50"/>
      <c r="EBK352" s="50"/>
      <c r="EBL352" s="50"/>
      <c r="EBM352" s="50"/>
      <c r="EBN352" s="50"/>
      <c r="EBO352" s="50"/>
      <c r="EBP352" s="50"/>
      <c r="EBQ352" s="50"/>
      <c r="EBR352" s="50"/>
      <c r="EBS352" s="50"/>
      <c r="EBT352" s="50"/>
      <c r="EBU352" s="50"/>
      <c r="EBV352" s="50"/>
      <c r="EBW352" s="50"/>
      <c r="EBX352" s="50"/>
      <c r="EBY352" s="50"/>
      <c r="EBZ352" s="50"/>
      <c r="ECA352" s="50"/>
      <c r="ECB352" s="50"/>
      <c r="ECC352" s="50"/>
      <c r="ECD352" s="50"/>
      <c r="ECE352" s="50"/>
      <c r="ECF352" s="50"/>
      <c r="ECG352" s="50"/>
      <c r="ECH352" s="50"/>
      <c r="ECI352" s="50"/>
      <c r="ECJ352" s="50"/>
      <c r="ECK352" s="50"/>
      <c r="ECL352" s="50"/>
      <c r="ECM352" s="50"/>
      <c r="ECN352" s="50"/>
      <c r="ECO352" s="50"/>
      <c r="ECP352" s="50"/>
      <c r="ECQ352" s="50"/>
      <c r="ECR352" s="50"/>
      <c r="ECS352" s="50"/>
      <c r="ECT352" s="50"/>
      <c r="ECU352" s="50"/>
      <c r="ECV352" s="50"/>
      <c r="ECW352" s="50"/>
      <c r="ECX352" s="50"/>
      <c r="ECY352" s="50"/>
      <c r="ECZ352" s="50"/>
      <c r="EDA352" s="50"/>
      <c r="EDB352" s="50"/>
      <c r="EDC352" s="50"/>
      <c r="EDD352" s="50"/>
      <c r="EDE352" s="50"/>
      <c r="EDF352" s="50"/>
      <c r="EDG352" s="50"/>
      <c r="EDH352" s="50"/>
      <c r="EDI352" s="50"/>
      <c r="EDJ352" s="50"/>
      <c r="EDK352" s="50"/>
      <c r="EDL352" s="50"/>
      <c r="EDM352" s="50"/>
      <c r="EDN352" s="50"/>
      <c r="EDO352" s="50"/>
      <c r="EDP352" s="50"/>
      <c r="EDQ352" s="50"/>
      <c r="EDR352" s="50"/>
      <c r="EDS352" s="50"/>
      <c r="EDT352" s="50"/>
      <c r="EDU352" s="50"/>
      <c r="EDV352" s="50"/>
      <c r="EDW352" s="50"/>
      <c r="EDX352" s="50"/>
      <c r="EDY352" s="50"/>
      <c r="EDZ352" s="50"/>
      <c r="EEA352" s="50"/>
      <c r="EEB352" s="50"/>
      <c r="EEC352" s="50"/>
      <c r="EED352" s="50"/>
      <c r="EEE352" s="50"/>
      <c r="EEF352" s="50"/>
      <c r="EEG352" s="50"/>
      <c r="EEH352" s="50"/>
      <c r="EEI352" s="50"/>
      <c r="EEJ352" s="50"/>
      <c r="EEK352" s="50"/>
      <c r="EEL352" s="50"/>
      <c r="EEM352" s="50"/>
      <c r="EEN352" s="50"/>
      <c r="EEO352" s="50"/>
      <c r="EEP352" s="50"/>
      <c r="EEQ352" s="50"/>
      <c r="EER352" s="50"/>
      <c r="EES352" s="50"/>
      <c r="EET352" s="50"/>
      <c r="EEU352" s="50"/>
      <c r="EEV352" s="50"/>
      <c r="EEW352" s="50"/>
      <c r="EEX352" s="50"/>
      <c r="EEY352" s="50"/>
      <c r="EEZ352" s="50"/>
      <c r="EFA352" s="50"/>
      <c r="EFB352" s="50"/>
      <c r="EFC352" s="50"/>
      <c r="EFD352" s="50"/>
      <c r="EFE352" s="50"/>
      <c r="EFF352" s="50"/>
      <c r="EFG352" s="50"/>
      <c r="EFH352" s="50"/>
      <c r="EFI352" s="50"/>
      <c r="EFJ352" s="50"/>
      <c r="EFK352" s="50"/>
      <c r="EFL352" s="50"/>
      <c r="EFM352" s="50"/>
      <c r="EFN352" s="50"/>
      <c r="EFO352" s="50"/>
      <c r="EFP352" s="50"/>
      <c r="EFQ352" s="50"/>
      <c r="EFR352" s="50"/>
      <c r="EFS352" s="50"/>
      <c r="EFT352" s="50"/>
      <c r="EFU352" s="50"/>
      <c r="EFV352" s="50"/>
      <c r="EFW352" s="50"/>
      <c r="EFX352" s="50"/>
      <c r="EFY352" s="50"/>
      <c r="EFZ352" s="50"/>
      <c r="EGA352" s="50"/>
      <c r="EGB352" s="50"/>
      <c r="EGC352" s="50"/>
      <c r="EGD352" s="50"/>
      <c r="EGE352" s="50"/>
      <c r="EGF352" s="50"/>
      <c r="EGG352" s="50"/>
      <c r="EGH352" s="50"/>
      <c r="EGI352" s="50"/>
      <c r="EGJ352" s="50"/>
      <c r="EGK352" s="50"/>
      <c r="EGL352" s="50"/>
      <c r="EGM352" s="50"/>
      <c r="EGN352" s="50"/>
      <c r="EGO352" s="50"/>
      <c r="EGP352" s="50"/>
      <c r="EGQ352" s="50"/>
      <c r="EGR352" s="50"/>
      <c r="EGS352" s="50"/>
      <c r="EGT352" s="50"/>
      <c r="EGU352" s="50"/>
      <c r="EGV352" s="50"/>
      <c r="EGW352" s="50"/>
      <c r="EGX352" s="50"/>
      <c r="EGY352" s="50"/>
      <c r="EGZ352" s="50"/>
      <c r="EHA352" s="50"/>
      <c r="EHB352" s="50"/>
      <c r="EHC352" s="50"/>
      <c r="EHD352" s="50"/>
      <c r="EHE352" s="50"/>
      <c r="EHF352" s="50"/>
      <c r="EHG352" s="50"/>
      <c r="EHH352" s="50"/>
      <c r="EHI352" s="50"/>
      <c r="EHJ352" s="50"/>
      <c r="EHK352" s="50"/>
      <c r="EHL352" s="50"/>
      <c r="EHM352" s="50"/>
      <c r="EHN352" s="50"/>
      <c r="EHO352" s="50"/>
      <c r="EHP352" s="50"/>
      <c r="EHQ352" s="50"/>
      <c r="EHR352" s="50"/>
      <c r="EHS352" s="50"/>
      <c r="EHT352" s="50"/>
      <c r="EHU352" s="50"/>
      <c r="EHV352" s="50"/>
      <c r="EHW352" s="50"/>
      <c r="EHX352" s="50"/>
      <c r="EHY352" s="50"/>
      <c r="EHZ352" s="50"/>
      <c r="EIA352" s="50"/>
      <c r="EIB352" s="50"/>
      <c r="EIC352" s="50"/>
      <c r="EID352" s="50"/>
      <c r="EIE352" s="50"/>
      <c r="EIF352" s="50"/>
      <c r="EIG352" s="50"/>
      <c r="EIH352" s="50"/>
      <c r="EII352" s="50"/>
      <c r="EIJ352" s="50"/>
      <c r="EIK352" s="50"/>
      <c r="EIL352" s="50"/>
      <c r="EIM352" s="50"/>
      <c r="EIN352" s="50"/>
      <c r="EIO352" s="50"/>
      <c r="EIP352" s="50"/>
      <c r="EIQ352" s="50"/>
      <c r="EIR352" s="50"/>
      <c r="EIS352" s="50"/>
      <c r="EIT352" s="50"/>
      <c r="EIU352" s="50"/>
      <c r="EIV352" s="50"/>
      <c r="EIW352" s="50"/>
      <c r="EIX352" s="50"/>
      <c r="EIY352" s="50"/>
      <c r="EIZ352" s="50"/>
      <c r="EJA352" s="50"/>
      <c r="EJB352" s="50"/>
      <c r="EJC352" s="50"/>
      <c r="EJD352" s="50"/>
      <c r="EJE352" s="50"/>
      <c r="EJF352" s="50"/>
      <c r="EJG352" s="50"/>
      <c r="EJH352" s="50"/>
      <c r="EJI352" s="50"/>
      <c r="EJJ352" s="50"/>
      <c r="EJK352" s="50"/>
      <c r="EJL352" s="50"/>
      <c r="EJM352" s="50"/>
      <c r="EJN352" s="50"/>
      <c r="EJO352" s="50"/>
      <c r="EJP352" s="50"/>
      <c r="EJQ352" s="50"/>
      <c r="EJR352" s="50"/>
      <c r="EJS352" s="50"/>
      <c r="EJT352" s="50"/>
      <c r="EJU352" s="50"/>
      <c r="EJV352" s="50"/>
      <c r="EJW352" s="50"/>
      <c r="EJX352" s="50"/>
      <c r="EJY352" s="50"/>
      <c r="EJZ352" s="50"/>
      <c r="EKA352" s="50"/>
      <c r="EKB352" s="50"/>
      <c r="EKC352" s="50"/>
      <c r="EKD352" s="50"/>
      <c r="EKE352" s="50"/>
      <c r="EKF352" s="50"/>
      <c r="EKG352" s="50"/>
      <c r="EKH352" s="50"/>
      <c r="EKI352" s="50"/>
      <c r="EKJ352" s="50"/>
      <c r="EKK352" s="50"/>
      <c r="EKL352" s="50"/>
      <c r="EKM352" s="50"/>
      <c r="EKN352" s="50"/>
      <c r="EKO352" s="50"/>
      <c r="EKP352" s="50"/>
      <c r="EKQ352" s="50"/>
      <c r="EKR352" s="50"/>
      <c r="EKS352" s="50"/>
      <c r="EKT352" s="50"/>
      <c r="EKU352" s="50"/>
      <c r="EKV352" s="50"/>
      <c r="EKW352" s="50"/>
      <c r="EKX352" s="50"/>
      <c r="EKY352" s="50"/>
      <c r="EKZ352" s="50"/>
      <c r="ELA352" s="50"/>
      <c r="ELB352" s="50"/>
      <c r="ELC352" s="50"/>
      <c r="ELD352" s="50"/>
      <c r="ELE352" s="50"/>
      <c r="ELF352" s="50"/>
      <c r="ELG352" s="50"/>
      <c r="ELH352" s="50"/>
      <c r="ELI352" s="50"/>
      <c r="ELJ352" s="50"/>
      <c r="ELK352" s="50"/>
      <c r="ELL352" s="50"/>
      <c r="ELM352" s="50"/>
      <c r="ELN352" s="50"/>
      <c r="ELO352" s="50"/>
      <c r="ELP352" s="50"/>
      <c r="ELQ352" s="50"/>
      <c r="ELR352" s="50"/>
      <c r="ELS352" s="50"/>
      <c r="ELT352" s="50"/>
      <c r="ELU352" s="50"/>
      <c r="ELV352" s="50"/>
      <c r="ELW352" s="50"/>
      <c r="ELX352" s="50"/>
      <c r="ELY352" s="50"/>
      <c r="ELZ352" s="50"/>
      <c r="EMA352" s="50"/>
      <c r="EMB352" s="50"/>
      <c r="EMC352" s="50"/>
      <c r="EMD352" s="50"/>
      <c r="EME352" s="50"/>
      <c r="EMF352" s="50"/>
      <c r="EMG352" s="50"/>
      <c r="EMH352" s="50"/>
      <c r="EMI352" s="50"/>
      <c r="EMJ352" s="50"/>
      <c r="EMK352" s="50"/>
      <c r="EML352" s="50"/>
      <c r="EMM352" s="50"/>
      <c r="EMN352" s="50"/>
      <c r="EMO352" s="50"/>
      <c r="EMP352" s="50"/>
      <c r="EMQ352" s="50"/>
      <c r="EMR352" s="50"/>
      <c r="EMS352" s="50"/>
      <c r="EMT352" s="50"/>
      <c r="EMU352" s="50"/>
      <c r="EMV352" s="50"/>
      <c r="EMW352" s="50"/>
      <c r="EMX352" s="50"/>
      <c r="EMY352" s="50"/>
      <c r="EMZ352" s="50"/>
      <c r="ENA352" s="50"/>
      <c r="ENB352" s="50"/>
      <c r="ENC352" s="50"/>
      <c r="END352" s="50"/>
      <c r="ENE352" s="50"/>
      <c r="ENF352" s="50"/>
      <c r="ENG352" s="50"/>
      <c r="ENH352" s="50"/>
      <c r="ENI352" s="50"/>
      <c r="ENJ352" s="50"/>
      <c r="ENK352" s="50"/>
      <c r="ENL352" s="50"/>
      <c r="ENM352" s="50"/>
      <c r="ENN352" s="50"/>
      <c r="ENO352" s="50"/>
      <c r="ENP352" s="50"/>
      <c r="ENQ352" s="50"/>
      <c r="ENR352" s="50"/>
      <c r="ENS352" s="50"/>
      <c r="ENT352" s="50"/>
      <c r="ENU352" s="50"/>
      <c r="ENV352" s="50"/>
      <c r="ENW352" s="50"/>
      <c r="ENX352" s="50"/>
      <c r="ENY352" s="50"/>
      <c r="ENZ352" s="50"/>
      <c r="EOA352" s="50"/>
      <c r="EOB352" s="50"/>
      <c r="EOC352" s="50"/>
      <c r="EOD352" s="50"/>
      <c r="EOE352" s="50"/>
      <c r="EOF352" s="50"/>
      <c r="EOG352" s="50"/>
      <c r="EOH352" s="50"/>
      <c r="EOI352" s="50"/>
      <c r="EOJ352" s="50"/>
      <c r="EOK352" s="50"/>
      <c r="EOL352" s="50"/>
      <c r="EOM352" s="50"/>
      <c r="EON352" s="50"/>
      <c r="EOO352" s="50"/>
      <c r="EOP352" s="50"/>
      <c r="EOQ352" s="50"/>
      <c r="EOR352" s="50"/>
      <c r="EOS352" s="50"/>
      <c r="EOT352" s="50"/>
      <c r="EOU352" s="50"/>
      <c r="EOV352" s="50"/>
      <c r="EOW352" s="50"/>
      <c r="EOX352" s="50"/>
      <c r="EOY352" s="50"/>
      <c r="EOZ352" s="50"/>
      <c r="EPA352" s="50"/>
      <c r="EPB352" s="50"/>
      <c r="EPC352" s="50"/>
      <c r="EPD352" s="50"/>
      <c r="EPE352" s="50"/>
      <c r="EPF352" s="50"/>
      <c r="EPG352" s="50"/>
      <c r="EPH352" s="50"/>
      <c r="EPI352" s="50"/>
      <c r="EPJ352" s="50"/>
      <c r="EPK352" s="50"/>
      <c r="EPL352" s="50"/>
      <c r="EPM352" s="50"/>
      <c r="EPN352" s="50"/>
      <c r="EPO352" s="50"/>
      <c r="EPP352" s="50"/>
      <c r="EPQ352" s="50"/>
      <c r="EPR352" s="50"/>
      <c r="EPS352" s="50"/>
      <c r="EPT352" s="50"/>
      <c r="EPU352" s="50"/>
      <c r="EPV352" s="50"/>
      <c r="EPW352" s="50"/>
      <c r="EPX352" s="50"/>
      <c r="EPY352" s="50"/>
      <c r="EPZ352" s="50"/>
      <c r="EQA352" s="50"/>
      <c r="EQB352" s="50"/>
      <c r="EQC352" s="50"/>
      <c r="EQD352" s="50"/>
      <c r="EQE352" s="50"/>
      <c r="EQF352" s="50"/>
      <c r="EQG352" s="50"/>
      <c r="EQH352" s="50"/>
      <c r="EQI352" s="50"/>
      <c r="EQJ352" s="50"/>
      <c r="EQK352" s="50"/>
      <c r="EQL352" s="50"/>
      <c r="EQM352" s="50"/>
      <c r="EQN352" s="50"/>
      <c r="EQO352" s="50"/>
      <c r="EQP352" s="50"/>
      <c r="EQQ352" s="50"/>
      <c r="EQR352" s="50"/>
      <c r="EQS352" s="50"/>
      <c r="EQT352" s="50"/>
      <c r="EQU352" s="50"/>
      <c r="EQV352" s="50"/>
      <c r="EQW352" s="50"/>
      <c r="EQX352" s="50"/>
      <c r="EQY352" s="50"/>
      <c r="EQZ352" s="50"/>
      <c r="ERA352" s="50"/>
      <c r="ERB352" s="50"/>
      <c r="ERC352" s="50"/>
      <c r="ERD352" s="50"/>
      <c r="ERE352" s="50"/>
      <c r="ERF352" s="50"/>
      <c r="ERG352" s="50"/>
      <c r="ERH352" s="50"/>
      <c r="ERI352" s="50"/>
      <c r="ERJ352" s="50"/>
      <c r="ERK352" s="50"/>
      <c r="ERL352" s="50"/>
      <c r="ERM352" s="50"/>
      <c r="ERN352" s="50"/>
      <c r="ERO352" s="50"/>
      <c r="ERP352" s="50"/>
      <c r="ERQ352" s="50"/>
      <c r="ERR352" s="50"/>
      <c r="ERS352" s="50"/>
      <c r="ERT352" s="50"/>
      <c r="ERU352" s="50"/>
      <c r="ERV352" s="50"/>
      <c r="ERW352" s="50"/>
      <c r="ERX352" s="50"/>
      <c r="ERY352" s="50"/>
      <c r="ERZ352" s="50"/>
      <c r="ESA352" s="50"/>
      <c r="ESB352" s="50"/>
      <c r="ESC352" s="50"/>
      <c r="ESD352" s="50"/>
      <c r="ESE352" s="50"/>
      <c r="ESF352" s="50"/>
      <c r="ESG352" s="50"/>
      <c r="ESH352" s="50"/>
      <c r="ESI352" s="50"/>
      <c r="ESJ352" s="50"/>
      <c r="ESK352" s="50"/>
      <c r="ESL352" s="50"/>
      <c r="ESM352" s="50"/>
      <c r="ESN352" s="50"/>
      <c r="ESO352" s="50"/>
      <c r="ESP352" s="50"/>
      <c r="ESQ352" s="50"/>
      <c r="ESR352" s="50"/>
      <c r="ESS352" s="50"/>
      <c r="EST352" s="50"/>
      <c r="ESU352" s="50"/>
      <c r="ESV352" s="50"/>
      <c r="ESW352" s="50"/>
      <c r="ESX352" s="50"/>
      <c r="ESY352" s="50"/>
      <c r="ESZ352" s="50"/>
      <c r="ETA352" s="50"/>
      <c r="ETB352" s="50"/>
      <c r="ETC352" s="50"/>
      <c r="ETD352" s="50"/>
      <c r="ETE352" s="50"/>
      <c r="ETF352" s="50"/>
      <c r="ETG352" s="50"/>
      <c r="ETH352" s="50"/>
      <c r="ETI352" s="50"/>
      <c r="ETJ352" s="50"/>
      <c r="ETK352" s="50"/>
      <c r="ETL352" s="50"/>
      <c r="ETM352" s="50"/>
      <c r="ETN352" s="50"/>
      <c r="ETO352" s="50"/>
      <c r="ETP352" s="50"/>
      <c r="ETQ352" s="50"/>
      <c r="ETR352" s="50"/>
      <c r="ETS352" s="50"/>
      <c r="ETT352" s="50"/>
      <c r="ETU352" s="50"/>
      <c r="ETV352" s="50"/>
      <c r="ETW352" s="50"/>
      <c r="ETX352" s="50"/>
      <c r="ETY352" s="50"/>
      <c r="ETZ352" s="50"/>
      <c r="EUA352" s="50"/>
      <c r="EUB352" s="50"/>
      <c r="EUC352" s="50"/>
      <c r="EUD352" s="50"/>
      <c r="EUE352" s="50"/>
      <c r="EUF352" s="50"/>
      <c r="EUG352" s="50"/>
      <c r="EUH352" s="50"/>
      <c r="EUI352" s="50"/>
      <c r="EUJ352" s="50"/>
      <c r="EUK352" s="50"/>
      <c r="EUL352" s="50"/>
      <c r="EUM352" s="50"/>
      <c r="EUN352" s="50"/>
      <c r="EUO352" s="50"/>
      <c r="EUP352" s="50"/>
      <c r="EUQ352" s="50"/>
      <c r="EUR352" s="50"/>
      <c r="EUS352" s="50"/>
      <c r="EUT352" s="50"/>
      <c r="EUU352" s="50"/>
      <c r="EUV352" s="50"/>
      <c r="EUW352" s="50"/>
      <c r="EUX352" s="50"/>
      <c r="EUY352" s="50"/>
      <c r="EUZ352" s="50"/>
      <c r="EVA352" s="50"/>
      <c r="EVB352" s="50"/>
      <c r="EVC352" s="50"/>
      <c r="EVD352" s="50"/>
      <c r="EVE352" s="50"/>
      <c r="EVF352" s="50"/>
      <c r="EVG352" s="50"/>
      <c r="EVH352" s="50"/>
      <c r="EVI352" s="50"/>
      <c r="EVJ352" s="50"/>
      <c r="EVK352" s="50"/>
      <c r="EVL352" s="50"/>
      <c r="EVM352" s="50"/>
      <c r="EVN352" s="50"/>
      <c r="EVO352" s="50"/>
      <c r="EVP352" s="50"/>
      <c r="EVQ352" s="50"/>
      <c r="EVR352" s="50"/>
      <c r="EVS352" s="50"/>
      <c r="EVT352" s="50"/>
      <c r="EVU352" s="50"/>
      <c r="EVV352" s="50"/>
      <c r="EVW352" s="50"/>
      <c r="EVX352" s="50"/>
      <c r="EVY352" s="50"/>
      <c r="EVZ352" s="50"/>
      <c r="EWA352" s="50"/>
      <c r="EWB352" s="50"/>
      <c r="EWC352" s="50"/>
      <c r="EWD352" s="50"/>
      <c r="EWE352" s="50"/>
      <c r="EWF352" s="50"/>
      <c r="EWG352" s="50"/>
      <c r="EWH352" s="50"/>
      <c r="EWI352" s="50"/>
      <c r="EWJ352" s="50"/>
      <c r="EWK352" s="50"/>
      <c r="EWL352" s="50"/>
      <c r="EWM352" s="50"/>
      <c r="EWN352" s="50"/>
      <c r="EWO352" s="50"/>
      <c r="EWP352" s="50"/>
      <c r="EWQ352" s="50"/>
      <c r="EWR352" s="50"/>
      <c r="EWS352" s="50"/>
      <c r="EWT352" s="50"/>
      <c r="EWU352" s="50"/>
      <c r="EWV352" s="50"/>
      <c r="EWW352" s="50"/>
      <c r="EWX352" s="50"/>
      <c r="EWY352" s="50"/>
      <c r="EWZ352" s="50"/>
      <c r="EXA352" s="50"/>
      <c r="EXB352" s="50"/>
      <c r="EXC352" s="50"/>
      <c r="EXD352" s="50"/>
      <c r="EXE352" s="50"/>
      <c r="EXF352" s="50"/>
      <c r="EXG352" s="50"/>
      <c r="EXH352" s="50"/>
      <c r="EXI352" s="50"/>
      <c r="EXJ352" s="50"/>
      <c r="EXK352" s="50"/>
      <c r="EXL352" s="50"/>
      <c r="EXM352" s="50"/>
      <c r="EXN352" s="50"/>
      <c r="EXO352" s="50"/>
      <c r="EXP352" s="50"/>
      <c r="EXQ352" s="50"/>
      <c r="EXR352" s="50"/>
      <c r="EXS352" s="50"/>
      <c r="EXT352" s="50"/>
      <c r="EXU352" s="50"/>
      <c r="EXV352" s="50"/>
      <c r="EXW352" s="50"/>
      <c r="EXX352" s="50"/>
      <c r="EXY352" s="50"/>
      <c r="EXZ352" s="50"/>
      <c r="EYA352" s="50"/>
      <c r="EYB352" s="50"/>
      <c r="EYC352" s="50"/>
      <c r="EYD352" s="50"/>
      <c r="EYE352" s="50"/>
      <c r="EYF352" s="50"/>
      <c r="EYG352" s="50"/>
      <c r="EYH352" s="50"/>
      <c r="EYI352" s="50"/>
      <c r="EYJ352" s="50"/>
      <c r="EYK352" s="50"/>
      <c r="EYL352" s="50"/>
      <c r="EYM352" s="50"/>
      <c r="EYN352" s="50"/>
      <c r="EYO352" s="50"/>
      <c r="EYP352" s="50"/>
      <c r="EYQ352" s="50"/>
      <c r="EYR352" s="50"/>
      <c r="EYS352" s="50"/>
      <c r="EYT352" s="50"/>
      <c r="EYU352" s="50"/>
      <c r="EYV352" s="50"/>
      <c r="EYW352" s="50"/>
      <c r="EYX352" s="50"/>
      <c r="EYY352" s="50"/>
      <c r="EYZ352" s="50"/>
      <c r="EZA352" s="50"/>
      <c r="EZB352" s="50"/>
      <c r="EZC352" s="50"/>
      <c r="EZD352" s="50"/>
      <c r="EZE352" s="50"/>
      <c r="EZF352" s="50"/>
      <c r="EZG352" s="50"/>
      <c r="EZH352" s="50"/>
      <c r="EZI352" s="50"/>
      <c r="EZJ352" s="50"/>
      <c r="EZK352" s="50"/>
      <c r="EZL352" s="50"/>
      <c r="EZM352" s="50"/>
      <c r="EZN352" s="50"/>
      <c r="EZO352" s="50"/>
      <c r="EZP352" s="50"/>
      <c r="EZQ352" s="50"/>
      <c r="EZR352" s="50"/>
      <c r="EZS352" s="50"/>
      <c r="EZT352" s="50"/>
      <c r="EZU352" s="50"/>
      <c r="EZV352" s="50"/>
      <c r="EZW352" s="50"/>
      <c r="EZX352" s="50"/>
      <c r="EZY352" s="50"/>
      <c r="EZZ352" s="50"/>
      <c r="FAA352" s="50"/>
      <c r="FAB352" s="50"/>
      <c r="FAC352" s="50"/>
      <c r="FAD352" s="50"/>
      <c r="FAE352" s="50"/>
      <c r="FAF352" s="50"/>
      <c r="FAG352" s="50"/>
      <c r="FAH352" s="50"/>
      <c r="FAI352" s="50"/>
      <c r="FAJ352" s="50"/>
      <c r="FAK352" s="50"/>
      <c r="FAL352" s="50"/>
      <c r="FAM352" s="50"/>
      <c r="FAN352" s="50"/>
      <c r="FAO352" s="50"/>
      <c r="FAP352" s="50"/>
      <c r="FAQ352" s="50"/>
      <c r="FAR352" s="50"/>
      <c r="FAS352" s="50"/>
      <c r="FAT352" s="50"/>
      <c r="FAU352" s="50"/>
      <c r="FAV352" s="50"/>
      <c r="FAW352" s="50"/>
      <c r="FAX352" s="50"/>
      <c r="FAY352" s="50"/>
      <c r="FAZ352" s="50"/>
      <c r="FBA352" s="50"/>
      <c r="FBB352" s="50"/>
      <c r="FBC352" s="50"/>
      <c r="FBD352" s="50"/>
      <c r="FBE352" s="50"/>
      <c r="FBF352" s="50"/>
      <c r="FBG352" s="50"/>
      <c r="FBH352" s="50"/>
      <c r="FBI352" s="50"/>
      <c r="FBJ352" s="50"/>
      <c r="FBK352" s="50"/>
      <c r="FBL352" s="50"/>
      <c r="FBM352" s="50"/>
      <c r="FBN352" s="50"/>
      <c r="FBO352" s="50"/>
      <c r="FBP352" s="50"/>
      <c r="FBQ352" s="50"/>
      <c r="FBR352" s="50"/>
      <c r="FBS352" s="50"/>
      <c r="FBT352" s="50"/>
      <c r="FBU352" s="50"/>
      <c r="FBV352" s="50"/>
      <c r="FBW352" s="50"/>
      <c r="FBX352" s="50"/>
      <c r="FBY352" s="50"/>
      <c r="FBZ352" s="50"/>
      <c r="FCA352" s="50"/>
      <c r="FCB352" s="50"/>
      <c r="FCC352" s="50"/>
      <c r="FCD352" s="50"/>
      <c r="FCE352" s="50"/>
      <c r="FCF352" s="50"/>
      <c r="FCG352" s="50"/>
      <c r="FCH352" s="50"/>
      <c r="FCI352" s="50"/>
      <c r="FCJ352" s="50"/>
      <c r="FCK352" s="50"/>
      <c r="FCL352" s="50"/>
      <c r="FCM352" s="50"/>
      <c r="FCN352" s="50"/>
      <c r="FCO352" s="50"/>
      <c r="FCP352" s="50"/>
      <c r="FCQ352" s="50"/>
      <c r="FCR352" s="50"/>
      <c r="FCS352" s="50"/>
      <c r="FCT352" s="50"/>
      <c r="FCU352" s="50"/>
      <c r="FCV352" s="50"/>
      <c r="FCW352" s="50"/>
      <c r="FCX352" s="50"/>
      <c r="FCY352" s="50"/>
      <c r="FCZ352" s="50"/>
      <c r="FDA352" s="50"/>
      <c r="FDB352" s="50"/>
      <c r="FDC352" s="50"/>
      <c r="FDD352" s="50"/>
      <c r="FDE352" s="50"/>
      <c r="FDF352" s="50"/>
      <c r="FDG352" s="50"/>
      <c r="FDH352" s="50"/>
      <c r="FDI352" s="50"/>
      <c r="FDJ352" s="50"/>
      <c r="FDK352" s="50"/>
      <c r="FDL352" s="50"/>
      <c r="FDM352" s="50"/>
      <c r="FDN352" s="50"/>
      <c r="FDO352" s="50"/>
      <c r="FDP352" s="50"/>
      <c r="FDQ352" s="50"/>
      <c r="FDR352" s="50"/>
      <c r="FDS352" s="50"/>
      <c r="FDT352" s="50"/>
      <c r="FDU352" s="50"/>
      <c r="FDV352" s="50"/>
      <c r="FDW352" s="50"/>
      <c r="FDX352" s="50"/>
      <c r="FDY352" s="50"/>
      <c r="FDZ352" s="50"/>
      <c r="FEA352" s="50"/>
      <c r="FEB352" s="50"/>
      <c r="FEC352" s="50"/>
      <c r="FED352" s="50"/>
      <c r="FEE352" s="50"/>
      <c r="FEF352" s="50"/>
      <c r="FEG352" s="50"/>
      <c r="FEH352" s="50"/>
      <c r="FEI352" s="50"/>
      <c r="FEJ352" s="50"/>
      <c r="FEK352" s="50"/>
      <c r="FEL352" s="50"/>
      <c r="FEM352" s="50"/>
      <c r="FEN352" s="50"/>
      <c r="FEO352" s="50"/>
      <c r="FEP352" s="50"/>
      <c r="FEQ352" s="50"/>
      <c r="FER352" s="50"/>
      <c r="FES352" s="50"/>
      <c r="FET352" s="50"/>
      <c r="FEU352" s="50"/>
      <c r="FEV352" s="50"/>
      <c r="FEW352" s="50"/>
      <c r="FEX352" s="50"/>
      <c r="FEY352" s="50"/>
      <c r="FEZ352" s="50"/>
      <c r="FFA352" s="50"/>
      <c r="FFB352" s="50"/>
      <c r="FFC352" s="50"/>
      <c r="FFD352" s="50"/>
      <c r="FFE352" s="50"/>
      <c r="FFF352" s="50"/>
      <c r="FFG352" s="50"/>
      <c r="FFH352" s="50"/>
      <c r="FFI352" s="50"/>
      <c r="FFJ352" s="50"/>
      <c r="FFK352" s="50"/>
      <c r="FFL352" s="50"/>
      <c r="FFM352" s="50"/>
      <c r="FFN352" s="50"/>
      <c r="FFO352" s="50"/>
      <c r="FFP352" s="50"/>
      <c r="FFQ352" s="50"/>
      <c r="FFR352" s="50"/>
      <c r="FFS352" s="50"/>
      <c r="FFT352" s="50"/>
      <c r="FFU352" s="50"/>
      <c r="FFV352" s="50"/>
      <c r="FFW352" s="50"/>
      <c r="FFX352" s="50"/>
      <c r="FFY352" s="50"/>
      <c r="FFZ352" s="50"/>
      <c r="FGA352" s="50"/>
      <c r="FGB352" s="50"/>
      <c r="FGC352" s="50"/>
      <c r="FGD352" s="50"/>
      <c r="FGE352" s="50"/>
      <c r="FGF352" s="50"/>
      <c r="FGG352" s="50"/>
      <c r="FGH352" s="50"/>
      <c r="FGI352" s="50"/>
      <c r="FGJ352" s="50"/>
      <c r="FGK352" s="50"/>
      <c r="FGL352" s="50"/>
      <c r="FGM352" s="50"/>
      <c r="FGN352" s="50"/>
      <c r="FGO352" s="50"/>
      <c r="FGP352" s="50"/>
      <c r="FGQ352" s="50"/>
      <c r="FGR352" s="50"/>
      <c r="FGS352" s="50"/>
      <c r="FGT352" s="50"/>
      <c r="FGU352" s="50"/>
      <c r="FGV352" s="50"/>
      <c r="FGW352" s="50"/>
      <c r="FGX352" s="50"/>
      <c r="FGY352" s="50"/>
      <c r="FGZ352" s="50"/>
      <c r="FHA352" s="50"/>
      <c r="FHB352" s="50"/>
      <c r="FHC352" s="50"/>
      <c r="FHD352" s="50"/>
      <c r="FHE352" s="50"/>
      <c r="FHF352" s="50"/>
      <c r="FHG352" s="50"/>
      <c r="FHH352" s="50"/>
      <c r="FHI352" s="50"/>
      <c r="FHJ352" s="50"/>
      <c r="FHK352" s="50"/>
      <c r="FHL352" s="50"/>
      <c r="FHM352" s="50"/>
      <c r="FHN352" s="50"/>
      <c r="FHO352" s="50"/>
      <c r="FHP352" s="50"/>
      <c r="FHQ352" s="50"/>
      <c r="FHR352" s="50"/>
      <c r="FHS352" s="50"/>
      <c r="FHT352" s="50"/>
      <c r="FHU352" s="50"/>
      <c r="FHV352" s="50"/>
      <c r="FHW352" s="50"/>
      <c r="FHX352" s="50"/>
      <c r="FHY352" s="50"/>
      <c r="FHZ352" s="50"/>
      <c r="FIA352" s="50"/>
      <c r="FIB352" s="50"/>
      <c r="FIC352" s="50"/>
      <c r="FID352" s="50"/>
      <c r="FIE352" s="50"/>
      <c r="FIF352" s="50"/>
      <c r="FIG352" s="50"/>
      <c r="FIH352" s="50"/>
      <c r="FII352" s="50"/>
      <c r="FIJ352" s="50"/>
      <c r="FIK352" s="50"/>
      <c r="FIL352" s="50"/>
      <c r="FIM352" s="50"/>
      <c r="FIN352" s="50"/>
      <c r="FIO352" s="50"/>
      <c r="FIP352" s="50"/>
      <c r="FIQ352" s="50"/>
      <c r="FIR352" s="50"/>
      <c r="FIS352" s="50"/>
      <c r="FIT352" s="50"/>
      <c r="FIU352" s="50"/>
      <c r="FIV352" s="50"/>
      <c r="FIW352" s="50"/>
      <c r="FIX352" s="50"/>
      <c r="FIY352" s="50"/>
      <c r="FIZ352" s="50"/>
      <c r="FJA352" s="50"/>
      <c r="FJB352" s="50"/>
      <c r="FJC352" s="50"/>
      <c r="FJD352" s="50"/>
      <c r="FJE352" s="50"/>
      <c r="FJF352" s="50"/>
      <c r="FJG352" s="50"/>
      <c r="FJH352" s="50"/>
      <c r="FJI352" s="50"/>
      <c r="FJJ352" s="50"/>
      <c r="FJK352" s="50"/>
      <c r="FJL352" s="50"/>
      <c r="FJM352" s="50"/>
      <c r="FJN352" s="50"/>
      <c r="FJO352" s="50"/>
      <c r="FJP352" s="50"/>
      <c r="FJQ352" s="50"/>
      <c r="FJR352" s="50"/>
      <c r="FJS352" s="50"/>
      <c r="FJT352" s="50"/>
      <c r="FJU352" s="50"/>
      <c r="FJV352" s="50"/>
      <c r="FJW352" s="50"/>
      <c r="FJX352" s="50"/>
      <c r="FJY352" s="50"/>
      <c r="FJZ352" s="50"/>
      <c r="FKA352" s="50"/>
      <c r="FKB352" s="50"/>
      <c r="FKC352" s="50"/>
      <c r="FKD352" s="50"/>
      <c r="FKE352" s="50"/>
      <c r="FKF352" s="50"/>
      <c r="FKG352" s="50"/>
      <c r="FKH352" s="50"/>
      <c r="FKI352" s="50"/>
      <c r="FKJ352" s="50"/>
      <c r="FKK352" s="50"/>
      <c r="FKL352" s="50"/>
      <c r="FKM352" s="50"/>
      <c r="FKN352" s="50"/>
      <c r="FKO352" s="50"/>
      <c r="FKP352" s="50"/>
      <c r="FKQ352" s="50"/>
      <c r="FKR352" s="50"/>
      <c r="FKS352" s="50"/>
      <c r="FKT352" s="50"/>
      <c r="FKU352" s="50"/>
      <c r="FKV352" s="50"/>
      <c r="FKW352" s="50"/>
      <c r="FKX352" s="50"/>
      <c r="FKY352" s="50"/>
      <c r="FKZ352" s="50"/>
      <c r="FLA352" s="50"/>
      <c r="FLB352" s="50"/>
      <c r="FLC352" s="50"/>
      <c r="FLD352" s="50"/>
      <c r="FLE352" s="50"/>
      <c r="FLF352" s="50"/>
      <c r="FLG352" s="50"/>
      <c r="FLH352" s="50"/>
      <c r="FLI352" s="50"/>
      <c r="FLJ352" s="50"/>
      <c r="FLK352" s="50"/>
      <c r="FLL352" s="50"/>
      <c r="FLM352" s="50"/>
      <c r="FLN352" s="50"/>
      <c r="FLO352" s="50"/>
      <c r="FLP352" s="50"/>
      <c r="FLQ352" s="50"/>
      <c r="FLR352" s="50"/>
      <c r="FLS352" s="50"/>
      <c r="FLT352" s="50"/>
      <c r="FLU352" s="50"/>
      <c r="FLV352" s="50"/>
      <c r="FLW352" s="50"/>
      <c r="FLX352" s="50"/>
      <c r="FLY352" s="50"/>
      <c r="FLZ352" s="50"/>
      <c r="FMA352" s="50"/>
      <c r="FMB352" s="50"/>
      <c r="FMC352" s="50"/>
      <c r="FMD352" s="50"/>
      <c r="FME352" s="50"/>
      <c r="FMF352" s="50"/>
      <c r="FMG352" s="50"/>
      <c r="FMH352" s="50"/>
      <c r="FMI352" s="50"/>
      <c r="FMJ352" s="50"/>
      <c r="FMK352" s="50"/>
      <c r="FML352" s="50"/>
      <c r="FMM352" s="50"/>
      <c r="FMN352" s="50"/>
      <c r="FMO352" s="50"/>
      <c r="FMP352" s="50"/>
      <c r="FMQ352" s="50"/>
      <c r="FMR352" s="50"/>
      <c r="FMS352" s="50"/>
      <c r="FMT352" s="50"/>
      <c r="FMU352" s="50"/>
      <c r="FMV352" s="50"/>
      <c r="FMW352" s="50"/>
      <c r="FMX352" s="50"/>
      <c r="FMY352" s="50"/>
      <c r="FMZ352" s="50"/>
      <c r="FNA352" s="50"/>
      <c r="FNB352" s="50"/>
      <c r="FNC352" s="50"/>
      <c r="FND352" s="50"/>
      <c r="FNE352" s="50"/>
      <c r="FNF352" s="50"/>
      <c r="FNG352" s="50"/>
      <c r="FNH352" s="50"/>
      <c r="FNI352" s="50"/>
      <c r="FNJ352" s="50"/>
      <c r="FNK352" s="50"/>
      <c r="FNL352" s="50"/>
      <c r="FNM352" s="50"/>
      <c r="FNN352" s="50"/>
      <c r="FNO352" s="50"/>
      <c r="FNP352" s="50"/>
      <c r="FNQ352" s="50"/>
      <c r="FNR352" s="50"/>
      <c r="FNS352" s="50"/>
      <c r="FNT352" s="50"/>
      <c r="FNU352" s="50"/>
      <c r="FNV352" s="50"/>
      <c r="FNW352" s="50"/>
      <c r="FNX352" s="50"/>
      <c r="FNY352" s="50"/>
      <c r="FNZ352" s="50"/>
      <c r="FOA352" s="50"/>
      <c r="FOB352" s="50"/>
      <c r="FOC352" s="50"/>
      <c r="FOD352" s="50"/>
      <c r="FOE352" s="50"/>
      <c r="FOF352" s="50"/>
      <c r="FOG352" s="50"/>
      <c r="FOH352" s="50"/>
      <c r="FOI352" s="50"/>
      <c r="FOJ352" s="50"/>
      <c r="FOK352" s="50"/>
      <c r="FOL352" s="50"/>
      <c r="FOM352" s="50"/>
      <c r="FON352" s="50"/>
      <c r="FOO352" s="50"/>
      <c r="FOP352" s="50"/>
      <c r="FOQ352" s="50"/>
      <c r="FOR352" s="50"/>
      <c r="FOS352" s="50"/>
      <c r="FOT352" s="50"/>
      <c r="FOU352" s="50"/>
      <c r="FOV352" s="50"/>
      <c r="FOW352" s="50"/>
      <c r="FOX352" s="50"/>
      <c r="FOY352" s="50"/>
      <c r="FOZ352" s="50"/>
      <c r="FPA352" s="50"/>
      <c r="FPB352" s="50"/>
      <c r="FPC352" s="50"/>
      <c r="FPD352" s="50"/>
      <c r="FPE352" s="50"/>
      <c r="FPF352" s="50"/>
      <c r="FPG352" s="50"/>
      <c r="FPH352" s="50"/>
      <c r="FPI352" s="50"/>
      <c r="FPJ352" s="50"/>
      <c r="FPK352" s="50"/>
      <c r="FPL352" s="50"/>
      <c r="FPM352" s="50"/>
      <c r="FPN352" s="50"/>
      <c r="FPO352" s="50"/>
      <c r="FPP352" s="50"/>
      <c r="FPQ352" s="50"/>
      <c r="FPR352" s="50"/>
      <c r="FPS352" s="50"/>
      <c r="FPT352" s="50"/>
      <c r="FPU352" s="50"/>
      <c r="FPV352" s="50"/>
      <c r="FPW352" s="50"/>
      <c r="FPX352" s="50"/>
      <c r="FPY352" s="50"/>
      <c r="FPZ352" s="50"/>
      <c r="FQA352" s="50"/>
      <c r="FQB352" s="50"/>
      <c r="FQC352" s="50"/>
      <c r="FQD352" s="50"/>
      <c r="FQE352" s="50"/>
      <c r="FQF352" s="50"/>
      <c r="FQG352" s="50"/>
      <c r="FQH352" s="50"/>
      <c r="FQI352" s="50"/>
      <c r="FQJ352" s="50"/>
      <c r="FQK352" s="50"/>
      <c r="FQL352" s="50"/>
      <c r="FQM352" s="50"/>
      <c r="FQN352" s="50"/>
      <c r="FQO352" s="50"/>
      <c r="FQP352" s="50"/>
      <c r="FQQ352" s="50"/>
      <c r="FQR352" s="50"/>
      <c r="FQS352" s="50"/>
      <c r="FQT352" s="50"/>
      <c r="FQU352" s="50"/>
      <c r="FQV352" s="50"/>
      <c r="FQW352" s="50"/>
      <c r="FQX352" s="50"/>
      <c r="FQY352" s="50"/>
      <c r="FQZ352" s="50"/>
      <c r="FRA352" s="50"/>
      <c r="FRB352" s="50"/>
      <c r="FRC352" s="50"/>
      <c r="FRD352" s="50"/>
      <c r="FRE352" s="50"/>
      <c r="FRF352" s="50"/>
      <c r="FRG352" s="50"/>
      <c r="FRH352" s="50"/>
      <c r="FRI352" s="50"/>
      <c r="FRJ352" s="50"/>
      <c r="FRK352" s="50"/>
      <c r="FRL352" s="50"/>
      <c r="FRM352" s="50"/>
      <c r="FRN352" s="50"/>
      <c r="FRO352" s="50"/>
      <c r="FRP352" s="50"/>
      <c r="FRQ352" s="50"/>
      <c r="FRR352" s="50"/>
      <c r="FRS352" s="50"/>
      <c r="FRT352" s="50"/>
      <c r="FRU352" s="50"/>
      <c r="FRV352" s="50"/>
      <c r="FRW352" s="50"/>
      <c r="FRX352" s="50"/>
      <c r="FRY352" s="50"/>
      <c r="FRZ352" s="50"/>
      <c r="FSA352" s="50"/>
      <c r="FSB352" s="50"/>
      <c r="FSC352" s="50"/>
      <c r="FSD352" s="50"/>
      <c r="FSE352" s="50"/>
      <c r="FSF352" s="50"/>
      <c r="FSG352" s="50"/>
      <c r="FSH352" s="50"/>
      <c r="FSI352" s="50"/>
      <c r="FSJ352" s="50"/>
      <c r="FSK352" s="50"/>
      <c r="FSL352" s="50"/>
      <c r="FSM352" s="50"/>
      <c r="FSN352" s="50"/>
      <c r="FSO352" s="50"/>
      <c r="FSP352" s="50"/>
      <c r="FSQ352" s="50"/>
      <c r="FSR352" s="50"/>
      <c r="FSS352" s="50"/>
      <c r="FST352" s="50"/>
      <c r="FSU352" s="50"/>
      <c r="FSV352" s="50"/>
      <c r="FSW352" s="50"/>
      <c r="FSX352" s="50"/>
      <c r="FSY352" s="50"/>
      <c r="FSZ352" s="50"/>
      <c r="FTA352" s="50"/>
      <c r="FTB352" s="50"/>
      <c r="FTC352" s="50"/>
      <c r="FTD352" s="50"/>
      <c r="FTE352" s="50"/>
      <c r="FTF352" s="50"/>
      <c r="FTG352" s="50"/>
      <c r="FTH352" s="50"/>
      <c r="FTI352" s="50"/>
      <c r="FTJ352" s="50"/>
      <c r="FTK352" s="50"/>
      <c r="FTL352" s="50"/>
      <c r="FTM352" s="50"/>
      <c r="FTN352" s="50"/>
      <c r="FTO352" s="50"/>
      <c r="FTP352" s="50"/>
      <c r="FTQ352" s="50"/>
      <c r="FTR352" s="50"/>
      <c r="FTS352" s="50"/>
      <c r="FTT352" s="50"/>
      <c r="FTU352" s="50"/>
      <c r="FTV352" s="50"/>
      <c r="FTW352" s="50"/>
      <c r="FTX352" s="50"/>
      <c r="FTY352" s="50"/>
      <c r="FTZ352" s="50"/>
      <c r="FUA352" s="50"/>
      <c r="FUB352" s="50"/>
      <c r="FUC352" s="50"/>
      <c r="FUD352" s="50"/>
      <c r="FUE352" s="50"/>
      <c r="FUF352" s="50"/>
      <c r="FUG352" s="50"/>
      <c r="FUH352" s="50"/>
      <c r="FUI352" s="50"/>
      <c r="FUJ352" s="50"/>
      <c r="FUK352" s="50"/>
      <c r="FUL352" s="50"/>
      <c r="FUM352" s="50"/>
      <c r="FUN352" s="50"/>
      <c r="FUO352" s="50"/>
      <c r="FUP352" s="50"/>
      <c r="FUQ352" s="50"/>
      <c r="FUR352" s="50"/>
      <c r="FUS352" s="50"/>
      <c r="FUT352" s="50"/>
      <c r="FUU352" s="50"/>
      <c r="FUV352" s="50"/>
      <c r="FUW352" s="50"/>
      <c r="FUX352" s="50"/>
      <c r="FUY352" s="50"/>
      <c r="FUZ352" s="50"/>
      <c r="FVA352" s="50"/>
      <c r="FVB352" s="50"/>
      <c r="FVC352" s="50"/>
      <c r="FVD352" s="50"/>
      <c r="FVE352" s="50"/>
      <c r="FVF352" s="50"/>
      <c r="FVG352" s="50"/>
      <c r="FVH352" s="50"/>
      <c r="FVI352" s="50"/>
      <c r="FVJ352" s="50"/>
      <c r="FVK352" s="50"/>
      <c r="FVL352" s="50"/>
      <c r="FVM352" s="50"/>
      <c r="FVN352" s="50"/>
      <c r="FVO352" s="50"/>
      <c r="FVP352" s="50"/>
      <c r="FVQ352" s="50"/>
      <c r="FVR352" s="50"/>
      <c r="FVS352" s="50"/>
      <c r="FVT352" s="50"/>
      <c r="FVU352" s="50"/>
      <c r="FVV352" s="50"/>
      <c r="FVW352" s="50"/>
      <c r="FVX352" s="50"/>
      <c r="FVY352" s="50"/>
      <c r="FVZ352" s="50"/>
      <c r="FWA352" s="50"/>
      <c r="FWB352" s="50"/>
      <c r="FWC352" s="50"/>
      <c r="FWD352" s="50"/>
      <c r="FWE352" s="50"/>
      <c r="FWF352" s="50"/>
      <c r="FWG352" s="50"/>
      <c r="FWH352" s="50"/>
      <c r="FWI352" s="50"/>
      <c r="FWJ352" s="50"/>
      <c r="FWK352" s="50"/>
      <c r="FWL352" s="50"/>
      <c r="FWM352" s="50"/>
      <c r="FWN352" s="50"/>
      <c r="FWO352" s="50"/>
      <c r="FWP352" s="50"/>
      <c r="FWQ352" s="50"/>
      <c r="FWR352" s="50"/>
      <c r="FWS352" s="50"/>
      <c r="FWT352" s="50"/>
      <c r="FWU352" s="50"/>
      <c r="FWV352" s="50"/>
      <c r="FWW352" s="50"/>
      <c r="FWX352" s="50"/>
      <c r="FWY352" s="50"/>
      <c r="FWZ352" s="50"/>
      <c r="FXA352" s="50"/>
      <c r="FXB352" s="50"/>
      <c r="FXC352" s="50"/>
      <c r="FXD352" s="50"/>
      <c r="FXE352" s="50"/>
      <c r="FXF352" s="50"/>
      <c r="FXG352" s="50"/>
      <c r="FXH352" s="50"/>
      <c r="FXI352" s="50"/>
      <c r="FXJ352" s="50"/>
      <c r="FXK352" s="50"/>
      <c r="FXL352" s="50"/>
      <c r="FXM352" s="50"/>
      <c r="FXN352" s="50"/>
      <c r="FXO352" s="50"/>
      <c r="FXP352" s="50"/>
      <c r="FXQ352" s="50"/>
      <c r="FXR352" s="50"/>
      <c r="FXS352" s="50"/>
      <c r="FXT352" s="50"/>
      <c r="FXU352" s="50"/>
      <c r="FXV352" s="50"/>
      <c r="FXW352" s="50"/>
      <c r="FXX352" s="50"/>
      <c r="FXY352" s="50"/>
      <c r="FXZ352" s="50"/>
      <c r="FYA352" s="50"/>
      <c r="FYB352" s="50"/>
      <c r="FYC352" s="50"/>
      <c r="FYD352" s="50"/>
      <c r="FYE352" s="50"/>
      <c r="FYF352" s="50"/>
      <c r="FYG352" s="50"/>
      <c r="FYH352" s="50"/>
      <c r="FYI352" s="50"/>
      <c r="FYJ352" s="50"/>
      <c r="FYK352" s="50"/>
      <c r="FYL352" s="50"/>
      <c r="FYM352" s="50"/>
      <c r="FYN352" s="50"/>
      <c r="FYO352" s="50"/>
      <c r="FYP352" s="50"/>
      <c r="FYQ352" s="50"/>
      <c r="FYR352" s="50"/>
      <c r="FYS352" s="50"/>
      <c r="FYT352" s="50"/>
      <c r="FYU352" s="50"/>
      <c r="FYV352" s="50"/>
      <c r="FYW352" s="50"/>
      <c r="FYX352" s="50"/>
      <c r="FYY352" s="50"/>
      <c r="FYZ352" s="50"/>
      <c r="FZA352" s="50"/>
      <c r="FZB352" s="50"/>
      <c r="FZC352" s="50"/>
      <c r="FZD352" s="50"/>
      <c r="FZE352" s="50"/>
      <c r="FZF352" s="50"/>
      <c r="FZG352" s="50"/>
      <c r="FZH352" s="50"/>
      <c r="FZI352" s="50"/>
      <c r="FZJ352" s="50"/>
      <c r="FZK352" s="50"/>
      <c r="FZL352" s="50"/>
      <c r="FZM352" s="50"/>
      <c r="FZN352" s="50"/>
      <c r="FZO352" s="50"/>
      <c r="FZP352" s="50"/>
      <c r="FZQ352" s="50"/>
      <c r="FZR352" s="50"/>
      <c r="FZS352" s="50"/>
      <c r="FZT352" s="50"/>
      <c r="FZU352" s="50"/>
      <c r="FZV352" s="50"/>
      <c r="FZW352" s="50"/>
      <c r="FZX352" s="50"/>
      <c r="FZY352" s="50"/>
      <c r="FZZ352" s="50"/>
      <c r="GAA352" s="50"/>
      <c r="GAB352" s="50"/>
      <c r="GAC352" s="50"/>
      <c r="GAD352" s="50"/>
      <c r="GAE352" s="50"/>
      <c r="GAF352" s="50"/>
      <c r="GAG352" s="50"/>
      <c r="GAH352" s="50"/>
      <c r="GAI352" s="50"/>
      <c r="GAJ352" s="50"/>
      <c r="GAK352" s="50"/>
      <c r="GAL352" s="50"/>
      <c r="GAM352" s="50"/>
      <c r="GAN352" s="50"/>
      <c r="GAO352" s="50"/>
      <c r="GAP352" s="50"/>
      <c r="GAQ352" s="50"/>
      <c r="GAR352" s="50"/>
      <c r="GAS352" s="50"/>
      <c r="GAT352" s="50"/>
      <c r="GAU352" s="50"/>
      <c r="GAV352" s="50"/>
      <c r="GAW352" s="50"/>
      <c r="GAX352" s="50"/>
      <c r="GAY352" s="50"/>
      <c r="GAZ352" s="50"/>
      <c r="GBA352" s="50"/>
      <c r="GBB352" s="50"/>
      <c r="GBC352" s="50"/>
      <c r="GBD352" s="50"/>
      <c r="GBE352" s="50"/>
      <c r="GBF352" s="50"/>
      <c r="GBG352" s="50"/>
      <c r="GBH352" s="50"/>
      <c r="GBI352" s="50"/>
      <c r="GBJ352" s="50"/>
      <c r="GBK352" s="50"/>
      <c r="GBL352" s="50"/>
      <c r="GBM352" s="50"/>
      <c r="GBN352" s="50"/>
      <c r="GBO352" s="50"/>
      <c r="GBP352" s="50"/>
      <c r="GBQ352" s="50"/>
      <c r="GBR352" s="50"/>
      <c r="GBS352" s="50"/>
      <c r="GBT352" s="50"/>
      <c r="GBU352" s="50"/>
      <c r="GBV352" s="50"/>
      <c r="GBW352" s="50"/>
      <c r="GBX352" s="50"/>
      <c r="GBY352" s="50"/>
      <c r="GBZ352" s="50"/>
      <c r="GCA352" s="50"/>
      <c r="GCB352" s="50"/>
      <c r="GCC352" s="50"/>
      <c r="GCD352" s="50"/>
      <c r="GCE352" s="50"/>
      <c r="GCF352" s="50"/>
      <c r="GCG352" s="50"/>
      <c r="GCH352" s="50"/>
      <c r="GCI352" s="50"/>
      <c r="GCJ352" s="50"/>
      <c r="GCK352" s="50"/>
      <c r="GCL352" s="50"/>
      <c r="GCM352" s="50"/>
      <c r="GCN352" s="50"/>
      <c r="GCO352" s="50"/>
      <c r="GCP352" s="50"/>
      <c r="GCQ352" s="50"/>
      <c r="GCR352" s="50"/>
      <c r="GCS352" s="50"/>
      <c r="GCT352" s="50"/>
      <c r="GCU352" s="50"/>
      <c r="GCV352" s="50"/>
      <c r="GCW352" s="50"/>
      <c r="GCX352" s="50"/>
      <c r="GCY352" s="50"/>
      <c r="GCZ352" s="50"/>
      <c r="GDA352" s="50"/>
      <c r="GDB352" s="50"/>
      <c r="GDC352" s="50"/>
      <c r="GDD352" s="50"/>
      <c r="GDE352" s="50"/>
      <c r="GDF352" s="50"/>
      <c r="GDG352" s="50"/>
      <c r="GDH352" s="50"/>
      <c r="GDI352" s="50"/>
      <c r="GDJ352" s="50"/>
      <c r="GDK352" s="50"/>
      <c r="GDL352" s="50"/>
      <c r="GDM352" s="50"/>
      <c r="GDN352" s="50"/>
      <c r="GDO352" s="50"/>
      <c r="GDP352" s="50"/>
      <c r="GDQ352" s="50"/>
      <c r="GDR352" s="50"/>
      <c r="GDS352" s="50"/>
      <c r="GDT352" s="50"/>
      <c r="GDU352" s="50"/>
      <c r="GDV352" s="50"/>
      <c r="GDW352" s="50"/>
      <c r="GDX352" s="50"/>
      <c r="GDY352" s="50"/>
      <c r="GDZ352" s="50"/>
      <c r="GEA352" s="50"/>
      <c r="GEB352" s="50"/>
      <c r="GEC352" s="50"/>
      <c r="GED352" s="50"/>
      <c r="GEE352" s="50"/>
      <c r="GEF352" s="50"/>
      <c r="GEG352" s="50"/>
      <c r="GEH352" s="50"/>
      <c r="GEI352" s="50"/>
      <c r="GEJ352" s="50"/>
      <c r="GEK352" s="50"/>
      <c r="GEL352" s="50"/>
      <c r="GEM352" s="50"/>
      <c r="GEN352" s="50"/>
      <c r="GEO352" s="50"/>
      <c r="GEP352" s="50"/>
      <c r="GEQ352" s="50"/>
      <c r="GER352" s="50"/>
      <c r="GES352" s="50"/>
      <c r="GET352" s="50"/>
      <c r="GEU352" s="50"/>
      <c r="GEV352" s="50"/>
      <c r="GEW352" s="50"/>
      <c r="GEX352" s="50"/>
      <c r="GEY352" s="50"/>
      <c r="GEZ352" s="50"/>
      <c r="GFA352" s="50"/>
      <c r="GFB352" s="50"/>
      <c r="GFC352" s="50"/>
      <c r="GFD352" s="50"/>
      <c r="GFE352" s="50"/>
      <c r="GFF352" s="50"/>
      <c r="GFG352" s="50"/>
      <c r="GFH352" s="50"/>
      <c r="GFI352" s="50"/>
      <c r="GFJ352" s="50"/>
      <c r="GFK352" s="50"/>
      <c r="GFL352" s="50"/>
      <c r="GFM352" s="50"/>
      <c r="GFN352" s="50"/>
      <c r="GFO352" s="50"/>
      <c r="GFP352" s="50"/>
      <c r="GFQ352" s="50"/>
      <c r="GFR352" s="50"/>
      <c r="GFS352" s="50"/>
      <c r="GFT352" s="50"/>
      <c r="GFU352" s="50"/>
      <c r="GFV352" s="50"/>
      <c r="GFW352" s="50"/>
      <c r="GFX352" s="50"/>
      <c r="GFY352" s="50"/>
      <c r="GFZ352" s="50"/>
      <c r="GGA352" s="50"/>
      <c r="GGB352" s="50"/>
      <c r="GGC352" s="50"/>
      <c r="GGD352" s="50"/>
      <c r="GGE352" s="50"/>
      <c r="GGF352" s="50"/>
      <c r="GGG352" s="50"/>
      <c r="GGH352" s="50"/>
      <c r="GGI352" s="50"/>
      <c r="GGJ352" s="50"/>
      <c r="GGK352" s="50"/>
      <c r="GGL352" s="50"/>
      <c r="GGM352" s="50"/>
      <c r="GGN352" s="50"/>
      <c r="GGO352" s="50"/>
      <c r="GGP352" s="50"/>
      <c r="GGQ352" s="50"/>
      <c r="GGR352" s="50"/>
      <c r="GGS352" s="50"/>
      <c r="GGT352" s="50"/>
      <c r="GGU352" s="50"/>
      <c r="GGV352" s="50"/>
      <c r="GGW352" s="50"/>
      <c r="GGX352" s="50"/>
      <c r="GGY352" s="50"/>
      <c r="GGZ352" s="50"/>
      <c r="GHA352" s="50"/>
      <c r="GHB352" s="50"/>
      <c r="GHC352" s="50"/>
      <c r="GHD352" s="50"/>
      <c r="GHE352" s="50"/>
      <c r="GHF352" s="50"/>
      <c r="GHG352" s="50"/>
      <c r="GHH352" s="50"/>
      <c r="GHI352" s="50"/>
      <c r="GHJ352" s="50"/>
      <c r="GHK352" s="50"/>
      <c r="GHL352" s="50"/>
      <c r="GHM352" s="50"/>
      <c r="GHN352" s="50"/>
      <c r="GHO352" s="50"/>
      <c r="GHP352" s="50"/>
      <c r="GHQ352" s="50"/>
      <c r="GHR352" s="50"/>
      <c r="GHS352" s="50"/>
      <c r="GHT352" s="50"/>
      <c r="GHU352" s="50"/>
      <c r="GHV352" s="50"/>
      <c r="GHW352" s="50"/>
      <c r="GHX352" s="50"/>
      <c r="GHY352" s="50"/>
      <c r="GHZ352" s="50"/>
      <c r="GIA352" s="50"/>
      <c r="GIB352" s="50"/>
      <c r="GIC352" s="50"/>
      <c r="GID352" s="50"/>
      <c r="GIE352" s="50"/>
      <c r="GIF352" s="50"/>
      <c r="GIG352" s="50"/>
      <c r="GIH352" s="50"/>
      <c r="GII352" s="50"/>
      <c r="GIJ352" s="50"/>
      <c r="GIK352" s="50"/>
      <c r="GIL352" s="50"/>
      <c r="GIM352" s="50"/>
      <c r="GIN352" s="50"/>
      <c r="GIO352" s="50"/>
      <c r="GIP352" s="50"/>
      <c r="GIQ352" s="50"/>
      <c r="GIR352" s="50"/>
      <c r="GIS352" s="50"/>
      <c r="GIT352" s="50"/>
      <c r="GIU352" s="50"/>
      <c r="GIV352" s="50"/>
      <c r="GIW352" s="50"/>
      <c r="GIX352" s="50"/>
      <c r="GIY352" s="50"/>
      <c r="GIZ352" s="50"/>
      <c r="GJA352" s="50"/>
      <c r="GJB352" s="50"/>
      <c r="GJC352" s="50"/>
      <c r="GJD352" s="50"/>
      <c r="GJE352" s="50"/>
      <c r="GJF352" s="50"/>
      <c r="GJG352" s="50"/>
      <c r="GJH352" s="50"/>
      <c r="GJI352" s="50"/>
      <c r="GJJ352" s="50"/>
      <c r="GJK352" s="50"/>
      <c r="GJL352" s="50"/>
      <c r="GJM352" s="50"/>
      <c r="GJN352" s="50"/>
      <c r="GJO352" s="50"/>
      <c r="GJP352" s="50"/>
      <c r="GJQ352" s="50"/>
      <c r="GJR352" s="50"/>
      <c r="GJS352" s="50"/>
      <c r="GJT352" s="50"/>
      <c r="GJU352" s="50"/>
      <c r="GJV352" s="50"/>
      <c r="GJW352" s="50"/>
      <c r="GJX352" s="50"/>
      <c r="GJY352" s="50"/>
      <c r="GJZ352" s="50"/>
      <c r="GKA352" s="50"/>
      <c r="GKB352" s="50"/>
      <c r="GKC352" s="50"/>
      <c r="GKD352" s="50"/>
      <c r="GKE352" s="50"/>
      <c r="GKF352" s="50"/>
      <c r="GKG352" s="50"/>
      <c r="GKH352" s="50"/>
      <c r="GKI352" s="50"/>
      <c r="GKJ352" s="50"/>
      <c r="GKK352" s="50"/>
      <c r="GKL352" s="50"/>
      <c r="GKM352" s="50"/>
      <c r="GKN352" s="50"/>
      <c r="GKO352" s="50"/>
      <c r="GKP352" s="50"/>
      <c r="GKQ352" s="50"/>
      <c r="GKR352" s="50"/>
      <c r="GKS352" s="50"/>
      <c r="GKT352" s="50"/>
      <c r="GKU352" s="50"/>
      <c r="GKV352" s="50"/>
      <c r="GKW352" s="50"/>
      <c r="GKX352" s="50"/>
      <c r="GKY352" s="50"/>
      <c r="GKZ352" s="50"/>
      <c r="GLA352" s="50"/>
      <c r="GLB352" s="50"/>
      <c r="GLC352" s="50"/>
      <c r="GLD352" s="50"/>
      <c r="GLE352" s="50"/>
      <c r="GLF352" s="50"/>
      <c r="GLG352" s="50"/>
      <c r="GLH352" s="50"/>
      <c r="GLI352" s="50"/>
      <c r="GLJ352" s="50"/>
      <c r="GLK352" s="50"/>
      <c r="GLL352" s="50"/>
      <c r="GLM352" s="50"/>
      <c r="GLN352" s="50"/>
      <c r="GLO352" s="50"/>
      <c r="GLP352" s="50"/>
      <c r="GLQ352" s="50"/>
      <c r="GLR352" s="50"/>
      <c r="GLS352" s="50"/>
      <c r="GLT352" s="50"/>
      <c r="GLU352" s="50"/>
      <c r="GLV352" s="50"/>
      <c r="GLW352" s="50"/>
      <c r="GLX352" s="50"/>
      <c r="GLY352" s="50"/>
      <c r="GLZ352" s="50"/>
      <c r="GMA352" s="50"/>
      <c r="GMB352" s="50"/>
      <c r="GMC352" s="50"/>
      <c r="GMD352" s="50"/>
      <c r="GME352" s="50"/>
      <c r="GMF352" s="50"/>
      <c r="GMG352" s="50"/>
      <c r="GMH352" s="50"/>
      <c r="GMI352" s="50"/>
      <c r="GMJ352" s="50"/>
      <c r="GMK352" s="50"/>
      <c r="GML352" s="50"/>
      <c r="GMM352" s="50"/>
      <c r="GMN352" s="50"/>
      <c r="GMO352" s="50"/>
      <c r="GMP352" s="50"/>
      <c r="GMQ352" s="50"/>
      <c r="GMR352" s="50"/>
      <c r="GMS352" s="50"/>
      <c r="GMT352" s="50"/>
      <c r="GMU352" s="50"/>
      <c r="GMV352" s="50"/>
      <c r="GMW352" s="50"/>
      <c r="GMX352" s="50"/>
      <c r="GMY352" s="50"/>
      <c r="GMZ352" s="50"/>
      <c r="GNA352" s="50"/>
      <c r="GNB352" s="50"/>
      <c r="GNC352" s="50"/>
      <c r="GND352" s="50"/>
      <c r="GNE352" s="50"/>
      <c r="GNF352" s="50"/>
      <c r="GNG352" s="50"/>
      <c r="GNH352" s="50"/>
      <c r="GNI352" s="50"/>
      <c r="GNJ352" s="50"/>
      <c r="GNK352" s="50"/>
      <c r="GNL352" s="50"/>
      <c r="GNM352" s="50"/>
      <c r="GNN352" s="50"/>
      <c r="GNO352" s="50"/>
      <c r="GNP352" s="50"/>
      <c r="GNQ352" s="50"/>
      <c r="GNR352" s="50"/>
      <c r="GNS352" s="50"/>
      <c r="GNT352" s="50"/>
      <c r="GNU352" s="50"/>
      <c r="GNV352" s="50"/>
      <c r="GNW352" s="50"/>
      <c r="GNX352" s="50"/>
      <c r="GNY352" s="50"/>
      <c r="GNZ352" s="50"/>
      <c r="GOA352" s="50"/>
      <c r="GOB352" s="50"/>
      <c r="GOC352" s="50"/>
      <c r="GOD352" s="50"/>
      <c r="GOE352" s="50"/>
      <c r="GOF352" s="50"/>
      <c r="GOG352" s="50"/>
      <c r="GOH352" s="50"/>
      <c r="GOI352" s="50"/>
      <c r="GOJ352" s="50"/>
      <c r="GOK352" s="50"/>
      <c r="GOL352" s="50"/>
      <c r="GOM352" s="50"/>
      <c r="GON352" s="50"/>
      <c r="GOO352" s="50"/>
      <c r="GOP352" s="50"/>
      <c r="GOQ352" s="50"/>
      <c r="GOR352" s="50"/>
      <c r="GOS352" s="50"/>
      <c r="GOT352" s="50"/>
      <c r="GOU352" s="50"/>
      <c r="GOV352" s="50"/>
      <c r="GOW352" s="50"/>
      <c r="GOX352" s="50"/>
      <c r="GOY352" s="50"/>
      <c r="GOZ352" s="50"/>
      <c r="GPA352" s="50"/>
      <c r="GPB352" s="50"/>
      <c r="GPC352" s="50"/>
      <c r="GPD352" s="50"/>
      <c r="GPE352" s="50"/>
      <c r="GPF352" s="50"/>
      <c r="GPG352" s="50"/>
      <c r="GPH352" s="50"/>
      <c r="GPI352" s="50"/>
      <c r="GPJ352" s="50"/>
      <c r="GPK352" s="50"/>
      <c r="GPL352" s="50"/>
      <c r="GPM352" s="50"/>
      <c r="GPN352" s="50"/>
      <c r="GPO352" s="50"/>
      <c r="GPP352" s="50"/>
      <c r="GPQ352" s="50"/>
      <c r="GPR352" s="50"/>
      <c r="GPS352" s="50"/>
      <c r="GPT352" s="50"/>
      <c r="GPU352" s="50"/>
      <c r="GPV352" s="50"/>
      <c r="GPW352" s="50"/>
      <c r="GPX352" s="50"/>
      <c r="GPY352" s="50"/>
      <c r="GPZ352" s="50"/>
      <c r="GQA352" s="50"/>
      <c r="GQB352" s="50"/>
      <c r="GQC352" s="50"/>
      <c r="GQD352" s="50"/>
      <c r="GQE352" s="50"/>
      <c r="GQF352" s="50"/>
      <c r="GQG352" s="50"/>
      <c r="GQH352" s="50"/>
      <c r="GQI352" s="50"/>
      <c r="GQJ352" s="50"/>
      <c r="GQK352" s="50"/>
      <c r="GQL352" s="50"/>
      <c r="GQM352" s="50"/>
      <c r="GQN352" s="50"/>
      <c r="GQO352" s="50"/>
      <c r="GQP352" s="50"/>
      <c r="GQQ352" s="50"/>
      <c r="GQR352" s="50"/>
      <c r="GQS352" s="50"/>
      <c r="GQT352" s="50"/>
      <c r="GQU352" s="50"/>
      <c r="GQV352" s="50"/>
      <c r="GQW352" s="50"/>
      <c r="GQX352" s="50"/>
      <c r="GQY352" s="50"/>
      <c r="GQZ352" s="50"/>
      <c r="GRA352" s="50"/>
      <c r="GRB352" s="50"/>
      <c r="GRC352" s="50"/>
      <c r="GRD352" s="50"/>
      <c r="GRE352" s="50"/>
      <c r="GRF352" s="50"/>
      <c r="GRG352" s="50"/>
      <c r="GRH352" s="50"/>
      <c r="GRI352" s="50"/>
      <c r="GRJ352" s="50"/>
      <c r="GRK352" s="50"/>
      <c r="GRL352" s="50"/>
      <c r="GRM352" s="50"/>
      <c r="GRN352" s="50"/>
      <c r="GRO352" s="50"/>
      <c r="GRP352" s="50"/>
      <c r="GRQ352" s="50"/>
      <c r="GRR352" s="50"/>
      <c r="GRS352" s="50"/>
      <c r="GRT352" s="50"/>
      <c r="GRU352" s="50"/>
      <c r="GRV352" s="50"/>
      <c r="GRW352" s="50"/>
      <c r="GRX352" s="50"/>
      <c r="GRY352" s="50"/>
      <c r="GRZ352" s="50"/>
      <c r="GSA352" s="50"/>
      <c r="GSB352" s="50"/>
      <c r="GSC352" s="50"/>
      <c r="GSD352" s="50"/>
      <c r="GSE352" s="50"/>
      <c r="GSF352" s="50"/>
      <c r="GSG352" s="50"/>
      <c r="GSH352" s="50"/>
      <c r="GSI352" s="50"/>
      <c r="GSJ352" s="50"/>
      <c r="GSK352" s="50"/>
      <c r="GSL352" s="50"/>
      <c r="GSM352" s="50"/>
      <c r="GSN352" s="50"/>
      <c r="GSO352" s="50"/>
      <c r="GSP352" s="50"/>
      <c r="GSQ352" s="50"/>
      <c r="GSR352" s="50"/>
      <c r="GSS352" s="50"/>
      <c r="GST352" s="50"/>
      <c r="GSU352" s="50"/>
      <c r="GSV352" s="50"/>
      <c r="GSW352" s="50"/>
      <c r="GSX352" s="50"/>
      <c r="GSY352" s="50"/>
      <c r="GSZ352" s="50"/>
      <c r="GTA352" s="50"/>
      <c r="GTB352" s="50"/>
      <c r="GTC352" s="50"/>
      <c r="GTD352" s="50"/>
      <c r="GTE352" s="50"/>
      <c r="GTF352" s="50"/>
      <c r="GTG352" s="50"/>
      <c r="GTH352" s="50"/>
      <c r="GTI352" s="50"/>
      <c r="GTJ352" s="50"/>
      <c r="GTK352" s="50"/>
      <c r="GTL352" s="50"/>
      <c r="GTM352" s="50"/>
      <c r="GTN352" s="50"/>
      <c r="GTO352" s="50"/>
      <c r="GTP352" s="50"/>
      <c r="GTQ352" s="50"/>
      <c r="GTR352" s="50"/>
      <c r="GTS352" s="50"/>
      <c r="GTT352" s="50"/>
      <c r="GTU352" s="50"/>
      <c r="GTV352" s="50"/>
      <c r="GTW352" s="50"/>
      <c r="GTX352" s="50"/>
      <c r="GTY352" s="50"/>
      <c r="GTZ352" s="50"/>
      <c r="GUA352" s="50"/>
      <c r="GUB352" s="50"/>
      <c r="GUC352" s="50"/>
      <c r="GUD352" s="50"/>
      <c r="GUE352" s="50"/>
      <c r="GUF352" s="50"/>
      <c r="GUG352" s="50"/>
      <c r="GUH352" s="50"/>
      <c r="GUI352" s="50"/>
      <c r="GUJ352" s="50"/>
      <c r="GUK352" s="50"/>
      <c r="GUL352" s="50"/>
      <c r="GUM352" s="50"/>
      <c r="GUN352" s="50"/>
      <c r="GUO352" s="50"/>
      <c r="GUP352" s="50"/>
      <c r="GUQ352" s="50"/>
      <c r="GUR352" s="50"/>
      <c r="GUS352" s="50"/>
      <c r="GUT352" s="50"/>
      <c r="GUU352" s="50"/>
      <c r="GUV352" s="50"/>
      <c r="GUW352" s="50"/>
      <c r="GUX352" s="50"/>
      <c r="GUY352" s="50"/>
      <c r="GUZ352" s="50"/>
      <c r="GVA352" s="50"/>
      <c r="GVB352" s="50"/>
      <c r="GVC352" s="50"/>
      <c r="GVD352" s="50"/>
      <c r="GVE352" s="50"/>
      <c r="GVF352" s="50"/>
      <c r="GVG352" s="50"/>
      <c r="GVH352" s="50"/>
      <c r="GVI352" s="50"/>
      <c r="GVJ352" s="50"/>
      <c r="GVK352" s="50"/>
      <c r="GVL352" s="50"/>
      <c r="GVM352" s="50"/>
      <c r="GVN352" s="50"/>
      <c r="GVO352" s="50"/>
      <c r="GVP352" s="50"/>
      <c r="GVQ352" s="50"/>
      <c r="GVR352" s="50"/>
      <c r="GVS352" s="50"/>
      <c r="GVT352" s="50"/>
      <c r="GVU352" s="50"/>
      <c r="GVV352" s="50"/>
      <c r="GVW352" s="50"/>
      <c r="GVX352" s="50"/>
      <c r="GVY352" s="50"/>
      <c r="GVZ352" s="50"/>
      <c r="GWA352" s="50"/>
      <c r="GWB352" s="50"/>
      <c r="GWC352" s="50"/>
      <c r="GWD352" s="50"/>
      <c r="GWE352" s="50"/>
      <c r="GWF352" s="50"/>
      <c r="GWG352" s="50"/>
      <c r="GWH352" s="50"/>
      <c r="GWI352" s="50"/>
      <c r="GWJ352" s="50"/>
      <c r="GWK352" s="50"/>
      <c r="GWL352" s="50"/>
      <c r="GWM352" s="50"/>
      <c r="GWN352" s="50"/>
      <c r="GWO352" s="50"/>
      <c r="GWP352" s="50"/>
      <c r="GWQ352" s="50"/>
      <c r="GWR352" s="50"/>
      <c r="GWS352" s="50"/>
      <c r="GWT352" s="50"/>
      <c r="GWU352" s="50"/>
      <c r="GWV352" s="50"/>
      <c r="GWW352" s="50"/>
      <c r="GWX352" s="50"/>
      <c r="GWY352" s="50"/>
      <c r="GWZ352" s="50"/>
      <c r="GXA352" s="50"/>
      <c r="GXB352" s="50"/>
      <c r="GXC352" s="50"/>
      <c r="GXD352" s="50"/>
      <c r="GXE352" s="50"/>
      <c r="GXF352" s="50"/>
      <c r="GXG352" s="50"/>
      <c r="GXH352" s="50"/>
      <c r="GXI352" s="50"/>
      <c r="GXJ352" s="50"/>
      <c r="GXK352" s="50"/>
      <c r="GXL352" s="50"/>
      <c r="GXM352" s="50"/>
      <c r="GXN352" s="50"/>
      <c r="GXO352" s="50"/>
      <c r="GXP352" s="50"/>
      <c r="GXQ352" s="50"/>
      <c r="GXR352" s="50"/>
      <c r="GXS352" s="50"/>
      <c r="GXT352" s="50"/>
      <c r="GXU352" s="50"/>
      <c r="GXV352" s="50"/>
      <c r="GXW352" s="50"/>
      <c r="GXX352" s="50"/>
      <c r="GXY352" s="50"/>
      <c r="GXZ352" s="50"/>
      <c r="GYA352" s="50"/>
      <c r="GYB352" s="50"/>
      <c r="GYC352" s="50"/>
      <c r="GYD352" s="50"/>
      <c r="GYE352" s="50"/>
      <c r="GYF352" s="50"/>
      <c r="GYG352" s="50"/>
      <c r="GYH352" s="50"/>
      <c r="GYI352" s="50"/>
      <c r="GYJ352" s="50"/>
      <c r="GYK352" s="50"/>
      <c r="GYL352" s="50"/>
      <c r="GYM352" s="50"/>
      <c r="GYN352" s="50"/>
      <c r="GYO352" s="50"/>
      <c r="GYP352" s="50"/>
      <c r="GYQ352" s="50"/>
      <c r="GYR352" s="50"/>
      <c r="GYS352" s="50"/>
      <c r="GYT352" s="50"/>
      <c r="GYU352" s="50"/>
      <c r="GYV352" s="50"/>
      <c r="GYW352" s="50"/>
      <c r="GYX352" s="50"/>
      <c r="GYY352" s="50"/>
      <c r="GYZ352" s="50"/>
      <c r="GZA352" s="50"/>
      <c r="GZB352" s="50"/>
      <c r="GZC352" s="50"/>
      <c r="GZD352" s="50"/>
      <c r="GZE352" s="50"/>
      <c r="GZF352" s="50"/>
      <c r="GZG352" s="50"/>
      <c r="GZH352" s="50"/>
      <c r="GZI352" s="50"/>
      <c r="GZJ352" s="50"/>
      <c r="GZK352" s="50"/>
      <c r="GZL352" s="50"/>
      <c r="GZM352" s="50"/>
      <c r="GZN352" s="50"/>
      <c r="GZO352" s="50"/>
      <c r="GZP352" s="50"/>
      <c r="GZQ352" s="50"/>
      <c r="GZR352" s="50"/>
      <c r="GZS352" s="50"/>
      <c r="GZT352" s="50"/>
      <c r="GZU352" s="50"/>
      <c r="GZV352" s="50"/>
      <c r="GZW352" s="50"/>
      <c r="GZX352" s="50"/>
      <c r="GZY352" s="50"/>
      <c r="GZZ352" s="50"/>
      <c r="HAA352" s="50"/>
      <c r="HAB352" s="50"/>
      <c r="HAC352" s="50"/>
      <c r="HAD352" s="50"/>
      <c r="HAE352" s="50"/>
      <c r="HAF352" s="50"/>
      <c r="HAG352" s="50"/>
      <c r="HAH352" s="50"/>
      <c r="HAI352" s="50"/>
      <c r="HAJ352" s="50"/>
      <c r="HAK352" s="50"/>
      <c r="HAL352" s="50"/>
      <c r="HAM352" s="50"/>
      <c r="HAN352" s="50"/>
      <c r="HAO352" s="50"/>
      <c r="HAP352" s="50"/>
      <c r="HAQ352" s="50"/>
      <c r="HAR352" s="50"/>
      <c r="HAS352" s="50"/>
      <c r="HAT352" s="50"/>
      <c r="HAU352" s="50"/>
      <c r="HAV352" s="50"/>
      <c r="HAW352" s="50"/>
      <c r="HAX352" s="50"/>
      <c r="HAY352" s="50"/>
      <c r="HAZ352" s="50"/>
      <c r="HBA352" s="50"/>
      <c r="HBB352" s="50"/>
      <c r="HBC352" s="50"/>
      <c r="HBD352" s="50"/>
      <c r="HBE352" s="50"/>
      <c r="HBF352" s="50"/>
      <c r="HBG352" s="50"/>
      <c r="HBH352" s="50"/>
      <c r="HBI352" s="50"/>
      <c r="HBJ352" s="50"/>
      <c r="HBK352" s="50"/>
      <c r="HBL352" s="50"/>
      <c r="HBM352" s="50"/>
      <c r="HBN352" s="50"/>
      <c r="HBO352" s="50"/>
      <c r="HBP352" s="50"/>
      <c r="HBQ352" s="50"/>
      <c r="HBR352" s="50"/>
      <c r="HBS352" s="50"/>
      <c r="HBT352" s="50"/>
      <c r="HBU352" s="50"/>
      <c r="HBV352" s="50"/>
      <c r="HBW352" s="50"/>
      <c r="HBX352" s="50"/>
      <c r="HBY352" s="50"/>
      <c r="HBZ352" s="50"/>
      <c r="HCA352" s="50"/>
      <c r="HCB352" s="50"/>
      <c r="HCC352" s="50"/>
      <c r="HCD352" s="50"/>
      <c r="HCE352" s="50"/>
      <c r="HCF352" s="50"/>
      <c r="HCG352" s="50"/>
      <c r="HCH352" s="50"/>
      <c r="HCI352" s="50"/>
      <c r="HCJ352" s="50"/>
      <c r="HCK352" s="50"/>
      <c r="HCL352" s="50"/>
      <c r="HCM352" s="50"/>
      <c r="HCN352" s="50"/>
      <c r="HCO352" s="50"/>
      <c r="HCP352" s="50"/>
      <c r="HCQ352" s="50"/>
      <c r="HCR352" s="50"/>
      <c r="HCS352" s="50"/>
      <c r="HCT352" s="50"/>
      <c r="HCU352" s="50"/>
      <c r="HCV352" s="50"/>
      <c r="HCW352" s="50"/>
      <c r="HCX352" s="50"/>
      <c r="HCY352" s="50"/>
      <c r="HCZ352" s="50"/>
      <c r="HDA352" s="50"/>
      <c r="HDB352" s="50"/>
      <c r="HDC352" s="50"/>
      <c r="HDD352" s="50"/>
      <c r="HDE352" s="50"/>
      <c r="HDF352" s="50"/>
      <c r="HDG352" s="50"/>
      <c r="HDH352" s="50"/>
      <c r="HDI352" s="50"/>
      <c r="HDJ352" s="50"/>
      <c r="HDK352" s="50"/>
      <c r="HDL352" s="50"/>
      <c r="HDM352" s="50"/>
      <c r="HDN352" s="50"/>
      <c r="HDO352" s="50"/>
      <c r="HDP352" s="50"/>
      <c r="HDQ352" s="50"/>
      <c r="HDR352" s="50"/>
      <c r="HDS352" s="50"/>
      <c r="HDT352" s="50"/>
      <c r="HDU352" s="50"/>
      <c r="HDV352" s="50"/>
      <c r="HDW352" s="50"/>
      <c r="HDX352" s="50"/>
      <c r="HDY352" s="50"/>
      <c r="HDZ352" s="50"/>
      <c r="HEA352" s="50"/>
      <c r="HEB352" s="50"/>
      <c r="HEC352" s="50"/>
      <c r="HED352" s="50"/>
      <c r="HEE352" s="50"/>
      <c r="HEF352" s="50"/>
      <c r="HEG352" s="50"/>
      <c r="HEH352" s="50"/>
      <c r="HEI352" s="50"/>
      <c r="HEJ352" s="50"/>
      <c r="HEK352" s="50"/>
      <c r="HEL352" s="50"/>
      <c r="HEM352" s="50"/>
      <c r="HEN352" s="50"/>
      <c r="HEO352" s="50"/>
      <c r="HEP352" s="50"/>
      <c r="HEQ352" s="50"/>
      <c r="HER352" s="50"/>
      <c r="HES352" s="50"/>
      <c r="HET352" s="50"/>
      <c r="HEU352" s="50"/>
      <c r="HEV352" s="50"/>
      <c r="HEW352" s="50"/>
      <c r="HEX352" s="50"/>
      <c r="HEY352" s="50"/>
      <c r="HEZ352" s="50"/>
      <c r="HFA352" s="50"/>
      <c r="HFB352" s="50"/>
      <c r="HFC352" s="50"/>
      <c r="HFD352" s="50"/>
      <c r="HFE352" s="50"/>
      <c r="HFF352" s="50"/>
      <c r="HFG352" s="50"/>
      <c r="HFH352" s="50"/>
      <c r="HFI352" s="50"/>
      <c r="HFJ352" s="50"/>
      <c r="HFK352" s="50"/>
      <c r="HFL352" s="50"/>
      <c r="HFM352" s="50"/>
      <c r="HFN352" s="50"/>
      <c r="HFO352" s="50"/>
      <c r="HFP352" s="50"/>
      <c r="HFQ352" s="50"/>
      <c r="HFR352" s="50"/>
      <c r="HFS352" s="50"/>
      <c r="HFT352" s="50"/>
      <c r="HFU352" s="50"/>
      <c r="HFV352" s="50"/>
      <c r="HFW352" s="50"/>
      <c r="HFX352" s="50"/>
      <c r="HFY352" s="50"/>
      <c r="HFZ352" s="50"/>
      <c r="HGA352" s="50"/>
      <c r="HGB352" s="50"/>
      <c r="HGC352" s="50"/>
      <c r="HGD352" s="50"/>
      <c r="HGE352" s="50"/>
      <c r="HGF352" s="50"/>
      <c r="HGG352" s="50"/>
      <c r="HGH352" s="50"/>
      <c r="HGI352" s="50"/>
      <c r="HGJ352" s="50"/>
      <c r="HGK352" s="50"/>
      <c r="HGL352" s="50"/>
      <c r="HGM352" s="50"/>
      <c r="HGN352" s="50"/>
      <c r="HGO352" s="50"/>
      <c r="HGP352" s="50"/>
      <c r="HGQ352" s="50"/>
      <c r="HGR352" s="50"/>
      <c r="HGS352" s="50"/>
      <c r="HGT352" s="50"/>
      <c r="HGU352" s="50"/>
      <c r="HGV352" s="50"/>
      <c r="HGW352" s="50"/>
      <c r="HGX352" s="50"/>
      <c r="HGY352" s="50"/>
      <c r="HGZ352" s="50"/>
      <c r="HHA352" s="50"/>
      <c r="HHB352" s="50"/>
      <c r="HHC352" s="50"/>
      <c r="HHD352" s="50"/>
      <c r="HHE352" s="50"/>
      <c r="HHF352" s="50"/>
      <c r="HHG352" s="50"/>
      <c r="HHH352" s="50"/>
      <c r="HHI352" s="50"/>
      <c r="HHJ352" s="50"/>
      <c r="HHK352" s="50"/>
      <c r="HHL352" s="50"/>
      <c r="HHM352" s="50"/>
      <c r="HHN352" s="50"/>
      <c r="HHO352" s="50"/>
      <c r="HHP352" s="50"/>
      <c r="HHQ352" s="50"/>
      <c r="HHR352" s="50"/>
      <c r="HHS352" s="50"/>
      <c r="HHT352" s="50"/>
      <c r="HHU352" s="50"/>
      <c r="HHV352" s="50"/>
      <c r="HHW352" s="50"/>
      <c r="HHX352" s="50"/>
      <c r="HHY352" s="50"/>
      <c r="HHZ352" s="50"/>
      <c r="HIA352" s="50"/>
      <c r="HIB352" s="50"/>
      <c r="HIC352" s="50"/>
      <c r="HID352" s="50"/>
      <c r="HIE352" s="50"/>
      <c r="HIF352" s="50"/>
      <c r="HIG352" s="50"/>
      <c r="HIH352" s="50"/>
      <c r="HII352" s="50"/>
      <c r="HIJ352" s="50"/>
      <c r="HIK352" s="50"/>
      <c r="HIL352" s="50"/>
      <c r="HIM352" s="50"/>
      <c r="HIN352" s="50"/>
      <c r="HIO352" s="50"/>
      <c r="HIP352" s="50"/>
      <c r="HIQ352" s="50"/>
      <c r="HIR352" s="50"/>
      <c r="HIS352" s="50"/>
      <c r="HIT352" s="50"/>
      <c r="HIU352" s="50"/>
      <c r="HIV352" s="50"/>
      <c r="HIW352" s="50"/>
      <c r="HIX352" s="50"/>
      <c r="HIY352" s="50"/>
      <c r="HIZ352" s="50"/>
      <c r="HJA352" s="50"/>
      <c r="HJB352" s="50"/>
      <c r="HJC352" s="50"/>
      <c r="HJD352" s="50"/>
      <c r="HJE352" s="50"/>
      <c r="HJF352" s="50"/>
      <c r="HJG352" s="50"/>
      <c r="HJH352" s="50"/>
      <c r="HJI352" s="50"/>
      <c r="HJJ352" s="50"/>
      <c r="HJK352" s="50"/>
      <c r="HJL352" s="50"/>
      <c r="HJM352" s="50"/>
      <c r="HJN352" s="50"/>
      <c r="HJO352" s="50"/>
      <c r="HJP352" s="50"/>
      <c r="HJQ352" s="50"/>
      <c r="HJR352" s="50"/>
      <c r="HJS352" s="50"/>
      <c r="HJT352" s="50"/>
      <c r="HJU352" s="50"/>
      <c r="HJV352" s="50"/>
      <c r="HJW352" s="50"/>
      <c r="HJX352" s="50"/>
      <c r="HJY352" s="50"/>
      <c r="HJZ352" s="50"/>
      <c r="HKA352" s="50"/>
      <c r="HKB352" s="50"/>
      <c r="HKC352" s="50"/>
      <c r="HKD352" s="50"/>
      <c r="HKE352" s="50"/>
      <c r="HKF352" s="50"/>
      <c r="HKG352" s="50"/>
      <c r="HKH352" s="50"/>
      <c r="HKI352" s="50"/>
      <c r="HKJ352" s="50"/>
      <c r="HKK352" s="50"/>
      <c r="HKL352" s="50"/>
      <c r="HKM352" s="50"/>
      <c r="HKN352" s="50"/>
      <c r="HKO352" s="50"/>
      <c r="HKP352" s="50"/>
      <c r="HKQ352" s="50"/>
      <c r="HKR352" s="50"/>
      <c r="HKS352" s="50"/>
      <c r="HKT352" s="50"/>
      <c r="HKU352" s="50"/>
      <c r="HKV352" s="50"/>
      <c r="HKW352" s="50"/>
      <c r="HKX352" s="50"/>
      <c r="HKY352" s="50"/>
      <c r="HKZ352" s="50"/>
      <c r="HLA352" s="50"/>
      <c r="HLB352" s="50"/>
      <c r="HLC352" s="50"/>
      <c r="HLD352" s="50"/>
      <c r="HLE352" s="50"/>
      <c r="HLF352" s="50"/>
      <c r="HLG352" s="50"/>
      <c r="HLH352" s="50"/>
      <c r="HLI352" s="50"/>
      <c r="HLJ352" s="50"/>
      <c r="HLK352" s="50"/>
      <c r="HLL352" s="50"/>
      <c r="HLM352" s="50"/>
      <c r="HLN352" s="50"/>
      <c r="HLO352" s="50"/>
      <c r="HLP352" s="50"/>
      <c r="HLQ352" s="50"/>
      <c r="HLR352" s="50"/>
      <c r="HLS352" s="50"/>
      <c r="HLT352" s="50"/>
      <c r="HLU352" s="50"/>
      <c r="HLV352" s="50"/>
      <c r="HLW352" s="50"/>
      <c r="HLX352" s="50"/>
      <c r="HLY352" s="50"/>
      <c r="HLZ352" s="50"/>
      <c r="HMA352" s="50"/>
      <c r="HMB352" s="50"/>
      <c r="HMC352" s="50"/>
      <c r="HMD352" s="50"/>
      <c r="HME352" s="50"/>
      <c r="HMF352" s="50"/>
      <c r="HMG352" s="50"/>
      <c r="HMH352" s="50"/>
      <c r="HMI352" s="50"/>
      <c r="HMJ352" s="50"/>
      <c r="HMK352" s="50"/>
      <c r="HML352" s="50"/>
      <c r="HMM352" s="50"/>
      <c r="HMN352" s="50"/>
      <c r="HMO352" s="50"/>
      <c r="HMP352" s="50"/>
      <c r="HMQ352" s="50"/>
      <c r="HMR352" s="50"/>
      <c r="HMS352" s="50"/>
      <c r="HMT352" s="50"/>
      <c r="HMU352" s="50"/>
      <c r="HMV352" s="50"/>
      <c r="HMW352" s="50"/>
      <c r="HMX352" s="50"/>
      <c r="HMY352" s="50"/>
      <c r="HMZ352" s="50"/>
      <c r="HNA352" s="50"/>
      <c r="HNB352" s="50"/>
      <c r="HNC352" s="50"/>
      <c r="HND352" s="50"/>
      <c r="HNE352" s="50"/>
      <c r="HNF352" s="50"/>
      <c r="HNG352" s="50"/>
      <c r="HNH352" s="50"/>
      <c r="HNI352" s="50"/>
      <c r="HNJ352" s="50"/>
      <c r="HNK352" s="50"/>
      <c r="HNL352" s="50"/>
      <c r="HNM352" s="50"/>
      <c r="HNN352" s="50"/>
      <c r="HNO352" s="50"/>
      <c r="HNP352" s="50"/>
      <c r="HNQ352" s="50"/>
      <c r="HNR352" s="50"/>
      <c r="HNS352" s="50"/>
      <c r="HNT352" s="50"/>
      <c r="HNU352" s="50"/>
      <c r="HNV352" s="50"/>
      <c r="HNW352" s="50"/>
      <c r="HNX352" s="50"/>
      <c r="HNY352" s="50"/>
      <c r="HNZ352" s="50"/>
      <c r="HOA352" s="50"/>
      <c r="HOB352" s="50"/>
      <c r="HOC352" s="50"/>
      <c r="HOD352" s="50"/>
      <c r="HOE352" s="50"/>
      <c r="HOF352" s="50"/>
      <c r="HOG352" s="50"/>
      <c r="HOH352" s="50"/>
      <c r="HOI352" s="50"/>
      <c r="HOJ352" s="50"/>
      <c r="HOK352" s="50"/>
      <c r="HOL352" s="50"/>
      <c r="HOM352" s="50"/>
      <c r="HON352" s="50"/>
      <c r="HOO352" s="50"/>
      <c r="HOP352" s="50"/>
      <c r="HOQ352" s="50"/>
      <c r="HOR352" s="50"/>
      <c r="HOS352" s="50"/>
      <c r="HOT352" s="50"/>
      <c r="HOU352" s="50"/>
      <c r="HOV352" s="50"/>
      <c r="HOW352" s="50"/>
      <c r="HOX352" s="50"/>
      <c r="HOY352" s="50"/>
      <c r="HOZ352" s="50"/>
      <c r="HPA352" s="50"/>
      <c r="HPB352" s="50"/>
      <c r="HPC352" s="50"/>
      <c r="HPD352" s="50"/>
      <c r="HPE352" s="50"/>
      <c r="HPF352" s="50"/>
      <c r="HPG352" s="50"/>
      <c r="HPH352" s="50"/>
      <c r="HPI352" s="50"/>
      <c r="HPJ352" s="50"/>
      <c r="HPK352" s="50"/>
      <c r="HPL352" s="50"/>
      <c r="HPM352" s="50"/>
      <c r="HPN352" s="50"/>
      <c r="HPO352" s="50"/>
      <c r="HPP352" s="50"/>
      <c r="HPQ352" s="50"/>
      <c r="HPR352" s="50"/>
      <c r="HPS352" s="50"/>
      <c r="HPT352" s="50"/>
      <c r="HPU352" s="50"/>
      <c r="HPV352" s="50"/>
      <c r="HPW352" s="50"/>
      <c r="HPX352" s="50"/>
      <c r="HPY352" s="50"/>
      <c r="HPZ352" s="50"/>
      <c r="HQA352" s="50"/>
      <c r="HQB352" s="50"/>
      <c r="HQC352" s="50"/>
      <c r="HQD352" s="50"/>
      <c r="HQE352" s="50"/>
      <c r="HQF352" s="50"/>
      <c r="HQG352" s="50"/>
      <c r="HQH352" s="50"/>
      <c r="HQI352" s="50"/>
      <c r="HQJ352" s="50"/>
      <c r="HQK352" s="50"/>
      <c r="HQL352" s="50"/>
      <c r="HQM352" s="50"/>
      <c r="HQN352" s="50"/>
      <c r="HQO352" s="50"/>
      <c r="HQP352" s="50"/>
      <c r="HQQ352" s="50"/>
      <c r="HQR352" s="50"/>
      <c r="HQS352" s="50"/>
      <c r="HQT352" s="50"/>
      <c r="HQU352" s="50"/>
      <c r="HQV352" s="50"/>
      <c r="HQW352" s="50"/>
      <c r="HQX352" s="50"/>
      <c r="HQY352" s="50"/>
      <c r="HQZ352" s="50"/>
      <c r="HRA352" s="50"/>
      <c r="HRB352" s="50"/>
      <c r="HRC352" s="50"/>
      <c r="HRD352" s="50"/>
      <c r="HRE352" s="50"/>
      <c r="HRF352" s="50"/>
      <c r="HRG352" s="50"/>
      <c r="HRH352" s="50"/>
      <c r="HRI352" s="50"/>
      <c r="HRJ352" s="50"/>
      <c r="HRK352" s="50"/>
      <c r="HRL352" s="50"/>
      <c r="HRM352" s="50"/>
      <c r="HRN352" s="50"/>
      <c r="HRO352" s="50"/>
      <c r="HRP352" s="50"/>
      <c r="HRQ352" s="50"/>
      <c r="HRR352" s="50"/>
      <c r="HRS352" s="50"/>
      <c r="HRT352" s="50"/>
      <c r="HRU352" s="50"/>
      <c r="HRV352" s="50"/>
      <c r="HRW352" s="50"/>
      <c r="HRX352" s="50"/>
      <c r="HRY352" s="50"/>
      <c r="HRZ352" s="50"/>
      <c r="HSA352" s="50"/>
      <c r="HSB352" s="50"/>
      <c r="HSC352" s="50"/>
      <c r="HSD352" s="50"/>
      <c r="HSE352" s="50"/>
      <c r="HSF352" s="50"/>
      <c r="HSG352" s="50"/>
      <c r="HSH352" s="50"/>
      <c r="HSI352" s="50"/>
      <c r="HSJ352" s="50"/>
      <c r="HSK352" s="50"/>
      <c r="HSL352" s="50"/>
      <c r="HSM352" s="50"/>
      <c r="HSN352" s="50"/>
      <c r="HSO352" s="50"/>
      <c r="HSP352" s="50"/>
      <c r="HSQ352" s="50"/>
      <c r="HSR352" s="50"/>
      <c r="HSS352" s="50"/>
      <c r="HST352" s="50"/>
      <c r="HSU352" s="50"/>
      <c r="HSV352" s="50"/>
      <c r="HSW352" s="50"/>
      <c r="HSX352" s="50"/>
      <c r="HSY352" s="50"/>
      <c r="HSZ352" s="50"/>
      <c r="HTA352" s="50"/>
      <c r="HTB352" s="50"/>
      <c r="HTC352" s="50"/>
      <c r="HTD352" s="50"/>
      <c r="HTE352" s="50"/>
      <c r="HTF352" s="50"/>
      <c r="HTG352" s="50"/>
      <c r="HTH352" s="50"/>
      <c r="HTI352" s="50"/>
      <c r="HTJ352" s="50"/>
      <c r="HTK352" s="50"/>
      <c r="HTL352" s="50"/>
      <c r="HTM352" s="50"/>
      <c r="HTN352" s="50"/>
      <c r="HTO352" s="50"/>
      <c r="HTP352" s="50"/>
      <c r="HTQ352" s="50"/>
      <c r="HTR352" s="50"/>
      <c r="HTS352" s="50"/>
      <c r="HTT352" s="50"/>
      <c r="HTU352" s="50"/>
      <c r="HTV352" s="50"/>
      <c r="HTW352" s="50"/>
      <c r="HTX352" s="50"/>
      <c r="HTY352" s="50"/>
      <c r="HTZ352" s="50"/>
      <c r="HUA352" s="50"/>
      <c r="HUB352" s="50"/>
      <c r="HUC352" s="50"/>
      <c r="HUD352" s="50"/>
      <c r="HUE352" s="50"/>
      <c r="HUF352" s="50"/>
      <c r="HUG352" s="50"/>
      <c r="HUH352" s="50"/>
      <c r="HUI352" s="50"/>
      <c r="HUJ352" s="50"/>
      <c r="HUK352" s="50"/>
      <c r="HUL352" s="50"/>
      <c r="HUM352" s="50"/>
      <c r="HUN352" s="50"/>
      <c r="HUO352" s="50"/>
      <c r="HUP352" s="50"/>
      <c r="HUQ352" s="50"/>
      <c r="HUR352" s="50"/>
      <c r="HUS352" s="50"/>
      <c r="HUT352" s="50"/>
      <c r="HUU352" s="50"/>
      <c r="HUV352" s="50"/>
      <c r="HUW352" s="50"/>
      <c r="HUX352" s="50"/>
      <c r="HUY352" s="50"/>
      <c r="HUZ352" s="50"/>
      <c r="HVA352" s="50"/>
      <c r="HVB352" s="50"/>
      <c r="HVC352" s="50"/>
      <c r="HVD352" s="50"/>
      <c r="HVE352" s="50"/>
      <c r="HVF352" s="50"/>
      <c r="HVG352" s="50"/>
      <c r="HVH352" s="50"/>
      <c r="HVI352" s="50"/>
      <c r="HVJ352" s="50"/>
      <c r="HVK352" s="50"/>
      <c r="HVL352" s="50"/>
      <c r="HVM352" s="50"/>
      <c r="HVN352" s="50"/>
      <c r="HVO352" s="50"/>
      <c r="HVP352" s="50"/>
      <c r="HVQ352" s="50"/>
      <c r="HVR352" s="50"/>
      <c r="HVS352" s="50"/>
      <c r="HVT352" s="50"/>
      <c r="HVU352" s="50"/>
      <c r="HVV352" s="50"/>
      <c r="HVW352" s="50"/>
      <c r="HVX352" s="50"/>
      <c r="HVY352" s="50"/>
      <c r="HVZ352" s="50"/>
      <c r="HWA352" s="50"/>
      <c r="HWB352" s="50"/>
      <c r="HWC352" s="50"/>
      <c r="HWD352" s="50"/>
      <c r="HWE352" s="50"/>
      <c r="HWF352" s="50"/>
      <c r="HWG352" s="50"/>
      <c r="HWH352" s="50"/>
      <c r="HWI352" s="50"/>
      <c r="HWJ352" s="50"/>
      <c r="HWK352" s="50"/>
      <c r="HWL352" s="50"/>
      <c r="HWM352" s="50"/>
      <c r="HWN352" s="50"/>
      <c r="HWO352" s="50"/>
      <c r="HWP352" s="50"/>
      <c r="HWQ352" s="50"/>
      <c r="HWR352" s="50"/>
      <c r="HWS352" s="50"/>
      <c r="HWT352" s="50"/>
      <c r="HWU352" s="50"/>
      <c r="HWV352" s="50"/>
      <c r="HWW352" s="50"/>
      <c r="HWX352" s="50"/>
      <c r="HWY352" s="50"/>
      <c r="HWZ352" s="50"/>
      <c r="HXA352" s="50"/>
      <c r="HXB352" s="50"/>
      <c r="HXC352" s="50"/>
      <c r="HXD352" s="50"/>
      <c r="HXE352" s="50"/>
      <c r="HXF352" s="50"/>
      <c r="HXG352" s="50"/>
      <c r="HXH352" s="50"/>
      <c r="HXI352" s="50"/>
      <c r="HXJ352" s="50"/>
      <c r="HXK352" s="50"/>
      <c r="HXL352" s="50"/>
      <c r="HXM352" s="50"/>
      <c r="HXN352" s="50"/>
      <c r="HXO352" s="50"/>
      <c r="HXP352" s="50"/>
      <c r="HXQ352" s="50"/>
      <c r="HXR352" s="50"/>
      <c r="HXS352" s="50"/>
      <c r="HXT352" s="50"/>
      <c r="HXU352" s="50"/>
      <c r="HXV352" s="50"/>
      <c r="HXW352" s="50"/>
      <c r="HXX352" s="50"/>
      <c r="HXY352" s="50"/>
      <c r="HXZ352" s="50"/>
      <c r="HYA352" s="50"/>
      <c r="HYB352" s="50"/>
      <c r="HYC352" s="50"/>
      <c r="HYD352" s="50"/>
      <c r="HYE352" s="50"/>
      <c r="HYF352" s="50"/>
      <c r="HYG352" s="50"/>
      <c r="HYH352" s="50"/>
      <c r="HYI352" s="50"/>
      <c r="HYJ352" s="50"/>
      <c r="HYK352" s="50"/>
      <c r="HYL352" s="50"/>
      <c r="HYM352" s="50"/>
      <c r="HYN352" s="50"/>
      <c r="HYO352" s="50"/>
      <c r="HYP352" s="50"/>
      <c r="HYQ352" s="50"/>
      <c r="HYR352" s="50"/>
      <c r="HYS352" s="50"/>
      <c r="HYT352" s="50"/>
      <c r="HYU352" s="50"/>
      <c r="HYV352" s="50"/>
      <c r="HYW352" s="50"/>
      <c r="HYX352" s="50"/>
      <c r="HYY352" s="50"/>
      <c r="HYZ352" s="50"/>
      <c r="HZA352" s="50"/>
      <c r="HZB352" s="50"/>
      <c r="HZC352" s="50"/>
      <c r="HZD352" s="50"/>
      <c r="HZE352" s="50"/>
      <c r="HZF352" s="50"/>
      <c r="HZG352" s="50"/>
      <c r="HZH352" s="50"/>
      <c r="HZI352" s="50"/>
      <c r="HZJ352" s="50"/>
      <c r="HZK352" s="50"/>
      <c r="HZL352" s="50"/>
      <c r="HZM352" s="50"/>
      <c r="HZN352" s="50"/>
      <c r="HZO352" s="50"/>
      <c r="HZP352" s="50"/>
      <c r="HZQ352" s="50"/>
      <c r="HZR352" s="50"/>
      <c r="HZS352" s="50"/>
      <c r="HZT352" s="50"/>
      <c r="HZU352" s="50"/>
      <c r="HZV352" s="50"/>
      <c r="HZW352" s="50"/>
      <c r="HZX352" s="50"/>
      <c r="HZY352" s="50"/>
      <c r="HZZ352" s="50"/>
      <c r="IAA352" s="50"/>
      <c r="IAB352" s="50"/>
      <c r="IAC352" s="50"/>
      <c r="IAD352" s="50"/>
      <c r="IAE352" s="50"/>
      <c r="IAF352" s="50"/>
      <c r="IAG352" s="50"/>
      <c r="IAH352" s="50"/>
      <c r="IAI352" s="50"/>
      <c r="IAJ352" s="50"/>
      <c r="IAK352" s="50"/>
      <c r="IAL352" s="50"/>
      <c r="IAM352" s="50"/>
      <c r="IAN352" s="50"/>
      <c r="IAO352" s="50"/>
      <c r="IAP352" s="50"/>
      <c r="IAQ352" s="50"/>
      <c r="IAR352" s="50"/>
      <c r="IAS352" s="50"/>
      <c r="IAT352" s="50"/>
      <c r="IAU352" s="50"/>
      <c r="IAV352" s="50"/>
      <c r="IAW352" s="50"/>
      <c r="IAX352" s="50"/>
      <c r="IAY352" s="50"/>
      <c r="IAZ352" s="50"/>
      <c r="IBA352" s="50"/>
      <c r="IBB352" s="50"/>
      <c r="IBC352" s="50"/>
      <c r="IBD352" s="50"/>
      <c r="IBE352" s="50"/>
      <c r="IBF352" s="50"/>
      <c r="IBG352" s="50"/>
      <c r="IBH352" s="50"/>
      <c r="IBI352" s="50"/>
      <c r="IBJ352" s="50"/>
      <c r="IBK352" s="50"/>
      <c r="IBL352" s="50"/>
      <c r="IBM352" s="50"/>
      <c r="IBN352" s="50"/>
      <c r="IBO352" s="50"/>
      <c r="IBP352" s="50"/>
      <c r="IBQ352" s="50"/>
      <c r="IBR352" s="50"/>
      <c r="IBS352" s="50"/>
      <c r="IBT352" s="50"/>
      <c r="IBU352" s="50"/>
      <c r="IBV352" s="50"/>
      <c r="IBW352" s="50"/>
      <c r="IBX352" s="50"/>
      <c r="IBY352" s="50"/>
      <c r="IBZ352" s="50"/>
      <c r="ICA352" s="50"/>
      <c r="ICB352" s="50"/>
      <c r="ICC352" s="50"/>
      <c r="ICD352" s="50"/>
      <c r="ICE352" s="50"/>
      <c r="ICF352" s="50"/>
      <c r="ICG352" s="50"/>
      <c r="ICH352" s="50"/>
      <c r="ICI352" s="50"/>
      <c r="ICJ352" s="50"/>
      <c r="ICK352" s="50"/>
      <c r="ICL352" s="50"/>
      <c r="ICM352" s="50"/>
      <c r="ICN352" s="50"/>
      <c r="ICO352" s="50"/>
      <c r="ICP352" s="50"/>
      <c r="ICQ352" s="50"/>
      <c r="ICR352" s="50"/>
      <c r="ICS352" s="50"/>
      <c r="ICT352" s="50"/>
      <c r="ICU352" s="50"/>
      <c r="ICV352" s="50"/>
      <c r="ICW352" s="50"/>
      <c r="ICX352" s="50"/>
      <c r="ICY352" s="50"/>
      <c r="ICZ352" s="50"/>
      <c r="IDA352" s="50"/>
      <c r="IDB352" s="50"/>
      <c r="IDC352" s="50"/>
      <c r="IDD352" s="50"/>
      <c r="IDE352" s="50"/>
      <c r="IDF352" s="50"/>
      <c r="IDG352" s="50"/>
      <c r="IDH352" s="50"/>
      <c r="IDI352" s="50"/>
      <c r="IDJ352" s="50"/>
      <c r="IDK352" s="50"/>
      <c r="IDL352" s="50"/>
      <c r="IDM352" s="50"/>
      <c r="IDN352" s="50"/>
      <c r="IDO352" s="50"/>
      <c r="IDP352" s="50"/>
      <c r="IDQ352" s="50"/>
      <c r="IDR352" s="50"/>
      <c r="IDS352" s="50"/>
      <c r="IDT352" s="50"/>
      <c r="IDU352" s="50"/>
      <c r="IDV352" s="50"/>
      <c r="IDW352" s="50"/>
      <c r="IDX352" s="50"/>
      <c r="IDY352" s="50"/>
      <c r="IDZ352" s="50"/>
      <c r="IEA352" s="50"/>
      <c r="IEB352" s="50"/>
      <c r="IEC352" s="50"/>
      <c r="IED352" s="50"/>
      <c r="IEE352" s="50"/>
      <c r="IEF352" s="50"/>
      <c r="IEG352" s="50"/>
      <c r="IEH352" s="50"/>
      <c r="IEI352" s="50"/>
      <c r="IEJ352" s="50"/>
      <c r="IEK352" s="50"/>
      <c r="IEL352" s="50"/>
      <c r="IEM352" s="50"/>
      <c r="IEN352" s="50"/>
      <c r="IEO352" s="50"/>
      <c r="IEP352" s="50"/>
      <c r="IEQ352" s="50"/>
      <c r="IER352" s="50"/>
      <c r="IES352" s="50"/>
      <c r="IET352" s="50"/>
      <c r="IEU352" s="50"/>
      <c r="IEV352" s="50"/>
      <c r="IEW352" s="50"/>
      <c r="IEX352" s="50"/>
      <c r="IEY352" s="50"/>
      <c r="IEZ352" s="50"/>
      <c r="IFA352" s="50"/>
      <c r="IFB352" s="50"/>
      <c r="IFC352" s="50"/>
      <c r="IFD352" s="50"/>
      <c r="IFE352" s="50"/>
      <c r="IFF352" s="50"/>
      <c r="IFG352" s="50"/>
      <c r="IFH352" s="50"/>
      <c r="IFI352" s="50"/>
      <c r="IFJ352" s="50"/>
      <c r="IFK352" s="50"/>
      <c r="IFL352" s="50"/>
      <c r="IFM352" s="50"/>
      <c r="IFN352" s="50"/>
      <c r="IFO352" s="50"/>
      <c r="IFP352" s="50"/>
      <c r="IFQ352" s="50"/>
      <c r="IFR352" s="50"/>
      <c r="IFS352" s="50"/>
      <c r="IFT352" s="50"/>
      <c r="IFU352" s="50"/>
      <c r="IFV352" s="50"/>
      <c r="IFW352" s="50"/>
      <c r="IFX352" s="50"/>
      <c r="IFY352" s="50"/>
      <c r="IFZ352" s="50"/>
      <c r="IGA352" s="50"/>
      <c r="IGB352" s="50"/>
      <c r="IGC352" s="50"/>
      <c r="IGD352" s="50"/>
      <c r="IGE352" s="50"/>
      <c r="IGF352" s="50"/>
      <c r="IGG352" s="50"/>
      <c r="IGH352" s="50"/>
      <c r="IGI352" s="50"/>
      <c r="IGJ352" s="50"/>
      <c r="IGK352" s="50"/>
      <c r="IGL352" s="50"/>
      <c r="IGM352" s="50"/>
      <c r="IGN352" s="50"/>
      <c r="IGO352" s="50"/>
      <c r="IGP352" s="50"/>
      <c r="IGQ352" s="50"/>
      <c r="IGR352" s="50"/>
      <c r="IGS352" s="50"/>
      <c r="IGT352" s="50"/>
      <c r="IGU352" s="50"/>
      <c r="IGV352" s="50"/>
      <c r="IGW352" s="50"/>
      <c r="IGX352" s="50"/>
      <c r="IGY352" s="50"/>
      <c r="IGZ352" s="50"/>
      <c r="IHA352" s="50"/>
      <c r="IHB352" s="50"/>
      <c r="IHC352" s="50"/>
      <c r="IHD352" s="50"/>
      <c r="IHE352" s="50"/>
      <c r="IHF352" s="50"/>
      <c r="IHG352" s="50"/>
      <c r="IHH352" s="50"/>
      <c r="IHI352" s="50"/>
      <c r="IHJ352" s="50"/>
      <c r="IHK352" s="50"/>
      <c r="IHL352" s="50"/>
      <c r="IHM352" s="50"/>
      <c r="IHN352" s="50"/>
      <c r="IHO352" s="50"/>
      <c r="IHP352" s="50"/>
      <c r="IHQ352" s="50"/>
      <c r="IHR352" s="50"/>
      <c r="IHS352" s="50"/>
      <c r="IHT352" s="50"/>
      <c r="IHU352" s="50"/>
      <c r="IHV352" s="50"/>
      <c r="IHW352" s="50"/>
      <c r="IHX352" s="50"/>
      <c r="IHY352" s="50"/>
      <c r="IHZ352" s="50"/>
      <c r="IIA352" s="50"/>
      <c r="IIB352" s="50"/>
      <c r="IIC352" s="50"/>
      <c r="IID352" s="50"/>
      <c r="IIE352" s="50"/>
      <c r="IIF352" s="50"/>
      <c r="IIG352" s="50"/>
      <c r="IIH352" s="50"/>
      <c r="III352" s="50"/>
      <c r="IIJ352" s="50"/>
      <c r="IIK352" s="50"/>
      <c r="IIL352" s="50"/>
      <c r="IIM352" s="50"/>
      <c r="IIN352" s="50"/>
      <c r="IIO352" s="50"/>
      <c r="IIP352" s="50"/>
      <c r="IIQ352" s="50"/>
      <c r="IIR352" s="50"/>
      <c r="IIS352" s="50"/>
      <c r="IIT352" s="50"/>
      <c r="IIU352" s="50"/>
      <c r="IIV352" s="50"/>
      <c r="IIW352" s="50"/>
      <c r="IIX352" s="50"/>
      <c r="IIY352" s="50"/>
      <c r="IIZ352" s="50"/>
      <c r="IJA352" s="50"/>
      <c r="IJB352" s="50"/>
      <c r="IJC352" s="50"/>
      <c r="IJD352" s="50"/>
      <c r="IJE352" s="50"/>
      <c r="IJF352" s="50"/>
      <c r="IJG352" s="50"/>
      <c r="IJH352" s="50"/>
      <c r="IJI352" s="50"/>
      <c r="IJJ352" s="50"/>
      <c r="IJK352" s="50"/>
      <c r="IJL352" s="50"/>
      <c r="IJM352" s="50"/>
      <c r="IJN352" s="50"/>
      <c r="IJO352" s="50"/>
      <c r="IJP352" s="50"/>
      <c r="IJQ352" s="50"/>
      <c r="IJR352" s="50"/>
      <c r="IJS352" s="50"/>
      <c r="IJT352" s="50"/>
      <c r="IJU352" s="50"/>
      <c r="IJV352" s="50"/>
      <c r="IJW352" s="50"/>
      <c r="IJX352" s="50"/>
      <c r="IJY352" s="50"/>
      <c r="IJZ352" s="50"/>
      <c r="IKA352" s="50"/>
      <c r="IKB352" s="50"/>
      <c r="IKC352" s="50"/>
      <c r="IKD352" s="50"/>
      <c r="IKE352" s="50"/>
      <c r="IKF352" s="50"/>
      <c r="IKG352" s="50"/>
      <c r="IKH352" s="50"/>
      <c r="IKI352" s="50"/>
      <c r="IKJ352" s="50"/>
      <c r="IKK352" s="50"/>
      <c r="IKL352" s="50"/>
      <c r="IKM352" s="50"/>
      <c r="IKN352" s="50"/>
      <c r="IKO352" s="50"/>
      <c r="IKP352" s="50"/>
      <c r="IKQ352" s="50"/>
      <c r="IKR352" s="50"/>
      <c r="IKS352" s="50"/>
      <c r="IKT352" s="50"/>
      <c r="IKU352" s="50"/>
      <c r="IKV352" s="50"/>
      <c r="IKW352" s="50"/>
      <c r="IKX352" s="50"/>
      <c r="IKY352" s="50"/>
      <c r="IKZ352" s="50"/>
      <c r="ILA352" s="50"/>
      <c r="ILB352" s="50"/>
      <c r="ILC352" s="50"/>
      <c r="ILD352" s="50"/>
      <c r="ILE352" s="50"/>
      <c r="ILF352" s="50"/>
      <c r="ILG352" s="50"/>
      <c r="ILH352" s="50"/>
      <c r="ILI352" s="50"/>
      <c r="ILJ352" s="50"/>
      <c r="ILK352" s="50"/>
      <c r="ILL352" s="50"/>
      <c r="ILM352" s="50"/>
      <c r="ILN352" s="50"/>
      <c r="ILO352" s="50"/>
      <c r="ILP352" s="50"/>
      <c r="ILQ352" s="50"/>
      <c r="ILR352" s="50"/>
      <c r="ILS352" s="50"/>
      <c r="ILT352" s="50"/>
      <c r="ILU352" s="50"/>
      <c r="ILV352" s="50"/>
      <c r="ILW352" s="50"/>
      <c r="ILX352" s="50"/>
      <c r="ILY352" s="50"/>
      <c r="ILZ352" s="50"/>
      <c r="IMA352" s="50"/>
      <c r="IMB352" s="50"/>
      <c r="IMC352" s="50"/>
      <c r="IMD352" s="50"/>
      <c r="IME352" s="50"/>
      <c r="IMF352" s="50"/>
      <c r="IMG352" s="50"/>
      <c r="IMH352" s="50"/>
      <c r="IMI352" s="50"/>
      <c r="IMJ352" s="50"/>
      <c r="IMK352" s="50"/>
      <c r="IML352" s="50"/>
      <c r="IMM352" s="50"/>
      <c r="IMN352" s="50"/>
      <c r="IMO352" s="50"/>
      <c r="IMP352" s="50"/>
      <c r="IMQ352" s="50"/>
      <c r="IMR352" s="50"/>
      <c r="IMS352" s="50"/>
      <c r="IMT352" s="50"/>
      <c r="IMU352" s="50"/>
      <c r="IMV352" s="50"/>
      <c r="IMW352" s="50"/>
      <c r="IMX352" s="50"/>
      <c r="IMY352" s="50"/>
      <c r="IMZ352" s="50"/>
      <c r="INA352" s="50"/>
      <c r="INB352" s="50"/>
      <c r="INC352" s="50"/>
      <c r="IND352" s="50"/>
      <c r="INE352" s="50"/>
      <c r="INF352" s="50"/>
      <c r="ING352" s="50"/>
      <c r="INH352" s="50"/>
      <c r="INI352" s="50"/>
      <c r="INJ352" s="50"/>
      <c r="INK352" s="50"/>
      <c r="INL352" s="50"/>
      <c r="INM352" s="50"/>
      <c r="INN352" s="50"/>
      <c r="INO352" s="50"/>
      <c r="INP352" s="50"/>
      <c r="INQ352" s="50"/>
      <c r="INR352" s="50"/>
      <c r="INS352" s="50"/>
      <c r="INT352" s="50"/>
      <c r="INU352" s="50"/>
      <c r="INV352" s="50"/>
      <c r="INW352" s="50"/>
      <c r="INX352" s="50"/>
      <c r="INY352" s="50"/>
      <c r="INZ352" s="50"/>
      <c r="IOA352" s="50"/>
      <c r="IOB352" s="50"/>
      <c r="IOC352" s="50"/>
      <c r="IOD352" s="50"/>
      <c r="IOE352" s="50"/>
      <c r="IOF352" s="50"/>
      <c r="IOG352" s="50"/>
      <c r="IOH352" s="50"/>
      <c r="IOI352" s="50"/>
      <c r="IOJ352" s="50"/>
      <c r="IOK352" s="50"/>
      <c r="IOL352" s="50"/>
      <c r="IOM352" s="50"/>
      <c r="ION352" s="50"/>
      <c r="IOO352" s="50"/>
      <c r="IOP352" s="50"/>
      <c r="IOQ352" s="50"/>
      <c r="IOR352" s="50"/>
      <c r="IOS352" s="50"/>
      <c r="IOT352" s="50"/>
      <c r="IOU352" s="50"/>
      <c r="IOV352" s="50"/>
      <c r="IOW352" s="50"/>
      <c r="IOX352" s="50"/>
      <c r="IOY352" s="50"/>
      <c r="IOZ352" s="50"/>
      <c r="IPA352" s="50"/>
      <c r="IPB352" s="50"/>
      <c r="IPC352" s="50"/>
      <c r="IPD352" s="50"/>
      <c r="IPE352" s="50"/>
      <c r="IPF352" s="50"/>
      <c r="IPG352" s="50"/>
      <c r="IPH352" s="50"/>
      <c r="IPI352" s="50"/>
      <c r="IPJ352" s="50"/>
      <c r="IPK352" s="50"/>
      <c r="IPL352" s="50"/>
      <c r="IPM352" s="50"/>
      <c r="IPN352" s="50"/>
      <c r="IPO352" s="50"/>
      <c r="IPP352" s="50"/>
      <c r="IPQ352" s="50"/>
      <c r="IPR352" s="50"/>
      <c r="IPS352" s="50"/>
      <c r="IPT352" s="50"/>
      <c r="IPU352" s="50"/>
      <c r="IPV352" s="50"/>
      <c r="IPW352" s="50"/>
      <c r="IPX352" s="50"/>
      <c r="IPY352" s="50"/>
      <c r="IPZ352" s="50"/>
      <c r="IQA352" s="50"/>
      <c r="IQB352" s="50"/>
      <c r="IQC352" s="50"/>
      <c r="IQD352" s="50"/>
      <c r="IQE352" s="50"/>
      <c r="IQF352" s="50"/>
      <c r="IQG352" s="50"/>
      <c r="IQH352" s="50"/>
      <c r="IQI352" s="50"/>
      <c r="IQJ352" s="50"/>
      <c r="IQK352" s="50"/>
      <c r="IQL352" s="50"/>
      <c r="IQM352" s="50"/>
      <c r="IQN352" s="50"/>
      <c r="IQO352" s="50"/>
      <c r="IQP352" s="50"/>
      <c r="IQQ352" s="50"/>
      <c r="IQR352" s="50"/>
      <c r="IQS352" s="50"/>
      <c r="IQT352" s="50"/>
      <c r="IQU352" s="50"/>
      <c r="IQV352" s="50"/>
      <c r="IQW352" s="50"/>
      <c r="IQX352" s="50"/>
      <c r="IQY352" s="50"/>
      <c r="IQZ352" s="50"/>
      <c r="IRA352" s="50"/>
      <c r="IRB352" s="50"/>
      <c r="IRC352" s="50"/>
      <c r="IRD352" s="50"/>
      <c r="IRE352" s="50"/>
      <c r="IRF352" s="50"/>
      <c r="IRG352" s="50"/>
      <c r="IRH352" s="50"/>
      <c r="IRI352" s="50"/>
      <c r="IRJ352" s="50"/>
      <c r="IRK352" s="50"/>
      <c r="IRL352" s="50"/>
      <c r="IRM352" s="50"/>
      <c r="IRN352" s="50"/>
      <c r="IRO352" s="50"/>
      <c r="IRP352" s="50"/>
      <c r="IRQ352" s="50"/>
      <c r="IRR352" s="50"/>
      <c r="IRS352" s="50"/>
      <c r="IRT352" s="50"/>
      <c r="IRU352" s="50"/>
      <c r="IRV352" s="50"/>
      <c r="IRW352" s="50"/>
      <c r="IRX352" s="50"/>
      <c r="IRY352" s="50"/>
      <c r="IRZ352" s="50"/>
      <c r="ISA352" s="50"/>
      <c r="ISB352" s="50"/>
      <c r="ISC352" s="50"/>
      <c r="ISD352" s="50"/>
      <c r="ISE352" s="50"/>
      <c r="ISF352" s="50"/>
      <c r="ISG352" s="50"/>
      <c r="ISH352" s="50"/>
      <c r="ISI352" s="50"/>
      <c r="ISJ352" s="50"/>
      <c r="ISK352" s="50"/>
      <c r="ISL352" s="50"/>
      <c r="ISM352" s="50"/>
      <c r="ISN352" s="50"/>
      <c r="ISO352" s="50"/>
      <c r="ISP352" s="50"/>
      <c r="ISQ352" s="50"/>
      <c r="ISR352" s="50"/>
      <c r="ISS352" s="50"/>
      <c r="IST352" s="50"/>
      <c r="ISU352" s="50"/>
      <c r="ISV352" s="50"/>
      <c r="ISW352" s="50"/>
      <c r="ISX352" s="50"/>
      <c r="ISY352" s="50"/>
      <c r="ISZ352" s="50"/>
      <c r="ITA352" s="50"/>
      <c r="ITB352" s="50"/>
      <c r="ITC352" s="50"/>
      <c r="ITD352" s="50"/>
      <c r="ITE352" s="50"/>
      <c r="ITF352" s="50"/>
      <c r="ITG352" s="50"/>
      <c r="ITH352" s="50"/>
      <c r="ITI352" s="50"/>
      <c r="ITJ352" s="50"/>
      <c r="ITK352" s="50"/>
      <c r="ITL352" s="50"/>
      <c r="ITM352" s="50"/>
      <c r="ITN352" s="50"/>
      <c r="ITO352" s="50"/>
      <c r="ITP352" s="50"/>
      <c r="ITQ352" s="50"/>
      <c r="ITR352" s="50"/>
      <c r="ITS352" s="50"/>
      <c r="ITT352" s="50"/>
      <c r="ITU352" s="50"/>
      <c r="ITV352" s="50"/>
      <c r="ITW352" s="50"/>
      <c r="ITX352" s="50"/>
      <c r="ITY352" s="50"/>
      <c r="ITZ352" s="50"/>
      <c r="IUA352" s="50"/>
      <c r="IUB352" s="50"/>
      <c r="IUC352" s="50"/>
      <c r="IUD352" s="50"/>
      <c r="IUE352" s="50"/>
      <c r="IUF352" s="50"/>
      <c r="IUG352" s="50"/>
      <c r="IUH352" s="50"/>
      <c r="IUI352" s="50"/>
      <c r="IUJ352" s="50"/>
      <c r="IUK352" s="50"/>
      <c r="IUL352" s="50"/>
      <c r="IUM352" s="50"/>
      <c r="IUN352" s="50"/>
      <c r="IUO352" s="50"/>
      <c r="IUP352" s="50"/>
      <c r="IUQ352" s="50"/>
      <c r="IUR352" s="50"/>
      <c r="IUS352" s="50"/>
      <c r="IUT352" s="50"/>
      <c r="IUU352" s="50"/>
      <c r="IUV352" s="50"/>
      <c r="IUW352" s="50"/>
      <c r="IUX352" s="50"/>
      <c r="IUY352" s="50"/>
      <c r="IUZ352" s="50"/>
      <c r="IVA352" s="50"/>
      <c r="IVB352" s="50"/>
      <c r="IVC352" s="50"/>
      <c r="IVD352" s="50"/>
      <c r="IVE352" s="50"/>
      <c r="IVF352" s="50"/>
      <c r="IVG352" s="50"/>
      <c r="IVH352" s="50"/>
      <c r="IVI352" s="50"/>
      <c r="IVJ352" s="50"/>
      <c r="IVK352" s="50"/>
      <c r="IVL352" s="50"/>
      <c r="IVM352" s="50"/>
      <c r="IVN352" s="50"/>
      <c r="IVO352" s="50"/>
      <c r="IVP352" s="50"/>
      <c r="IVQ352" s="50"/>
      <c r="IVR352" s="50"/>
      <c r="IVS352" s="50"/>
      <c r="IVT352" s="50"/>
      <c r="IVU352" s="50"/>
      <c r="IVV352" s="50"/>
      <c r="IVW352" s="50"/>
      <c r="IVX352" s="50"/>
      <c r="IVY352" s="50"/>
      <c r="IVZ352" s="50"/>
      <c r="IWA352" s="50"/>
      <c r="IWB352" s="50"/>
      <c r="IWC352" s="50"/>
      <c r="IWD352" s="50"/>
      <c r="IWE352" s="50"/>
      <c r="IWF352" s="50"/>
      <c r="IWG352" s="50"/>
      <c r="IWH352" s="50"/>
      <c r="IWI352" s="50"/>
      <c r="IWJ352" s="50"/>
      <c r="IWK352" s="50"/>
      <c r="IWL352" s="50"/>
      <c r="IWM352" s="50"/>
      <c r="IWN352" s="50"/>
      <c r="IWO352" s="50"/>
      <c r="IWP352" s="50"/>
      <c r="IWQ352" s="50"/>
      <c r="IWR352" s="50"/>
      <c r="IWS352" s="50"/>
      <c r="IWT352" s="50"/>
      <c r="IWU352" s="50"/>
      <c r="IWV352" s="50"/>
      <c r="IWW352" s="50"/>
      <c r="IWX352" s="50"/>
      <c r="IWY352" s="50"/>
      <c r="IWZ352" s="50"/>
      <c r="IXA352" s="50"/>
      <c r="IXB352" s="50"/>
      <c r="IXC352" s="50"/>
      <c r="IXD352" s="50"/>
      <c r="IXE352" s="50"/>
      <c r="IXF352" s="50"/>
      <c r="IXG352" s="50"/>
      <c r="IXH352" s="50"/>
      <c r="IXI352" s="50"/>
      <c r="IXJ352" s="50"/>
      <c r="IXK352" s="50"/>
      <c r="IXL352" s="50"/>
      <c r="IXM352" s="50"/>
      <c r="IXN352" s="50"/>
      <c r="IXO352" s="50"/>
      <c r="IXP352" s="50"/>
      <c r="IXQ352" s="50"/>
      <c r="IXR352" s="50"/>
      <c r="IXS352" s="50"/>
      <c r="IXT352" s="50"/>
      <c r="IXU352" s="50"/>
      <c r="IXV352" s="50"/>
      <c r="IXW352" s="50"/>
      <c r="IXX352" s="50"/>
      <c r="IXY352" s="50"/>
      <c r="IXZ352" s="50"/>
      <c r="IYA352" s="50"/>
      <c r="IYB352" s="50"/>
      <c r="IYC352" s="50"/>
      <c r="IYD352" s="50"/>
      <c r="IYE352" s="50"/>
      <c r="IYF352" s="50"/>
      <c r="IYG352" s="50"/>
      <c r="IYH352" s="50"/>
      <c r="IYI352" s="50"/>
      <c r="IYJ352" s="50"/>
      <c r="IYK352" s="50"/>
      <c r="IYL352" s="50"/>
      <c r="IYM352" s="50"/>
      <c r="IYN352" s="50"/>
      <c r="IYO352" s="50"/>
      <c r="IYP352" s="50"/>
      <c r="IYQ352" s="50"/>
      <c r="IYR352" s="50"/>
      <c r="IYS352" s="50"/>
      <c r="IYT352" s="50"/>
      <c r="IYU352" s="50"/>
      <c r="IYV352" s="50"/>
      <c r="IYW352" s="50"/>
      <c r="IYX352" s="50"/>
      <c r="IYY352" s="50"/>
      <c r="IYZ352" s="50"/>
      <c r="IZA352" s="50"/>
      <c r="IZB352" s="50"/>
      <c r="IZC352" s="50"/>
      <c r="IZD352" s="50"/>
      <c r="IZE352" s="50"/>
      <c r="IZF352" s="50"/>
      <c r="IZG352" s="50"/>
      <c r="IZH352" s="50"/>
      <c r="IZI352" s="50"/>
      <c r="IZJ352" s="50"/>
      <c r="IZK352" s="50"/>
      <c r="IZL352" s="50"/>
      <c r="IZM352" s="50"/>
      <c r="IZN352" s="50"/>
      <c r="IZO352" s="50"/>
      <c r="IZP352" s="50"/>
      <c r="IZQ352" s="50"/>
      <c r="IZR352" s="50"/>
      <c r="IZS352" s="50"/>
      <c r="IZT352" s="50"/>
      <c r="IZU352" s="50"/>
      <c r="IZV352" s="50"/>
      <c r="IZW352" s="50"/>
      <c r="IZX352" s="50"/>
      <c r="IZY352" s="50"/>
      <c r="IZZ352" s="50"/>
      <c r="JAA352" s="50"/>
      <c r="JAB352" s="50"/>
      <c r="JAC352" s="50"/>
      <c r="JAD352" s="50"/>
      <c r="JAE352" s="50"/>
      <c r="JAF352" s="50"/>
      <c r="JAG352" s="50"/>
      <c r="JAH352" s="50"/>
      <c r="JAI352" s="50"/>
      <c r="JAJ352" s="50"/>
      <c r="JAK352" s="50"/>
      <c r="JAL352" s="50"/>
      <c r="JAM352" s="50"/>
      <c r="JAN352" s="50"/>
      <c r="JAO352" s="50"/>
      <c r="JAP352" s="50"/>
      <c r="JAQ352" s="50"/>
      <c r="JAR352" s="50"/>
      <c r="JAS352" s="50"/>
      <c r="JAT352" s="50"/>
      <c r="JAU352" s="50"/>
      <c r="JAV352" s="50"/>
      <c r="JAW352" s="50"/>
      <c r="JAX352" s="50"/>
      <c r="JAY352" s="50"/>
      <c r="JAZ352" s="50"/>
      <c r="JBA352" s="50"/>
      <c r="JBB352" s="50"/>
      <c r="JBC352" s="50"/>
      <c r="JBD352" s="50"/>
      <c r="JBE352" s="50"/>
      <c r="JBF352" s="50"/>
      <c r="JBG352" s="50"/>
      <c r="JBH352" s="50"/>
      <c r="JBI352" s="50"/>
      <c r="JBJ352" s="50"/>
      <c r="JBK352" s="50"/>
      <c r="JBL352" s="50"/>
      <c r="JBM352" s="50"/>
      <c r="JBN352" s="50"/>
      <c r="JBO352" s="50"/>
      <c r="JBP352" s="50"/>
      <c r="JBQ352" s="50"/>
      <c r="JBR352" s="50"/>
      <c r="JBS352" s="50"/>
      <c r="JBT352" s="50"/>
      <c r="JBU352" s="50"/>
      <c r="JBV352" s="50"/>
      <c r="JBW352" s="50"/>
      <c r="JBX352" s="50"/>
      <c r="JBY352" s="50"/>
      <c r="JBZ352" s="50"/>
      <c r="JCA352" s="50"/>
      <c r="JCB352" s="50"/>
      <c r="JCC352" s="50"/>
      <c r="JCD352" s="50"/>
      <c r="JCE352" s="50"/>
      <c r="JCF352" s="50"/>
      <c r="JCG352" s="50"/>
      <c r="JCH352" s="50"/>
      <c r="JCI352" s="50"/>
      <c r="JCJ352" s="50"/>
      <c r="JCK352" s="50"/>
      <c r="JCL352" s="50"/>
      <c r="JCM352" s="50"/>
      <c r="JCN352" s="50"/>
      <c r="JCO352" s="50"/>
      <c r="JCP352" s="50"/>
      <c r="JCQ352" s="50"/>
      <c r="JCR352" s="50"/>
      <c r="JCS352" s="50"/>
      <c r="JCT352" s="50"/>
      <c r="JCU352" s="50"/>
      <c r="JCV352" s="50"/>
      <c r="JCW352" s="50"/>
      <c r="JCX352" s="50"/>
      <c r="JCY352" s="50"/>
      <c r="JCZ352" s="50"/>
      <c r="JDA352" s="50"/>
      <c r="JDB352" s="50"/>
      <c r="JDC352" s="50"/>
      <c r="JDD352" s="50"/>
      <c r="JDE352" s="50"/>
      <c r="JDF352" s="50"/>
      <c r="JDG352" s="50"/>
      <c r="JDH352" s="50"/>
      <c r="JDI352" s="50"/>
      <c r="JDJ352" s="50"/>
      <c r="JDK352" s="50"/>
      <c r="JDL352" s="50"/>
      <c r="JDM352" s="50"/>
      <c r="JDN352" s="50"/>
      <c r="JDO352" s="50"/>
      <c r="JDP352" s="50"/>
      <c r="JDQ352" s="50"/>
      <c r="JDR352" s="50"/>
      <c r="JDS352" s="50"/>
      <c r="JDT352" s="50"/>
      <c r="JDU352" s="50"/>
      <c r="JDV352" s="50"/>
      <c r="JDW352" s="50"/>
      <c r="JDX352" s="50"/>
      <c r="JDY352" s="50"/>
      <c r="JDZ352" s="50"/>
      <c r="JEA352" s="50"/>
      <c r="JEB352" s="50"/>
      <c r="JEC352" s="50"/>
      <c r="JED352" s="50"/>
      <c r="JEE352" s="50"/>
      <c r="JEF352" s="50"/>
      <c r="JEG352" s="50"/>
      <c r="JEH352" s="50"/>
      <c r="JEI352" s="50"/>
      <c r="JEJ352" s="50"/>
      <c r="JEK352" s="50"/>
      <c r="JEL352" s="50"/>
      <c r="JEM352" s="50"/>
      <c r="JEN352" s="50"/>
      <c r="JEO352" s="50"/>
      <c r="JEP352" s="50"/>
      <c r="JEQ352" s="50"/>
      <c r="JER352" s="50"/>
      <c r="JES352" s="50"/>
      <c r="JET352" s="50"/>
      <c r="JEU352" s="50"/>
      <c r="JEV352" s="50"/>
      <c r="JEW352" s="50"/>
      <c r="JEX352" s="50"/>
      <c r="JEY352" s="50"/>
      <c r="JEZ352" s="50"/>
      <c r="JFA352" s="50"/>
      <c r="JFB352" s="50"/>
      <c r="JFC352" s="50"/>
      <c r="JFD352" s="50"/>
      <c r="JFE352" s="50"/>
      <c r="JFF352" s="50"/>
      <c r="JFG352" s="50"/>
      <c r="JFH352" s="50"/>
      <c r="JFI352" s="50"/>
      <c r="JFJ352" s="50"/>
      <c r="JFK352" s="50"/>
      <c r="JFL352" s="50"/>
      <c r="JFM352" s="50"/>
      <c r="JFN352" s="50"/>
      <c r="JFO352" s="50"/>
      <c r="JFP352" s="50"/>
      <c r="JFQ352" s="50"/>
      <c r="JFR352" s="50"/>
      <c r="JFS352" s="50"/>
      <c r="JFT352" s="50"/>
      <c r="JFU352" s="50"/>
      <c r="JFV352" s="50"/>
      <c r="JFW352" s="50"/>
      <c r="JFX352" s="50"/>
      <c r="JFY352" s="50"/>
      <c r="JFZ352" s="50"/>
      <c r="JGA352" s="50"/>
      <c r="JGB352" s="50"/>
      <c r="JGC352" s="50"/>
      <c r="JGD352" s="50"/>
      <c r="JGE352" s="50"/>
      <c r="JGF352" s="50"/>
      <c r="JGG352" s="50"/>
      <c r="JGH352" s="50"/>
      <c r="JGI352" s="50"/>
      <c r="JGJ352" s="50"/>
      <c r="JGK352" s="50"/>
      <c r="JGL352" s="50"/>
      <c r="JGM352" s="50"/>
      <c r="JGN352" s="50"/>
      <c r="JGO352" s="50"/>
      <c r="JGP352" s="50"/>
      <c r="JGQ352" s="50"/>
      <c r="JGR352" s="50"/>
      <c r="JGS352" s="50"/>
      <c r="JGT352" s="50"/>
      <c r="JGU352" s="50"/>
      <c r="JGV352" s="50"/>
      <c r="JGW352" s="50"/>
      <c r="JGX352" s="50"/>
      <c r="JGY352" s="50"/>
      <c r="JGZ352" s="50"/>
      <c r="JHA352" s="50"/>
      <c r="JHB352" s="50"/>
      <c r="JHC352" s="50"/>
      <c r="JHD352" s="50"/>
      <c r="JHE352" s="50"/>
      <c r="JHF352" s="50"/>
      <c r="JHG352" s="50"/>
      <c r="JHH352" s="50"/>
      <c r="JHI352" s="50"/>
      <c r="JHJ352" s="50"/>
      <c r="JHK352" s="50"/>
      <c r="JHL352" s="50"/>
      <c r="JHM352" s="50"/>
      <c r="JHN352" s="50"/>
      <c r="JHO352" s="50"/>
      <c r="JHP352" s="50"/>
      <c r="JHQ352" s="50"/>
      <c r="JHR352" s="50"/>
      <c r="JHS352" s="50"/>
      <c r="JHT352" s="50"/>
      <c r="JHU352" s="50"/>
      <c r="JHV352" s="50"/>
      <c r="JHW352" s="50"/>
      <c r="JHX352" s="50"/>
      <c r="JHY352" s="50"/>
      <c r="JHZ352" s="50"/>
      <c r="JIA352" s="50"/>
      <c r="JIB352" s="50"/>
      <c r="JIC352" s="50"/>
      <c r="JID352" s="50"/>
      <c r="JIE352" s="50"/>
      <c r="JIF352" s="50"/>
      <c r="JIG352" s="50"/>
      <c r="JIH352" s="50"/>
      <c r="JII352" s="50"/>
      <c r="JIJ352" s="50"/>
      <c r="JIK352" s="50"/>
      <c r="JIL352" s="50"/>
      <c r="JIM352" s="50"/>
      <c r="JIN352" s="50"/>
      <c r="JIO352" s="50"/>
      <c r="JIP352" s="50"/>
      <c r="JIQ352" s="50"/>
      <c r="JIR352" s="50"/>
      <c r="JIS352" s="50"/>
      <c r="JIT352" s="50"/>
      <c r="JIU352" s="50"/>
      <c r="JIV352" s="50"/>
      <c r="JIW352" s="50"/>
      <c r="JIX352" s="50"/>
      <c r="JIY352" s="50"/>
      <c r="JIZ352" s="50"/>
      <c r="JJA352" s="50"/>
      <c r="JJB352" s="50"/>
      <c r="JJC352" s="50"/>
      <c r="JJD352" s="50"/>
      <c r="JJE352" s="50"/>
      <c r="JJF352" s="50"/>
      <c r="JJG352" s="50"/>
      <c r="JJH352" s="50"/>
      <c r="JJI352" s="50"/>
      <c r="JJJ352" s="50"/>
      <c r="JJK352" s="50"/>
      <c r="JJL352" s="50"/>
      <c r="JJM352" s="50"/>
      <c r="JJN352" s="50"/>
      <c r="JJO352" s="50"/>
      <c r="JJP352" s="50"/>
      <c r="JJQ352" s="50"/>
      <c r="JJR352" s="50"/>
      <c r="JJS352" s="50"/>
      <c r="JJT352" s="50"/>
      <c r="JJU352" s="50"/>
      <c r="JJV352" s="50"/>
      <c r="JJW352" s="50"/>
      <c r="JJX352" s="50"/>
      <c r="JJY352" s="50"/>
      <c r="JJZ352" s="50"/>
      <c r="JKA352" s="50"/>
      <c r="JKB352" s="50"/>
      <c r="JKC352" s="50"/>
      <c r="JKD352" s="50"/>
      <c r="JKE352" s="50"/>
      <c r="JKF352" s="50"/>
      <c r="JKG352" s="50"/>
      <c r="JKH352" s="50"/>
      <c r="JKI352" s="50"/>
      <c r="JKJ352" s="50"/>
      <c r="JKK352" s="50"/>
      <c r="JKL352" s="50"/>
      <c r="JKM352" s="50"/>
      <c r="JKN352" s="50"/>
      <c r="JKO352" s="50"/>
      <c r="JKP352" s="50"/>
      <c r="JKQ352" s="50"/>
      <c r="JKR352" s="50"/>
      <c r="JKS352" s="50"/>
      <c r="JKT352" s="50"/>
      <c r="JKU352" s="50"/>
      <c r="JKV352" s="50"/>
      <c r="JKW352" s="50"/>
      <c r="JKX352" s="50"/>
      <c r="JKY352" s="50"/>
      <c r="JKZ352" s="50"/>
      <c r="JLA352" s="50"/>
      <c r="JLB352" s="50"/>
      <c r="JLC352" s="50"/>
      <c r="JLD352" s="50"/>
      <c r="JLE352" s="50"/>
      <c r="JLF352" s="50"/>
      <c r="JLG352" s="50"/>
      <c r="JLH352" s="50"/>
      <c r="JLI352" s="50"/>
      <c r="JLJ352" s="50"/>
      <c r="JLK352" s="50"/>
      <c r="JLL352" s="50"/>
      <c r="JLM352" s="50"/>
      <c r="JLN352" s="50"/>
      <c r="JLO352" s="50"/>
      <c r="JLP352" s="50"/>
      <c r="JLQ352" s="50"/>
      <c r="JLR352" s="50"/>
      <c r="JLS352" s="50"/>
      <c r="JLT352" s="50"/>
      <c r="JLU352" s="50"/>
      <c r="JLV352" s="50"/>
      <c r="JLW352" s="50"/>
      <c r="JLX352" s="50"/>
      <c r="JLY352" s="50"/>
      <c r="JLZ352" s="50"/>
      <c r="JMA352" s="50"/>
      <c r="JMB352" s="50"/>
      <c r="JMC352" s="50"/>
      <c r="JMD352" s="50"/>
      <c r="JME352" s="50"/>
      <c r="JMF352" s="50"/>
      <c r="JMG352" s="50"/>
      <c r="JMH352" s="50"/>
      <c r="JMI352" s="50"/>
      <c r="JMJ352" s="50"/>
      <c r="JMK352" s="50"/>
      <c r="JML352" s="50"/>
      <c r="JMM352" s="50"/>
      <c r="JMN352" s="50"/>
      <c r="JMO352" s="50"/>
      <c r="JMP352" s="50"/>
      <c r="JMQ352" s="50"/>
      <c r="JMR352" s="50"/>
      <c r="JMS352" s="50"/>
      <c r="JMT352" s="50"/>
      <c r="JMU352" s="50"/>
      <c r="JMV352" s="50"/>
      <c r="JMW352" s="50"/>
      <c r="JMX352" s="50"/>
      <c r="JMY352" s="50"/>
      <c r="JMZ352" s="50"/>
      <c r="JNA352" s="50"/>
      <c r="JNB352" s="50"/>
      <c r="JNC352" s="50"/>
      <c r="JND352" s="50"/>
      <c r="JNE352" s="50"/>
      <c r="JNF352" s="50"/>
      <c r="JNG352" s="50"/>
      <c r="JNH352" s="50"/>
      <c r="JNI352" s="50"/>
      <c r="JNJ352" s="50"/>
      <c r="JNK352" s="50"/>
      <c r="JNL352" s="50"/>
      <c r="JNM352" s="50"/>
      <c r="JNN352" s="50"/>
      <c r="JNO352" s="50"/>
      <c r="JNP352" s="50"/>
      <c r="JNQ352" s="50"/>
      <c r="JNR352" s="50"/>
      <c r="JNS352" s="50"/>
      <c r="JNT352" s="50"/>
      <c r="JNU352" s="50"/>
      <c r="JNV352" s="50"/>
      <c r="JNW352" s="50"/>
      <c r="JNX352" s="50"/>
      <c r="JNY352" s="50"/>
      <c r="JNZ352" s="50"/>
      <c r="JOA352" s="50"/>
      <c r="JOB352" s="50"/>
      <c r="JOC352" s="50"/>
      <c r="JOD352" s="50"/>
      <c r="JOE352" s="50"/>
      <c r="JOF352" s="50"/>
      <c r="JOG352" s="50"/>
      <c r="JOH352" s="50"/>
      <c r="JOI352" s="50"/>
      <c r="JOJ352" s="50"/>
      <c r="JOK352" s="50"/>
      <c r="JOL352" s="50"/>
      <c r="JOM352" s="50"/>
      <c r="JON352" s="50"/>
      <c r="JOO352" s="50"/>
      <c r="JOP352" s="50"/>
      <c r="JOQ352" s="50"/>
      <c r="JOR352" s="50"/>
      <c r="JOS352" s="50"/>
      <c r="JOT352" s="50"/>
      <c r="JOU352" s="50"/>
      <c r="JOV352" s="50"/>
      <c r="JOW352" s="50"/>
      <c r="JOX352" s="50"/>
      <c r="JOY352" s="50"/>
      <c r="JOZ352" s="50"/>
      <c r="JPA352" s="50"/>
      <c r="JPB352" s="50"/>
      <c r="JPC352" s="50"/>
      <c r="JPD352" s="50"/>
      <c r="JPE352" s="50"/>
      <c r="JPF352" s="50"/>
      <c r="JPG352" s="50"/>
      <c r="JPH352" s="50"/>
      <c r="JPI352" s="50"/>
      <c r="JPJ352" s="50"/>
      <c r="JPK352" s="50"/>
      <c r="JPL352" s="50"/>
      <c r="JPM352" s="50"/>
      <c r="JPN352" s="50"/>
      <c r="JPO352" s="50"/>
      <c r="JPP352" s="50"/>
      <c r="JPQ352" s="50"/>
      <c r="JPR352" s="50"/>
      <c r="JPS352" s="50"/>
      <c r="JPT352" s="50"/>
      <c r="JPU352" s="50"/>
      <c r="JPV352" s="50"/>
      <c r="JPW352" s="50"/>
      <c r="JPX352" s="50"/>
      <c r="JPY352" s="50"/>
      <c r="JPZ352" s="50"/>
      <c r="JQA352" s="50"/>
      <c r="JQB352" s="50"/>
      <c r="JQC352" s="50"/>
      <c r="JQD352" s="50"/>
      <c r="JQE352" s="50"/>
      <c r="JQF352" s="50"/>
      <c r="JQG352" s="50"/>
      <c r="JQH352" s="50"/>
      <c r="JQI352" s="50"/>
      <c r="JQJ352" s="50"/>
      <c r="JQK352" s="50"/>
      <c r="JQL352" s="50"/>
      <c r="JQM352" s="50"/>
      <c r="JQN352" s="50"/>
      <c r="JQO352" s="50"/>
      <c r="JQP352" s="50"/>
      <c r="JQQ352" s="50"/>
      <c r="JQR352" s="50"/>
      <c r="JQS352" s="50"/>
      <c r="JQT352" s="50"/>
      <c r="JQU352" s="50"/>
      <c r="JQV352" s="50"/>
      <c r="JQW352" s="50"/>
      <c r="JQX352" s="50"/>
      <c r="JQY352" s="50"/>
      <c r="JQZ352" s="50"/>
      <c r="JRA352" s="50"/>
      <c r="JRB352" s="50"/>
      <c r="JRC352" s="50"/>
      <c r="JRD352" s="50"/>
      <c r="JRE352" s="50"/>
      <c r="JRF352" s="50"/>
      <c r="JRG352" s="50"/>
      <c r="JRH352" s="50"/>
      <c r="JRI352" s="50"/>
      <c r="JRJ352" s="50"/>
      <c r="JRK352" s="50"/>
      <c r="JRL352" s="50"/>
      <c r="JRM352" s="50"/>
      <c r="JRN352" s="50"/>
      <c r="JRO352" s="50"/>
      <c r="JRP352" s="50"/>
      <c r="JRQ352" s="50"/>
      <c r="JRR352" s="50"/>
      <c r="JRS352" s="50"/>
      <c r="JRT352" s="50"/>
      <c r="JRU352" s="50"/>
      <c r="JRV352" s="50"/>
      <c r="JRW352" s="50"/>
      <c r="JRX352" s="50"/>
      <c r="JRY352" s="50"/>
      <c r="JRZ352" s="50"/>
      <c r="JSA352" s="50"/>
      <c r="JSB352" s="50"/>
      <c r="JSC352" s="50"/>
      <c r="JSD352" s="50"/>
      <c r="JSE352" s="50"/>
      <c r="JSF352" s="50"/>
      <c r="JSG352" s="50"/>
      <c r="JSH352" s="50"/>
      <c r="JSI352" s="50"/>
      <c r="JSJ352" s="50"/>
      <c r="JSK352" s="50"/>
      <c r="JSL352" s="50"/>
      <c r="JSM352" s="50"/>
      <c r="JSN352" s="50"/>
      <c r="JSO352" s="50"/>
      <c r="JSP352" s="50"/>
      <c r="JSQ352" s="50"/>
      <c r="JSR352" s="50"/>
      <c r="JSS352" s="50"/>
      <c r="JST352" s="50"/>
      <c r="JSU352" s="50"/>
      <c r="JSV352" s="50"/>
      <c r="JSW352" s="50"/>
      <c r="JSX352" s="50"/>
      <c r="JSY352" s="50"/>
      <c r="JSZ352" s="50"/>
      <c r="JTA352" s="50"/>
      <c r="JTB352" s="50"/>
      <c r="JTC352" s="50"/>
      <c r="JTD352" s="50"/>
      <c r="JTE352" s="50"/>
      <c r="JTF352" s="50"/>
      <c r="JTG352" s="50"/>
      <c r="JTH352" s="50"/>
      <c r="JTI352" s="50"/>
      <c r="JTJ352" s="50"/>
      <c r="JTK352" s="50"/>
      <c r="JTL352" s="50"/>
      <c r="JTM352" s="50"/>
      <c r="JTN352" s="50"/>
      <c r="JTO352" s="50"/>
      <c r="JTP352" s="50"/>
      <c r="JTQ352" s="50"/>
      <c r="JTR352" s="50"/>
      <c r="JTS352" s="50"/>
      <c r="JTT352" s="50"/>
      <c r="JTU352" s="50"/>
      <c r="JTV352" s="50"/>
      <c r="JTW352" s="50"/>
      <c r="JTX352" s="50"/>
      <c r="JTY352" s="50"/>
      <c r="JTZ352" s="50"/>
      <c r="JUA352" s="50"/>
      <c r="JUB352" s="50"/>
      <c r="JUC352" s="50"/>
      <c r="JUD352" s="50"/>
      <c r="JUE352" s="50"/>
      <c r="JUF352" s="50"/>
      <c r="JUG352" s="50"/>
      <c r="JUH352" s="50"/>
      <c r="JUI352" s="50"/>
      <c r="JUJ352" s="50"/>
      <c r="JUK352" s="50"/>
      <c r="JUL352" s="50"/>
      <c r="JUM352" s="50"/>
      <c r="JUN352" s="50"/>
      <c r="JUO352" s="50"/>
      <c r="JUP352" s="50"/>
      <c r="JUQ352" s="50"/>
      <c r="JUR352" s="50"/>
      <c r="JUS352" s="50"/>
      <c r="JUT352" s="50"/>
      <c r="JUU352" s="50"/>
      <c r="JUV352" s="50"/>
      <c r="JUW352" s="50"/>
      <c r="JUX352" s="50"/>
      <c r="JUY352" s="50"/>
      <c r="JUZ352" s="50"/>
      <c r="JVA352" s="50"/>
      <c r="JVB352" s="50"/>
      <c r="JVC352" s="50"/>
      <c r="JVD352" s="50"/>
      <c r="JVE352" s="50"/>
      <c r="JVF352" s="50"/>
      <c r="JVG352" s="50"/>
      <c r="JVH352" s="50"/>
      <c r="JVI352" s="50"/>
      <c r="JVJ352" s="50"/>
      <c r="JVK352" s="50"/>
      <c r="JVL352" s="50"/>
      <c r="JVM352" s="50"/>
      <c r="JVN352" s="50"/>
      <c r="JVO352" s="50"/>
      <c r="JVP352" s="50"/>
      <c r="JVQ352" s="50"/>
      <c r="JVR352" s="50"/>
      <c r="JVS352" s="50"/>
      <c r="JVT352" s="50"/>
      <c r="JVU352" s="50"/>
      <c r="JVV352" s="50"/>
      <c r="JVW352" s="50"/>
      <c r="JVX352" s="50"/>
      <c r="JVY352" s="50"/>
      <c r="JVZ352" s="50"/>
      <c r="JWA352" s="50"/>
      <c r="JWB352" s="50"/>
      <c r="JWC352" s="50"/>
      <c r="JWD352" s="50"/>
      <c r="JWE352" s="50"/>
      <c r="JWF352" s="50"/>
      <c r="JWG352" s="50"/>
      <c r="JWH352" s="50"/>
      <c r="JWI352" s="50"/>
      <c r="JWJ352" s="50"/>
      <c r="JWK352" s="50"/>
      <c r="JWL352" s="50"/>
      <c r="JWM352" s="50"/>
      <c r="JWN352" s="50"/>
      <c r="JWO352" s="50"/>
      <c r="JWP352" s="50"/>
      <c r="JWQ352" s="50"/>
      <c r="JWR352" s="50"/>
      <c r="JWS352" s="50"/>
      <c r="JWT352" s="50"/>
      <c r="JWU352" s="50"/>
      <c r="JWV352" s="50"/>
      <c r="JWW352" s="50"/>
      <c r="JWX352" s="50"/>
      <c r="JWY352" s="50"/>
      <c r="JWZ352" s="50"/>
      <c r="JXA352" s="50"/>
      <c r="JXB352" s="50"/>
      <c r="JXC352" s="50"/>
      <c r="JXD352" s="50"/>
      <c r="JXE352" s="50"/>
      <c r="JXF352" s="50"/>
      <c r="JXG352" s="50"/>
      <c r="JXH352" s="50"/>
      <c r="JXI352" s="50"/>
      <c r="JXJ352" s="50"/>
      <c r="JXK352" s="50"/>
      <c r="JXL352" s="50"/>
      <c r="JXM352" s="50"/>
      <c r="JXN352" s="50"/>
      <c r="JXO352" s="50"/>
      <c r="JXP352" s="50"/>
      <c r="JXQ352" s="50"/>
      <c r="JXR352" s="50"/>
      <c r="JXS352" s="50"/>
      <c r="JXT352" s="50"/>
      <c r="JXU352" s="50"/>
      <c r="JXV352" s="50"/>
      <c r="JXW352" s="50"/>
      <c r="JXX352" s="50"/>
      <c r="JXY352" s="50"/>
      <c r="JXZ352" s="50"/>
      <c r="JYA352" s="50"/>
      <c r="JYB352" s="50"/>
      <c r="JYC352" s="50"/>
      <c r="JYD352" s="50"/>
      <c r="JYE352" s="50"/>
      <c r="JYF352" s="50"/>
      <c r="JYG352" s="50"/>
      <c r="JYH352" s="50"/>
      <c r="JYI352" s="50"/>
      <c r="JYJ352" s="50"/>
      <c r="JYK352" s="50"/>
      <c r="JYL352" s="50"/>
      <c r="JYM352" s="50"/>
      <c r="JYN352" s="50"/>
      <c r="JYO352" s="50"/>
      <c r="JYP352" s="50"/>
      <c r="JYQ352" s="50"/>
      <c r="JYR352" s="50"/>
      <c r="JYS352" s="50"/>
      <c r="JYT352" s="50"/>
      <c r="JYU352" s="50"/>
      <c r="JYV352" s="50"/>
      <c r="JYW352" s="50"/>
      <c r="JYX352" s="50"/>
      <c r="JYY352" s="50"/>
      <c r="JYZ352" s="50"/>
      <c r="JZA352" s="50"/>
      <c r="JZB352" s="50"/>
      <c r="JZC352" s="50"/>
      <c r="JZD352" s="50"/>
      <c r="JZE352" s="50"/>
      <c r="JZF352" s="50"/>
      <c r="JZG352" s="50"/>
      <c r="JZH352" s="50"/>
      <c r="JZI352" s="50"/>
      <c r="JZJ352" s="50"/>
      <c r="JZK352" s="50"/>
      <c r="JZL352" s="50"/>
      <c r="JZM352" s="50"/>
      <c r="JZN352" s="50"/>
      <c r="JZO352" s="50"/>
      <c r="JZP352" s="50"/>
      <c r="JZQ352" s="50"/>
      <c r="JZR352" s="50"/>
      <c r="JZS352" s="50"/>
      <c r="JZT352" s="50"/>
      <c r="JZU352" s="50"/>
      <c r="JZV352" s="50"/>
      <c r="JZW352" s="50"/>
      <c r="JZX352" s="50"/>
      <c r="JZY352" s="50"/>
      <c r="JZZ352" s="50"/>
      <c r="KAA352" s="50"/>
      <c r="KAB352" s="50"/>
      <c r="KAC352" s="50"/>
      <c r="KAD352" s="50"/>
      <c r="KAE352" s="50"/>
      <c r="KAF352" s="50"/>
      <c r="KAG352" s="50"/>
      <c r="KAH352" s="50"/>
      <c r="KAI352" s="50"/>
      <c r="KAJ352" s="50"/>
      <c r="KAK352" s="50"/>
      <c r="KAL352" s="50"/>
      <c r="KAM352" s="50"/>
      <c r="KAN352" s="50"/>
      <c r="KAO352" s="50"/>
      <c r="KAP352" s="50"/>
      <c r="KAQ352" s="50"/>
      <c r="KAR352" s="50"/>
      <c r="KAS352" s="50"/>
      <c r="KAT352" s="50"/>
      <c r="KAU352" s="50"/>
      <c r="KAV352" s="50"/>
      <c r="KAW352" s="50"/>
      <c r="KAX352" s="50"/>
      <c r="KAY352" s="50"/>
      <c r="KAZ352" s="50"/>
      <c r="KBA352" s="50"/>
      <c r="KBB352" s="50"/>
      <c r="KBC352" s="50"/>
      <c r="KBD352" s="50"/>
      <c r="KBE352" s="50"/>
      <c r="KBF352" s="50"/>
      <c r="KBG352" s="50"/>
      <c r="KBH352" s="50"/>
      <c r="KBI352" s="50"/>
      <c r="KBJ352" s="50"/>
      <c r="KBK352" s="50"/>
      <c r="KBL352" s="50"/>
      <c r="KBM352" s="50"/>
      <c r="KBN352" s="50"/>
      <c r="KBO352" s="50"/>
      <c r="KBP352" s="50"/>
      <c r="KBQ352" s="50"/>
      <c r="KBR352" s="50"/>
      <c r="KBS352" s="50"/>
      <c r="KBT352" s="50"/>
      <c r="KBU352" s="50"/>
      <c r="KBV352" s="50"/>
      <c r="KBW352" s="50"/>
      <c r="KBX352" s="50"/>
      <c r="KBY352" s="50"/>
      <c r="KBZ352" s="50"/>
      <c r="KCA352" s="50"/>
      <c r="KCB352" s="50"/>
      <c r="KCC352" s="50"/>
      <c r="KCD352" s="50"/>
      <c r="KCE352" s="50"/>
      <c r="KCF352" s="50"/>
      <c r="KCG352" s="50"/>
      <c r="KCH352" s="50"/>
      <c r="KCI352" s="50"/>
      <c r="KCJ352" s="50"/>
      <c r="KCK352" s="50"/>
      <c r="KCL352" s="50"/>
      <c r="KCM352" s="50"/>
      <c r="KCN352" s="50"/>
      <c r="KCO352" s="50"/>
      <c r="KCP352" s="50"/>
      <c r="KCQ352" s="50"/>
      <c r="KCR352" s="50"/>
      <c r="KCS352" s="50"/>
      <c r="KCT352" s="50"/>
      <c r="KCU352" s="50"/>
      <c r="KCV352" s="50"/>
      <c r="KCW352" s="50"/>
      <c r="KCX352" s="50"/>
      <c r="KCY352" s="50"/>
      <c r="KCZ352" s="50"/>
      <c r="KDA352" s="50"/>
      <c r="KDB352" s="50"/>
      <c r="KDC352" s="50"/>
      <c r="KDD352" s="50"/>
      <c r="KDE352" s="50"/>
      <c r="KDF352" s="50"/>
      <c r="KDG352" s="50"/>
      <c r="KDH352" s="50"/>
      <c r="KDI352" s="50"/>
      <c r="KDJ352" s="50"/>
      <c r="KDK352" s="50"/>
      <c r="KDL352" s="50"/>
      <c r="KDM352" s="50"/>
      <c r="KDN352" s="50"/>
      <c r="KDO352" s="50"/>
      <c r="KDP352" s="50"/>
      <c r="KDQ352" s="50"/>
      <c r="KDR352" s="50"/>
      <c r="KDS352" s="50"/>
      <c r="KDT352" s="50"/>
      <c r="KDU352" s="50"/>
      <c r="KDV352" s="50"/>
      <c r="KDW352" s="50"/>
      <c r="KDX352" s="50"/>
      <c r="KDY352" s="50"/>
      <c r="KDZ352" s="50"/>
      <c r="KEA352" s="50"/>
      <c r="KEB352" s="50"/>
      <c r="KEC352" s="50"/>
      <c r="KED352" s="50"/>
      <c r="KEE352" s="50"/>
      <c r="KEF352" s="50"/>
      <c r="KEG352" s="50"/>
      <c r="KEH352" s="50"/>
      <c r="KEI352" s="50"/>
      <c r="KEJ352" s="50"/>
      <c r="KEK352" s="50"/>
      <c r="KEL352" s="50"/>
      <c r="KEM352" s="50"/>
      <c r="KEN352" s="50"/>
      <c r="KEO352" s="50"/>
      <c r="KEP352" s="50"/>
      <c r="KEQ352" s="50"/>
      <c r="KER352" s="50"/>
      <c r="KES352" s="50"/>
      <c r="KET352" s="50"/>
      <c r="KEU352" s="50"/>
      <c r="KEV352" s="50"/>
      <c r="KEW352" s="50"/>
      <c r="KEX352" s="50"/>
      <c r="KEY352" s="50"/>
      <c r="KEZ352" s="50"/>
      <c r="KFA352" s="50"/>
      <c r="KFB352" s="50"/>
      <c r="KFC352" s="50"/>
      <c r="KFD352" s="50"/>
      <c r="KFE352" s="50"/>
      <c r="KFF352" s="50"/>
      <c r="KFG352" s="50"/>
      <c r="KFH352" s="50"/>
      <c r="KFI352" s="50"/>
      <c r="KFJ352" s="50"/>
      <c r="KFK352" s="50"/>
      <c r="KFL352" s="50"/>
      <c r="KFM352" s="50"/>
      <c r="KFN352" s="50"/>
      <c r="KFO352" s="50"/>
      <c r="KFP352" s="50"/>
      <c r="KFQ352" s="50"/>
      <c r="KFR352" s="50"/>
      <c r="KFS352" s="50"/>
      <c r="KFT352" s="50"/>
      <c r="KFU352" s="50"/>
      <c r="KFV352" s="50"/>
      <c r="KFW352" s="50"/>
      <c r="KFX352" s="50"/>
      <c r="KFY352" s="50"/>
      <c r="KFZ352" s="50"/>
      <c r="KGA352" s="50"/>
      <c r="KGB352" s="50"/>
      <c r="KGC352" s="50"/>
      <c r="KGD352" s="50"/>
      <c r="KGE352" s="50"/>
      <c r="KGF352" s="50"/>
      <c r="KGG352" s="50"/>
      <c r="KGH352" s="50"/>
      <c r="KGI352" s="50"/>
      <c r="KGJ352" s="50"/>
      <c r="KGK352" s="50"/>
      <c r="KGL352" s="50"/>
      <c r="KGM352" s="50"/>
      <c r="KGN352" s="50"/>
      <c r="KGO352" s="50"/>
      <c r="KGP352" s="50"/>
      <c r="KGQ352" s="50"/>
      <c r="KGR352" s="50"/>
      <c r="KGS352" s="50"/>
      <c r="KGT352" s="50"/>
      <c r="KGU352" s="50"/>
      <c r="KGV352" s="50"/>
      <c r="KGW352" s="50"/>
      <c r="KGX352" s="50"/>
      <c r="KGY352" s="50"/>
      <c r="KGZ352" s="50"/>
      <c r="KHA352" s="50"/>
      <c r="KHB352" s="50"/>
      <c r="KHC352" s="50"/>
      <c r="KHD352" s="50"/>
      <c r="KHE352" s="50"/>
      <c r="KHF352" s="50"/>
      <c r="KHG352" s="50"/>
      <c r="KHH352" s="50"/>
      <c r="KHI352" s="50"/>
      <c r="KHJ352" s="50"/>
      <c r="KHK352" s="50"/>
      <c r="KHL352" s="50"/>
      <c r="KHM352" s="50"/>
      <c r="KHN352" s="50"/>
      <c r="KHO352" s="50"/>
      <c r="KHP352" s="50"/>
      <c r="KHQ352" s="50"/>
      <c r="KHR352" s="50"/>
      <c r="KHS352" s="50"/>
      <c r="KHT352" s="50"/>
      <c r="KHU352" s="50"/>
      <c r="KHV352" s="50"/>
      <c r="KHW352" s="50"/>
      <c r="KHX352" s="50"/>
      <c r="KHY352" s="50"/>
      <c r="KHZ352" s="50"/>
      <c r="KIA352" s="50"/>
      <c r="KIB352" s="50"/>
      <c r="KIC352" s="50"/>
      <c r="KID352" s="50"/>
      <c r="KIE352" s="50"/>
      <c r="KIF352" s="50"/>
      <c r="KIG352" s="50"/>
      <c r="KIH352" s="50"/>
      <c r="KII352" s="50"/>
      <c r="KIJ352" s="50"/>
      <c r="KIK352" s="50"/>
      <c r="KIL352" s="50"/>
      <c r="KIM352" s="50"/>
      <c r="KIN352" s="50"/>
      <c r="KIO352" s="50"/>
      <c r="KIP352" s="50"/>
      <c r="KIQ352" s="50"/>
      <c r="KIR352" s="50"/>
      <c r="KIS352" s="50"/>
      <c r="KIT352" s="50"/>
      <c r="KIU352" s="50"/>
      <c r="KIV352" s="50"/>
      <c r="KIW352" s="50"/>
      <c r="KIX352" s="50"/>
      <c r="KIY352" s="50"/>
      <c r="KIZ352" s="50"/>
      <c r="KJA352" s="50"/>
      <c r="KJB352" s="50"/>
      <c r="KJC352" s="50"/>
      <c r="KJD352" s="50"/>
      <c r="KJE352" s="50"/>
      <c r="KJF352" s="50"/>
      <c r="KJG352" s="50"/>
      <c r="KJH352" s="50"/>
      <c r="KJI352" s="50"/>
      <c r="KJJ352" s="50"/>
      <c r="KJK352" s="50"/>
      <c r="KJL352" s="50"/>
      <c r="KJM352" s="50"/>
      <c r="KJN352" s="50"/>
      <c r="KJO352" s="50"/>
      <c r="KJP352" s="50"/>
      <c r="KJQ352" s="50"/>
      <c r="KJR352" s="50"/>
      <c r="KJS352" s="50"/>
      <c r="KJT352" s="50"/>
      <c r="KJU352" s="50"/>
      <c r="KJV352" s="50"/>
      <c r="KJW352" s="50"/>
      <c r="KJX352" s="50"/>
      <c r="KJY352" s="50"/>
      <c r="KJZ352" s="50"/>
      <c r="KKA352" s="50"/>
      <c r="KKB352" s="50"/>
      <c r="KKC352" s="50"/>
      <c r="KKD352" s="50"/>
      <c r="KKE352" s="50"/>
      <c r="KKF352" s="50"/>
      <c r="KKG352" s="50"/>
      <c r="KKH352" s="50"/>
      <c r="KKI352" s="50"/>
      <c r="KKJ352" s="50"/>
      <c r="KKK352" s="50"/>
      <c r="KKL352" s="50"/>
      <c r="KKM352" s="50"/>
      <c r="KKN352" s="50"/>
      <c r="KKO352" s="50"/>
      <c r="KKP352" s="50"/>
      <c r="KKQ352" s="50"/>
      <c r="KKR352" s="50"/>
      <c r="KKS352" s="50"/>
      <c r="KKT352" s="50"/>
      <c r="KKU352" s="50"/>
      <c r="KKV352" s="50"/>
      <c r="KKW352" s="50"/>
      <c r="KKX352" s="50"/>
      <c r="KKY352" s="50"/>
      <c r="KKZ352" s="50"/>
      <c r="KLA352" s="50"/>
      <c r="KLB352" s="50"/>
      <c r="KLC352" s="50"/>
      <c r="KLD352" s="50"/>
      <c r="KLE352" s="50"/>
      <c r="KLF352" s="50"/>
      <c r="KLG352" s="50"/>
      <c r="KLH352" s="50"/>
      <c r="KLI352" s="50"/>
      <c r="KLJ352" s="50"/>
      <c r="KLK352" s="50"/>
      <c r="KLL352" s="50"/>
      <c r="KLM352" s="50"/>
      <c r="KLN352" s="50"/>
      <c r="KLO352" s="50"/>
      <c r="KLP352" s="50"/>
      <c r="KLQ352" s="50"/>
      <c r="KLR352" s="50"/>
      <c r="KLS352" s="50"/>
      <c r="KLT352" s="50"/>
      <c r="KLU352" s="50"/>
      <c r="KLV352" s="50"/>
      <c r="KLW352" s="50"/>
      <c r="KLX352" s="50"/>
      <c r="KLY352" s="50"/>
      <c r="KLZ352" s="50"/>
      <c r="KMA352" s="50"/>
      <c r="KMB352" s="50"/>
      <c r="KMC352" s="50"/>
      <c r="KMD352" s="50"/>
      <c r="KME352" s="50"/>
      <c r="KMF352" s="50"/>
      <c r="KMG352" s="50"/>
      <c r="KMH352" s="50"/>
      <c r="KMI352" s="50"/>
      <c r="KMJ352" s="50"/>
      <c r="KMK352" s="50"/>
      <c r="KML352" s="50"/>
      <c r="KMM352" s="50"/>
      <c r="KMN352" s="50"/>
      <c r="KMO352" s="50"/>
      <c r="KMP352" s="50"/>
      <c r="KMQ352" s="50"/>
      <c r="KMR352" s="50"/>
      <c r="KMS352" s="50"/>
      <c r="KMT352" s="50"/>
      <c r="KMU352" s="50"/>
      <c r="KMV352" s="50"/>
      <c r="KMW352" s="50"/>
      <c r="KMX352" s="50"/>
      <c r="KMY352" s="50"/>
      <c r="KMZ352" s="50"/>
      <c r="KNA352" s="50"/>
      <c r="KNB352" s="50"/>
      <c r="KNC352" s="50"/>
      <c r="KND352" s="50"/>
      <c r="KNE352" s="50"/>
      <c r="KNF352" s="50"/>
      <c r="KNG352" s="50"/>
      <c r="KNH352" s="50"/>
      <c r="KNI352" s="50"/>
      <c r="KNJ352" s="50"/>
      <c r="KNK352" s="50"/>
      <c r="KNL352" s="50"/>
      <c r="KNM352" s="50"/>
      <c r="KNN352" s="50"/>
      <c r="KNO352" s="50"/>
      <c r="KNP352" s="50"/>
      <c r="KNQ352" s="50"/>
      <c r="KNR352" s="50"/>
      <c r="KNS352" s="50"/>
      <c r="KNT352" s="50"/>
      <c r="KNU352" s="50"/>
      <c r="KNV352" s="50"/>
      <c r="KNW352" s="50"/>
      <c r="KNX352" s="50"/>
      <c r="KNY352" s="50"/>
      <c r="KNZ352" s="50"/>
      <c r="KOA352" s="50"/>
      <c r="KOB352" s="50"/>
      <c r="KOC352" s="50"/>
      <c r="KOD352" s="50"/>
      <c r="KOE352" s="50"/>
      <c r="KOF352" s="50"/>
      <c r="KOG352" s="50"/>
      <c r="KOH352" s="50"/>
      <c r="KOI352" s="50"/>
      <c r="KOJ352" s="50"/>
      <c r="KOK352" s="50"/>
      <c r="KOL352" s="50"/>
      <c r="KOM352" s="50"/>
      <c r="KON352" s="50"/>
      <c r="KOO352" s="50"/>
      <c r="KOP352" s="50"/>
      <c r="KOQ352" s="50"/>
      <c r="KOR352" s="50"/>
      <c r="KOS352" s="50"/>
      <c r="KOT352" s="50"/>
      <c r="KOU352" s="50"/>
      <c r="KOV352" s="50"/>
      <c r="KOW352" s="50"/>
      <c r="KOX352" s="50"/>
      <c r="KOY352" s="50"/>
      <c r="KOZ352" s="50"/>
      <c r="KPA352" s="50"/>
      <c r="KPB352" s="50"/>
      <c r="KPC352" s="50"/>
      <c r="KPD352" s="50"/>
      <c r="KPE352" s="50"/>
      <c r="KPF352" s="50"/>
      <c r="KPG352" s="50"/>
      <c r="KPH352" s="50"/>
      <c r="KPI352" s="50"/>
      <c r="KPJ352" s="50"/>
      <c r="KPK352" s="50"/>
      <c r="KPL352" s="50"/>
      <c r="KPM352" s="50"/>
      <c r="KPN352" s="50"/>
      <c r="KPO352" s="50"/>
      <c r="KPP352" s="50"/>
      <c r="KPQ352" s="50"/>
      <c r="KPR352" s="50"/>
      <c r="KPS352" s="50"/>
      <c r="KPT352" s="50"/>
      <c r="KPU352" s="50"/>
      <c r="KPV352" s="50"/>
      <c r="KPW352" s="50"/>
      <c r="KPX352" s="50"/>
      <c r="KPY352" s="50"/>
      <c r="KPZ352" s="50"/>
      <c r="KQA352" s="50"/>
      <c r="KQB352" s="50"/>
      <c r="KQC352" s="50"/>
      <c r="KQD352" s="50"/>
      <c r="KQE352" s="50"/>
      <c r="KQF352" s="50"/>
      <c r="KQG352" s="50"/>
      <c r="KQH352" s="50"/>
      <c r="KQI352" s="50"/>
      <c r="KQJ352" s="50"/>
      <c r="KQK352" s="50"/>
      <c r="KQL352" s="50"/>
      <c r="KQM352" s="50"/>
      <c r="KQN352" s="50"/>
      <c r="KQO352" s="50"/>
      <c r="KQP352" s="50"/>
      <c r="KQQ352" s="50"/>
      <c r="KQR352" s="50"/>
      <c r="KQS352" s="50"/>
      <c r="KQT352" s="50"/>
      <c r="KQU352" s="50"/>
      <c r="KQV352" s="50"/>
      <c r="KQW352" s="50"/>
      <c r="KQX352" s="50"/>
      <c r="KQY352" s="50"/>
      <c r="KQZ352" s="50"/>
      <c r="KRA352" s="50"/>
      <c r="KRB352" s="50"/>
      <c r="KRC352" s="50"/>
      <c r="KRD352" s="50"/>
      <c r="KRE352" s="50"/>
      <c r="KRF352" s="50"/>
      <c r="KRG352" s="50"/>
      <c r="KRH352" s="50"/>
      <c r="KRI352" s="50"/>
      <c r="KRJ352" s="50"/>
      <c r="KRK352" s="50"/>
      <c r="KRL352" s="50"/>
      <c r="KRM352" s="50"/>
      <c r="KRN352" s="50"/>
      <c r="KRO352" s="50"/>
      <c r="KRP352" s="50"/>
      <c r="KRQ352" s="50"/>
      <c r="KRR352" s="50"/>
      <c r="KRS352" s="50"/>
      <c r="KRT352" s="50"/>
      <c r="KRU352" s="50"/>
      <c r="KRV352" s="50"/>
      <c r="KRW352" s="50"/>
      <c r="KRX352" s="50"/>
      <c r="KRY352" s="50"/>
      <c r="KRZ352" s="50"/>
      <c r="KSA352" s="50"/>
      <c r="KSB352" s="50"/>
      <c r="KSC352" s="50"/>
      <c r="KSD352" s="50"/>
      <c r="KSE352" s="50"/>
      <c r="KSF352" s="50"/>
      <c r="KSG352" s="50"/>
      <c r="KSH352" s="50"/>
      <c r="KSI352" s="50"/>
      <c r="KSJ352" s="50"/>
      <c r="KSK352" s="50"/>
      <c r="KSL352" s="50"/>
      <c r="KSM352" s="50"/>
      <c r="KSN352" s="50"/>
      <c r="KSO352" s="50"/>
      <c r="KSP352" s="50"/>
      <c r="KSQ352" s="50"/>
      <c r="KSR352" s="50"/>
      <c r="KSS352" s="50"/>
      <c r="KST352" s="50"/>
      <c r="KSU352" s="50"/>
      <c r="KSV352" s="50"/>
      <c r="KSW352" s="50"/>
      <c r="KSX352" s="50"/>
      <c r="KSY352" s="50"/>
      <c r="KSZ352" s="50"/>
      <c r="KTA352" s="50"/>
      <c r="KTB352" s="50"/>
      <c r="KTC352" s="50"/>
      <c r="KTD352" s="50"/>
      <c r="KTE352" s="50"/>
      <c r="KTF352" s="50"/>
      <c r="KTG352" s="50"/>
      <c r="KTH352" s="50"/>
      <c r="KTI352" s="50"/>
      <c r="KTJ352" s="50"/>
      <c r="KTK352" s="50"/>
      <c r="KTL352" s="50"/>
      <c r="KTM352" s="50"/>
      <c r="KTN352" s="50"/>
      <c r="KTO352" s="50"/>
      <c r="KTP352" s="50"/>
      <c r="KTQ352" s="50"/>
      <c r="KTR352" s="50"/>
      <c r="KTS352" s="50"/>
      <c r="KTT352" s="50"/>
      <c r="KTU352" s="50"/>
      <c r="KTV352" s="50"/>
      <c r="KTW352" s="50"/>
      <c r="KTX352" s="50"/>
      <c r="KTY352" s="50"/>
      <c r="KTZ352" s="50"/>
      <c r="KUA352" s="50"/>
      <c r="KUB352" s="50"/>
      <c r="KUC352" s="50"/>
      <c r="KUD352" s="50"/>
      <c r="KUE352" s="50"/>
      <c r="KUF352" s="50"/>
      <c r="KUG352" s="50"/>
      <c r="KUH352" s="50"/>
      <c r="KUI352" s="50"/>
      <c r="KUJ352" s="50"/>
      <c r="KUK352" s="50"/>
      <c r="KUL352" s="50"/>
      <c r="KUM352" s="50"/>
      <c r="KUN352" s="50"/>
      <c r="KUO352" s="50"/>
      <c r="KUP352" s="50"/>
      <c r="KUQ352" s="50"/>
      <c r="KUR352" s="50"/>
      <c r="KUS352" s="50"/>
      <c r="KUT352" s="50"/>
      <c r="KUU352" s="50"/>
      <c r="KUV352" s="50"/>
      <c r="KUW352" s="50"/>
      <c r="KUX352" s="50"/>
      <c r="KUY352" s="50"/>
      <c r="KUZ352" s="50"/>
      <c r="KVA352" s="50"/>
      <c r="KVB352" s="50"/>
      <c r="KVC352" s="50"/>
      <c r="KVD352" s="50"/>
      <c r="KVE352" s="50"/>
      <c r="KVF352" s="50"/>
      <c r="KVG352" s="50"/>
      <c r="KVH352" s="50"/>
      <c r="KVI352" s="50"/>
      <c r="KVJ352" s="50"/>
      <c r="KVK352" s="50"/>
      <c r="KVL352" s="50"/>
      <c r="KVM352" s="50"/>
      <c r="KVN352" s="50"/>
      <c r="KVO352" s="50"/>
      <c r="KVP352" s="50"/>
      <c r="KVQ352" s="50"/>
      <c r="KVR352" s="50"/>
      <c r="KVS352" s="50"/>
      <c r="KVT352" s="50"/>
      <c r="KVU352" s="50"/>
      <c r="KVV352" s="50"/>
      <c r="KVW352" s="50"/>
      <c r="KVX352" s="50"/>
      <c r="KVY352" s="50"/>
      <c r="KVZ352" s="50"/>
      <c r="KWA352" s="50"/>
      <c r="KWB352" s="50"/>
      <c r="KWC352" s="50"/>
      <c r="KWD352" s="50"/>
      <c r="KWE352" s="50"/>
      <c r="KWF352" s="50"/>
      <c r="KWG352" s="50"/>
      <c r="KWH352" s="50"/>
      <c r="KWI352" s="50"/>
      <c r="KWJ352" s="50"/>
      <c r="KWK352" s="50"/>
      <c r="KWL352" s="50"/>
      <c r="KWM352" s="50"/>
      <c r="KWN352" s="50"/>
      <c r="KWO352" s="50"/>
      <c r="KWP352" s="50"/>
      <c r="KWQ352" s="50"/>
      <c r="KWR352" s="50"/>
      <c r="KWS352" s="50"/>
      <c r="KWT352" s="50"/>
      <c r="KWU352" s="50"/>
      <c r="KWV352" s="50"/>
      <c r="KWW352" s="50"/>
      <c r="KWX352" s="50"/>
      <c r="KWY352" s="50"/>
      <c r="KWZ352" s="50"/>
      <c r="KXA352" s="50"/>
      <c r="KXB352" s="50"/>
      <c r="KXC352" s="50"/>
      <c r="KXD352" s="50"/>
      <c r="KXE352" s="50"/>
      <c r="KXF352" s="50"/>
      <c r="KXG352" s="50"/>
      <c r="KXH352" s="50"/>
      <c r="KXI352" s="50"/>
      <c r="KXJ352" s="50"/>
      <c r="KXK352" s="50"/>
      <c r="KXL352" s="50"/>
      <c r="KXM352" s="50"/>
      <c r="KXN352" s="50"/>
      <c r="KXO352" s="50"/>
      <c r="KXP352" s="50"/>
      <c r="KXQ352" s="50"/>
      <c r="KXR352" s="50"/>
      <c r="KXS352" s="50"/>
      <c r="KXT352" s="50"/>
      <c r="KXU352" s="50"/>
      <c r="KXV352" s="50"/>
      <c r="KXW352" s="50"/>
      <c r="KXX352" s="50"/>
      <c r="KXY352" s="50"/>
      <c r="KXZ352" s="50"/>
      <c r="KYA352" s="50"/>
      <c r="KYB352" s="50"/>
      <c r="KYC352" s="50"/>
      <c r="KYD352" s="50"/>
      <c r="KYE352" s="50"/>
      <c r="KYF352" s="50"/>
      <c r="KYG352" s="50"/>
      <c r="KYH352" s="50"/>
      <c r="KYI352" s="50"/>
      <c r="KYJ352" s="50"/>
      <c r="KYK352" s="50"/>
      <c r="KYL352" s="50"/>
      <c r="KYM352" s="50"/>
      <c r="KYN352" s="50"/>
      <c r="KYO352" s="50"/>
      <c r="KYP352" s="50"/>
      <c r="KYQ352" s="50"/>
      <c r="KYR352" s="50"/>
      <c r="KYS352" s="50"/>
      <c r="KYT352" s="50"/>
      <c r="KYU352" s="50"/>
      <c r="KYV352" s="50"/>
      <c r="KYW352" s="50"/>
      <c r="KYX352" s="50"/>
      <c r="KYY352" s="50"/>
      <c r="KYZ352" s="50"/>
      <c r="KZA352" s="50"/>
      <c r="KZB352" s="50"/>
      <c r="KZC352" s="50"/>
      <c r="KZD352" s="50"/>
      <c r="KZE352" s="50"/>
      <c r="KZF352" s="50"/>
      <c r="KZG352" s="50"/>
      <c r="KZH352" s="50"/>
      <c r="KZI352" s="50"/>
      <c r="KZJ352" s="50"/>
      <c r="KZK352" s="50"/>
      <c r="KZL352" s="50"/>
      <c r="KZM352" s="50"/>
      <c r="KZN352" s="50"/>
      <c r="KZO352" s="50"/>
      <c r="KZP352" s="50"/>
      <c r="KZQ352" s="50"/>
      <c r="KZR352" s="50"/>
      <c r="KZS352" s="50"/>
      <c r="KZT352" s="50"/>
      <c r="KZU352" s="50"/>
      <c r="KZV352" s="50"/>
      <c r="KZW352" s="50"/>
      <c r="KZX352" s="50"/>
      <c r="KZY352" s="50"/>
      <c r="KZZ352" s="50"/>
      <c r="LAA352" s="50"/>
      <c r="LAB352" s="50"/>
      <c r="LAC352" s="50"/>
      <c r="LAD352" s="50"/>
      <c r="LAE352" s="50"/>
      <c r="LAF352" s="50"/>
      <c r="LAG352" s="50"/>
      <c r="LAH352" s="50"/>
      <c r="LAI352" s="50"/>
      <c r="LAJ352" s="50"/>
      <c r="LAK352" s="50"/>
      <c r="LAL352" s="50"/>
      <c r="LAM352" s="50"/>
      <c r="LAN352" s="50"/>
      <c r="LAO352" s="50"/>
      <c r="LAP352" s="50"/>
      <c r="LAQ352" s="50"/>
      <c r="LAR352" s="50"/>
      <c r="LAS352" s="50"/>
      <c r="LAT352" s="50"/>
      <c r="LAU352" s="50"/>
      <c r="LAV352" s="50"/>
      <c r="LAW352" s="50"/>
      <c r="LAX352" s="50"/>
      <c r="LAY352" s="50"/>
      <c r="LAZ352" s="50"/>
      <c r="LBA352" s="50"/>
      <c r="LBB352" s="50"/>
      <c r="LBC352" s="50"/>
      <c r="LBD352" s="50"/>
      <c r="LBE352" s="50"/>
      <c r="LBF352" s="50"/>
      <c r="LBG352" s="50"/>
      <c r="LBH352" s="50"/>
      <c r="LBI352" s="50"/>
      <c r="LBJ352" s="50"/>
      <c r="LBK352" s="50"/>
      <c r="LBL352" s="50"/>
      <c r="LBM352" s="50"/>
      <c r="LBN352" s="50"/>
      <c r="LBO352" s="50"/>
      <c r="LBP352" s="50"/>
      <c r="LBQ352" s="50"/>
      <c r="LBR352" s="50"/>
      <c r="LBS352" s="50"/>
      <c r="LBT352" s="50"/>
      <c r="LBU352" s="50"/>
      <c r="LBV352" s="50"/>
      <c r="LBW352" s="50"/>
      <c r="LBX352" s="50"/>
      <c r="LBY352" s="50"/>
      <c r="LBZ352" s="50"/>
      <c r="LCA352" s="50"/>
      <c r="LCB352" s="50"/>
      <c r="LCC352" s="50"/>
      <c r="LCD352" s="50"/>
      <c r="LCE352" s="50"/>
      <c r="LCF352" s="50"/>
      <c r="LCG352" s="50"/>
      <c r="LCH352" s="50"/>
      <c r="LCI352" s="50"/>
      <c r="LCJ352" s="50"/>
      <c r="LCK352" s="50"/>
      <c r="LCL352" s="50"/>
      <c r="LCM352" s="50"/>
      <c r="LCN352" s="50"/>
      <c r="LCO352" s="50"/>
      <c r="LCP352" s="50"/>
      <c r="LCQ352" s="50"/>
      <c r="LCR352" s="50"/>
      <c r="LCS352" s="50"/>
      <c r="LCT352" s="50"/>
      <c r="LCU352" s="50"/>
      <c r="LCV352" s="50"/>
      <c r="LCW352" s="50"/>
      <c r="LCX352" s="50"/>
      <c r="LCY352" s="50"/>
      <c r="LCZ352" s="50"/>
      <c r="LDA352" s="50"/>
      <c r="LDB352" s="50"/>
      <c r="LDC352" s="50"/>
      <c r="LDD352" s="50"/>
      <c r="LDE352" s="50"/>
      <c r="LDF352" s="50"/>
      <c r="LDG352" s="50"/>
      <c r="LDH352" s="50"/>
      <c r="LDI352" s="50"/>
      <c r="LDJ352" s="50"/>
      <c r="LDK352" s="50"/>
      <c r="LDL352" s="50"/>
      <c r="LDM352" s="50"/>
      <c r="LDN352" s="50"/>
      <c r="LDO352" s="50"/>
      <c r="LDP352" s="50"/>
      <c r="LDQ352" s="50"/>
      <c r="LDR352" s="50"/>
      <c r="LDS352" s="50"/>
      <c r="LDT352" s="50"/>
      <c r="LDU352" s="50"/>
      <c r="LDV352" s="50"/>
      <c r="LDW352" s="50"/>
      <c r="LDX352" s="50"/>
      <c r="LDY352" s="50"/>
      <c r="LDZ352" s="50"/>
      <c r="LEA352" s="50"/>
      <c r="LEB352" s="50"/>
      <c r="LEC352" s="50"/>
      <c r="LED352" s="50"/>
      <c r="LEE352" s="50"/>
      <c r="LEF352" s="50"/>
      <c r="LEG352" s="50"/>
      <c r="LEH352" s="50"/>
      <c r="LEI352" s="50"/>
      <c r="LEJ352" s="50"/>
      <c r="LEK352" s="50"/>
      <c r="LEL352" s="50"/>
      <c r="LEM352" s="50"/>
      <c r="LEN352" s="50"/>
      <c r="LEO352" s="50"/>
      <c r="LEP352" s="50"/>
      <c r="LEQ352" s="50"/>
      <c r="LER352" s="50"/>
      <c r="LES352" s="50"/>
      <c r="LET352" s="50"/>
      <c r="LEU352" s="50"/>
      <c r="LEV352" s="50"/>
      <c r="LEW352" s="50"/>
      <c r="LEX352" s="50"/>
      <c r="LEY352" s="50"/>
      <c r="LEZ352" s="50"/>
      <c r="LFA352" s="50"/>
      <c r="LFB352" s="50"/>
      <c r="LFC352" s="50"/>
      <c r="LFD352" s="50"/>
      <c r="LFE352" s="50"/>
      <c r="LFF352" s="50"/>
      <c r="LFG352" s="50"/>
      <c r="LFH352" s="50"/>
      <c r="LFI352" s="50"/>
      <c r="LFJ352" s="50"/>
      <c r="LFK352" s="50"/>
      <c r="LFL352" s="50"/>
      <c r="LFM352" s="50"/>
      <c r="LFN352" s="50"/>
      <c r="LFO352" s="50"/>
      <c r="LFP352" s="50"/>
      <c r="LFQ352" s="50"/>
      <c r="LFR352" s="50"/>
      <c r="LFS352" s="50"/>
      <c r="LFT352" s="50"/>
      <c r="LFU352" s="50"/>
      <c r="LFV352" s="50"/>
      <c r="LFW352" s="50"/>
      <c r="LFX352" s="50"/>
      <c r="LFY352" s="50"/>
      <c r="LFZ352" s="50"/>
      <c r="LGA352" s="50"/>
      <c r="LGB352" s="50"/>
      <c r="LGC352" s="50"/>
      <c r="LGD352" s="50"/>
      <c r="LGE352" s="50"/>
      <c r="LGF352" s="50"/>
      <c r="LGG352" s="50"/>
      <c r="LGH352" s="50"/>
      <c r="LGI352" s="50"/>
      <c r="LGJ352" s="50"/>
      <c r="LGK352" s="50"/>
      <c r="LGL352" s="50"/>
      <c r="LGM352" s="50"/>
      <c r="LGN352" s="50"/>
      <c r="LGO352" s="50"/>
      <c r="LGP352" s="50"/>
      <c r="LGQ352" s="50"/>
      <c r="LGR352" s="50"/>
      <c r="LGS352" s="50"/>
      <c r="LGT352" s="50"/>
      <c r="LGU352" s="50"/>
      <c r="LGV352" s="50"/>
      <c r="LGW352" s="50"/>
      <c r="LGX352" s="50"/>
      <c r="LGY352" s="50"/>
      <c r="LGZ352" s="50"/>
      <c r="LHA352" s="50"/>
      <c r="LHB352" s="50"/>
      <c r="LHC352" s="50"/>
      <c r="LHD352" s="50"/>
      <c r="LHE352" s="50"/>
      <c r="LHF352" s="50"/>
      <c r="LHG352" s="50"/>
      <c r="LHH352" s="50"/>
      <c r="LHI352" s="50"/>
      <c r="LHJ352" s="50"/>
      <c r="LHK352" s="50"/>
      <c r="LHL352" s="50"/>
      <c r="LHM352" s="50"/>
      <c r="LHN352" s="50"/>
      <c r="LHO352" s="50"/>
      <c r="LHP352" s="50"/>
      <c r="LHQ352" s="50"/>
      <c r="LHR352" s="50"/>
      <c r="LHS352" s="50"/>
      <c r="LHT352" s="50"/>
      <c r="LHU352" s="50"/>
      <c r="LHV352" s="50"/>
      <c r="LHW352" s="50"/>
      <c r="LHX352" s="50"/>
      <c r="LHY352" s="50"/>
      <c r="LHZ352" s="50"/>
      <c r="LIA352" s="50"/>
      <c r="LIB352" s="50"/>
      <c r="LIC352" s="50"/>
      <c r="LID352" s="50"/>
      <c r="LIE352" s="50"/>
      <c r="LIF352" s="50"/>
      <c r="LIG352" s="50"/>
      <c r="LIH352" s="50"/>
      <c r="LII352" s="50"/>
      <c r="LIJ352" s="50"/>
      <c r="LIK352" s="50"/>
      <c r="LIL352" s="50"/>
      <c r="LIM352" s="50"/>
      <c r="LIN352" s="50"/>
      <c r="LIO352" s="50"/>
      <c r="LIP352" s="50"/>
      <c r="LIQ352" s="50"/>
      <c r="LIR352" s="50"/>
      <c r="LIS352" s="50"/>
      <c r="LIT352" s="50"/>
      <c r="LIU352" s="50"/>
      <c r="LIV352" s="50"/>
      <c r="LIW352" s="50"/>
      <c r="LIX352" s="50"/>
      <c r="LIY352" s="50"/>
      <c r="LIZ352" s="50"/>
      <c r="LJA352" s="50"/>
      <c r="LJB352" s="50"/>
      <c r="LJC352" s="50"/>
      <c r="LJD352" s="50"/>
      <c r="LJE352" s="50"/>
      <c r="LJF352" s="50"/>
      <c r="LJG352" s="50"/>
      <c r="LJH352" s="50"/>
      <c r="LJI352" s="50"/>
      <c r="LJJ352" s="50"/>
      <c r="LJK352" s="50"/>
      <c r="LJL352" s="50"/>
      <c r="LJM352" s="50"/>
      <c r="LJN352" s="50"/>
      <c r="LJO352" s="50"/>
      <c r="LJP352" s="50"/>
      <c r="LJQ352" s="50"/>
      <c r="LJR352" s="50"/>
      <c r="LJS352" s="50"/>
      <c r="LJT352" s="50"/>
      <c r="LJU352" s="50"/>
      <c r="LJV352" s="50"/>
      <c r="LJW352" s="50"/>
      <c r="LJX352" s="50"/>
      <c r="LJY352" s="50"/>
      <c r="LJZ352" s="50"/>
      <c r="LKA352" s="50"/>
      <c r="LKB352" s="50"/>
      <c r="LKC352" s="50"/>
      <c r="LKD352" s="50"/>
      <c r="LKE352" s="50"/>
      <c r="LKF352" s="50"/>
      <c r="LKG352" s="50"/>
      <c r="LKH352" s="50"/>
      <c r="LKI352" s="50"/>
      <c r="LKJ352" s="50"/>
      <c r="LKK352" s="50"/>
      <c r="LKL352" s="50"/>
      <c r="LKM352" s="50"/>
      <c r="LKN352" s="50"/>
      <c r="LKO352" s="50"/>
      <c r="LKP352" s="50"/>
      <c r="LKQ352" s="50"/>
      <c r="LKR352" s="50"/>
      <c r="LKS352" s="50"/>
      <c r="LKT352" s="50"/>
      <c r="LKU352" s="50"/>
      <c r="LKV352" s="50"/>
      <c r="LKW352" s="50"/>
      <c r="LKX352" s="50"/>
      <c r="LKY352" s="50"/>
      <c r="LKZ352" s="50"/>
      <c r="LLA352" s="50"/>
      <c r="LLB352" s="50"/>
      <c r="LLC352" s="50"/>
      <c r="LLD352" s="50"/>
      <c r="LLE352" s="50"/>
      <c r="LLF352" s="50"/>
      <c r="LLG352" s="50"/>
      <c r="LLH352" s="50"/>
      <c r="LLI352" s="50"/>
      <c r="LLJ352" s="50"/>
      <c r="LLK352" s="50"/>
      <c r="LLL352" s="50"/>
      <c r="LLM352" s="50"/>
      <c r="LLN352" s="50"/>
      <c r="LLO352" s="50"/>
      <c r="LLP352" s="50"/>
      <c r="LLQ352" s="50"/>
      <c r="LLR352" s="50"/>
      <c r="LLS352" s="50"/>
      <c r="LLT352" s="50"/>
      <c r="LLU352" s="50"/>
      <c r="LLV352" s="50"/>
      <c r="LLW352" s="50"/>
      <c r="LLX352" s="50"/>
      <c r="LLY352" s="50"/>
      <c r="LLZ352" s="50"/>
      <c r="LMA352" s="50"/>
      <c r="LMB352" s="50"/>
      <c r="LMC352" s="50"/>
      <c r="LMD352" s="50"/>
      <c r="LME352" s="50"/>
      <c r="LMF352" s="50"/>
      <c r="LMG352" s="50"/>
      <c r="LMH352" s="50"/>
      <c r="LMI352" s="50"/>
      <c r="LMJ352" s="50"/>
      <c r="LMK352" s="50"/>
      <c r="LML352" s="50"/>
      <c r="LMM352" s="50"/>
      <c r="LMN352" s="50"/>
      <c r="LMO352" s="50"/>
      <c r="LMP352" s="50"/>
      <c r="LMQ352" s="50"/>
      <c r="LMR352" s="50"/>
      <c r="LMS352" s="50"/>
      <c r="LMT352" s="50"/>
      <c r="LMU352" s="50"/>
      <c r="LMV352" s="50"/>
      <c r="LMW352" s="50"/>
      <c r="LMX352" s="50"/>
      <c r="LMY352" s="50"/>
      <c r="LMZ352" s="50"/>
      <c r="LNA352" s="50"/>
      <c r="LNB352" s="50"/>
      <c r="LNC352" s="50"/>
      <c r="LND352" s="50"/>
      <c r="LNE352" s="50"/>
      <c r="LNF352" s="50"/>
      <c r="LNG352" s="50"/>
      <c r="LNH352" s="50"/>
      <c r="LNI352" s="50"/>
      <c r="LNJ352" s="50"/>
      <c r="LNK352" s="50"/>
      <c r="LNL352" s="50"/>
      <c r="LNM352" s="50"/>
      <c r="LNN352" s="50"/>
      <c r="LNO352" s="50"/>
      <c r="LNP352" s="50"/>
      <c r="LNQ352" s="50"/>
      <c r="LNR352" s="50"/>
      <c r="LNS352" s="50"/>
      <c r="LNT352" s="50"/>
      <c r="LNU352" s="50"/>
      <c r="LNV352" s="50"/>
      <c r="LNW352" s="50"/>
      <c r="LNX352" s="50"/>
      <c r="LNY352" s="50"/>
      <c r="LNZ352" s="50"/>
      <c r="LOA352" s="50"/>
      <c r="LOB352" s="50"/>
      <c r="LOC352" s="50"/>
      <c r="LOD352" s="50"/>
      <c r="LOE352" s="50"/>
      <c r="LOF352" s="50"/>
      <c r="LOG352" s="50"/>
      <c r="LOH352" s="50"/>
      <c r="LOI352" s="50"/>
      <c r="LOJ352" s="50"/>
      <c r="LOK352" s="50"/>
      <c r="LOL352" s="50"/>
      <c r="LOM352" s="50"/>
      <c r="LON352" s="50"/>
      <c r="LOO352" s="50"/>
      <c r="LOP352" s="50"/>
      <c r="LOQ352" s="50"/>
      <c r="LOR352" s="50"/>
      <c r="LOS352" s="50"/>
      <c r="LOT352" s="50"/>
      <c r="LOU352" s="50"/>
      <c r="LOV352" s="50"/>
      <c r="LOW352" s="50"/>
      <c r="LOX352" s="50"/>
      <c r="LOY352" s="50"/>
      <c r="LOZ352" s="50"/>
      <c r="LPA352" s="50"/>
      <c r="LPB352" s="50"/>
      <c r="LPC352" s="50"/>
      <c r="LPD352" s="50"/>
      <c r="LPE352" s="50"/>
      <c r="LPF352" s="50"/>
      <c r="LPG352" s="50"/>
      <c r="LPH352" s="50"/>
      <c r="LPI352" s="50"/>
      <c r="LPJ352" s="50"/>
      <c r="LPK352" s="50"/>
      <c r="LPL352" s="50"/>
      <c r="LPM352" s="50"/>
      <c r="LPN352" s="50"/>
      <c r="LPO352" s="50"/>
      <c r="LPP352" s="50"/>
      <c r="LPQ352" s="50"/>
      <c r="LPR352" s="50"/>
      <c r="LPS352" s="50"/>
      <c r="LPT352" s="50"/>
      <c r="LPU352" s="50"/>
      <c r="LPV352" s="50"/>
      <c r="LPW352" s="50"/>
      <c r="LPX352" s="50"/>
      <c r="LPY352" s="50"/>
      <c r="LPZ352" s="50"/>
      <c r="LQA352" s="50"/>
      <c r="LQB352" s="50"/>
      <c r="LQC352" s="50"/>
      <c r="LQD352" s="50"/>
      <c r="LQE352" s="50"/>
      <c r="LQF352" s="50"/>
      <c r="LQG352" s="50"/>
      <c r="LQH352" s="50"/>
      <c r="LQI352" s="50"/>
      <c r="LQJ352" s="50"/>
      <c r="LQK352" s="50"/>
      <c r="LQL352" s="50"/>
      <c r="LQM352" s="50"/>
      <c r="LQN352" s="50"/>
      <c r="LQO352" s="50"/>
      <c r="LQP352" s="50"/>
      <c r="LQQ352" s="50"/>
      <c r="LQR352" s="50"/>
      <c r="LQS352" s="50"/>
      <c r="LQT352" s="50"/>
      <c r="LQU352" s="50"/>
      <c r="LQV352" s="50"/>
      <c r="LQW352" s="50"/>
      <c r="LQX352" s="50"/>
      <c r="LQY352" s="50"/>
      <c r="LQZ352" s="50"/>
      <c r="LRA352" s="50"/>
      <c r="LRB352" s="50"/>
      <c r="LRC352" s="50"/>
      <c r="LRD352" s="50"/>
      <c r="LRE352" s="50"/>
      <c r="LRF352" s="50"/>
      <c r="LRG352" s="50"/>
      <c r="LRH352" s="50"/>
      <c r="LRI352" s="50"/>
      <c r="LRJ352" s="50"/>
      <c r="LRK352" s="50"/>
      <c r="LRL352" s="50"/>
      <c r="LRM352" s="50"/>
      <c r="LRN352" s="50"/>
      <c r="LRO352" s="50"/>
      <c r="LRP352" s="50"/>
      <c r="LRQ352" s="50"/>
      <c r="LRR352" s="50"/>
      <c r="LRS352" s="50"/>
      <c r="LRT352" s="50"/>
      <c r="LRU352" s="50"/>
      <c r="LRV352" s="50"/>
      <c r="LRW352" s="50"/>
      <c r="LRX352" s="50"/>
      <c r="LRY352" s="50"/>
      <c r="LRZ352" s="50"/>
      <c r="LSA352" s="50"/>
      <c r="LSB352" s="50"/>
      <c r="LSC352" s="50"/>
      <c r="LSD352" s="50"/>
      <c r="LSE352" s="50"/>
      <c r="LSF352" s="50"/>
      <c r="LSG352" s="50"/>
      <c r="LSH352" s="50"/>
      <c r="LSI352" s="50"/>
      <c r="LSJ352" s="50"/>
      <c r="LSK352" s="50"/>
      <c r="LSL352" s="50"/>
      <c r="LSM352" s="50"/>
      <c r="LSN352" s="50"/>
      <c r="LSO352" s="50"/>
      <c r="LSP352" s="50"/>
      <c r="LSQ352" s="50"/>
      <c r="LSR352" s="50"/>
      <c r="LSS352" s="50"/>
      <c r="LST352" s="50"/>
      <c r="LSU352" s="50"/>
      <c r="LSV352" s="50"/>
      <c r="LSW352" s="50"/>
      <c r="LSX352" s="50"/>
      <c r="LSY352" s="50"/>
      <c r="LSZ352" s="50"/>
      <c r="LTA352" s="50"/>
      <c r="LTB352" s="50"/>
      <c r="LTC352" s="50"/>
      <c r="LTD352" s="50"/>
      <c r="LTE352" s="50"/>
      <c r="LTF352" s="50"/>
      <c r="LTG352" s="50"/>
      <c r="LTH352" s="50"/>
      <c r="LTI352" s="50"/>
      <c r="LTJ352" s="50"/>
      <c r="LTK352" s="50"/>
      <c r="LTL352" s="50"/>
      <c r="LTM352" s="50"/>
      <c r="LTN352" s="50"/>
      <c r="LTO352" s="50"/>
      <c r="LTP352" s="50"/>
      <c r="LTQ352" s="50"/>
      <c r="LTR352" s="50"/>
      <c r="LTS352" s="50"/>
      <c r="LTT352" s="50"/>
      <c r="LTU352" s="50"/>
      <c r="LTV352" s="50"/>
      <c r="LTW352" s="50"/>
      <c r="LTX352" s="50"/>
      <c r="LTY352" s="50"/>
      <c r="LTZ352" s="50"/>
      <c r="LUA352" s="50"/>
      <c r="LUB352" s="50"/>
      <c r="LUC352" s="50"/>
      <c r="LUD352" s="50"/>
      <c r="LUE352" s="50"/>
      <c r="LUF352" s="50"/>
      <c r="LUG352" s="50"/>
      <c r="LUH352" s="50"/>
      <c r="LUI352" s="50"/>
      <c r="LUJ352" s="50"/>
      <c r="LUK352" s="50"/>
      <c r="LUL352" s="50"/>
      <c r="LUM352" s="50"/>
      <c r="LUN352" s="50"/>
      <c r="LUO352" s="50"/>
      <c r="LUP352" s="50"/>
      <c r="LUQ352" s="50"/>
      <c r="LUR352" s="50"/>
      <c r="LUS352" s="50"/>
      <c r="LUT352" s="50"/>
      <c r="LUU352" s="50"/>
      <c r="LUV352" s="50"/>
      <c r="LUW352" s="50"/>
      <c r="LUX352" s="50"/>
      <c r="LUY352" s="50"/>
      <c r="LUZ352" s="50"/>
      <c r="LVA352" s="50"/>
      <c r="LVB352" s="50"/>
      <c r="LVC352" s="50"/>
      <c r="LVD352" s="50"/>
      <c r="LVE352" s="50"/>
      <c r="LVF352" s="50"/>
      <c r="LVG352" s="50"/>
      <c r="LVH352" s="50"/>
      <c r="LVI352" s="50"/>
      <c r="LVJ352" s="50"/>
      <c r="LVK352" s="50"/>
      <c r="LVL352" s="50"/>
      <c r="LVM352" s="50"/>
      <c r="LVN352" s="50"/>
      <c r="LVO352" s="50"/>
      <c r="LVP352" s="50"/>
      <c r="LVQ352" s="50"/>
      <c r="LVR352" s="50"/>
      <c r="LVS352" s="50"/>
      <c r="LVT352" s="50"/>
      <c r="LVU352" s="50"/>
      <c r="LVV352" s="50"/>
      <c r="LVW352" s="50"/>
      <c r="LVX352" s="50"/>
      <c r="LVY352" s="50"/>
      <c r="LVZ352" s="50"/>
      <c r="LWA352" s="50"/>
      <c r="LWB352" s="50"/>
      <c r="LWC352" s="50"/>
      <c r="LWD352" s="50"/>
      <c r="LWE352" s="50"/>
      <c r="LWF352" s="50"/>
      <c r="LWG352" s="50"/>
      <c r="LWH352" s="50"/>
      <c r="LWI352" s="50"/>
      <c r="LWJ352" s="50"/>
      <c r="LWK352" s="50"/>
      <c r="LWL352" s="50"/>
      <c r="LWM352" s="50"/>
      <c r="LWN352" s="50"/>
      <c r="LWO352" s="50"/>
      <c r="LWP352" s="50"/>
      <c r="LWQ352" s="50"/>
      <c r="LWR352" s="50"/>
      <c r="LWS352" s="50"/>
      <c r="LWT352" s="50"/>
      <c r="LWU352" s="50"/>
      <c r="LWV352" s="50"/>
      <c r="LWW352" s="50"/>
      <c r="LWX352" s="50"/>
      <c r="LWY352" s="50"/>
      <c r="LWZ352" s="50"/>
      <c r="LXA352" s="50"/>
      <c r="LXB352" s="50"/>
      <c r="LXC352" s="50"/>
      <c r="LXD352" s="50"/>
      <c r="LXE352" s="50"/>
      <c r="LXF352" s="50"/>
      <c r="LXG352" s="50"/>
      <c r="LXH352" s="50"/>
      <c r="LXI352" s="50"/>
      <c r="LXJ352" s="50"/>
      <c r="LXK352" s="50"/>
      <c r="LXL352" s="50"/>
      <c r="LXM352" s="50"/>
      <c r="LXN352" s="50"/>
      <c r="LXO352" s="50"/>
      <c r="LXP352" s="50"/>
      <c r="LXQ352" s="50"/>
      <c r="LXR352" s="50"/>
      <c r="LXS352" s="50"/>
      <c r="LXT352" s="50"/>
      <c r="LXU352" s="50"/>
      <c r="LXV352" s="50"/>
      <c r="LXW352" s="50"/>
      <c r="LXX352" s="50"/>
      <c r="LXY352" s="50"/>
      <c r="LXZ352" s="50"/>
      <c r="LYA352" s="50"/>
      <c r="LYB352" s="50"/>
      <c r="LYC352" s="50"/>
      <c r="LYD352" s="50"/>
      <c r="LYE352" s="50"/>
      <c r="LYF352" s="50"/>
      <c r="LYG352" s="50"/>
      <c r="LYH352" s="50"/>
      <c r="LYI352" s="50"/>
      <c r="LYJ352" s="50"/>
      <c r="LYK352" s="50"/>
      <c r="LYL352" s="50"/>
      <c r="LYM352" s="50"/>
      <c r="LYN352" s="50"/>
      <c r="LYO352" s="50"/>
      <c r="LYP352" s="50"/>
      <c r="LYQ352" s="50"/>
      <c r="LYR352" s="50"/>
      <c r="LYS352" s="50"/>
      <c r="LYT352" s="50"/>
      <c r="LYU352" s="50"/>
      <c r="LYV352" s="50"/>
      <c r="LYW352" s="50"/>
      <c r="LYX352" s="50"/>
      <c r="LYY352" s="50"/>
      <c r="LYZ352" s="50"/>
      <c r="LZA352" s="50"/>
      <c r="LZB352" s="50"/>
      <c r="LZC352" s="50"/>
      <c r="LZD352" s="50"/>
      <c r="LZE352" s="50"/>
      <c r="LZF352" s="50"/>
      <c r="LZG352" s="50"/>
      <c r="LZH352" s="50"/>
      <c r="LZI352" s="50"/>
      <c r="LZJ352" s="50"/>
      <c r="LZK352" s="50"/>
      <c r="LZL352" s="50"/>
      <c r="LZM352" s="50"/>
      <c r="LZN352" s="50"/>
      <c r="LZO352" s="50"/>
      <c r="LZP352" s="50"/>
      <c r="LZQ352" s="50"/>
      <c r="LZR352" s="50"/>
      <c r="LZS352" s="50"/>
      <c r="LZT352" s="50"/>
      <c r="LZU352" s="50"/>
      <c r="LZV352" s="50"/>
      <c r="LZW352" s="50"/>
      <c r="LZX352" s="50"/>
      <c r="LZY352" s="50"/>
      <c r="LZZ352" s="50"/>
      <c r="MAA352" s="50"/>
      <c r="MAB352" s="50"/>
      <c r="MAC352" s="50"/>
      <c r="MAD352" s="50"/>
      <c r="MAE352" s="50"/>
      <c r="MAF352" s="50"/>
      <c r="MAG352" s="50"/>
      <c r="MAH352" s="50"/>
      <c r="MAI352" s="50"/>
      <c r="MAJ352" s="50"/>
      <c r="MAK352" s="50"/>
      <c r="MAL352" s="50"/>
      <c r="MAM352" s="50"/>
      <c r="MAN352" s="50"/>
      <c r="MAO352" s="50"/>
      <c r="MAP352" s="50"/>
      <c r="MAQ352" s="50"/>
      <c r="MAR352" s="50"/>
      <c r="MAS352" s="50"/>
      <c r="MAT352" s="50"/>
      <c r="MAU352" s="50"/>
      <c r="MAV352" s="50"/>
      <c r="MAW352" s="50"/>
      <c r="MAX352" s="50"/>
      <c r="MAY352" s="50"/>
      <c r="MAZ352" s="50"/>
      <c r="MBA352" s="50"/>
      <c r="MBB352" s="50"/>
      <c r="MBC352" s="50"/>
      <c r="MBD352" s="50"/>
      <c r="MBE352" s="50"/>
      <c r="MBF352" s="50"/>
      <c r="MBG352" s="50"/>
      <c r="MBH352" s="50"/>
      <c r="MBI352" s="50"/>
      <c r="MBJ352" s="50"/>
      <c r="MBK352" s="50"/>
      <c r="MBL352" s="50"/>
      <c r="MBM352" s="50"/>
      <c r="MBN352" s="50"/>
      <c r="MBO352" s="50"/>
      <c r="MBP352" s="50"/>
      <c r="MBQ352" s="50"/>
      <c r="MBR352" s="50"/>
      <c r="MBS352" s="50"/>
      <c r="MBT352" s="50"/>
      <c r="MBU352" s="50"/>
      <c r="MBV352" s="50"/>
      <c r="MBW352" s="50"/>
      <c r="MBX352" s="50"/>
      <c r="MBY352" s="50"/>
      <c r="MBZ352" s="50"/>
      <c r="MCA352" s="50"/>
      <c r="MCB352" s="50"/>
      <c r="MCC352" s="50"/>
      <c r="MCD352" s="50"/>
      <c r="MCE352" s="50"/>
      <c r="MCF352" s="50"/>
      <c r="MCG352" s="50"/>
      <c r="MCH352" s="50"/>
      <c r="MCI352" s="50"/>
      <c r="MCJ352" s="50"/>
      <c r="MCK352" s="50"/>
      <c r="MCL352" s="50"/>
      <c r="MCM352" s="50"/>
      <c r="MCN352" s="50"/>
      <c r="MCO352" s="50"/>
      <c r="MCP352" s="50"/>
      <c r="MCQ352" s="50"/>
      <c r="MCR352" s="50"/>
      <c r="MCS352" s="50"/>
      <c r="MCT352" s="50"/>
      <c r="MCU352" s="50"/>
      <c r="MCV352" s="50"/>
      <c r="MCW352" s="50"/>
      <c r="MCX352" s="50"/>
      <c r="MCY352" s="50"/>
      <c r="MCZ352" s="50"/>
      <c r="MDA352" s="50"/>
      <c r="MDB352" s="50"/>
      <c r="MDC352" s="50"/>
      <c r="MDD352" s="50"/>
      <c r="MDE352" s="50"/>
      <c r="MDF352" s="50"/>
      <c r="MDG352" s="50"/>
      <c r="MDH352" s="50"/>
      <c r="MDI352" s="50"/>
      <c r="MDJ352" s="50"/>
      <c r="MDK352" s="50"/>
      <c r="MDL352" s="50"/>
      <c r="MDM352" s="50"/>
      <c r="MDN352" s="50"/>
      <c r="MDO352" s="50"/>
      <c r="MDP352" s="50"/>
      <c r="MDQ352" s="50"/>
      <c r="MDR352" s="50"/>
      <c r="MDS352" s="50"/>
      <c r="MDT352" s="50"/>
      <c r="MDU352" s="50"/>
      <c r="MDV352" s="50"/>
      <c r="MDW352" s="50"/>
      <c r="MDX352" s="50"/>
      <c r="MDY352" s="50"/>
      <c r="MDZ352" s="50"/>
      <c r="MEA352" s="50"/>
      <c r="MEB352" s="50"/>
      <c r="MEC352" s="50"/>
      <c r="MED352" s="50"/>
      <c r="MEE352" s="50"/>
      <c r="MEF352" s="50"/>
      <c r="MEG352" s="50"/>
      <c r="MEH352" s="50"/>
      <c r="MEI352" s="50"/>
      <c r="MEJ352" s="50"/>
      <c r="MEK352" s="50"/>
      <c r="MEL352" s="50"/>
      <c r="MEM352" s="50"/>
      <c r="MEN352" s="50"/>
      <c r="MEO352" s="50"/>
      <c r="MEP352" s="50"/>
      <c r="MEQ352" s="50"/>
      <c r="MER352" s="50"/>
      <c r="MES352" s="50"/>
      <c r="MET352" s="50"/>
      <c r="MEU352" s="50"/>
      <c r="MEV352" s="50"/>
      <c r="MEW352" s="50"/>
      <c r="MEX352" s="50"/>
      <c r="MEY352" s="50"/>
      <c r="MEZ352" s="50"/>
      <c r="MFA352" s="50"/>
      <c r="MFB352" s="50"/>
      <c r="MFC352" s="50"/>
      <c r="MFD352" s="50"/>
      <c r="MFE352" s="50"/>
      <c r="MFF352" s="50"/>
      <c r="MFG352" s="50"/>
      <c r="MFH352" s="50"/>
      <c r="MFI352" s="50"/>
      <c r="MFJ352" s="50"/>
      <c r="MFK352" s="50"/>
      <c r="MFL352" s="50"/>
      <c r="MFM352" s="50"/>
      <c r="MFN352" s="50"/>
      <c r="MFO352" s="50"/>
      <c r="MFP352" s="50"/>
      <c r="MFQ352" s="50"/>
      <c r="MFR352" s="50"/>
      <c r="MFS352" s="50"/>
      <c r="MFT352" s="50"/>
      <c r="MFU352" s="50"/>
      <c r="MFV352" s="50"/>
      <c r="MFW352" s="50"/>
      <c r="MFX352" s="50"/>
      <c r="MFY352" s="50"/>
      <c r="MFZ352" s="50"/>
      <c r="MGA352" s="50"/>
      <c r="MGB352" s="50"/>
      <c r="MGC352" s="50"/>
      <c r="MGD352" s="50"/>
      <c r="MGE352" s="50"/>
      <c r="MGF352" s="50"/>
      <c r="MGG352" s="50"/>
      <c r="MGH352" s="50"/>
      <c r="MGI352" s="50"/>
      <c r="MGJ352" s="50"/>
      <c r="MGK352" s="50"/>
      <c r="MGL352" s="50"/>
      <c r="MGM352" s="50"/>
      <c r="MGN352" s="50"/>
      <c r="MGO352" s="50"/>
      <c r="MGP352" s="50"/>
      <c r="MGQ352" s="50"/>
      <c r="MGR352" s="50"/>
      <c r="MGS352" s="50"/>
      <c r="MGT352" s="50"/>
      <c r="MGU352" s="50"/>
      <c r="MGV352" s="50"/>
      <c r="MGW352" s="50"/>
      <c r="MGX352" s="50"/>
      <c r="MGY352" s="50"/>
      <c r="MGZ352" s="50"/>
      <c r="MHA352" s="50"/>
      <c r="MHB352" s="50"/>
      <c r="MHC352" s="50"/>
      <c r="MHD352" s="50"/>
      <c r="MHE352" s="50"/>
      <c r="MHF352" s="50"/>
      <c r="MHG352" s="50"/>
      <c r="MHH352" s="50"/>
      <c r="MHI352" s="50"/>
      <c r="MHJ352" s="50"/>
      <c r="MHK352" s="50"/>
      <c r="MHL352" s="50"/>
      <c r="MHM352" s="50"/>
      <c r="MHN352" s="50"/>
      <c r="MHO352" s="50"/>
      <c r="MHP352" s="50"/>
      <c r="MHQ352" s="50"/>
      <c r="MHR352" s="50"/>
      <c r="MHS352" s="50"/>
      <c r="MHT352" s="50"/>
      <c r="MHU352" s="50"/>
      <c r="MHV352" s="50"/>
      <c r="MHW352" s="50"/>
      <c r="MHX352" s="50"/>
      <c r="MHY352" s="50"/>
      <c r="MHZ352" s="50"/>
      <c r="MIA352" s="50"/>
      <c r="MIB352" s="50"/>
      <c r="MIC352" s="50"/>
      <c r="MID352" s="50"/>
      <c r="MIE352" s="50"/>
      <c r="MIF352" s="50"/>
      <c r="MIG352" s="50"/>
      <c r="MIH352" s="50"/>
      <c r="MII352" s="50"/>
      <c r="MIJ352" s="50"/>
      <c r="MIK352" s="50"/>
      <c r="MIL352" s="50"/>
      <c r="MIM352" s="50"/>
      <c r="MIN352" s="50"/>
      <c r="MIO352" s="50"/>
      <c r="MIP352" s="50"/>
      <c r="MIQ352" s="50"/>
      <c r="MIR352" s="50"/>
      <c r="MIS352" s="50"/>
      <c r="MIT352" s="50"/>
      <c r="MIU352" s="50"/>
      <c r="MIV352" s="50"/>
      <c r="MIW352" s="50"/>
      <c r="MIX352" s="50"/>
      <c r="MIY352" s="50"/>
      <c r="MIZ352" s="50"/>
      <c r="MJA352" s="50"/>
      <c r="MJB352" s="50"/>
      <c r="MJC352" s="50"/>
      <c r="MJD352" s="50"/>
      <c r="MJE352" s="50"/>
      <c r="MJF352" s="50"/>
      <c r="MJG352" s="50"/>
      <c r="MJH352" s="50"/>
      <c r="MJI352" s="50"/>
      <c r="MJJ352" s="50"/>
      <c r="MJK352" s="50"/>
      <c r="MJL352" s="50"/>
      <c r="MJM352" s="50"/>
      <c r="MJN352" s="50"/>
      <c r="MJO352" s="50"/>
      <c r="MJP352" s="50"/>
      <c r="MJQ352" s="50"/>
      <c r="MJR352" s="50"/>
      <c r="MJS352" s="50"/>
      <c r="MJT352" s="50"/>
      <c r="MJU352" s="50"/>
      <c r="MJV352" s="50"/>
      <c r="MJW352" s="50"/>
      <c r="MJX352" s="50"/>
      <c r="MJY352" s="50"/>
      <c r="MJZ352" s="50"/>
      <c r="MKA352" s="50"/>
      <c r="MKB352" s="50"/>
      <c r="MKC352" s="50"/>
      <c r="MKD352" s="50"/>
      <c r="MKE352" s="50"/>
      <c r="MKF352" s="50"/>
      <c r="MKG352" s="50"/>
      <c r="MKH352" s="50"/>
      <c r="MKI352" s="50"/>
      <c r="MKJ352" s="50"/>
      <c r="MKK352" s="50"/>
      <c r="MKL352" s="50"/>
      <c r="MKM352" s="50"/>
      <c r="MKN352" s="50"/>
      <c r="MKO352" s="50"/>
      <c r="MKP352" s="50"/>
      <c r="MKQ352" s="50"/>
      <c r="MKR352" s="50"/>
      <c r="MKS352" s="50"/>
      <c r="MKT352" s="50"/>
      <c r="MKU352" s="50"/>
      <c r="MKV352" s="50"/>
      <c r="MKW352" s="50"/>
      <c r="MKX352" s="50"/>
      <c r="MKY352" s="50"/>
      <c r="MKZ352" s="50"/>
      <c r="MLA352" s="50"/>
      <c r="MLB352" s="50"/>
      <c r="MLC352" s="50"/>
      <c r="MLD352" s="50"/>
      <c r="MLE352" s="50"/>
      <c r="MLF352" s="50"/>
      <c r="MLG352" s="50"/>
      <c r="MLH352" s="50"/>
      <c r="MLI352" s="50"/>
      <c r="MLJ352" s="50"/>
      <c r="MLK352" s="50"/>
      <c r="MLL352" s="50"/>
      <c r="MLM352" s="50"/>
      <c r="MLN352" s="50"/>
      <c r="MLO352" s="50"/>
      <c r="MLP352" s="50"/>
      <c r="MLQ352" s="50"/>
      <c r="MLR352" s="50"/>
      <c r="MLS352" s="50"/>
      <c r="MLT352" s="50"/>
      <c r="MLU352" s="50"/>
      <c r="MLV352" s="50"/>
      <c r="MLW352" s="50"/>
      <c r="MLX352" s="50"/>
      <c r="MLY352" s="50"/>
      <c r="MLZ352" s="50"/>
      <c r="MMA352" s="50"/>
      <c r="MMB352" s="50"/>
      <c r="MMC352" s="50"/>
      <c r="MMD352" s="50"/>
      <c r="MME352" s="50"/>
      <c r="MMF352" s="50"/>
      <c r="MMG352" s="50"/>
      <c r="MMH352" s="50"/>
      <c r="MMI352" s="50"/>
      <c r="MMJ352" s="50"/>
      <c r="MMK352" s="50"/>
      <c r="MML352" s="50"/>
      <c r="MMM352" s="50"/>
      <c r="MMN352" s="50"/>
      <c r="MMO352" s="50"/>
      <c r="MMP352" s="50"/>
      <c r="MMQ352" s="50"/>
      <c r="MMR352" s="50"/>
      <c r="MMS352" s="50"/>
      <c r="MMT352" s="50"/>
      <c r="MMU352" s="50"/>
      <c r="MMV352" s="50"/>
      <c r="MMW352" s="50"/>
      <c r="MMX352" s="50"/>
      <c r="MMY352" s="50"/>
      <c r="MMZ352" s="50"/>
      <c r="MNA352" s="50"/>
      <c r="MNB352" s="50"/>
      <c r="MNC352" s="50"/>
      <c r="MND352" s="50"/>
      <c r="MNE352" s="50"/>
      <c r="MNF352" s="50"/>
      <c r="MNG352" s="50"/>
      <c r="MNH352" s="50"/>
      <c r="MNI352" s="50"/>
      <c r="MNJ352" s="50"/>
      <c r="MNK352" s="50"/>
      <c r="MNL352" s="50"/>
      <c r="MNM352" s="50"/>
      <c r="MNN352" s="50"/>
      <c r="MNO352" s="50"/>
      <c r="MNP352" s="50"/>
      <c r="MNQ352" s="50"/>
      <c r="MNR352" s="50"/>
      <c r="MNS352" s="50"/>
      <c r="MNT352" s="50"/>
      <c r="MNU352" s="50"/>
      <c r="MNV352" s="50"/>
      <c r="MNW352" s="50"/>
      <c r="MNX352" s="50"/>
      <c r="MNY352" s="50"/>
      <c r="MNZ352" s="50"/>
      <c r="MOA352" s="50"/>
      <c r="MOB352" s="50"/>
      <c r="MOC352" s="50"/>
      <c r="MOD352" s="50"/>
      <c r="MOE352" s="50"/>
      <c r="MOF352" s="50"/>
      <c r="MOG352" s="50"/>
      <c r="MOH352" s="50"/>
      <c r="MOI352" s="50"/>
      <c r="MOJ352" s="50"/>
      <c r="MOK352" s="50"/>
      <c r="MOL352" s="50"/>
      <c r="MOM352" s="50"/>
      <c r="MON352" s="50"/>
      <c r="MOO352" s="50"/>
      <c r="MOP352" s="50"/>
      <c r="MOQ352" s="50"/>
      <c r="MOR352" s="50"/>
      <c r="MOS352" s="50"/>
      <c r="MOT352" s="50"/>
      <c r="MOU352" s="50"/>
      <c r="MOV352" s="50"/>
      <c r="MOW352" s="50"/>
      <c r="MOX352" s="50"/>
      <c r="MOY352" s="50"/>
      <c r="MOZ352" s="50"/>
      <c r="MPA352" s="50"/>
      <c r="MPB352" s="50"/>
      <c r="MPC352" s="50"/>
      <c r="MPD352" s="50"/>
      <c r="MPE352" s="50"/>
      <c r="MPF352" s="50"/>
      <c r="MPG352" s="50"/>
      <c r="MPH352" s="50"/>
      <c r="MPI352" s="50"/>
      <c r="MPJ352" s="50"/>
      <c r="MPK352" s="50"/>
      <c r="MPL352" s="50"/>
      <c r="MPM352" s="50"/>
      <c r="MPN352" s="50"/>
      <c r="MPO352" s="50"/>
      <c r="MPP352" s="50"/>
      <c r="MPQ352" s="50"/>
      <c r="MPR352" s="50"/>
      <c r="MPS352" s="50"/>
      <c r="MPT352" s="50"/>
      <c r="MPU352" s="50"/>
      <c r="MPV352" s="50"/>
      <c r="MPW352" s="50"/>
      <c r="MPX352" s="50"/>
      <c r="MPY352" s="50"/>
      <c r="MPZ352" s="50"/>
      <c r="MQA352" s="50"/>
      <c r="MQB352" s="50"/>
      <c r="MQC352" s="50"/>
      <c r="MQD352" s="50"/>
      <c r="MQE352" s="50"/>
      <c r="MQF352" s="50"/>
      <c r="MQG352" s="50"/>
      <c r="MQH352" s="50"/>
      <c r="MQI352" s="50"/>
      <c r="MQJ352" s="50"/>
      <c r="MQK352" s="50"/>
      <c r="MQL352" s="50"/>
      <c r="MQM352" s="50"/>
      <c r="MQN352" s="50"/>
      <c r="MQO352" s="50"/>
      <c r="MQP352" s="50"/>
      <c r="MQQ352" s="50"/>
      <c r="MQR352" s="50"/>
      <c r="MQS352" s="50"/>
      <c r="MQT352" s="50"/>
      <c r="MQU352" s="50"/>
      <c r="MQV352" s="50"/>
      <c r="MQW352" s="50"/>
      <c r="MQX352" s="50"/>
      <c r="MQY352" s="50"/>
      <c r="MQZ352" s="50"/>
      <c r="MRA352" s="50"/>
      <c r="MRB352" s="50"/>
      <c r="MRC352" s="50"/>
      <c r="MRD352" s="50"/>
      <c r="MRE352" s="50"/>
      <c r="MRF352" s="50"/>
      <c r="MRG352" s="50"/>
      <c r="MRH352" s="50"/>
      <c r="MRI352" s="50"/>
      <c r="MRJ352" s="50"/>
      <c r="MRK352" s="50"/>
      <c r="MRL352" s="50"/>
      <c r="MRM352" s="50"/>
      <c r="MRN352" s="50"/>
      <c r="MRO352" s="50"/>
      <c r="MRP352" s="50"/>
      <c r="MRQ352" s="50"/>
      <c r="MRR352" s="50"/>
      <c r="MRS352" s="50"/>
      <c r="MRT352" s="50"/>
      <c r="MRU352" s="50"/>
      <c r="MRV352" s="50"/>
      <c r="MRW352" s="50"/>
      <c r="MRX352" s="50"/>
      <c r="MRY352" s="50"/>
      <c r="MRZ352" s="50"/>
      <c r="MSA352" s="50"/>
      <c r="MSB352" s="50"/>
      <c r="MSC352" s="50"/>
      <c r="MSD352" s="50"/>
      <c r="MSE352" s="50"/>
      <c r="MSF352" s="50"/>
      <c r="MSG352" s="50"/>
      <c r="MSH352" s="50"/>
      <c r="MSI352" s="50"/>
      <c r="MSJ352" s="50"/>
      <c r="MSK352" s="50"/>
      <c r="MSL352" s="50"/>
      <c r="MSM352" s="50"/>
      <c r="MSN352" s="50"/>
      <c r="MSO352" s="50"/>
      <c r="MSP352" s="50"/>
      <c r="MSQ352" s="50"/>
      <c r="MSR352" s="50"/>
      <c r="MSS352" s="50"/>
      <c r="MST352" s="50"/>
      <c r="MSU352" s="50"/>
      <c r="MSV352" s="50"/>
      <c r="MSW352" s="50"/>
      <c r="MSX352" s="50"/>
      <c r="MSY352" s="50"/>
      <c r="MSZ352" s="50"/>
      <c r="MTA352" s="50"/>
      <c r="MTB352" s="50"/>
      <c r="MTC352" s="50"/>
      <c r="MTD352" s="50"/>
      <c r="MTE352" s="50"/>
      <c r="MTF352" s="50"/>
      <c r="MTG352" s="50"/>
      <c r="MTH352" s="50"/>
      <c r="MTI352" s="50"/>
      <c r="MTJ352" s="50"/>
      <c r="MTK352" s="50"/>
      <c r="MTL352" s="50"/>
      <c r="MTM352" s="50"/>
      <c r="MTN352" s="50"/>
      <c r="MTO352" s="50"/>
      <c r="MTP352" s="50"/>
      <c r="MTQ352" s="50"/>
      <c r="MTR352" s="50"/>
      <c r="MTS352" s="50"/>
      <c r="MTT352" s="50"/>
      <c r="MTU352" s="50"/>
      <c r="MTV352" s="50"/>
      <c r="MTW352" s="50"/>
      <c r="MTX352" s="50"/>
      <c r="MTY352" s="50"/>
      <c r="MTZ352" s="50"/>
      <c r="MUA352" s="50"/>
      <c r="MUB352" s="50"/>
      <c r="MUC352" s="50"/>
      <c r="MUD352" s="50"/>
      <c r="MUE352" s="50"/>
      <c r="MUF352" s="50"/>
      <c r="MUG352" s="50"/>
      <c r="MUH352" s="50"/>
      <c r="MUI352" s="50"/>
      <c r="MUJ352" s="50"/>
      <c r="MUK352" s="50"/>
      <c r="MUL352" s="50"/>
      <c r="MUM352" s="50"/>
      <c r="MUN352" s="50"/>
      <c r="MUO352" s="50"/>
      <c r="MUP352" s="50"/>
      <c r="MUQ352" s="50"/>
      <c r="MUR352" s="50"/>
      <c r="MUS352" s="50"/>
      <c r="MUT352" s="50"/>
      <c r="MUU352" s="50"/>
      <c r="MUV352" s="50"/>
      <c r="MUW352" s="50"/>
      <c r="MUX352" s="50"/>
      <c r="MUY352" s="50"/>
      <c r="MUZ352" s="50"/>
      <c r="MVA352" s="50"/>
      <c r="MVB352" s="50"/>
      <c r="MVC352" s="50"/>
      <c r="MVD352" s="50"/>
      <c r="MVE352" s="50"/>
      <c r="MVF352" s="50"/>
      <c r="MVG352" s="50"/>
      <c r="MVH352" s="50"/>
      <c r="MVI352" s="50"/>
      <c r="MVJ352" s="50"/>
      <c r="MVK352" s="50"/>
      <c r="MVL352" s="50"/>
      <c r="MVM352" s="50"/>
      <c r="MVN352" s="50"/>
      <c r="MVO352" s="50"/>
      <c r="MVP352" s="50"/>
      <c r="MVQ352" s="50"/>
      <c r="MVR352" s="50"/>
      <c r="MVS352" s="50"/>
      <c r="MVT352" s="50"/>
      <c r="MVU352" s="50"/>
      <c r="MVV352" s="50"/>
      <c r="MVW352" s="50"/>
      <c r="MVX352" s="50"/>
      <c r="MVY352" s="50"/>
      <c r="MVZ352" s="50"/>
      <c r="MWA352" s="50"/>
      <c r="MWB352" s="50"/>
      <c r="MWC352" s="50"/>
      <c r="MWD352" s="50"/>
      <c r="MWE352" s="50"/>
      <c r="MWF352" s="50"/>
      <c r="MWG352" s="50"/>
      <c r="MWH352" s="50"/>
      <c r="MWI352" s="50"/>
      <c r="MWJ352" s="50"/>
      <c r="MWK352" s="50"/>
      <c r="MWL352" s="50"/>
      <c r="MWM352" s="50"/>
      <c r="MWN352" s="50"/>
      <c r="MWO352" s="50"/>
      <c r="MWP352" s="50"/>
      <c r="MWQ352" s="50"/>
      <c r="MWR352" s="50"/>
      <c r="MWS352" s="50"/>
      <c r="MWT352" s="50"/>
      <c r="MWU352" s="50"/>
      <c r="MWV352" s="50"/>
      <c r="MWW352" s="50"/>
      <c r="MWX352" s="50"/>
      <c r="MWY352" s="50"/>
      <c r="MWZ352" s="50"/>
      <c r="MXA352" s="50"/>
      <c r="MXB352" s="50"/>
      <c r="MXC352" s="50"/>
      <c r="MXD352" s="50"/>
      <c r="MXE352" s="50"/>
      <c r="MXF352" s="50"/>
      <c r="MXG352" s="50"/>
      <c r="MXH352" s="50"/>
      <c r="MXI352" s="50"/>
      <c r="MXJ352" s="50"/>
      <c r="MXK352" s="50"/>
      <c r="MXL352" s="50"/>
      <c r="MXM352" s="50"/>
      <c r="MXN352" s="50"/>
      <c r="MXO352" s="50"/>
      <c r="MXP352" s="50"/>
      <c r="MXQ352" s="50"/>
      <c r="MXR352" s="50"/>
      <c r="MXS352" s="50"/>
      <c r="MXT352" s="50"/>
      <c r="MXU352" s="50"/>
      <c r="MXV352" s="50"/>
      <c r="MXW352" s="50"/>
      <c r="MXX352" s="50"/>
      <c r="MXY352" s="50"/>
      <c r="MXZ352" s="50"/>
      <c r="MYA352" s="50"/>
      <c r="MYB352" s="50"/>
      <c r="MYC352" s="50"/>
      <c r="MYD352" s="50"/>
      <c r="MYE352" s="50"/>
      <c r="MYF352" s="50"/>
      <c r="MYG352" s="50"/>
      <c r="MYH352" s="50"/>
      <c r="MYI352" s="50"/>
      <c r="MYJ352" s="50"/>
      <c r="MYK352" s="50"/>
      <c r="MYL352" s="50"/>
      <c r="MYM352" s="50"/>
      <c r="MYN352" s="50"/>
      <c r="MYO352" s="50"/>
      <c r="MYP352" s="50"/>
      <c r="MYQ352" s="50"/>
      <c r="MYR352" s="50"/>
      <c r="MYS352" s="50"/>
      <c r="MYT352" s="50"/>
      <c r="MYU352" s="50"/>
      <c r="MYV352" s="50"/>
      <c r="MYW352" s="50"/>
      <c r="MYX352" s="50"/>
      <c r="MYY352" s="50"/>
      <c r="MYZ352" s="50"/>
      <c r="MZA352" s="50"/>
      <c r="MZB352" s="50"/>
      <c r="MZC352" s="50"/>
      <c r="MZD352" s="50"/>
      <c r="MZE352" s="50"/>
      <c r="MZF352" s="50"/>
      <c r="MZG352" s="50"/>
      <c r="MZH352" s="50"/>
      <c r="MZI352" s="50"/>
      <c r="MZJ352" s="50"/>
      <c r="MZK352" s="50"/>
      <c r="MZL352" s="50"/>
      <c r="MZM352" s="50"/>
      <c r="MZN352" s="50"/>
      <c r="MZO352" s="50"/>
      <c r="MZP352" s="50"/>
      <c r="MZQ352" s="50"/>
      <c r="MZR352" s="50"/>
      <c r="MZS352" s="50"/>
      <c r="MZT352" s="50"/>
      <c r="MZU352" s="50"/>
      <c r="MZV352" s="50"/>
      <c r="MZW352" s="50"/>
      <c r="MZX352" s="50"/>
      <c r="MZY352" s="50"/>
      <c r="MZZ352" s="50"/>
      <c r="NAA352" s="50"/>
      <c r="NAB352" s="50"/>
      <c r="NAC352" s="50"/>
      <c r="NAD352" s="50"/>
      <c r="NAE352" s="50"/>
      <c r="NAF352" s="50"/>
      <c r="NAG352" s="50"/>
      <c r="NAH352" s="50"/>
      <c r="NAI352" s="50"/>
      <c r="NAJ352" s="50"/>
      <c r="NAK352" s="50"/>
      <c r="NAL352" s="50"/>
      <c r="NAM352" s="50"/>
      <c r="NAN352" s="50"/>
      <c r="NAO352" s="50"/>
      <c r="NAP352" s="50"/>
      <c r="NAQ352" s="50"/>
      <c r="NAR352" s="50"/>
      <c r="NAS352" s="50"/>
      <c r="NAT352" s="50"/>
      <c r="NAU352" s="50"/>
      <c r="NAV352" s="50"/>
      <c r="NAW352" s="50"/>
      <c r="NAX352" s="50"/>
      <c r="NAY352" s="50"/>
      <c r="NAZ352" s="50"/>
      <c r="NBA352" s="50"/>
      <c r="NBB352" s="50"/>
      <c r="NBC352" s="50"/>
      <c r="NBD352" s="50"/>
      <c r="NBE352" s="50"/>
      <c r="NBF352" s="50"/>
      <c r="NBG352" s="50"/>
      <c r="NBH352" s="50"/>
      <c r="NBI352" s="50"/>
      <c r="NBJ352" s="50"/>
      <c r="NBK352" s="50"/>
      <c r="NBL352" s="50"/>
      <c r="NBM352" s="50"/>
      <c r="NBN352" s="50"/>
      <c r="NBO352" s="50"/>
      <c r="NBP352" s="50"/>
      <c r="NBQ352" s="50"/>
      <c r="NBR352" s="50"/>
      <c r="NBS352" s="50"/>
      <c r="NBT352" s="50"/>
      <c r="NBU352" s="50"/>
      <c r="NBV352" s="50"/>
      <c r="NBW352" s="50"/>
      <c r="NBX352" s="50"/>
      <c r="NBY352" s="50"/>
      <c r="NBZ352" s="50"/>
      <c r="NCA352" s="50"/>
      <c r="NCB352" s="50"/>
      <c r="NCC352" s="50"/>
      <c r="NCD352" s="50"/>
      <c r="NCE352" s="50"/>
      <c r="NCF352" s="50"/>
      <c r="NCG352" s="50"/>
      <c r="NCH352" s="50"/>
      <c r="NCI352" s="50"/>
      <c r="NCJ352" s="50"/>
      <c r="NCK352" s="50"/>
      <c r="NCL352" s="50"/>
      <c r="NCM352" s="50"/>
      <c r="NCN352" s="50"/>
      <c r="NCO352" s="50"/>
      <c r="NCP352" s="50"/>
      <c r="NCQ352" s="50"/>
      <c r="NCR352" s="50"/>
      <c r="NCS352" s="50"/>
      <c r="NCT352" s="50"/>
      <c r="NCU352" s="50"/>
      <c r="NCV352" s="50"/>
      <c r="NCW352" s="50"/>
      <c r="NCX352" s="50"/>
      <c r="NCY352" s="50"/>
      <c r="NCZ352" s="50"/>
      <c r="NDA352" s="50"/>
      <c r="NDB352" s="50"/>
      <c r="NDC352" s="50"/>
      <c r="NDD352" s="50"/>
      <c r="NDE352" s="50"/>
      <c r="NDF352" s="50"/>
      <c r="NDG352" s="50"/>
      <c r="NDH352" s="50"/>
      <c r="NDI352" s="50"/>
      <c r="NDJ352" s="50"/>
      <c r="NDK352" s="50"/>
      <c r="NDL352" s="50"/>
      <c r="NDM352" s="50"/>
      <c r="NDN352" s="50"/>
      <c r="NDO352" s="50"/>
      <c r="NDP352" s="50"/>
      <c r="NDQ352" s="50"/>
      <c r="NDR352" s="50"/>
      <c r="NDS352" s="50"/>
      <c r="NDT352" s="50"/>
      <c r="NDU352" s="50"/>
      <c r="NDV352" s="50"/>
      <c r="NDW352" s="50"/>
      <c r="NDX352" s="50"/>
      <c r="NDY352" s="50"/>
      <c r="NDZ352" s="50"/>
      <c r="NEA352" s="50"/>
      <c r="NEB352" s="50"/>
      <c r="NEC352" s="50"/>
      <c r="NED352" s="50"/>
      <c r="NEE352" s="50"/>
      <c r="NEF352" s="50"/>
      <c r="NEG352" s="50"/>
      <c r="NEH352" s="50"/>
      <c r="NEI352" s="50"/>
      <c r="NEJ352" s="50"/>
      <c r="NEK352" s="50"/>
      <c r="NEL352" s="50"/>
      <c r="NEM352" s="50"/>
      <c r="NEN352" s="50"/>
      <c r="NEO352" s="50"/>
      <c r="NEP352" s="50"/>
      <c r="NEQ352" s="50"/>
      <c r="NER352" s="50"/>
      <c r="NES352" s="50"/>
      <c r="NET352" s="50"/>
      <c r="NEU352" s="50"/>
      <c r="NEV352" s="50"/>
      <c r="NEW352" s="50"/>
      <c r="NEX352" s="50"/>
      <c r="NEY352" s="50"/>
      <c r="NEZ352" s="50"/>
      <c r="NFA352" s="50"/>
      <c r="NFB352" s="50"/>
      <c r="NFC352" s="50"/>
      <c r="NFD352" s="50"/>
      <c r="NFE352" s="50"/>
      <c r="NFF352" s="50"/>
      <c r="NFG352" s="50"/>
      <c r="NFH352" s="50"/>
      <c r="NFI352" s="50"/>
      <c r="NFJ352" s="50"/>
      <c r="NFK352" s="50"/>
      <c r="NFL352" s="50"/>
      <c r="NFM352" s="50"/>
      <c r="NFN352" s="50"/>
      <c r="NFO352" s="50"/>
      <c r="NFP352" s="50"/>
      <c r="NFQ352" s="50"/>
      <c r="NFR352" s="50"/>
      <c r="NFS352" s="50"/>
      <c r="NFT352" s="50"/>
      <c r="NFU352" s="50"/>
      <c r="NFV352" s="50"/>
      <c r="NFW352" s="50"/>
      <c r="NFX352" s="50"/>
      <c r="NFY352" s="50"/>
      <c r="NFZ352" s="50"/>
      <c r="NGA352" s="50"/>
      <c r="NGB352" s="50"/>
      <c r="NGC352" s="50"/>
      <c r="NGD352" s="50"/>
      <c r="NGE352" s="50"/>
      <c r="NGF352" s="50"/>
      <c r="NGG352" s="50"/>
      <c r="NGH352" s="50"/>
      <c r="NGI352" s="50"/>
      <c r="NGJ352" s="50"/>
      <c r="NGK352" s="50"/>
      <c r="NGL352" s="50"/>
      <c r="NGM352" s="50"/>
      <c r="NGN352" s="50"/>
      <c r="NGO352" s="50"/>
      <c r="NGP352" s="50"/>
      <c r="NGQ352" s="50"/>
      <c r="NGR352" s="50"/>
      <c r="NGS352" s="50"/>
      <c r="NGT352" s="50"/>
      <c r="NGU352" s="50"/>
      <c r="NGV352" s="50"/>
      <c r="NGW352" s="50"/>
      <c r="NGX352" s="50"/>
      <c r="NGY352" s="50"/>
      <c r="NGZ352" s="50"/>
      <c r="NHA352" s="50"/>
      <c r="NHB352" s="50"/>
      <c r="NHC352" s="50"/>
      <c r="NHD352" s="50"/>
      <c r="NHE352" s="50"/>
      <c r="NHF352" s="50"/>
      <c r="NHG352" s="50"/>
      <c r="NHH352" s="50"/>
      <c r="NHI352" s="50"/>
      <c r="NHJ352" s="50"/>
      <c r="NHK352" s="50"/>
      <c r="NHL352" s="50"/>
      <c r="NHM352" s="50"/>
      <c r="NHN352" s="50"/>
      <c r="NHO352" s="50"/>
      <c r="NHP352" s="50"/>
      <c r="NHQ352" s="50"/>
      <c r="NHR352" s="50"/>
      <c r="NHS352" s="50"/>
      <c r="NHT352" s="50"/>
      <c r="NHU352" s="50"/>
      <c r="NHV352" s="50"/>
      <c r="NHW352" s="50"/>
      <c r="NHX352" s="50"/>
      <c r="NHY352" s="50"/>
      <c r="NHZ352" s="50"/>
      <c r="NIA352" s="50"/>
      <c r="NIB352" s="50"/>
      <c r="NIC352" s="50"/>
      <c r="NID352" s="50"/>
      <c r="NIE352" s="50"/>
      <c r="NIF352" s="50"/>
      <c r="NIG352" s="50"/>
      <c r="NIH352" s="50"/>
      <c r="NII352" s="50"/>
      <c r="NIJ352" s="50"/>
      <c r="NIK352" s="50"/>
      <c r="NIL352" s="50"/>
      <c r="NIM352" s="50"/>
      <c r="NIN352" s="50"/>
      <c r="NIO352" s="50"/>
      <c r="NIP352" s="50"/>
      <c r="NIQ352" s="50"/>
      <c r="NIR352" s="50"/>
      <c r="NIS352" s="50"/>
      <c r="NIT352" s="50"/>
      <c r="NIU352" s="50"/>
      <c r="NIV352" s="50"/>
      <c r="NIW352" s="50"/>
      <c r="NIX352" s="50"/>
      <c r="NIY352" s="50"/>
      <c r="NIZ352" s="50"/>
      <c r="NJA352" s="50"/>
      <c r="NJB352" s="50"/>
      <c r="NJC352" s="50"/>
      <c r="NJD352" s="50"/>
      <c r="NJE352" s="50"/>
      <c r="NJF352" s="50"/>
      <c r="NJG352" s="50"/>
      <c r="NJH352" s="50"/>
      <c r="NJI352" s="50"/>
      <c r="NJJ352" s="50"/>
      <c r="NJK352" s="50"/>
      <c r="NJL352" s="50"/>
      <c r="NJM352" s="50"/>
      <c r="NJN352" s="50"/>
      <c r="NJO352" s="50"/>
      <c r="NJP352" s="50"/>
      <c r="NJQ352" s="50"/>
      <c r="NJR352" s="50"/>
      <c r="NJS352" s="50"/>
      <c r="NJT352" s="50"/>
      <c r="NJU352" s="50"/>
      <c r="NJV352" s="50"/>
      <c r="NJW352" s="50"/>
      <c r="NJX352" s="50"/>
      <c r="NJY352" s="50"/>
      <c r="NJZ352" s="50"/>
      <c r="NKA352" s="50"/>
      <c r="NKB352" s="50"/>
      <c r="NKC352" s="50"/>
      <c r="NKD352" s="50"/>
      <c r="NKE352" s="50"/>
      <c r="NKF352" s="50"/>
      <c r="NKG352" s="50"/>
      <c r="NKH352" s="50"/>
      <c r="NKI352" s="50"/>
      <c r="NKJ352" s="50"/>
      <c r="NKK352" s="50"/>
      <c r="NKL352" s="50"/>
      <c r="NKM352" s="50"/>
      <c r="NKN352" s="50"/>
      <c r="NKO352" s="50"/>
      <c r="NKP352" s="50"/>
      <c r="NKQ352" s="50"/>
      <c r="NKR352" s="50"/>
      <c r="NKS352" s="50"/>
      <c r="NKT352" s="50"/>
      <c r="NKU352" s="50"/>
      <c r="NKV352" s="50"/>
      <c r="NKW352" s="50"/>
      <c r="NKX352" s="50"/>
      <c r="NKY352" s="50"/>
      <c r="NKZ352" s="50"/>
      <c r="NLA352" s="50"/>
      <c r="NLB352" s="50"/>
      <c r="NLC352" s="50"/>
      <c r="NLD352" s="50"/>
      <c r="NLE352" s="50"/>
      <c r="NLF352" s="50"/>
      <c r="NLG352" s="50"/>
      <c r="NLH352" s="50"/>
      <c r="NLI352" s="50"/>
      <c r="NLJ352" s="50"/>
      <c r="NLK352" s="50"/>
      <c r="NLL352" s="50"/>
      <c r="NLM352" s="50"/>
      <c r="NLN352" s="50"/>
      <c r="NLO352" s="50"/>
      <c r="NLP352" s="50"/>
      <c r="NLQ352" s="50"/>
      <c r="NLR352" s="50"/>
      <c r="NLS352" s="50"/>
      <c r="NLT352" s="50"/>
      <c r="NLU352" s="50"/>
      <c r="NLV352" s="50"/>
      <c r="NLW352" s="50"/>
      <c r="NLX352" s="50"/>
      <c r="NLY352" s="50"/>
      <c r="NLZ352" s="50"/>
      <c r="NMA352" s="50"/>
      <c r="NMB352" s="50"/>
      <c r="NMC352" s="50"/>
      <c r="NMD352" s="50"/>
      <c r="NME352" s="50"/>
      <c r="NMF352" s="50"/>
      <c r="NMG352" s="50"/>
      <c r="NMH352" s="50"/>
      <c r="NMI352" s="50"/>
      <c r="NMJ352" s="50"/>
      <c r="NMK352" s="50"/>
      <c r="NML352" s="50"/>
      <c r="NMM352" s="50"/>
      <c r="NMN352" s="50"/>
      <c r="NMO352" s="50"/>
      <c r="NMP352" s="50"/>
      <c r="NMQ352" s="50"/>
      <c r="NMR352" s="50"/>
      <c r="NMS352" s="50"/>
      <c r="NMT352" s="50"/>
      <c r="NMU352" s="50"/>
      <c r="NMV352" s="50"/>
      <c r="NMW352" s="50"/>
      <c r="NMX352" s="50"/>
      <c r="NMY352" s="50"/>
      <c r="NMZ352" s="50"/>
      <c r="NNA352" s="50"/>
      <c r="NNB352" s="50"/>
      <c r="NNC352" s="50"/>
      <c r="NND352" s="50"/>
      <c r="NNE352" s="50"/>
      <c r="NNF352" s="50"/>
      <c r="NNG352" s="50"/>
      <c r="NNH352" s="50"/>
      <c r="NNI352" s="50"/>
      <c r="NNJ352" s="50"/>
      <c r="NNK352" s="50"/>
      <c r="NNL352" s="50"/>
      <c r="NNM352" s="50"/>
      <c r="NNN352" s="50"/>
      <c r="NNO352" s="50"/>
      <c r="NNP352" s="50"/>
      <c r="NNQ352" s="50"/>
      <c r="NNR352" s="50"/>
      <c r="NNS352" s="50"/>
      <c r="NNT352" s="50"/>
      <c r="NNU352" s="50"/>
      <c r="NNV352" s="50"/>
      <c r="NNW352" s="50"/>
      <c r="NNX352" s="50"/>
      <c r="NNY352" s="50"/>
      <c r="NNZ352" s="50"/>
      <c r="NOA352" s="50"/>
      <c r="NOB352" s="50"/>
      <c r="NOC352" s="50"/>
      <c r="NOD352" s="50"/>
      <c r="NOE352" s="50"/>
      <c r="NOF352" s="50"/>
      <c r="NOG352" s="50"/>
      <c r="NOH352" s="50"/>
      <c r="NOI352" s="50"/>
      <c r="NOJ352" s="50"/>
      <c r="NOK352" s="50"/>
      <c r="NOL352" s="50"/>
      <c r="NOM352" s="50"/>
      <c r="NON352" s="50"/>
      <c r="NOO352" s="50"/>
      <c r="NOP352" s="50"/>
      <c r="NOQ352" s="50"/>
      <c r="NOR352" s="50"/>
      <c r="NOS352" s="50"/>
      <c r="NOT352" s="50"/>
      <c r="NOU352" s="50"/>
      <c r="NOV352" s="50"/>
      <c r="NOW352" s="50"/>
      <c r="NOX352" s="50"/>
      <c r="NOY352" s="50"/>
      <c r="NOZ352" s="50"/>
      <c r="NPA352" s="50"/>
      <c r="NPB352" s="50"/>
      <c r="NPC352" s="50"/>
      <c r="NPD352" s="50"/>
      <c r="NPE352" s="50"/>
      <c r="NPF352" s="50"/>
      <c r="NPG352" s="50"/>
      <c r="NPH352" s="50"/>
      <c r="NPI352" s="50"/>
      <c r="NPJ352" s="50"/>
      <c r="NPK352" s="50"/>
      <c r="NPL352" s="50"/>
      <c r="NPM352" s="50"/>
      <c r="NPN352" s="50"/>
      <c r="NPO352" s="50"/>
      <c r="NPP352" s="50"/>
      <c r="NPQ352" s="50"/>
      <c r="NPR352" s="50"/>
      <c r="NPS352" s="50"/>
      <c r="NPT352" s="50"/>
      <c r="NPU352" s="50"/>
      <c r="NPV352" s="50"/>
      <c r="NPW352" s="50"/>
      <c r="NPX352" s="50"/>
      <c r="NPY352" s="50"/>
      <c r="NPZ352" s="50"/>
      <c r="NQA352" s="50"/>
      <c r="NQB352" s="50"/>
      <c r="NQC352" s="50"/>
      <c r="NQD352" s="50"/>
      <c r="NQE352" s="50"/>
      <c r="NQF352" s="50"/>
      <c r="NQG352" s="50"/>
      <c r="NQH352" s="50"/>
      <c r="NQI352" s="50"/>
      <c r="NQJ352" s="50"/>
      <c r="NQK352" s="50"/>
      <c r="NQL352" s="50"/>
      <c r="NQM352" s="50"/>
      <c r="NQN352" s="50"/>
      <c r="NQO352" s="50"/>
      <c r="NQP352" s="50"/>
      <c r="NQQ352" s="50"/>
      <c r="NQR352" s="50"/>
      <c r="NQS352" s="50"/>
      <c r="NQT352" s="50"/>
      <c r="NQU352" s="50"/>
      <c r="NQV352" s="50"/>
      <c r="NQW352" s="50"/>
      <c r="NQX352" s="50"/>
      <c r="NQY352" s="50"/>
      <c r="NQZ352" s="50"/>
      <c r="NRA352" s="50"/>
      <c r="NRB352" s="50"/>
      <c r="NRC352" s="50"/>
      <c r="NRD352" s="50"/>
      <c r="NRE352" s="50"/>
      <c r="NRF352" s="50"/>
      <c r="NRG352" s="50"/>
      <c r="NRH352" s="50"/>
      <c r="NRI352" s="50"/>
      <c r="NRJ352" s="50"/>
      <c r="NRK352" s="50"/>
      <c r="NRL352" s="50"/>
      <c r="NRM352" s="50"/>
      <c r="NRN352" s="50"/>
      <c r="NRO352" s="50"/>
      <c r="NRP352" s="50"/>
      <c r="NRQ352" s="50"/>
      <c r="NRR352" s="50"/>
      <c r="NRS352" s="50"/>
      <c r="NRT352" s="50"/>
      <c r="NRU352" s="50"/>
      <c r="NRV352" s="50"/>
      <c r="NRW352" s="50"/>
      <c r="NRX352" s="50"/>
      <c r="NRY352" s="50"/>
      <c r="NRZ352" s="50"/>
      <c r="NSA352" s="50"/>
      <c r="NSB352" s="50"/>
      <c r="NSC352" s="50"/>
      <c r="NSD352" s="50"/>
      <c r="NSE352" s="50"/>
      <c r="NSF352" s="50"/>
      <c r="NSG352" s="50"/>
      <c r="NSH352" s="50"/>
      <c r="NSI352" s="50"/>
      <c r="NSJ352" s="50"/>
      <c r="NSK352" s="50"/>
      <c r="NSL352" s="50"/>
      <c r="NSM352" s="50"/>
      <c r="NSN352" s="50"/>
      <c r="NSO352" s="50"/>
      <c r="NSP352" s="50"/>
      <c r="NSQ352" s="50"/>
      <c r="NSR352" s="50"/>
      <c r="NSS352" s="50"/>
      <c r="NST352" s="50"/>
      <c r="NSU352" s="50"/>
      <c r="NSV352" s="50"/>
      <c r="NSW352" s="50"/>
      <c r="NSX352" s="50"/>
      <c r="NSY352" s="50"/>
      <c r="NSZ352" s="50"/>
      <c r="NTA352" s="50"/>
      <c r="NTB352" s="50"/>
      <c r="NTC352" s="50"/>
      <c r="NTD352" s="50"/>
      <c r="NTE352" s="50"/>
      <c r="NTF352" s="50"/>
      <c r="NTG352" s="50"/>
      <c r="NTH352" s="50"/>
      <c r="NTI352" s="50"/>
      <c r="NTJ352" s="50"/>
      <c r="NTK352" s="50"/>
      <c r="NTL352" s="50"/>
      <c r="NTM352" s="50"/>
      <c r="NTN352" s="50"/>
      <c r="NTO352" s="50"/>
      <c r="NTP352" s="50"/>
      <c r="NTQ352" s="50"/>
      <c r="NTR352" s="50"/>
      <c r="NTS352" s="50"/>
      <c r="NTT352" s="50"/>
      <c r="NTU352" s="50"/>
      <c r="NTV352" s="50"/>
      <c r="NTW352" s="50"/>
      <c r="NTX352" s="50"/>
      <c r="NTY352" s="50"/>
      <c r="NTZ352" s="50"/>
      <c r="NUA352" s="50"/>
      <c r="NUB352" s="50"/>
      <c r="NUC352" s="50"/>
      <c r="NUD352" s="50"/>
      <c r="NUE352" s="50"/>
      <c r="NUF352" s="50"/>
      <c r="NUG352" s="50"/>
      <c r="NUH352" s="50"/>
      <c r="NUI352" s="50"/>
      <c r="NUJ352" s="50"/>
      <c r="NUK352" s="50"/>
      <c r="NUL352" s="50"/>
      <c r="NUM352" s="50"/>
      <c r="NUN352" s="50"/>
      <c r="NUO352" s="50"/>
      <c r="NUP352" s="50"/>
      <c r="NUQ352" s="50"/>
      <c r="NUR352" s="50"/>
      <c r="NUS352" s="50"/>
      <c r="NUT352" s="50"/>
      <c r="NUU352" s="50"/>
      <c r="NUV352" s="50"/>
      <c r="NUW352" s="50"/>
      <c r="NUX352" s="50"/>
      <c r="NUY352" s="50"/>
      <c r="NUZ352" s="50"/>
      <c r="NVA352" s="50"/>
      <c r="NVB352" s="50"/>
      <c r="NVC352" s="50"/>
      <c r="NVD352" s="50"/>
      <c r="NVE352" s="50"/>
      <c r="NVF352" s="50"/>
      <c r="NVG352" s="50"/>
      <c r="NVH352" s="50"/>
      <c r="NVI352" s="50"/>
      <c r="NVJ352" s="50"/>
      <c r="NVK352" s="50"/>
      <c r="NVL352" s="50"/>
      <c r="NVM352" s="50"/>
      <c r="NVN352" s="50"/>
      <c r="NVO352" s="50"/>
      <c r="NVP352" s="50"/>
      <c r="NVQ352" s="50"/>
      <c r="NVR352" s="50"/>
      <c r="NVS352" s="50"/>
      <c r="NVT352" s="50"/>
      <c r="NVU352" s="50"/>
      <c r="NVV352" s="50"/>
      <c r="NVW352" s="50"/>
      <c r="NVX352" s="50"/>
      <c r="NVY352" s="50"/>
      <c r="NVZ352" s="50"/>
      <c r="NWA352" s="50"/>
      <c r="NWB352" s="50"/>
      <c r="NWC352" s="50"/>
      <c r="NWD352" s="50"/>
      <c r="NWE352" s="50"/>
      <c r="NWF352" s="50"/>
      <c r="NWG352" s="50"/>
      <c r="NWH352" s="50"/>
      <c r="NWI352" s="50"/>
      <c r="NWJ352" s="50"/>
      <c r="NWK352" s="50"/>
      <c r="NWL352" s="50"/>
      <c r="NWM352" s="50"/>
      <c r="NWN352" s="50"/>
      <c r="NWO352" s="50"/>
      <c r="NWP352" s="50"/>
      <c r="NWQ352" s="50"/>
      <c r="NWR352" s="50"/>
      <c r="NWS352" s="50"/>
      <c r="NWT352" s="50"/>
      <c r="NWU352" s="50"/>
      <c r="NWV352" s="50"/>
      <c r="NWW352" s="50"/>
      <c r="NWX352" s="50"/>
      <c r="NWY352" s="50"/>
      <c r="NWZ352" s="50"/>
      <c r="NXA352" s="50"/>
      <c r="NXB352" s="50"/>
      <c r="NXC352" s="50"/>
      <c r="NXD352" s="50"/>
      <c r="NXE352" s="50"/>
      <c r="NXF352" s="50"/>
      <c r="NXG352" s="50"/>
      <c r="NXH352" s="50"/>
      <c r="NXI352" s="50"/>
      <c r="NXJ352" s="50"/>
      <c r="NXK352" s="50"/>
      <c r="NXL352" s="50"/>
      <c r="NXM352" s="50"/>
      <c r="NXN352" s="50"/>
      <c r="NXO352" s="50"/>
      <c r="NXP352" s="50"/>
      <c r="NXQ352" s="50"/>
      <c r="NXR352" s="50"/>
      <c r="NXS352" s="50"/>
      <c r="NXT352" s="50"/>
      <c r="NXU352" s="50"/>
      <c r="NXV352" s="50"/>
      <c r="NXW352" s="50"/>
      <c r="NXX352" s="50"/>
      <c r="NXY352" s="50"/>
      <c r="NXZ352" s="50"/>
      <c r="NYA352" s="50"/>
      <c r="NYB352" s="50"/>
      <c r="NYC352" s="50"/>
      <c r="NYD352" s="50"/>
      <c r="NYE352" s="50"/>
      <c r="NYF352" s="50"/>
      <c r="NYG352" s="50"/>
      <c r="NYH352" s="50"/>
      <c r="NYI352" s="50"/>
      <c r="NYJ352" s="50"/>
      <c r="NYK352" s="50"/>
      <c r="NYL352" s="50"/>
      <c r="NYM352" s="50"/>
      <c r="NYN352" s="50"/>
      <c r="NYO352" s="50"/>
      <c r="NYP352" s="50"/>
      <c r="NYQ352" s="50"/>
      <c r="NYR352" s="50"/>
      <c r="NYS352" s="50"/>
      <c r="NYT352" s="50"/>
      <c r="NYU352" s="50"/>
      <c r="NYV352" s="50"/>
      <c r="NYW352" s="50"/>
      <c r="NYX352" s="50"/>
      <c r="NYY352" s="50"/>
      <c r="NYZ352" s="50"/>
      <c r="NZA352" s="50"/>
      <c r="NZB352" s="50"/>
      <c r="NZC352" s="50"/>
      <c r="NZD352" s="50"/>
      <c r="NZE352" s="50"/>
      <c r="NZF352" s="50"/>
      <c r="NZG352" s="50"/>
      <c r="NZH352" s="50"/>
      <c r="NZI352" s="50"/>
      <c r="NZJ352" s="50"/>
      <c r="NZK352" s="50"/>
      <c r="NZL352" s="50"/>
      <c r="NZM352" s="50"/>
      <c r="NZN352" s="50"/>
      <c r="NZO352" s="50"/>
      <c r="NZP352" s="50"/>
      <c r="NZQ352" s="50"/>
      <c r="NZR352" s="50"/>
      <c r="NZS352" s="50"/>
      <c r="NZT352" s="50"/>
      <c r="NZU352" s="50"/>
      <c r="NZV352" s="50"/>
      <c r="NZW352" s="50"/>
      <c r="NZX352" s="50"/>
      <c r="NZY352" s="50"/>
      <c r="NZZ352" s="50"/>
      <c r="OAA352" s="50"/>
      <c r="OAB352" s="50"/>
      <c r="OAC352" s="50"/>
      <c r="OAD352" s="50"/>
      <c r="OAE352" s="50"/>
      <c r="OAF352" s="50"/>
      <c r="OAG352" s="50"/>
      <c r="OAH352" s="50"/>
      <c r="OAI352" s="50"/>
      <c r="OAJ352" s="50"/>
      <c r="OAK352" s="50"/>
      <c r="OAL352" s="50"/>
      <c r="OAM352" s="50"/>
      <c r="OAN352" s="50"/>
      <c r="OAO352" s="50"/>
      <c r="OAP352" s="50"/>
      <c r="OAQ352" s="50"/>
      <c r="OAR352" s="50"/>
      <c r="OAS352" s="50"/>
      <c r="OAT352" s="50"/>
      <c r="OAU352" s="50"/>
      <c r="OAV352" s="50"/>
      <c r="OAW352" s="50"/>
      <c r="OAX352" s="50"/>
      <c r="OAY352" s="50"/>
      <c r="OAZ352" s="50"/>
      <c r="OBA352" s="50"/>
      <c r="OBB352" s="50"/>
      <c r="OBC352" s="50"/>
      <c r="OBD352" s="50"/>
      <c r="OBE352" s="50"/>
      <c r="OBF352" s="50"/>
      <c r="OBG352" s="50"/>
      <c r="OBH352" s="50"/>
      <c r="OBI352" s="50"/>
      <c r="OBJ352" s="50"/>
      <c r="OBK352" s="50"/>
      <c r="OBL352" s="50"/>
      <c r="OBM352" s="50"/>
      <c r="OBN352" s="50"/>
      <c r="OBO352" s="50"/>
      <c r="OBP352" s="50"/>
      <c r="OBQ352" s="50"/>
      <c r="OBR352" s="50"/>
      <c r="OBS352" s="50"/>
      <c r="OBT352" s="50"/>
      <c r="OBU352" s="50"/>
      <c r="OBV352" s="50"/>
      <c r="OBW352" s="50"/>
      <c r="OBX352" s="50"/>
      <c r="OBY352" s="50"/>
      <c r="OBZ352" s="50"/>
      <c r="OCA352" s="50"/>
      <c r="OCB352" s="50"/>
      <c r="OCC352" s="50"/>
      <c r="OCD352" s="50"/>
      <c r="OCE352" s="50"/>
      <c r="OCF352" s="50"/>
      <c r="OCG352" s="50"/>
      <c r="OCH352" s="50"/>
      <c r="OCI352" s="50"/>
      <c r="OCJ352" s="50"/>
      <c r="OCK352" s="50"/>
      <c r="OCL352" s="50"/>
      <c r="OCM352" s="50"/>
      <c r="OCN352" s="50"/>
      <c r="OCO352" s="50"/>
      <c r="OCP352" s="50"/>
      <c r="OCQ352" s="50"/>
      <c r="OCR352" s="50"/>
      <c r="OCS352" s="50"/>
      <c r="OCT352" s="50"/>
      <c r="OCU352" s="50"/>
      <c r="OCV352" s="50"/>
      <c r="OCW352" s="50"/>
      <c r="OCX352" s="50"/>
      <c r="OCY352" s="50"/>
      <c r="OCZ352" s="50"/>
      <c r="ODA352" s="50"/>
      <c r="ODB352" s="50"/>
      <c r="ODC352" s="50"/>
      <c r="ODD352" s="50"/>
      <c r="ODE352" s="50"/>
      <c r="ODF352" s="50"/>
      <c r="ODG352" s="50"/>
      <c r="ODH352" s="50"/>
      <c r="ODI352" s="50"/>
      <c r="ODJ352" s="50"/>
      <c r="ODK352" s="50"/>
      <c r="ODL352" s="50"/>
      <c r="ODM352" s="50"/>
      <c r="ODN352" s="50"/>
      <c r="ODO352" s="50"/>
      <c r="ODP352" s="50"/>
      <c r="ODQ352" s="50"/>
      <c r="ODR352" s="50"/>
      <c r="ODS352" s="50"/>
      <c r="ODT352" s="50"/>
      <c r="ODU352" s="50"/>
      <c r="ODV352" s="50"/>
      <c r="ODW352" s="50"/>
      <c r="ODX352" s="50"/>
      <c r="ODY352" s="50"/>
      <c r="ODZ352" s="50"/>
      <c r="OEA352" s="50"/>
      <c r="OEB352" s="50"/>
      <c r="OEC352" s="50"/>
      <c r="OED352" s="50"/>
      <c r="OEE352" s="50"/>
      <c r="OEF352" s="50"/>
      <c r="OEG352" s="50"/>
      <c r="OEH352" s="50"/>
      <c r="OEI352" s="50"/>
      <c r="OEJ352" s="50"/>
      <c r="OEK352" s="50"/>
      <c r="OEL352" s="50"/>
      <c r="OEM352" s="50"/>
      <c r="OEN352" s="50"/>
      <c r="OEO352" s="50"/>
      <c r="OEP352" s="50"/>
      <c r="OEQ352" s="50"/>
      <c r="OER352" s="50"/>
      <c r="OES352" s="50"/>
      <c r="OET352" s="50"/>
      <c r="OEU352" s="50"/>
      <c r="OEV352" s="50"/>
      <c r="OEW352" s="50"/>
      <c r="OEX352" s="50"/>
      <c r="OEY352" s="50"/>
      <c r="OEZ352" s="50"/>
      <c r="OFA352" s="50"/>
      <c r="OFB352" s="50"/>
      <c r="OFC352" s="50"/>
      <c r="OFD352" s="50"/>
      <c r="OFE352" s="50"/>
      <c r="OFF352" s="50"/>
      <c r="OFG352" s="50"/>
      <c r="OFH352" s="50"/>
      <c r="OFI352" s="50"/>
      <c r="OFJ352" s="50"/>
      <c r="OFK352" s="50"/>
      <c r="OFL352" s="50"/>
      <c r="OFM352" s="50"/>
      <c r="OFN352" s="50"/>
      <c r="OFO352" s="50"/>
      <c r="OFP352" s="50"/>
      <c r="OFQ352" s="50"/>
      <c r="OFR352" s="50"/>
      <c r="OFS352" s="50"/>
      <c r="OFT352" s="50"/>
      <c r="OFU352" s="50"/>
      <c r="OFV352" s="50"/>
      <c r="OFW352" s="50"/>
      <c r="OFX352" s="50"/>
      <c r="OFY352" s="50"/>
      <c r="OFZ352" s="50"/>
      <c r="OGA352" s="50"/>
      <c r="OGB352" s="50"/>
      <c r="OGC352" s="50"/>
      <c r="OGD352" s="50"/>
      <c r="OGE352" s="50"/>
      <c r="OGF352" s="50"/>
      <c r="OGG352" s="50"/>
      <c r="OGH352" s="50"/>
      <c r="OGI352" s="50"/>
      <c r="OGJ352" s="50"/>
      <c r="OGK352" s="50"/>
      <c r="OGL352" s="50"/>
      <c r="OGM352" s="50"/>
      <c r="OGN352" s="50"/>
      <c r="OGO352" s="50"/>
      <c r="OGP352" s="50"/>
      <c r="OGQ352" s="50"/>
      <c r="OGR352" s="50"/>
      <c r="OGS352" s="50"/>
      <c r="OGT352" s="50"/>
      <c r="OGU352" s="50"/>
      <c r="OGV352" s="50"/>
      <c r="OGW352" s="50"/>
      <c r="OGX352" s="50"/>
      <c r="OGY352" s="50"/>
      <c r="OGZ352" s="50"/>
      <c r="OHA352" s="50"/>
      <c r="OHB352" s="50"/>
      <c r="OHC352" s="50"/>
      <c r="OHD352" s="50"/>
      <c r="OHE352" s="50"/>
      <c r="OHF352" s="50"/>
      <c r="OHG352" s="50"/>
      <c r="OHH352" s="50"/>
      <c r="OHI352" s="50"/>
      <c r="OHJ352" s="50"/>
      <c r="OHK352" s="50"/>
      <c r="OHL352" s="50"/>
      <c r="OHM352" s="50"/>
      <c r="OHN352" s="50"/>
      <c r="OHO352" s="50"/>
      <c r="OHP352" s="50"/>
      <c r="OHQ352" s="50"/>
      <c r="OHR352" s="50"/>
      <c r="OHS352" s="50"/>
      <c r="OHT352" s="50"/>
      <c r="OHU352" s="50"/>
      <c r="OHV352" s="50"/>
      <c r="OHW352" s="50"/>
      <c r="OHX352" s="50"/>
      <c r="OHY352" s="50"/>
      <c r="OHZ352" s="50"/>
      <c r="OIA352" s="50"/>
      <c r="OIB352" s="50"/>
      <c r="OIC352" s="50"/>
      <c r="OID352" s="50"/>
      <c r="OIE352" s="50"/>
      <c r="OIF352" s="50"/>
      <c r="OIG352" s="50"/>
      <c r="OIH352" s="50"/>
      <c r="OII352" s="50"/>
      <c r="OIJ352" s="50"/>
      <c r="OIK352" s="50"/>
      <c r="OIL352" s="50"/>
      <c r="OIM352" s="50"/>
      <c r="OIN352" s="50"/>
      <c r="OIO352" s="50"/>
      <c r="OIP352" s="50"/>
      <c r="OIQ352" s="50"/>
      <c r="OIR352" s="50"/>
      <c r="OIS352" s="50"/>
      <c r="OIT352" s="50"/>
      <c r="OIU352" s="50"/>
      <c r="OIV352" s="50"/>
      <c r="OIW352" s="50"/>
      <c r="OIX352" s="50"/>
      <c r="OIY352" s="50"/>
      <c r="OIZ352" s="50"/>
      <c r="OJA352" s="50"/>
      <c r="OJB352" s="50"/>
      <c r="OJC352" s="50"/>
      <c r="OJD352" s="50"/>
      <c r="OJE352" s="50"/>
      <c r="OJF352" s="50"/>
      <c r="OJG352" s="50"/>
      <c r="OJH352" s="50"/>
      <c r="OJI352" s="50"/>
      <c r="OJJ352" s="50"/>
      <c r="OJK352" s="50"/>
      <c r="OJL352" s="50"/>
      <c r="OJM352" s="50"/>
      <c r="OJN352" s="50"/>
      <c r="OJO352" s="50"/>
      <c r="OJP352" s="50"/>
      <c r="OJQ352" s="50"/>
      <c r="OJR352" s="50"/>
      <c r="OJS352" s="50"/>
      <c r="OJT352" s="50"/>
      <c r="OJU352" s="50"/>
      <c r="OJV352" s="50"/>
      <c r="OJW352" s="50"/>
      <c r="OJX352" s="50"/>
      <c r="OJY352" s="50"/>
      <c r="OJZ352" s="50"/>
      <c r="OKA352" s="50"/>
      <c r="OKB352" s="50"/>
      <c r="OKC352" s="50"/>
      <c r="OKD352" s="50"/>
      <c r="OKE352" s="50"/>
      <c r="OKF352" s="50"/>
      <c r="OKG352" s="50"/>
      <c r="OKH352" s="50"/>
      <c r="OKI352" s="50"/>
      <c r="OKJ352" s="50"/>
      <c r="OKK352" s="50"/>
      <c r="OKL352" s="50"/>
      <c r="OKM352" s="50"/>
      <c r="OKN352" s="50"/>
      <c r="OKO352" s="50"/>
      <c r="OKP352" s="50"/>
      <c r="OKQ352" s="50"/>
      <c r="OKR352" s="50"/>
      <c r="OKS352" s="50"/>
      <c r="OKT352" s="50"/>
      <c r="OKU352" s="50"/>
      <c r="OKV352" s="50"/>
      <c r="OKW352" s="50"/>
      <c r="OKX352" s="50"/>
      <c r="OKY352" s="50"/>
      <c r="OKZ352" s="50"/>
      <c r="OLA352" s="50"/>
      <c r="OLB352" s="50"/>
      <c r="OLC352" s="50"/>
      <c r="OLD352" s="50"/>
      <c r="OLE352" s="50"/>
      <c r="OLF352" s="50"/>
      <c r="OLG352" s="50"/>
      <c r="OLH352" s="50"/>
      <c r="OLI352" s="50"/>
      <c r="OLJ352" s="50"/>
      <c r="OLK352" s="50"/>
      <c r="OLL352" s="50"/>
      <c r="OLM352" s="50"/>
      <c r="OLN352" s="50"/>
      <c r="OLO352" s="50"/>
      <c r="OLP352" s="50"/>
      <c r="OLQ352" s="50"/>
      <c r="OLR352" s="50"/>
      <c r="OLS352" s="50"/>
      <c r="OLT352" s="50"/>
      <c r="OLU352" s="50"/>
      <c r="OLV352" s="50"/>
      <c r="OLW352" s="50"/>
      <c r="OLX352" s="50"/>
      <c r="OLY352" s="50"/>
      <c r="OLZ352" s="50"/>
      <c r="OMA352" s="50"/>
      <c r="OMB352" s="50"/>
      <c r="OMC352" s="50"/>
      <c r="OMD352" s="50"/>
      <c r="OME352" s="50"/>
      <c r="OMF352" s="50"/>
      <c r="OMG352" s="50"/>
      <c r="OMH352" s="50"/>
      <c r="OMI352" s="50"/>
      <c r="OMJ352" s="50"/>
      <c r="OMK352" s="50"/>
      <c r="OML352" s="50"/>
      <c r="OMM352" s="50"/>
      <c r="OMN352" s="50"/>
      <c r="OMO352" s="50"/>
      <c r="OMP352" s="50"/>
      <c r="OMQ352" s="50"/>
      <c r="OMR352" s="50"/>
      <c r="OMS352" s="50"/>
      <c r="OMT352" s="50"/>
      <c r="OMU352" s="50"/>
      <c r="OMV352" s="50"/>
      <c r="OMW352" s="50"/>
      <c r="OMX352" s="50"/>
      <c r="OMY352" s="50"/>
      <c r="OMZ352" s="50"/>
      <c r="ONA352" s="50"/>
      <c r="ONB352" s="50"/>
      <c r="ONC352" s="50"/>
      <c r="OND352" s="50"/>
      <c r="ONE352" s="50"/>
      <c r="ONF352" s="50"/>
      <c r="ONG352" s="50"/>
      <c r="ONH352" s="50"/>
      <c r="ONI352" s="50"/>
      <c r="ONJ352" s="50"/>
      <c r="ONK352" s="50"/>
      <c r="ONL352" s="50"/>
      <c r="ONM352" s="50"/>
      <c r="ONN352" s="50"/>
      <c r="ONO352" s="50"/>
      <c r="ONP352" s="50"/>
      <c r="ONQ352" s="50"/>
      <c r="ONR352" s="50"/>
      <c r="ONS352" s="50"/>
      <c r="ONT352" s="50"/>
      <c r="ONU352" s="50"/>
      <c r="ONV352" s="50"/>
      <c r="ONW352" s="50"/>
      <c r="ONX352" s="50"/>
      <c r="ONY352" s="50"/>
      <c r="ONZ352" s="50"/>
      <c r="OOA352" s="50"/>
      <c r="OOB352" s="50"/>
      <c r="OOC352" s="50"/>
      <c r="OOD352" s="50"/>
      <c r="OOE352" s="50"/>
      <c r="OOF352" s="50"/>
      <c r="OOG352" s="50"/>
      <c r="OOH352" s="50"/>
      <c r="OOI352" s="50"/>
      <c r="OOJ352" s="50"/>
      <c r="OOK352" s="50"/>
      <c r="OOL352" s="50"/>
      <c r="OOM352" s="50"/>
      <c r="OON352" s="50"/>
      <c r="OOO352" s="50"/>
      <c r="OOP352" s="50"/>
      <c r="OOQ352" s="50"/>
      <c r="OOR352" s="50"/>
      <c r="OOS352" s="50"/>
      <c r="OOT352" s="50"/>
      <c r="OOU352" s="50"/>
      <c r="OOV352" s="50"/>
      <c r="OOW352" s="50"/>
      <c r="OOX352" s="50"/>
      <c r="OOY352" s="50"/>
      <c r="OOZ352" s="50"/>
      <c r="OPA352" s="50"/>
      <c r="OPB352" s="50"/>
      <c r="OPC352" s="50"/>
      <c r="OPD352" s="50"/>
      <c r="OPE352" s="50"/>
      <c r="OPF352" s="50"/>
      <c r="OPG352" s="50"/>
      <c r="OPH352" s="50"/>
      <c r="OPI352" s="50"/>
      <c r="OPJ352" s="50"/>
      <c r="OPK352" s="50"/>
      <c r="OPL352" s="50"/>
      <c r="OPM352" s="50"/>
      <c r="OPN352" s="50"/>
      <c r="OPO352" s="50"/>
      <c r="OPP352" s="50"/>
      <c r="OPQ352" s="50"/>
      <c r="OPR352" s="50"/>
      <c r="OPS352" s="50"/>
      <c r="OPT352" s="50"/>
      <c r="OPU352" s="50"/>
      <c r="OPV352" s="50"/>
      <c r="OPW352" s="50"/>
      <c r="OPX352" s="50"/>
      <c r="OPY352" s="50"/>
      <c r="OPZ352" s="50"/>
      <c r="OQA352" s="50"/>
      <c r="OQB352" s="50"/>
      <c r="OQC352" s="50"/>
      <c r="OQD352" s="50"/>
      <c r="OQE352" s="50"/>
      <c r="OQF352" s="50"/>
      <c r="OQG352" s="50"/>
      <c r="OQH352" s="50"/>
      <c r="OQI352" s="50"/>
      <c r="OQJ352" s="50"/>
      <c r="OQK352" s="50"/>
      <c r="OQL352" s="50"/>
      <c r="OQM352" s="50"/>
      <c r="OQN352" s="50"/>
      <c r="OQO352" s="50"/>
      <c r="OQP352" s="50"/>
      <c r="OQQ352" s="50"/>
      <c r="OQR352" s="50"/>
      <c r="OQS352" s="50"/>
      <c r="OQT352" s="50"/>
      <c r="OQU352" s="50"/>
      <c r="OQV352" s="50"/>
      <c r="OQW352" s="50"/>
      <c r="OQX352" s="50"/>
      <c r="OQY352" s="50"/>
      <c r="OQZ352" s="50"/>
      <c r="ORA352" s="50"/>
      <c r="ORB352" s="50"/>
      <c r="ORC352" s="50"/>
      <c r="ORD352" s="50"/>
      <c r="ORE352" s="50"/>
      <c r="ORF352" s="50"/>
      <c r="ORG352" s="50"/>
      <c r="ORH352" s="50"/>
      <c r="ORI352" s="50"/>
      <c r="ORJ352" s="50"/>
      <c r="ORK352" s="50"/>
      <c r="ORL352" s="50"/>
      <c r="ORM352" s="50"/>
      <c r="ORN352" s="50"/>
      <c r="ORO352" s="50"/>
      <c r="ORP352" s="50"/>
      <c r="ORQ352" s="50"/>
      <c r="ORR352" s="50"/>
      <c r="ORS352" s="50"/>
      <c r="ORT352" s="50"/>
      <c r="ORU352" s="50"/>
      <c r="ORV352" s="50"/>
      <c r="ORW352" s="50"/>
      <c r="ORX352" s="50"/>
      <c r="ORY352" s="50"/>
      <c r="ORZ352" s="50"/>
      <c r="OSA352" s="50"/>
      <c r="OSB352" s="50"/>
      <c r="OSC352" s="50"/>
      <c r="OSD352" s="50"/>
      <c r="OSE352" s="50"/>
      <c r="OSF352" s="50"/>
      <c r="OSG352" s="50"/>
      <c r="OSH352" s="50"/>
      <c r="OSI352" s="50"/>
      <c r="OSJ352" s="50"/>
      <c r="OSK352" s="50"/>
      <c r="OSL352" s="50"/>
      <c r="OSM352" s="50"/>
      <c r="OSN352" s="50"/>
      <c r="OSO352" s="50"/>
      <c r="OSP352" s="50"/>
      <c r="OSQ352" s="50"/>
      <c r="OSR352" s="50"/>
      <c r="OSS352" s="50"/>
      <c r="OST352" s="50"/>
      <c r="OSU352" s="50"/>
      <c r="OSV352" s="50"/>
      <c r="OSW352" s="50"/>
      <c r="OSX352" s="50"/>
      <c r="OSY352" s="50"/>
      <c r="OSZ352" s="50"/>
      <c r="OTA352" s="50"/>
      <c r="OTB352" s="50"/>
      <c r="OTC352" s="50"/>
      <c r="OTD352" s="50"/>
      <c r="OTE352" s="50"/>
      <c r="OTF352" s="50"/>
      <c r="OTG352" s="50"/>
      <c r="OTH352" s="50"/>
      <c r="OTI352" s="50"/>
      <c r="OTJ352" s="50"/>
      <c r="OTK352" s="50"/>
      <c r="OTL352" s="50"/>
      <c r="OTM352" s="50"/>
      <c r="OTN352" s="50"/>
      <c r="OTO352" s="50"/>
      <c r="OTP352" s="50"/>
      <c r="OTQ352" s="50"/>
      <c r="OTR352" s="50"/>
      <c r="OTS352" s="50"/>
      <c r="OTT352" s="50"/>
      <c r="OTU352" s="50"/>
      <c r="OTV352" s="50"/>
      <c r="OTW352" s="50"/>
      <c r="OTX352" s="50"/>
      <c r="OTY352" s="50"/>
      <c r="OTZ352" s="50"/>
      <c r="OUA352" s="50"/>
      <c r="OUB352" s="50"/>
      <c r="OUC352" s="50"/>
      <c r="OUD352" s="50"/>
      <c r="OUE352" s="50"/>
      <c r="OUF352" s="50"/>
      <c r="OUG352" s="50"/>
      <c r="OUH352" s="50"/>
      <c r="OUI352" s="50"/>
      <c r="OUJ352" s="50"/>
      <c r="OUK352" s="50"/>
      <c r="OUL352" s="50"/>
      <c r="OUM352" s="50"/>
      <c r="OUN352" s="50"/>
      <c r="OUO352" s="50"/>
      <c r="OUP352" s="50"/>
      <c r="OUQ352" s="50"/>
      <c r="OUR352" s="50"/>
      <c r="OUS352" s="50"/>
      <c r="OUT352" s="50"/>
      <c r="OUU352" s="50"/>
      <c r="OUV352" s="50"/>
      <c r="OUW352" s="50"/>
      <c r="OUX352" s="50"/>
      <c r="OUY352" s="50"/>
      <c r="OUZ352" s="50"/>
      <c r="OVA352" s="50"/>
      <c r="OVB352" s="50"/>
      <c r="OVC352" s="50"/>
      <c r="OVD352" s="50"/>
      <c r="OVE352" s="50"/>
      <c r="OVF352" s="50"/>
      <c r="OVG352" s="50"/>
      <c r="OVH352" s="50"/>
      <c r="OVI352" s="50"/>
      <c r="OVJ352" s="50"/>
      <c r="OVK352" s="50"/>
      <c r="OVL352" s="50"/>
      <c r="OVM352" s="50"/>
      <c r="OVN352" s="50"/>
      <c r="OVO352" s="50"/>
      <c r="OVP352" s="50"/>
      <c r="OVQ352" s="50"/>
      <c r="OVR352" s="50"/>
      <c r="OVS352" s="50"/>
      <c r="OVT352" s="50"/>
      <c r="OVU352" s="50"/>
      <c r="OVV352" s="50"/>
      <c r="OVW352" s="50"/>
      <c r="OVX352" s="50"/>
      <c r="OVY352" s="50"/>
      <c r="OVZ352" s="50"/>
      <c r="OWA352" s="50"/>
      <c r="OWB352" s="50"/>
      <c r="OWC352" s="50"/>
      <c r="OWD352" s="50"/>
      <c r="OWE352" s="50"/>
      <c r="OWF352" s="50"/>
      <c r="OWG352" s="50"/>
      <c r="OWH352" s="50"/>
      <c r="OWI352" s="50"/>
      <c r="OWJ352" s="50"/>
      <c r="OWK352" s="50"/>
      <c r="OWL352" s="50"/>
      <c r="OWM352" s="50"/>
      <c r="OWN352" s="50"/>
      <c r="OWO352" s="50"/>
      <c r="OWP352" s="50"/>
      <c r="OWQ352" s="50"/>
      <c r="OWR352" s="50"/>
      <c r="OWS352" s="50"/>
      <c r="OWT352" s="50"/>
      <c r="OWU352" s="50"/>
      <c r="OWV352" s="50"/>
      <c r="OWW352" s="50"/>
      <c r="OWX352" s="50"/>
      <c r="OWY352" s="50"/>
      <c r="OWZ352" s="50"/>
      <c r="OXA352" s="50"/>
      <c r="OXB352" s="50"/>
      <c r="OXC352" s="50"/>
      <c r="OXD352" s="50"/>
      <c r="OXE352" s="50"/>
      <c r="OXF352" s="50"/>
      <c r="OXG352" s="50"/>
      <c r="OXH352" s="50"/>
      <c r="OXI352" s="50"/>
      <c r="OXJ352" s="50"/>
      <c r="OXK352" s="50"/>
      <c r="OXL352" s="50"/>
      <c r="OXM352" s="50"/>
      <c r="OXN352" s="50"/>
      <c r="OXO352" s="50"/>
      <c r="OXP352" s="50"/>
      <c r="OXQ352" s="50"/>
      <c r="OXR352" s="50"/>
      <c r="OXS352" s="50"/>
      <c r="OXT352" s="50"/>
      <c r="OXU352" s="50"/>
      <c r="OXV352" s="50"/>
      <c r="OXW352" s="50"/>
      <c r="OXX352" s="50"/>
      <c r="OXY352" s="50"/>
      <c r="OXZ352" s="50"/>
      <c r="OYA352" s="50"/>
      <c r="OYB352" s="50"/>
      <c r="OYC352" s="50"/>
      <c r="OYD352" s="50"/>
      <c r="OYE352" s="50"/>
      <c r="OYF352" s="50"/>
      <c r="OYG352" s="50"/>
      <c r="OYH352" s="50"/>
      <c r="OYI352" s="50"/>
      <c r="OYJ352" s="50"/>
      <c r="OYK352" s="50"/>
      <c r="OYL352" s="50"/>
      <c r="OYM352" s="50"/>
      <c r="OYN352" s="50"/>
      <c r="OYO352" s="50"/>
      <c r="OYP352" s="50"/>
      <c r="OYQ352" s="50"/>
      <c r="OYR352" s="50"/>
      <c r="OYS352" s="50"/>
      <c r="OYT352" s="50"/>
      <c r="OYU352" s="50"/>
      <c r="OYV352" s="50"/>
      <c r="OYW352" s="50"/>
      <c r="OYX352" s="50"/>
      <c r="OYY352" s="50"/>
      <c r="OYZ352" s="50"/>
      <c r="OZA352" s="50"/>
      <c r="OZB352" s="50"/>
      <c r="OZC352" s="50"/>
      <c r="OZD352" s="50"/>
      <c r="OZE352" s="50"/>
      <c r="OZF352" s="50"/>
      <c r="OZG352" s="50"/>
      <c r="OZH352" s="50"/>
      <c r="OZI352" s="50"/>
      <c r="OZJ352" s="50"/>
      <c r="OZK352" s="50"/>
      <c r="OZL352" s="50"/>
      <c r="OZM352" s="50"/>
      <c r="OZN352" s="50"/>
      <c r="OZO352" s="50"/>
      <c r="OZP352" s="50"/>
      <c r="OZQ352" s="50"/>
      <c r="OZR352" s="50"/>
      <c r="OZS352" s="50"/>
      <c r="OZT352" s="50"/>
      <c r="OZU352" s="50"/>
      <c r="OZV352" s="50"/>
      <c r="OZW352" s="50"/>
      <c r="OZX352" s="50"/>
      <c r="OZY352" s="50"/>
      <c r="OZZ352" s="50"/>
      <c r="PAA352" s="50"/>
      <c r="PAB352" s="50"/>
      <c r="PAC352" s="50"/>
      <c r="PAD352" s="50"/>
      <c r="PAE352" s="50"/>
      <c r="PAF352" s="50"/>
      <c r="PAG352" s="50"/>
      <c r="PAH352" s="50"/>
      <c r="PAI352" s="50"/>
      <c r="PAJ352" s="50"/>
      <c r="PAK352" s="50"/>
      <c r="PAL352" s="50"/>
      <c r="PAM352" s="50"/>
      <c r="PAN352" s="50"/>
      <c r="PAO352" s="50"/>
      <c r="PAP352" s="50"/>
      <c r="PAQ352" s="50"/>
      <c r="PAR352" s="50"/>
      <c r="PAS352" s="50"/>
      <c r="PAT352" s="50"/>
      <c r="PAU352" s="50"/>
      <c r="PAV352" s="50"/>
      <c r="PAW352" s="50"/>
      <c r="PAX352" s="50"/>
      <c r="PAY352" s="50"/>
      <c r="PAZ352" s="50"/>
      <c r="PBA352" s="50"/>
      <c r="PBB352" s="50"/>
      <c r="PBC352" s="50"/>
      <c r="PBD352" s="50"/>
      <c r="PBE352" s="50"/>
      <c r="PBF352" s="50"/>
      <c r="PBG352" s="50"/>
      <c r="PBH352" s="50"/>
      <c r="PBI352" s="50"/>
      <c r="PBJ352" s="50"/>
      <c r="PBK352" s="50"/>
      <c r="PBL352" s="50"/>
      <c r="PBM352" s="50"/>
      <c r="PBN352" s="50"/>
      <c r="PBO352" s="50"/>
      <c r="PBP352" s="50"/>
      <c r="PBQ352" s="50"/>
      <c r="PBR352" s="50"/>
      <c r="PBS352" s="50"/>
      <c r="PBT352" s="50"/>
      <c r="PBU352" s="50"/>
      <c r="PBV352" s="50"/>
      <c r="PBW352" s="50"/>
      <c r="PBX352" s="50"/>
      <c r="PBY352" s="50"/>
      <c r="PBZ352" s="50"/>
      <c r="PCA352" s="50"/>
      <c r="PCB352" s="50"/>
      <c r="PCC352" s="50"/>
      <c r="PCD352" s="50"/>
      <c r="PCE352" s="50"/>
      <c r="PCF352" s="50"/>
      <c r="PCG352" s="50"/>
      <c r="PCH352" s="50"/>
      <c r="PCI352" s="50"/>
      <c r="PCJ352" s="50"/>
      <c r="PCK352" s="50"/>
      <c r="PCL352" s="50"/>
      <c r="PCM352" s="50"/>
      <c r="PCN352" s="50"/>
      <c r="PCO352" s="50"/>
      <c r="PCP352" s="50"/>
      <c r="PCQ352" s="50"/>
      <c r="PCR352" s="50"/>
      <c r="PCS352" s="50"/>
      <c r="PCT352" s="50"/>
      <c r="PCU352" s="50"/>
      <c r="PCV352" s="50"/>
      <c r="PCW352" s="50"/>
      <c r="PCX352" s="50"/>
      <c r="PCY352" s="50"/>
      <c r="PCZ352" s="50"/>
      <c r="PDA352" s="50"/>
      <c r="PDB352" s="50"/>
      <c r="PDC352" s="50"/>
      <c r="PDD352" s="50"/>
      <c r="PDE352" s="50"/>
      <c r="PDF352" s="50"/>
      <c r="PDG352" s="50"/>
      <c r="PDH352" s="50"/>
      <c r="PDI352" s="50"/>
      <c r="PDJ352" s="50"/>
      <c r="PDK352" s="50"/>
      <c r="PDL352" s="50"/>
      <c r="PDM352" s="50"/>
      <c r="PDN352" s="50"/>
      <c r="PDO352" s="50"/>
      <c r="PDP352" s="50"/>
      <c r="PDQ352" s="50"/>
      <c r="PDR352" s="50"/>
      <c r="PDS352" s="50"/>
      <c r="PDT352" s="50"/>
      <c r="PDU352" s="50"/>
      <c r="PDV352" s="50"/>
      <c r="PDW352" s="50"/>
      <c r="PDX352" s="50"/>
      <c r="PDY352" s="50"/>
      <c r="PDZ352" s="50"/>
      <c r="PEA352" s="50"/>
      <c r="PEB352" s="50"/>
      <c r="PEC352" s="50"/>
      <c r="PED352" s="50"/>
      <c r="PEE352" s="50"/>
      <c r="PEF352" s="50"/>
      <c r="PEG352" s="50"/>
      <c r="PEH352" s="50"/>
      <c r="PEI352" s="50"/>
      <c r="PEJ352" s="50"/>
      <c r="PEK352" s="50"/>
      <c r="PEL352" s="50"/>
      <c r="PEM352" s="50"/>
      <c r="PEN352" s="50"/>
      <c r="PEO352" s="50"/>
      <c r="PEP352" s="50"/>
      <c r="PEQ352" s="50"/>
      <c r="PER352" s="50"/>
      <c r="PES352" s="50"/>
      <c r="PET352" s="50"/>
      <c r="PEU352" s="50"/>
      <c r="PEV352" s="50"/>
      <c r="PEW352" s="50"/>
      <c r="PEX352" s="50"/>
      <c r="PEY352" s="50"/>
      <c r="PEZ352" s="50"/>
      <c r="PFA352" s="50"/>
      <c r="PFB352" s="50"/>
      <c r="PFC352" s="50"/>
      <c r="PFD352" s="50"/>
      <c r="PFE352" s="50"/>
      <c r="PFF352" s="50"/>
      <c r="PFG352" s="50"/>
      <c r="PFH352" s="50"/>
      <c r="PFI352" s="50"/>
      <c r="PFJ352" s="50"/>
      <c r="PFK352" s="50"/>
      <c r="PFL352" s="50"/>
      <c r="PFM352" s="50"/>
      <c r="PFN352" s="50"/>
      <c r="PFO352" s="50"/>
      <c r="PFP352" s="50"/>
      <c r="PFQ352" s="50"/>
      <c r="PFR352" s="50"/>
      <c r="PFS352" s="50"/>
      <c r="PFT352" s="50"/>
      <c r="PFU352" s="50"/>
      <c r="PFV352" s="50"/>
      <c r="PFW352" s="50"/>
      <c r="PFX352" s="50"/>
      <c r="PFY352" s="50"/>
      <c r="PFZ352" s="50"/>
      <c r="PGA352" s="50"/>
      <c r="PGB352" s="50"/>
      <c r="PGC352" s="50"/>
      <c r="PGD352" s="50"/>
      <c r="PGE352" s="50"/>
      <c r="PGF352" s="50"/>
      <c r="PGG352" s="50"/>
      <c r="PGH352" s="50"/>
      <c r="PGI352" s="50"/>
      <c r="PGJ352" s="50"/>
      <c r="PGK352" s="50"/>
      <c r="PGL352" s="50"/>
      <c r="PGM352" s="50"/>
      <c r="PGN352" s="50"/>
      <c r="PGO352" s="50"/>
      <c r="PGP352" s="50"/>
      <c r="PGQ352" s="50"/>
      <c r="PGR352" s="50"/>
      <c r="PGS352" s="50"/>
      <c r="PGT352" s="50"/>
      <c r="PGU352" s="50"/>
      <c r="PGV352" s="50"/>
      <c r="PGW352" s="50"/>
      <c r="PGX352" s="50"/>
      <c r="PGY352" s="50"/>
      <c r="PGZ352" s="50"/>
      <c r="PHA352" s="50"/>
      <c r="PHB352" s="50"/>
      <c r="PHC352" s="50"/>
      <c r="PHD352" s="50"/>
      <c r="PHE352" s="50"/>
      <c r="PHF352" s="50"/>
      <c r="PHG352" s="50"/>
      <c r="PHH352" s="50"/>
      <c r="PHI352" s="50"/>
      <c r="PHJ352" s="50"/>
      <c r="PHK352" s="50"/>
      <c r="PHL352" s="50"/>
      <c r="PHM352" s="50"/>
      <c r="PHN352" s="50"/>
      <c r="PHO352" s="50"/>
      <c r="PHP352" s="50"/>
      <c r="PHQ352" s="50"/>
      <c r="PHR352" s="50"/>
      <c r="PHS352" s="50"/>
      <c r="PHT352" s="50"/>
      <c r="PHU352" s="50"/>
      <c r="PHV352" s="50"/>
      <c r="PHW352" s="50"/>
      <c r="PHX352" s="50"/>
      <c r="PHY352" s="50"/>
      <c r="PHZ352" s="50"/>
      <c r="PIA352" s="50"/>
      <c r="PIB352" s="50"/>
      <c r="PIC352" s="50"/>
      <c r="PID352" s="50"/>
      <c r="PIE352" s="50"/>
      <c r="PIF352" s="50"/>
      <c r="PIG352" s="50"/>
      <c r="PIH352" s="50"/>
      <c r="PII352" s="50"/>
      <c r="PIJ352" s="50"/>
      <c r="PIK352" s="50"/>
      <c r="PIL352" s="50"/>
      <c r="PIM352" s="50"/>
      <c r="PIN352" s="50"/>
      <c r="PIO352" s="50"/>
      <c r="PIP352" s="50"/>
      <c r="PIQ352" s="50"/>
      <c r="PIR352" s="50"/>
      <c r="PIS352" s="50"/>
      <c r="PIT352" s="50"/>
      <c r="PIU352" s="50"/>
      <c r="PIV352" s="50"/>
      <c r="PIW352" s="50"/>
      <c r="PIX352" s="50"/>
      <c r="PIY352" s="50"/>
      <c r="PIZ352" s="50"/>
      <c r="PJA352" s="50"/>
      <c r="PJB352" s="50"/>
      <c r="PJC352" s="50"/>
      <c r="PJD352" s="50"/>
      <c r="PJE352" s="50"/>
      <c r="PJF352" s="50"/>
      <c r="PJG352" s="50"/>
      <c r="PJH352" s="50"/>
      <c r="PJI352" s="50"/>
      <c r="PJJ352" s="50"/>
      <c r="PJK352" s="50"/>
      <c r="PJL352" s="50"/>
      <c r="PJM352" s="50"/>
      <c r="PJN352" s="50"/>
      <c r="PJO352" s="50"/>
      <c r="PJP352" s="50"/>
      <c r="PJQ352" s="50"/>
      <c r="PJR352" s="50"/>
      <c r="PJS352" s="50"/>
      <c r="PJT352" s="50"/>
      <c r="PJU352" s="50"/>
      <c r="PJV352" s="50"/>
      <c r="PJW352" s="50"/>
      <c r="PJX352" s="50"/>
      <c r="PJY352" s="50"/>
      <c r="PJZ352" s="50"/>
      <c r="PKA352" s="50"/>
      <c r="PKB352" s="50"/>
      <c r="PKC352" s="50"/>
      <c r="PKD352" s="50"/>
      <c r="PKE352" s="50"/>
      <c r="PKF352" s="50"/>
      <c r="PKG352" s="50"/>
      <c r="PKH352" s="50"/>
      <c r="PKI352" s="50"/>
      <c r="PKJ352" s="50"/>
      <c r="PKK352" s="50"/>
      <c r="PKL352" s="50"/>
      <c r="PKM352" s="50"/>
      <c r="PKN352" s="50"/>
      <c r="PKO352" s="50"/>
      <c r="PKP352" s="50"/>
      <c r="PKQ352" s="50"/>
      <c r="PKR352" s="50"/>
      <c r="PKS352" s="50"/>
      <c r="PKT352" s="50"/>
      <c r="PKU352" s="50"/>
      <c r="PKV352" s="50"/>
      <c r="PKW352" s="50"/>
      <c r="PKX352" s="50"/>
      <c r="PKY352" s="50"/>
      <c r="PKZ352" s="50"/>
      <c r="PLA352" s="50"/>
      <c r="PLB352" s="50"/>
      <c r="PLC352" s="50"/>
      <c r="PLD352" s="50"/>
      <c r="PLE352" s="50"/>
      <c r="PLF352" s="50"/>
      <c r="PLG352" s="50"/>
      <c r="PLH352" s="50"/>
      <c r="PLI352" s="50"/>
      <c r="PLJ352" s="50"/>
      <c r="PLK352" s="50"/>
      <c r="PLL352" s="50"/>
      <c r="PLM352" s="50"/>
      <c r="PLN352" s="50"/>
      <c r="PLO352" s="50"/>
      <c r="PLP352" s="50"/>
      <c r="PLQ352" s="50"/>
      <c r="PLR352" s="50"/>
      <c r="PLS352" s="50"/>
      <c r="PLT352" s="50"/>
      <c r="PLU352" s="50"/>
      <c r="PLV352" s="50"/>
      <c r="PLW352" s="50"/>
      <c r="PLX352" s="50"/>
      <c r="PLY352" s="50"/>
      <c r="PLZ352" s="50"/>
      <c r="PMA352" s="50"/>
      <c r="PMB352" s="50"/>
      <c r="PMC352" s="50"/>
      <c r="PMD352" s="50"/>
      <c r="PME352" s="50"/>
      <c r="PMF352" s="50"/>
      <c r="PMG352" s="50"/>
      <c r="PMH352" s="50"/>
      <c r="PMI352" s="50"/>
      <c r="PMJ352" s="50"/>
      <c r="PMK352" s="50"/>
      <c r="PML352" s="50"/>
      <c r="PMM352" s="50"/>
      <c r="PMN352" s="50"/>
      <c r="PMO352" s="50"/>
      <c r="PMP352" s="50"/>
      <c r="PMQ352" s="50"/>
      <c r="PMR352" s="50"/>
      <c r="PMS352" s="50"/>
      <c r="PMT352" s="50"/>
      <c r="PMU352" s="50"/>
      <c r="PMV352" s="50"/>
      <c r="PMW352" s="50"/>
      <c r="PMX352" s="50"/>
      <c r="PMY352" s="50"/>
      <c r="PMZ352" s="50"/>
      <c r="PNA352" s="50"/>
      <c r="PNB352" s="50"/>
      <c r="PNC352" s="50"/>
      <c r="PND352" s="50"/>
      <c r="PNE352" s="50"/>
      <c r="PNF352" s="50"/>
      <c r="PNG352" s="50"/>
      <c r="PNH352" s="50"/>
      <c r="PNI352" s="50"/>
      <c r="PNJ352" s="50"/>
      <c r="PNK352" s="50"/>
      <c r="PNL352" s="50"/>
      <c r="PNM352" s="50"/>
      <c r="PNN352" s="50"/>
      <c r="PNO352" s="50"/>
      <c r="PNP352" s="50"/>
      <c r="PNQ352" s="50"/>
      <c r="PNR352" s="50"/>
      <c r="PNS352" s="50"/>
      <c r="PNT352" s="50"/>
      <c r="PNU352" s="50"/>
      <c r="PNV352" s="50"/>
      <c r="PNW352" s="50"/>
      <c r="PNX352" s="50"/>
      <c r="PNY352" s="50"/>
      <c r="PNZ352" s="50"/>
      <c r="POA352" s="50"/>
      <c r="POB352" s="50"/>
      <c r="POC352" s="50"/>
      <c r="POD352" s="50"/>
      <c r="POE352" s="50"/>
      <c r="POF352" s="50"/>
      <c r="POG352" s="50"/>
      <c r="POH352" s="50"/>
      <c r="POI352" s="50"/>
      <c r="POJ352" s="50"/>
      <c r="POK352" s="50"/>
      <c r="POL352" s="50"/>
      <c r="POM352" s="50"/>
      <c r="PON352" s="50"/>
      <c r="POO352" s="50"/>
      <c r="POP352" s="50"/>
      <c r="POQ352" s="50"/>
      <c r="POR352" s="50"/>
      <c r="POS352" s="50"/>
      <c r="POT352" s="50"/>
      <c r="POU352" s="50"/>
      <c r="POV352" s="50"/>
      <c r="POW352" s="50"/>
      <c r="POX352" s="50"/>
      <c r="POY352" s="50"/>
      <c r="POZ352" s="50"/>
      <c r="PPA352" s="50"/>
      <c r="PPB352" s="50"/>
      <c r="PPC352" s="50"/>
      <c r="PPD352" s="50"/>
      <c r="PPE352" s="50"/>
      <c r="PPF352" s="50"/>
      <c r="PPG352" s="50"/>
      <c r="PPH352" s="50"/>
      <c r="PPI352" s="50"/>
      <c r="PPJ352" s="50"/>
      <c r="PPK352" s="50"/>
      <c r="PPL352" s="50"/>
      <c r="PPM352" s="50"/>
      <c r="PPN352" s="50"/>
      <c r="PPO352" s="50"/>
      <c r="PPP352" s="50"/>
      <c r="PPQ352" s="50"/>
      <c r="PPR352" s="50"/>
      <c r="PPS352" s="50"/>
      <c r="PPT352" s="50"/>
      <c r="PPU352" s="50"/>
      <c r="PPV352" s="50"/>
      <c r="PPW352" s="50"/>
      <c r="PPX352" s="50"/>
      <c r="PPY352" s="50"/>
      <c r="PPZ352" s="50"/>
      <c r="PQA352" s="50"/>
      <c r="PQB352" s="50"/>
      <c r="PQC352" s="50"/>
      <c r="PQD352" s="50"/>
      <c r="PQE352" s="50"/>
      <c r="PQF352" s="50"/>
      <c r="PQG352" s="50"/>
      <c r="PQH352" s="50"/>
      <c r="PQI352" s="50"/>
      <c r="PQJ352" s="50"/>
      <c r="PQK352" s="50"/>
      <c r="PQL352" s="50"/>
      <c r="PQM352" s="50"/>
      <c r="PQN352" s="50"/>
      <c r="PQO352" s="50"/>
      <c r="PQP352" s="50"/>
      <c r="PQQ352" s="50"/>
      <c r="PQR352" s="50"/>
      <c r="PQS352" s="50"/>
      <c r="PQT352" s="50"/>
      <c r="PQU352" s="50"/>
      <c r="PQV352" s="50"/>
      <c r="PQW352" s="50"/>
      <c r="PQX352" s="50"/>
      <c r="PQY352" s="50"/>
      <c r="PQZ352" s="50"/>
      <c r="PRA352" s="50"/>
      <c r="PRB352" s="50"/>
      <c r="PRC352" s="50"/>
      <c r="PRD352" s="50"/>
      <c r="PRE352" s="50"/>
      <c r="PRF352" s="50"/>
      <c r="PRG352" s="50"/>
      <c r="PRH352" s="50"/>
      <c r="PRI352" s="50"/>
      <c r="PRJ352" s="50"/>
      <c r="PRK352" s="50"/>
      <c r="PRL352" s="50"/>
      <c r="PRM352" s="50"/>
      <c r="PRN352" s="50"/>
      <c r="PRO352" s="50"/>
      <c r="PRP352" s="50"/>
      <c r="PRQ352" s="50"/>
      <c r="PRR352" s="50"/>
      <c r="PRS352" s="50"/>
      <c r="PRT352" s="50"/>
      <c r="PRU352" s="50"/>
      <c r="PRV352" s="50"/>
      <c r="PRW352" s="50"/>
      <c r="PRX352" s="50"/>
      <c r="PRY352" s="50"/>
      <c r="PRZ352" s="50"/>
      <c r="PSA352" s="50"/>
      <c r="PSB352" s="50"/>
      <c r="PSC352" s="50"/>
      <c r="PSD352" s="50"/>
      <c r="PSE352" s="50"/>
      <c r="PSF352" s="50"/>
      <c r="PSG352" s="50"/>
      <c r="PSH352" s="50"/>
      <c r="PSI352" s="50"/>
      <c r="PSJ352" s="50"/>
      <c r="PSK352" s="50"/>
      <c r="PSL352" s="50"/>
      <c r="PSM352" s="50"/>
      <c r="PSN352" s="50"/>
      <c r="PSO352" s="50"/>
      <c r="PSP352" s="50"/>
      <c r="PSQ352" s="50"/>
      <c r="PSR352" s="50"/>
      <c r="PSS352" s="50"/>
      <c r="PST352" s="50"/>
      <c r="PSU352" s="50"/>
      <c r="PSV352" s="50"/>
      <c r="PSW352" s="50"/>
      <c r="PSX352" s="50"/>
      <c r="PSY352" s="50"/>
      <c r="PSZ352" s="50"/>
      <c r="PTA352" s="50"/>
      <c r="PTB352" s="50"/>
      <c r="PTC352" s="50"/>
      <c r="PTD352" s="50"/>
      <c r="PTE352" s="50"/>
      <c r="PTF352" s="50"/>
      <c r="PTG352" s="50"/>
      <c r="PTH352" s="50"/>
      <c r="PTI352" s="50"/>
      <c r="PTJ352" s="50"/>
      <c r="PTK352" s="50"/>
      <c r="PTL352" s="50"/>
      <c r="PTM352" s="50"/>
      <c r="PTN352" s="50"/>
      <c r="PTO352" s="50"/>
      <c r="PTP352" s="50"/>
      <c r="PTQ352" s="50"/>
      <c r="PTR352" s="50"/>
      <c r="PTS352" s="50"/>
      <c r="PTT352" s="50"/>
      <c r="PTU352" s="50"/>
      <c r="PTV352" s="50"/>
      <c r="PTW352" s="50"/>
      <c r="PTX352" s="50"/>
      <c r="PTY352" s="50"/>
      <c r="PTZ352" s="50"/>
      <c r="PUA352" s="50"/>
      <c r="PUB352" s="50"/>
      <c r="PUC352" s="50"/>
      <c r="PUD352" s="50"/>
      <c r="PUE352" s="50"/>
      <c r="PUF352" s="50"/>
      <c r="PUG352" s="50"/>
      <c r="PUH352" s="50"/>
      <c r="PUI352" s="50"/>
      <c r="PUJ352" s="50"/>
      <c r="PUK352" s="50"/>
      <c r="PUL352" s="50"/>
      <c r="PUM352" s="50"/>
      <c r="PUN352" s="50"/>
      <c r="PUO352" s="50"/>
      <c r="PUP352" s="50"/>
      <c r="PUQ352" s="50"/>
      <c r="PUR352" s="50"/>
      <c r="PUS352" s="50"/>
      <c r="PUT352" s="50"/>
      <c r="PUU352" s="50"/>
      <c r="PUV352" s="50"/>
      <c r="PUW352" s="50"/>
      <c r="PUX352" s="50"/>
      <c r="PUY352" s="50"/>
      <c r="PUZ352" s="50"/>
      <c r="PVA352" s="50"/>
      <c r="PVB352" s="50"/>
      <c r="PVC352" s="50"/>
      <c r="PVD352" s="50"/>
      <c r="PVE352" s="50"/>
      <c r="PVF352" s="50"/>
      <c r="PVG352" s="50"/>
      <c r="PVH352" s="50"/>
      <c r="PVI352" s="50"/>
      <c r="PVJ352" s="50"/>
      <c r="PVK352" s="50"/>
      <c r="PVL352" s="50"/>
      <c r="PVM352" s="50"/>
      <c r="PVN352" s="50"/>
      <c r="PVO352" s="50"/>
      <c r="PVP352" s="50"/>
      <c r="PVQ352" s="50"/>
      <c r="PVR352" s="50"/>
      <c r="PVS352" s="50"/>
      <c r="PVT352" s="50"/>
      <c r="PVU352" s="50"/>
      <c r="PVV352" s="50"/>
      <c r="PVW352" s="50"/>
      <c r="PVX352" s="50"/>
      <c r="PVY352" s="50"/>
      <c r="PVZ352" s="50"/>
      <c r="PWA352" s="50"/>
      <c r="PWB352" s="50"/>
      <c r="PWC352" s="50"/>
      <c r="PWD352" s="50"/>
      <c r="PWE352" s="50"/>
      <c r="PWF352" s="50"/>
      <c r="PWG352" s="50"/>
      <c r="PWH352" s="50"/>
      <c r="PWI352" s="50"/>
      <c r="PWJ352" s="50"/>
      <c r="PWK352" s="50"/>
      <c r="PWL352" s="50"/>
      <c r="PWM352" s="50"/>
      <c r="PWN352" s="50"/>
      <c r="PWO352" s="50"/>
      <c r="PWP352" s="50"/>
      <c r="PWQ352" s="50"/>
      <c r="PWR352" s="50"/>
      <c r="PWS352" s="50"/>
      <c r="PWT352" s="50"/>
      <c r="PWU352" s="50"/>
      <c r="PWV352" s="50"/>
      <c r="PWW352" s="50"/>
      <c r="PWX352" s="50"/>
      <c r="PWY352" s="50"/>
      <c r="PWZ352" s="50"/>
      <c r="PXA352" s="50"/>
      <c r="PXB352" s="50"/>
      <c r="PXC352" s="50"/>
      <c r="PXD352" s="50"/>
      <c r="PXE352" s="50"/>
      <c r="PXF352" s="50"/>
      <c r="PXG352" s="50"/>
      <c r="PXH352" s="50"/>
      <c r="PXI352" s="50"/>
      <c r="PXJ352" s="50"/>
      <c r="PXK352" s="50"/>
      <c r="PXL352" s="50"/>
      <c r="PXM352" s="50"/>
      <c r="PXN352" s="50"/>
      <c r="PXO352" s="50"/>
      <c r="PXP352" s="50"/>
      <c r="PXQ352" s="50"/>
      <c r="PXR352" s="50"/>
      <c r="PXS352" s="50"/>
      <c r="PXT352" s="50"/>
      <c r="PXU352" s="50"/>
      <c r="PXV352" s="50"/>
      <c r="PXW352" s="50"/>
      <c r="PXX352" s="50"/>
      <c r="PXY352" s="50"/>
      <c r="PXZ352" s="50"/>
      <c r="PYA352" s="50"/>
      <c r="PYB352" s="50"/>
      <c r="PYC352" s="50"/>
      <c r="PYD352" s="50"/>
      <c r="PYE352" s="50"/>
      <c r="PYF352" s="50"/>
      <c r="PYG352" s="50"/>
      <c r="PYH352" s="50"/>
      <c r="PYI352" s="50"/>
      <c r="PYJ352" s="50"/>
      <c r="PYK352" s="50"/>
      <c r="PYL352" s="50"/>
      <c r="PYM352" s="50"/>
      <c r="PYN352" s="50"/>
      <c r="PYO352" s="50"/>
      <c r="PYP352" s="50"/>
      <c r="PYQ352" s="50"/>
      <c r="PYR352" s="50"/>
      <c r="PYS352" s="50"/>
      <c r="PYT352" s="50"/>
      <c r="PYU352" s="50"/>
      <c r="PYV352" s="50"/>
      <c r="PYW352" s="50"/>
      <c r="PYX352" s="50"/>
      <c r="PYY352" s="50"/>
      <c r="PYZ352" s="50"/>
      <c r="PZA352" s="50"/>
      <c r="PZB352" s="50"/>
      <c r="PZC352" s="50"/>
      <c r="PZD352" s="50"/>
      <c r="PZE352" s="50"/>
      <c r="PZF352" s="50"/>
      <c r="PZG352" s="50"/>
      <c r="PZH352" s="50"/>
      <c r="PZI352" s="50"/>
      <c r="PZJ352" s="50"/>
      <c r="PZK352" s="50"/>
      <c r="PZL352" s="50"/>
      <c r="PZM352" s="50"/>
      <c r="PZN352" s="50"/>
      <c r="PZO352" s="50"/>
      <c r="PZP352" s="50"/>
      <c r="PZQ352" s="50"/>
      <c r="PZR352" s="50"/>
      <c r="PZS352" s="50"/>
      <c r="PZT352" s="50"/>
      <c r="PZU352" s="50"/>
      <c r="PZV352" s="50"/>
      <c r="PZW352" s="50"/>
      <c r="PZX352" s="50"/>
      <c r="PZY352" s="50"/>
      <c r="PZZ352" s="50"/>
      <c r="QAA352" s="50"/>
      <c r="QAB352" s="50"/>
      <c r="QAC352" s="50"/>
      <c r="QAD352" s="50"/>
      <c r="QAE352" s="50"/>
      <c r="QAF352" s="50"/>
      <c r="QAG352" s="50"/>
      <c r="QAH352" s="50"/>
      <c r="QAI352" s="50"/>
      <c r="QAJ352" s="50"/>
      <c r="QAK352" s="50"/>
      <c r="QAL352" s="50"/>
      <c r="QAM352" s="50"/>
      <c r="QAN352" s="50"/>
      <c r="QAO352" s="50"/>
      <c r="QAP352" s="50"/>
      <c r="QAQ352" s="50"/>
      <c r="QAR352" s="50"/>
      <c r="QAS352" s="50"/>
      <c r="QAT352" s="50"/>
      <c r="QAU352" s="50"/>
      <c r="QAV352" s="50"/>
      <c r="QAW352" s="50"/>
      <c r="QAX352" s="50"/>
      <c r="QAY352" s="50"/>
      <c r="QAZ352" s="50"/>
      <c r="QBA352" s="50"/>
      <c r="QBB352" s="50"/>
      <c r="QBC352" s="50"/>
      <c r="QBD352" s="50"/>
      <c r="QBE352" s="50"/>
      <c r="QBF352" s="50"/>
      <c r="QBG352" s="50"/>
      <c r="QBH352" s="50"/>
      <c r="QBI352" s="50"/>
      <c r="QBJ352" s="50"/>
      <c r="QBK352" s="50"/>
      <c r="QBL352" s="50"/>
      <c r="QBM352" s="50"/>
      <c r="QBN352" s="50"/>
      <c r="QBO352" s="50"/>
      <c r="QBP352" s="50"/>
      <c r="QBQ352" s="50"/>
      <c r="QBR352" s="50"/>
      <c r="QBS352" s="50"/>
      <c r="QBT352" s="50"/>
      <c r="QBU352" s="50"/>
      <c r="QBV352" s="50"/>
      <c r="QBW352" s="50"/>
      <c r="QBX352" s="50"/>
      <c r="QBY352" s="50"/>
      <c r="QBZ352" s="50"/>
      <c r="QCA352" s="50"/>
      <c r="QCB352" s="50"/>
      <c r="QCC352" s="50"/>
      <c r="QCD352" s="50"/>
      <c r="QCE352" s="50"/>
      <c r="QCF352" s="50"/>
      <c r="QCG352" s="50"/>
      <c r="QCH352" s="50"/>
      <c r="QCI352" s="50"/>
      <c r="QCJ352" s="50"/>
      <c r="QCK352" s="50"/>
      <c r="QCL352" s="50"/>
      <c r="QCM352" s="50"/>
      <c r="QCN352" s="50"/>
      <c r="QCO352" s="50"/>
      <c r="QCP352" s="50"/>
      <c r="QCQ352" s="50"/>
      <c r="QCR352" s="50"/>
      <c r="QCS352" s="50"/>
      <c r="QCT352" s="50"/>
      <c r="QCU352" s="50"/>
      <c r="QCV352" s="50"/>
      <c r="QCW352" s="50"/>
      <c r="QCX352" s="50"/>
      <c r="QCY352" s="50"/>
      <c r="QCZ352" s="50"/>
      <c r="QDA352" s="50"/>
      <c r="QDB352" s="50"/>
      <c r="QDC352" s="50"/>
      <c r="QDD352" s="50"/>
      <c r="QDE352" s="50"/>
      <c r="QDF352" s="50"/>
      <c r="QDG352" s="50"/>
      <c r="QDH352" s="50"/>
      <c r="QDI352" s="50"/>
      <c r="QDJ352" s="50"/>
      <c r="QDK352" s="50"/>
      <c r="QDL352" s="50"/>
      <c r="QDM352" s="50"/>
      <c r="QDN352" s="50"/>
      <c r="QDO352" s="50"/>
      <c r="QDP352" s="50"/>
      <c r="QDQ352" s="50"/>
      <c r="QDR352" s="50"/>
      <c r="QDS352" s="50"/>
      <c r="QDT352" s="50"/>
      <c r="QDU352" s="50"/>
      <c r="QDV352" s="50"/>
      <c r="QDW352" s="50"/>
      <c r="QDX352" s="50"/>
      <c r="QDY352" s="50"/>
      <c r="QDZ352" s="50"/>
      <c r="QEA352" s="50"/>
      <c r="QEB352" s="50"/>
      <c r="QEC352" s="50"/>
      <c r="QED352" s="50"/>
      <c r="QEE352" s="50"/>
      <c r="QEF352" s="50"/>
      <c r="QEG352" s="50"/>
      <c r="QEH352" s="50"/>
      <c r="QEI352" s="50"/>
      <c r="QEJ352" s="50"/>
      <c r="QEK352" s="50"/>
      <c r="QEL352" s="50"/>
      <c r="QEM352" s="50"/>
      <c r="QEN352" s="50"/>
      <c r="QEO352" s="50"/>
      <c r="QEP352" s="50"/>
      <c r="QEQ352" s="50"/>
      <c r="QER352" s="50"/>
      <c r="QES352" s="50"/>
      <c r="QET352" s="50"/>
      <c r="QEU352" s="50"/>
      <c r="QEV352" s="50"/>
      <c r="QEW352" s="50"/>
      <c r="QEX352" s="50"/>
      <c r="QEY352" s="50"/>
      <c r="QEZ352" s="50"/>
      <c r="QFA352" s="50"/>
      <c r="QFB352" s="50"/>
      <c r="QFC352" s="50"/>
      <c r="QFD352" s="50"/>
      <c r="QFE352" s="50"/>
      <c r="QFF352" s="50"/>
      <c r="QFG352" s="50"/>
      <c r="QFH352" s="50"/>
      <c r="QFI352" s="50"/>
      <c r="QFJ352" s="50"/>
      <c r="QFK352" s="50"/>
      <c r="QFL352" s="50"/>
      <c r="QFM352" s="50"/>
      <c r="QFN352" s="50"/>
      <c r="QFO352" s="50"/>
      <c r="QFP352" s="50"/>
      <c r="QFQ352" s="50"/>
      <c r="QFR352" s="50"/>
      <c r="QFS352" s="50"/>
      <c r="QFT352" s="50"/>
      <c r="QFU352" s="50"/>
      <c r="QFV352" s="50"/>
      <c r="QFW352" s="50"/>
      <c r="QFX352" s="50"/>
      <c r="QFY352" s="50"/>
      <c r="QFZ352" s="50"/>
      <c r="QGA352" s="50"/>
      <c r="QGB352" s="50"/>
      <c r="QGC352" s="50"/>
      <c r="QGD352" s="50"/>
      <c r="QGE352" s="50"/>
      <c r="QGF352" s="50"/>
      <c r="QGG352" s="50"/>
      <c r="QGH352" s="50"/>
      <c r="QGI352" s="50"/>
      <c r="QGJ352" s="50"/>
      <c r="QGK352" s="50"/>
      <c r="QGL352" s="50"/>
      <c r="QGM352" s="50"/>
      <c r="QGN352" s="50"/>
      <c r="QGO352" s="50"/>
      <c r="QGP352" s="50"/>
      <c r="QGQ352" s="50"/>
      <c r="QGR352" s="50"/>
      <c r="QGS352" s="50"/>
      <c r="QGT352" s="50"/>
      <c r="QGU352" s="50"/>
      <c r="QGV352" s="50"/>
      <c r="QGW352" s="50"/>
      <c r="QGX352" s="50"/>
      <c r="QGY352" s="50"/>
      <c r="QGZ352" s="50"/>
      <c r="QHA352" s="50"/>
      <c r="QHB352" s="50"/>
      <c r="QHC352" s="50"/>
      <c r="QHD352" s="50"/>
      <c r="QHE352" s="50"/>
      <c r="QHF352" s="50"/>
      <c r="QHG352" s="50"/>
      <c r="QHH352" s="50"/>
      <c r="QHI352" s="50"/>
      <c r="QHJ352" s="50"/>
      <c r="QHK352" s="50"/>
      <c r="QHL352" s="50"/>
      <c r="QHM352" s="50"/>
      <c r="QHN352" s="50"/>
      <c r="QHO352" s="50"/>
      <c r="QHP352" s="50"/>
      <c r="QHQ352" s="50"/>
      <c r="QHR352" s="50"/>
      <c r="QHS352" s="50"/>
      <c r="QHT352" s="50"/>
      <c r="QHU352" s="50"/>
      <c r="QHV352" s="50"/>
      <c r="QHW352" s="50"/>
      <c r="QHX352" s="50"/>
      <c r="QHY352" s="50"/>
      <c r="QHZ352" s="50"/>
      <c r="QIA352" s="50"/>
      <c r="QIB352" s="50"/>
      <c r="QIC352" s="50"/>
      <c r="QID352" s="50"/>
      <c r="QIE352" s="50"/>
      <c r="QIF352" s="50"/>
      <c r="QIG352" s="50"/>
      <c r="QIH352" s="50"/>
      <c r="QII352" s="50"/>
      <c r="QIJ352" s="50"/>
      <c r="QIK352" s="50"/>
      <c r="QIL352" s="50"/>
      <c r="QIM352" s="50"/>
      <c r="QIN352" s="50"/>
      <c r="QIO352" s="50"/>
      <c r="QIP352" s="50"/>
      <c r="QIQ352" s="50"/>
      <c r="QIR352" s="50"/>
      <c r="QIS352" s="50"/>
      <c r="QIT352" s="50"/>
      <c r="QIU352" s="50"/>
      <c r="QIV352" s="50"/>
      <c r="QIW352" s="50"/>
      <c r="QIX352" s="50"/>
      <c r="QIY352" s="50"/>
      <c r="QIZ352" s="50"/>
      <c r="QJA352" s="50"/>
      <c r="QJB352" s="50"/>
      <c r="QJC352" s="50"/>
      <c r="QJD352" s="50"/>
      <c r="QJE352" s="50"/>
      <c r="QJF352" s="50"/>
      <c r="QJG352" s="50"/>
      <c r="QJH352" s="50"/>
      <c r="QJI352" s="50"/>
      <c r="QJJ352" s="50"/>
      <c r="QJK352" s="50"/>
      <c r="QJL352" s="50"/>
      <c r="QJM352" s="50"/>
      <c r="QJN352" s="50"/>
      <c r="QJO352" s="50"/>
      <c r="QJP352" s="50"/>
      <c r="QJQ352" s="50"/>
      <c r="QJR352" s="50"/>
      <c r="QJS352" s="50"/>
      <c r="QJT352" s="50"/>
      <c r="QJU352" s="50"/>
      <c r="QJV352" s="50"/>
      <c r="QJW352" s="50"/>
      <c r="QJX352" s="50"/>
      <c r="QJY352" s="50"/>
      <c r="QJZ352" s="50"/>
      <c r="QKA352" s="50"/>
      <c r="QKB352" s="50"/>
      <c r="QKC352" s="50"/>
      <c r="QKD352" s="50"/>
      <c r="QKE352" s="50"/>
      <c r="QKF352" s="50"/>
      <c r="QKG352" s="50"/>
      <c r="QKH352" s="50"/>
      <c r="QKI352" s="50"/>
      <c r="QKJ352" s="50"/>
      <c r="QKK352" s="50"/>
      <c r="QKL352" s="50"/>
      <c r="QKM352" s="50"/>
      <c r="QKN352" s="50"/>
      <c r="QKO352" s="50"/>
      <c r="QKP352" s="50"/>
      <c r="QKQ352" s="50"/>
      <c r="QKR352" s="50"/>
      <c r="QKS352" s="50"/>
      <c r="QKT352" s="50"/>
      <c r="QKU352" s="50"/>
      <c r="QKV352" s="50"/>
      <c r="QKW352" s="50"/>
      <c r="QKX352" s="50"/>
      <c r="QKY352" s="50"/>
      <c r="QKZ352" s="50"/>
      <c r="QLA352" s="50"/>
      <c r="QLB352" s="50"/>
      <c r="QLC352" s="50"/>
      <c r="QLD352" s="50"/>
      <c r="QLE352" s="50"/>
      <c r="QLF352" s="50"/>
      <c r="QLG352" s="50"/>
      <c r="QLH352" s="50"/>
      <c r="QLI352" s="50"/>
      <c r="QLJ352" s="50"/>
      <c r="QLK352" s="50"/>
      <c r="QLL352" s="50"/>
      <c r="QLM352" s="50"/>
      <c r="QLN352" s="50"/>
      <c r="QLO352" s="50"/>
      <c r="QLP352" s="50"/>
      <c r="QLQ352" s="50"/>
      <c r="QLR352" s="50"/>
      <c r="QLS352" s="50"/>
      <c r="QLT352" s="50"/>
      <c r="QLU352" s="50"/>
      <c r="QLV352" s="50"/>
      <c r="QLW352" s="50"/>
      <c r="QLX352" s="50"/>
      <c r="QLY352" s="50"/>
      <c r="QLZ352" s="50"/>
      <c r="QMA352" s="50"/>
      <c r="QMB352" s="50"/>
      <c r="QMC352" s="50"/>
      <c r="QMD352" s="50"/>
      <c r="QME352" s="50"/>
      <c r="QMF352" s="50"/>
      <c r="QMG352" s="50"/>
      <c r="QMH352" s="50"/>
      <c r="QMI352" s="50"/>
      <c r="QMJ352" s="50"/>
      <c r="QMK352" s="50"/>
      <c r="QML352" s="50"/>
      <c r="QMM352" s="50"/>
      <c r="QMN352" s="50"/>
      <c r="QMO352" s="50"/>
      <c r="QMP352" s="50"/>
      <c r="QMQ352" s="50"/>
      <c r="QMR352" s="50"/>
      <c r="QMS352" s="50"/>
      <c r="QMT352" s="50"/>
      <c r="QMU352" s="50"/>
      <c r="QMV352" s="50"/>
      <c r="QMW352" s="50"/>
      <c r="QMX352" s="50"/>
      <c r="QMY352" s="50"/>
      <c r="QMZ352" s="50"/>
      <c r="QNA352" s="50"/>
      <c r="QNB352" s="50"/>
      <c r="QNC352" s="50"/>
      <c r="QND352" s="50"/>
      <c r="QNE352" s="50"/>
      <c r="QNF352" s="50"/>
      <c r="QNG352" s="50"/>
      <c r="QNH352" s="50"/>
      <c r="QNI352" s="50"/>
      <c r="QNJ352" s="50"/>
      <c r="QNK352" s="50"/>
      <c r="QNL352" s="50"/>
      <c r="QNM352" s="50"/>
      <c r="QNN352" s="50"/>
      <c r="QNO352" s="50"/>
      <c r="QNP352" s="50"/>
      <c r="QNQ352" s="50"/>
      <c r="QNR352" s="50"/>
      <c r="QNS352" s="50"/>
      <c r="QNT352" s="50"/>
      <c r="QNU352" s="50"/>
      <c r="QNV352" s="50"/>
      <c r="QNW352" s="50"/>
      <c r="QNX352" s="50"/>
      <c r="QNY352" s="50"/>
      <c r="QNZ352" s="50"/>
      <c r="QOA352" s="50"/>
      <c r="QOB352" s="50"/>
      <c r="QOC352" s="50"/>
      <c r="QOD352" s="50"/>
      <c r="QOE352" s="50"/>
      <c r="QOF352" s="50"/>
      <c r="QOG352" s="50"/>
      <c r="QOH352" s="50"/>
      <c r="QOI352" s="50"/>
      <c r="QOJ352" s="50"/>
      <c r="QOK352" s="50"/>
      <c r="QOL352" s="50"/>
      <c r="QOM352" s="50"/>
      <c r="QON352" s="50"/>
      <c r="QOO352" s="50"/>
      <c r="QOP352" s="50"/>
      <c r="QOQ352" s="50"/>
      <c r="QOR352" s="50"/>
      <c r="QOS352" s="50"/>
      <c r="QOT352" s="50"/>
      <c r="QOU352" s="50"/>
      <c r="QOV352" s="50"/>
      <c r="QOW352" s="50"/>
      <c r="QOX352" s="50"/>
      <c r="QOY352" s="50"/>
      <c r="QOZ352" s="50"/>
      <c r="QPA352" s="50"/>
      <c r="QPB352" s="50"/>
      <c r="QPC352" s="50"/>
      <c r="QPD352" s="50"/>
      <c r="QPE352" s="50"/>
      <c r="QPF352" s="50"/>
      <c r="QPG352" s="50"/>
      <c r="QPH352" s="50"/>
      <c r="QPI352" s="50"/>
      <c r="QPJ352" s="50"/>
      <c r="QPK352" s="50"/>
      <c r="QPL352" s="50"/>
      <c r="QPM352" s="50"/>
      <c r="QPN352" s="50"/>
      <c r="QPO352" s="50"/>
      <c r="QPP352" s="50"/>
      <c r="QPQ352" s="50"/>
      <c r="QPR352" s="50"/>
      <c r="QPS352" s="50"/>
      <c r="QPT352" s="50"/>
      <c r="QPU352" s="50"/>
      <c r="QPV352" s="50"/>
      <c r="QPW352" s="50"/>
      <c r="QPX352" s="50"/>
      <c r="QPY352" s="50"/>
      <c r="QPZ352" s="50"/>
      <c r="QQA352" s="50"/>
      <c r="QQB352" s="50"/>
      <c r="QQC352" s="50"/>
      <c r="QQD352" s="50"/>
      <c r="QQE352" s="50"/>
      <c r="QQF352" s="50"/>
      <c r="QQG352" s="50"/>
      <c r="QQH352" s="50"/>
      <c r="QQI352" s="50"/>
      <c r="QQJ352" s="50"/>
      <c r="QQK352" s="50"/>
      <c r="QQL352" s="50"/>
      <c r="QQM352" s="50"/>
      <c r="QQN352" s="50"/>
      <c r="QQO352" s="50"/>
      <c r="QQP352" s="50"/>
      <c r="QQQ352" s="50"/>
      <c r="QQR352" s="50"/>
      <c r="QQS352" s="50"/>
      <c r="QQT352" s="50"/>
      <c r="QQU352" s="50"/>
      <c r="QQV352" s="50"/>
      <c r="QQW352" s="50"/>
      <c r="QQX352" s="50"/>
      <c r="QQY352" s="50"/>
      <c r="QQZ352" s="50"/>
      <c r="QRA352" s="50"/>
      <c r="QRB352" s="50"/>
      <c r="QRC352" s="50"/>
      <c r="QRD352" s="50"/>
      <c r="QRE352" s="50"/>
      <c r="QRF352" s="50"/>
      <c r="QRG352" s="50"/>
      <c r="QRH352" s="50"/>
      <c r="QRI352" s="50"/>
      <c r="QRJ352" s="50"/>
      <c r="QRK352" s="50"/>
      <c r="QRL352" s="50"/>
      <c r="QRM352" s="50"/>
      <c r="QRN352" s="50"/>
      <c r="QRO352" s="50"/>
      <c r="QRP352" s="50"/>
      <c r="QRQ352" s="50"/>
      <c r="QRR352" s="50"/>
      <c r="QRS352" s="50"/>
      <c r="QRT352" s="50"/>
      <c r="QRU352" s="50"/>
      <c r="QRV352" s="50"/>
      <c r="QRW352" s="50"/>
      <c r="QRX352" s="50"/>
      <c r="QRY352" s="50"/>
      <c r="QRZ352" s="50"/>
      <c r="QSA352" s="50"/>
      <c r="QSB352" s="50"/>
      <c r="QSC352" s="50"/>
      <c r="QSD352" s="50"/>
      <c r="QSE352" s="50"/>
      <c r="QSF352" s="50"/>
      <c r="QSG352" s="50"/>
      <c r="QSH352" s="50"/>
      <c r="QSI352" s="50"/>
      <c r="QSJ352" s="50"/>
      <c r="QSK352" s="50"/>
      <c r="QSL352" s="50"/>
      <c r="QSM352" s="50"/>
      <c r="QSN352" s="50"/>
      <c r="QSO352" s="50"/>
      <c r="QSP352" s="50"/>
      <c r="QSQ352" s="50"/>
      <c r="QSR352" s="50"/>
      <c r="QSS352" s="50"/>
      <c r="QST352" s="50"/>
      <c r="QSU352" s="50"/>
      <c r="QSV352" s="50"/>
      <c r="QSW352" s="50"/>
      <c r="QSX352" s="50"/>
      <c r="QSY352" s="50"/>
      <c r="QSZ352" s="50"/>
      <c r="QTA352" s="50"/>
      <c r="QTB352" s="50"/>
      <c r="QTC352" s="50"/>
      <c r="QTD352" s="50"/>
      <c r="QTE352" s="50"/>
      <c r="QTF352" s="50"/>
      <c r="QTG352" s="50"/>
      <c r="QTH352" s="50"/>
      <c r="QTI352" s="50"/>
      <c r="QTJ352" s="50"/>
      <c r="QTK352" s="50"/>
      <c r="QTL352" s="50"/>
      <c r="QTM352" s="50"/>
      <c r="QTN352" s="50"/>
      <c r="QTO352" s="50"/>
      <c r="QTP352" s="50"/>
      <c r="QTQ352" s="50"/>
      <c r="QTR352" s="50"/>
      <c r="QTS352" s="50"/>
      <c r="QTT352" s="50"/>
      <c r="QTU352" s="50"/>
      <c r="QTV352" s="50"/>
      <c r="QTW352" s="50"/>
      <c r="QTX352" s="50"/>
      <c r="QTY352" s="50"/>
      <c r="QTZ352" s="50"/>
      <c r="QUA352" s="50"/>
      <c r="QUB352" s="50"/>
      <c r="QUC352" s="50"/>
      <c r="QUD352" s="50"/>
      <c r="QUE352" s="50"/>
      <c r="QUF352" s="50"/>
      <c r="QUG352" s="50"/>
      <c r="QUH352" s="50"/>
      <c r="QUI352" s="50"/>
      <c r="QUJ352" s="50"/>
      <c r="QUK352" s="50"/>
      <c r="QUL352" s="50"/>
      <c r="QUM352" s="50"/>
      <c r="QUN352" s="50"/>
      <c r="QUO352" s="50"/>
      <c r="QUP352" s="50"/>
      <c r="QUQ352" s="50"/>
      <c r="QUR352" s="50"/>
      <c r="QUS352" s="50"/>
      <c r="QUT352" s="50"/>
      <c r="QUU352" s="50"/>
      <c r="QUV352" s="50"/>
      <c r="QUW352" s="50"/>
      <c r="QUX352" s="50"/>
      <c r="QUY352" s="50"/>
      <c r="QUZ352" s="50"/>
      <c r="QVA352" s="50"/>
      <c r="QVB352" s="50"/>
      <c r="QVC352" s="50"/>
      <c r="QVD352" s="50"/>
      <c r="QVE352" s="50"/>
      <c r="QVF352" s="50"/>
      <c r="QVG352" s="50"/>
      <c r="QVH352" s="50"/>
      <c r="QVI352" s="50"/>
      <c r="QVJ352" s="50"/>
      <c r="QVK352" s="50"/>
      <c r="QVL352" s="50"/>
      <c r="QVM352" s="50"/>
      <c r="QVN352" s="50"/>
      <c r="QVO352" s="50"/>
      <c r="QVP352" s="50"/>
      <c r="QVQ352" s="50"/>
      <c r="QVR352" s="50"/>
      <c r="QVS352" s="50"/>
      <c r="QVT352" s="50"/>
      <c r="QVU352" s="50"/>
      <c r="QVV352" s="50"/>
      <c r="QVW352" s="50"/>
      <c r="QVX352" s="50"/>
      <c r="QVY352" s="50"/>
      <c r="QVZ352" s="50"/>
      <c r="QWA352" s="50"/>
      <c r="QWB352" s="50"/>
      <c r="QWC352" s="50"/>
      <c r="QWD352" s="50"/>
      <c r="QWE352" s="50"/>
      <c r="QWF352" s="50"/>
      <c r="QWG352" s="50"/>
      <c r="QWH352" s="50"/>
      <c r="QWI352" s="50"/>
      <c r="QWJ352" s="50"/>
      <c r="QWK352" s="50"/>
      <c r="QWL352" s="50"/>
      <c r="QWM352" s="50"/>
      <c r="QWN352" s="50"/>
      <c r="QWO352" s="50"/>
      <c r="QWP352" s="50"/>
      <c r="QWQ352" s="50"/>
      <c r="QWR352" s="50"/>
      <c r="QWS352" s="50"/>
      <c r="QWT352" s="50"/>
      <c r="QWU352" s="50"/>
      <c r="QWV352" s="50"/>
      <c r="QWW352" s="50"/>
      <c r="QWX352" s="50"/>
      <c r="QWY352" s="50"/>
      <c r="QWZ352" s="50"/>
      <c r="QXA352" s="50"/>
      <c r="QXB352" s="50"/>
      <c r="QXC352" s="50"/>
      <c r="QXD352" s="50"/>
      <c r="QXE352" s="50"/>
      <c r="QXF352" s="50"/>
      <c r="QXG352" s="50"/>
      <c r="QXH352" s="50"/>
      <c r="QXI352" s="50"/>
      <c r="QXJ352" s="50"/>
      <c r="QXK352" s="50"/>
      <c r="QXL352" s="50"/>
      <c r="QXM352" s="50"/>
      <c r="QXN352" s="50"/>
      <c r="QXO352" s="50"/>
      <c r="QXP352" s="50"/>
      <c r="QXQ352" s="50"/>
      <c r="QXR352" s="50"/>
      <c r="QXS352" s="50"/>
      <c r="QXT352" s="50"/>
      <c r="QXU352" s="50"/>
      <c r="QXV352" s="50"/>
      <c r="QXW352" s="50"/>
      <c r="QXX352" s="50"/>
      <c r="QXY352" s="50"/>
      <c r="QXZ352" s="50"/>
      <c r="QYA352" s="50"/>
      <c r="QYB352" s="50"/>
      <c r="QYC352" s="50"/>
      <c r="QYD352" s="50"/>
      <c r="QYE352" s="50"/>
      <c r="QYF352" s="50"/>
      <c r="QYG352" s="50"/>
      <c r="QYH352" s="50"/>
      <c r="QYI352" s="50"/>
      <c r="QYJ352" s="50"/>
      <c r="QYK352" s="50"/>
      <c r="QYL352" s="50"/>
      <c r="QYM352" s="50"/>
      <c r="QYN352" s="50"/>
      <c r="QYO352" s="50"/>
      <c r="QYP352" s="50"/>
      <c r="QYQ352" s="50"/>
      <c r="QYR352" s="50"/>
      <c r="QYS352" s="50"/>
      <c r="QYT352" s="50"/>
      <c r="QYU352" s="50"/>
      <c r="QYV352" s="50"/>
      <c r="QYW352" s="50"/>
      <c r="QYX352" s="50"/>
      <c r="QYY352" s="50"/>
      <c r="QYZ352" s="50"/>
      <c r="QZA352" s="50"/>
      <c r="QZB352" s="50"/>
      <c r="QZC352" s="50"/>
      <c r="QZD352" s="50"/>
      <c r="QZE352" s="50"/>
      <c r="QZF352" s="50"/>
      <c r="QZG352" s="50"/>
      <c r="QZH352" s="50"/>
      <c r="QZI352" s="50"/>
      <c r="QZJ352" s="50"/>
      <c r="QZK352" s="50"/>
      <c r="QZL352" s="50"/>
      <c r="QZM352" s="50"/>
      <c r="QZN352" s="50"/>
      <c r="QZO352" s="50"/>
      <c r="QZP352" s="50"/>
      <c r="QZQ352" s="50"/>
      <c r="QZR352" s="50"/>
      <c r="QZS352" s="50"/>
      <c r="QZT352" s="50"/>
      <c r="QZU352" s="50"/>
      <c r="QZV352" s="50"/>
      <c r="QZW352" s="50"/>
      <c r="QZX352" s="50"/>
      <c r="QZY352" s="50"/>
      <c r="QZZ352" s="50"/>
      <c r="RAA352" s="50"/>
      <c r="RAB352" s="50"/>
      <c r="RAC352" s="50"/>
      <c r="RAD352" s="50"/>
      <c r="RAE352" s="50"/>
      <c r="RAF352" s="50"/>
      <c r="RAG352" s="50"/>
      <c r="RAH352" s="50"/>
      <c r="RAI352" s="50"/>
      <c r="RAJ352" s="50"/>
      <c r="RAK352" s="50"/>
      <c r="RAL352" s="50"/>
      <c r="RAM352" s="50"/>
      <c r="RAN352" s="50"/>
      <c r="RAO352" s="50"/>
      <c r="RAP352" s="50"/>
      <c r="RAQ352" s="50"/>
      <c r="RAR352" s="50"/>
      <c r="RAS352" s="50"/>
      <c r="RAT352" s="50"/>
      <c r="RAU352" s="50"/>
      <c r="RAV352" s="50"/>
      <c r="RAW352" s="50"/>
      <c r="RAX352" s="50"/>
      <c r="RAY352" s="50"/>
      <c r="RAZ352" s="50"/>
      <c r="RBA352" s="50"/>
      <c r="RBB352" s="50"/>
      <c r="RBC352" s="50"/>
      <c r="RBD352" s="50"/>
      <c r="RBE352" s="50"/>
      <c r="RBF352" s="50"/>
      <c r="RBG352" s="50"/>
      <c r="RBH352" s="50"/>
      <c r="RBI352" s="50"/>
      <c r="RBJ352" s="50"/>
      <c r="RBK352" s="50"/>
      <c r="RBL352" s="50"/>
      <c r="RBM352" s="50"/>
      <c r="RBN352" s="50"/>
      <c r="RBO352" s="50"/>
      <c r="RBP352" s="50"/>
      <c r="RBQ352" s="50"/>
      <c r="RBR352" s="50"/>
      <c r="RBS352" s="50"/>
      <c r="RBT352" s="50"/>
      <c r="RBU352" s="50"/>
      <c r="RBV352" s="50"/>
      <c r="RBW352" s="50"/>
      <c r="RBX352" s="50"/>
      <c r="RBY352" s="50"/>
      <c r="RBZ352" s="50"/>
      <c r="RCA352" s="50"/>
      <c r="RCB352" s="50"/>
      <c r="RCC352" s="50"/>
      <c r="RCD352" s="50"/>
      <c r="RCE352" s="50"/>
      <c r="RCF352" s="50"/>
      <c r="RCG352" s="50"/>
      <c r="RCH352" s="50"/>
      <c r="RCI352" s="50"/>
      <c r="RCJ352" s="50"/>
      <c r="RCK352" s="50"/>
      <c r="RCL352" s="50"/>
      <c r="RCM352" s="50"/>
      <c r="RCN352" s="50"/>
      <c r="RCO352" s="50"/>
      <c r="RCP352" s="50"/>
      <c r="RCQ352" s="50"/>
      <c r="RCR352" s="50"/>
      <c r="RCS352" s="50"/>
      <c r="RCT352" s="50"/>
      <c r="RCU352" s="50"/>
      <c r="RCV352" s="50"/>
      <c r="RCW352" s="50"/>
      <c r="RCX352" s="50"/>
      <c r="RCY352" s="50"/>
      <c r="RCZ352" s="50"/>
      <c r="RDA352" s="50"/>
      <c r="RDB352" s="50"/>
      <c r="RDC352" s="50"/>
      <c r="RDD352" s="50"/>
      <c r="RDE352" s="50"/>
      <c r="RDF352" s="50"/>
      <c r="RDG352" s="50"/>
      <c r="RDH352" s="50"/>
      <c r="RDI352" s="50"/>
      <c r="RDJ352" s="50"/>
      <c r="RDK352" s="50"/>
      <c r="RDL352" s="50"/>
      <c r="RDM352" s="50"/>
      <c r="RDN352" s="50"/>
      <c r="RDO352" s="50"/>
      <c r="RDP352" s="50"/>
      <c r="RDQ352" s="50"/>
      <c r="RDR352" s="50"/>
      <c r="RDS352" s="50"/>
      <c r="RDT352" s="50"/>
      <c r="RDU352" s="50"/>
      <c r="RDV352" s="50"/>
      <c r="RDW352" s="50"/>
      <c r="RDX352" s="50"/>
      <c r="RDY352" s="50"/>
      <c r="RDZ352" s="50"/>
      <c r="REA352" s="50"/>
      <c r="REB352" s="50"/>
      <c r="REC352" s="50"/>
      <c r="RED352" s="50"/>
      <c r="REE352" s="50"/>
      <c r="REF352" s="50"/>
      <c r="REG352" s="50"/>
      <c r="REH352" s="50"/>
      <c r="REI352" s="50"/>
      <c r="REJ352" s="50"/>
      <c r="REK352" s="50"/>
      <c r="REL352" s="50"/>
      <c r="REM352" s="50"/>
      <c r="REN352" s="50"/>
      <c r="REO352" s="50"/>
      <c r="REP352" s="50"/>
      <c r="REQ352" s="50"/>
      <c r="RER352" s="50"/>
      <c r="RES352" s="50"/>
      <c r="RET352" s="50"/>
      <c r="REU352" s="50"/>
      <c r="REV352" s="50"/>
      <c r="REW352" s="50"/>
      <c r="REX352" s="50"/>
      <c r="REY352" s="50"/>
      <c r="REZ352" s="50"/>
      <c r="RFA352" s="50"/>
      <c r="RFB352" s="50"/>
      <c r="RFC352" s="50"/>
      <c r="RFD352" s="50"/>
      <c r="RFE352" s="50"/>
      <c r="RFF352" s="50"/>
      <c r="RFG352" s="50"/>
      <c r="RFH352" s="50"/>
      <c r="RFI352" s="50"/>
      <c r="RFJ352" s="50"/>
      <c r="RFK352" s="50"/>
      <c r="RFL352" s="50"/>
      <c r="RFM352" s="50"/>
      <c r="RFN352" s="50"/>
      <c r="RFO352" s="50"/>
      <c r="RFP352" s="50"/>
      <c r="RFQ352" s="50"/>
      <c r="RFR352" s="50"/>
      <c r="RFS352" s="50"/>
      <c r="RFT352" s="50"/>
      <c r="RFU352" s="50"/>
      <c r="RFV352" s="50"/>
      <c r="RFW352" s="50"/>
      <c r="RFX352" s="50"/>
      <c r="RFY352" s="50"/>
      <c r="RFZ352" s="50"/>
      <c r="RGA352" s="50"/>
      <c r="RGB352" s="50"/>
      <c r="RGC352" s="50"/>
      <c r="RGD352" s="50"/>
      <c r="RGE352" s="50"/>
      <c r="RGF352" s="50"/>
      <c r="RGG352" s="50"/>
      <c r="RGH352" s="50"/>
      <c r="RGI352" s="50"/>
      <c r="RGJ352" s="50"/>
      <c r="RGK352" s="50"/>
      <c r="RGL352" s="50"/>
      <c r="RGM352" s="50"/>
      <c r="RGN352" s="50"/>
      <c r="RGO352" s="50"/>
      <c r="RGP352" s="50"/>
      <c r="RGQ352" s="50"/>
      <c r="RGR352" s="50"/>
      <c r="RGS352" s="50"/>
      <c r="RGT352" s="50"/>
      <c r="RGU352" s="50"/>
      <c r="RGV352" s="50"/>
      <c r="RGW352" s="50"/>
      <c r="RGX352" s="50"/>
      <c r="RGY352" s="50"/>
      <c r="RGZ352" s="50"/>
      <c r="RHA352" s="50"/>
      <c r="RHB352" s="50"/>
      <c r="RHC352" s="50"/>
      <c r="RHD352" s="50"/>
      <c r="RHE352" s="50"/>
      <c r="RHF352" s="50"/>
      <c r="RHG352" s="50"/>
      <c r="RHH352" s="50"/>
      <c r="RHI352" s="50"/>
      <c r="RHJ352" s="50"/>
      <c r="RHK352" s="50"/>
      <c r="RHL352" s="50"/>
      <c r="RHM352" s="50"/>
      <c r="RHN352" s="50"/>
      <c r="RHO352" s="50"/>
      <c r="RHP352" s="50"/>
      <c r="RHQ352" s="50"/>
      <c r="RHR352" s="50"/>
      <c r="RHS352" s="50"/>
      <c r="RHT352" s="50"/>
      <c r="RHU352" s="50"/>
      <c r="RHV352" s="50"/>
      <c r="RHW352" s="50"/>
      <c r="RHX352" s="50"/>
      <c r="RHY352" s="50"/>
      <c r="RHZ352" s="50"/>
      <c r="RIA352" s="50"/>
      <c r="RIB352" s="50"/>
      <c r="RIC352" s="50"/>
      <c r="RID352" s="50"/>
      <c r="RIE352" s="50"/>
      <c r="RIF352" s="50"/>
      <c r="RIG352" s="50"/>
      <c r="RIH352" s="50"/>
      <c r="RII352" s="50"/>
      <c r="RIJ352" s="50"/>
      <c r="RIK352" s="50"/>
      <c r="RIL352" s="50"/>
      <c r="RIM352" s="50"/>
      <c r="RIN352" s="50"/>
      <c r="RIO352" s="50"/>
      <c r="RIP352" s="50"/>
      <c r="RIQ352" s="50"/>
      <c r="RIR352" s="50"/>
      <c r="RIS352" s="50"/>
      <c r="RIT352" s="50"/>
      <c r="RIU352" s="50"/>
      <c r="RIV352" s="50"/>
      <c r="RIW352" s="50"/>
      <c r="RIX352" s="50"/>
      <c r="RIY352" s="50"/>
      <c r="RIZ352" s="50"/>
      <c r="RJA352" s="50"/>
      <c r="RJB352" s="50"/>
      <c r="RJC352" s="50"/>
      <c r="RJD352" s="50"/>
      <c r="RJE352" s="50"/>
      <c r="RJF352" s="50"/>
      <c r="RJG352" s="50"/>
      <c r="RJH352" s="50"/>
      <c r="RJI352" s="50"/>
      <c r="RJJ352" s="50"/>
      <c r="RJK352" s="50"/>
      <c r="RJL352" s="50"/>
      <c r="RJM352" s="50"/>
      <c r="RJN352" s="50"/>
      <c r="RJO352" s="50"/>
      <c r="RJP352" s="50"/>
      <c r="RJQ352" s="50"/>
      <c r="RJR352" s="50"/>
      <c r="RJS352" s="50"/>
      <c r="RJT352" s="50"/>
      <c r="RJU352" s="50"/>
      <c r="RJV352" s="50"/>
      <c r="RJW352" s="50"/>
      <c r="RJX352" s="50"/>
      <c r="RJY352" s="50"/>
      <c r="RJZ352" s="50"/>
      <c r="RKA352" s="50"/>
      <c r="RKB352" s="50"/>
      <c r="RKC352" s="50"/>
      <c r="RKD352" s="50"/>
      <c r="RKE352" s="50"/>
      <c r="RKF352" s="50"/>
      <c r="RKG352" s="50"/>
      <c r="RKH352" s="50"/>
      <c r="RKI352" s="50"/>
      <c r="RKJ352" s="50"/>
      <c r="RKK352" s="50"/>
      <c r="RKL352" s="50"/>
      <c r="RKM352" s="50"/>
      <c r="RKN352" s="50"/>
      <c r="RKO352" s="50"/>
      <c r="RKP352" s="50"/>
      <c r="RKQ352" s="50"/>
      <c r="RKR352" s="50"/>
      <c r="RKS352" s="50"/>
      <c r="RKT352" s="50"/>
      <c r="RKU352" s="50"/>
      <c r="RKV352" s="50"/>
      <c r="RKW352" s="50"/>
      <c r="RKX352" s="50"/>
      <c r="RKY352" s="50"/>
      <c r="RKZ352" s="50"/>
      <c r="RLA352" s="50"/>
      <c r="RLB352" s="50"/>
      <c r="RLC352" s="50"/>
      <c r="RLD352" s="50"/>
      <c r="RLE352" s="50"/>
      <c r="RLF352" s="50"/>
      <c r="RLG352" s="50"/>
      <c r="RLH352" s="50"/>
      <c r="RLI352" s="50"/>
      <c r="RLJ352" s="50"/>
      <c r="RLK352" s="50"/>
      <c r="RLL352" s="50"/>
      <c r="RLM352" s="50"/>
      <c r="RLN352" s="50"/>
      <c r="RLO352" s="50"/>
      <c r="RLP352" s="50"/>
      <c r="RLQ352" s="50"/>
      <c r="RLR352" s="50"/>
      <c r="RLS352" s="50"/>
      <c r="RLT352" s="50"/>
      <c r="RLU352" s="50"/>
      <c r="RLV352" s="50"/>
      <c r="RLW352" s="50"/>
      <c r="RLX352" s="50"/>
      <c r="RLY352" s="50"/>
      <c r="RLZ352" s="50"/>
      <c r="RMA352" s="50"/>
      <c r="RMB352" s="50"/>
      <c r="RMC352" s="50"/>
      <c r="RMD352" s="50"/>
      <c r="RME352" s="50"/>
      <c r="RMF352" s="50"/>
      <c r="RMG352" s="50"/>
      <c r="RMH352" s="50"/>
      <c r="RMI352" s="50"/>
      <c r="RMJ352" s="50"/>
      <c r="RMK352" s="50"/>
      <c r="RML352" s="50"/>
      <c r="RMM352" s="50"/>
      <c r="RMN352" s="50"/>
      <c r="RMO352" s="50"/>
      <c r="RMP352" s="50"/>
      <c r="RMQ352" s="50"/>
      <c r="RMR352" s="50"/>
      <c r="RMS352" s="50"/>
      <c r="RMT352" s="50"/>
      <c r="RMU352" s="50"/>
      <c r="RMV352" s="50"/>
      <c r="RMW352" s="50"/>
      <c r="RMX352" s="50"/>
      <c r="RMY352" s="50"/>
      <c r="RMZ352" s="50"/>
      <c r="RNA352" s="50"/>
      <c r="RNB352" s="50"/>
      <c r="RNC352" s="50"/>
      <c r="RND352" s="50"/>
      <c r="RNE352" s="50"/>
      <c r="RNF352" s="50"/>
      <c r="RNG352" s="50"/>
      <c r="RNH352" s="50"/>
      <c r="RNI352" s="50"/>
      <c r="RNJ352" s="50"/>
      <c r="RNK352" s="50"/>
      <c r="RNL352" s="50"/>
      <c r="RNM352" s="50"/>
      <c r="RNN352" s="50"/>
      <c r="RNO352" s="50"/>
      <c r="RNP352" s="50"/>
      <c r="RNQ352" s="50"/>
      <c r="RNR352" s="50"/>
      <c r="RNS352" s="50"/>
      <c r="RNT352" s="50"/>
      <c r="RNU352" s="50"/>
      <c r="RNV352" s="50"/>
      <c r="RNW352" s="50"/>
      <c r="RNX352" s="50"/>
      <c r="RNY352" s="50"/>
      <c r="RNZ352" s="50"/>
      <c r="ROA352" s="50"/>
      <c r="ROB352" s="50"/>
      <c r="ROC352" s="50"/>
      <c r="ROD352" s="50"/>
      <c r="ROE352" s="50"/>
      <c r="ROF352" s="50"/>
      <c r="ROG352" s="50"/>
      <c r="ROH352" s="50"/>
      <c r="ROI352" s="50"/>
      <c r="ROJ352" s="50"/>
      <c r="ROK352" s="50"/>
      <c r="ROL352" s="50"/>
      <c r="ROM352" s="50"/>
      <c r="RON352" s="50"/>
      <c r="ROO352" s="50"/>
      <c r="ROP352" s="50"/>
      <c r="ROQ352" s="50"/>
      <c r="ROR352" s="50"/>
      <c r="ROS352" s="50"/>
      <c r="ROT352" s="50"/>
      <c r="ROU352" s="50"/>
      <c r="ROV352" s="50"/>
      <c r="ROW352" s="50"/>
      <c r="ROX352" s="50"/>
      <c r="ROY352" s="50"/>
      <c r="ROZ352" s="50"/>
      <c r="RPA352" s="50"/>
      <c r="RPB352" s="50"/>
      <c r="RPC352" s="50"/>
      <c r="RPD352" s="50"/>
      <c r="RPE352" s="50"/>
      <c r="RPF352" s="50"/>
      <c r="RPG352" s="50"/>
      <c r="RPH352" s="50"/>
      <c r="RPI352" s="50"/>
      <c r="RPJ352" s="50"/>
      <c r="RPK352" s="50"/>
      <c r="RPL352" s="50"/>
      <c r="RPM352" s="50"/>
      <c r="RPN352" s="50"/>
      <c r="RPO352" s="50"/>
      <c r="RPP352" s="50"/>
      <c r="RPQ352" s="50"/>
      <c r="RPR352" s="50"/>
      <c r="RPS352" s="50"/>
      <c r="RPT352" s="50"/>
      <c r="RPU352" s="50"/>
      <c r="RPV352" s="50"/>
      <c r="RPW352" s="50"/>
      <c r="RPX352" s="50"/>
      <c r="RPY352" s="50"/>
      <c r="RPZ352" s="50"/>
      <c r="RQA352" s="50"/>
      <c r="RQB352" s="50"/>
      <c r="RQC352" s="50"/>
      <c r="RQD352" s="50"/>
      <c r="RQE352" s="50"/>
      <c r="RQF352" s="50"/>
      <c r="RQG352" s="50"/>
      <c r="RQH352" s="50"/>
      <c r="RQI352" s="50"/>
      <c r="RQJ352" s="50"/>
      <c r="RQK352" s="50"/>
      <c r="RQL352" s="50"/>
      <c r="RQM352" s="50"/>
      <c r="RQN352" s="50"/>
      <c r="RQO352" s="50"/>
      <c r="RQP352" s="50"/>
      <c r="RQQ352" s="50"/>
      <c r="RQR352" s="50"/>
      <c r="RQS352" s="50"/>
      <c r="RQT352" s="50"/>
      <c r="RQU352" s="50"/>
      <c r="RQV352" s="50"/>
      <c r="RQW352" s="50"/>
      <c r="RQX352" s="50"/>
      <c r="RQY352" s="50"/>
      <c r="RQZ352" s="50"/>
      <c r="RRA352" s="50"/>
      <c r="RRB352" s="50"/>
      <c r="RRC352" s="50"/>
      <c r="RRD352" s="50"/>
      <c r="RRE352" s="50"/>
      <c r="RRF352" s="50"/>
      <c r="RRG352" s="50"/>
      <c r="RRH352" s="50"/>
      <c r="RRI352" s="50"/>
      <c r="RRJ352" s="50"/>
      <c r="RRK352" s="50"/>
      <c r="RRL352" s="50"/>
      <c r="RRM352" s="50"/>
      <c r="RRN352" s="50"/>
      <c r="RRO352" s="50"/>
      <c r="RRP352" s="50"/>
      <c r="RRQ352" s="50"/>
      <c r="RRR352" s="50"/>
      <c r="RRS352" s="50"/>
      <c r="RRT352" s="50"/>
      <c r="RRU352" s="50"/>
      <c r="RRV352" s="50"/>
      <c r="RRW352" s="50"/>
      <c r="RRX352" s="50"/>
      <c r="RRY352" s="50"/>
      <c r="RRZ352" s="50"/>
      <c r="RSA352" s="50"/>
      <c r="RSB352" s="50"/>
      <c r="RSC352" s="50"/>
      <c r="RSD352" s="50"/>
      <c r="RSE352" s="50"/>
      <c r="RSF352" s="50"/>
      <c r="RSG352" s="50"/>
      <c r="RSH352" s="50"/>
      <c r="RSI352" s="50"/>
      <c r="RSJ352" s="50"/>
      <c r="RSK352" s="50"/>
      <c r="RSL352" s="50"/>
      <c r="RSM352" s="50"/>
      <c r="RSN352" s="50"/>
      <c r="RSO352" s="50"/>
      <c r="RSP352" s="50"/>
      <c r="RSQ352" s="50"/>
      <c r="RSR352" s="50"/>
      <c r="RSS352" s="50"/>
      <c r="RST352" s="50"/>
      <c r="RSU352" s="50"/>
      <c r="RSV352" s="50"/>
      <c r="RSW352" s="50"/>
      <c r="RSX352" s="50"/>
      <c r="RSY352" s="50"/>
      <c r="RSZ352" s="50"/>
      <c r="RTA352" s="50"/>
      <c r="RTB352" s="50"/>
      <c r="RTC352" s="50"/>
      <c r="RTD352" s="50"/>
      <c r="RTE352" s="50"/>
      <c r="RTF352" s="50"/>
      <c r="RTG352" s="50"/>
      <c r="RTH352" s="50"/>
      <c r="RTI352" s="50"/>
      <c r="RTJ352" s="50"/>
      <c r="RTK352" s="50"/>
      <c r="RTL352" s="50"/>
      <c r="RTM352" s="50"/>
      <c r="RTN352" s="50"/>
      <c r="RTO352" s="50"/>
      <c r="RTP352" s="50"/>
      <c r="RTQ352" s="50"/>
      <c r="RTR352" s="50"/>
      <c r="RTS352" s="50"/>
      <c r="RTT352" s="50"/>
      <c r="RTU352" s="50"/>
      <c r="RTV352" s="50"/>
      <c r="RTW352" s="50"/>
      <c r="RTX352" s="50"/>
      <c r="RTY352" s="50"/>
      <c r="RTZ352" s="50"/>
      <c r="RUA352" s="50"/>
      <c r="RUB352" s="50"/>
      <c r="RUC352" s="50"/>
      <c r="RUD352" s="50"/>
      <c r="RUE352" s="50"/>
      <c r="RUF352" s="50"/>
      <c r="RUG352" s="50"/>
      <c r="RUH352" s="50"/>
      <c r="RUI352" s="50"/>
      <c r="RUJ352" s="50"/>
      <c r="RUK352" s="50"/>
      <c r="RUL352" s="50"/>
      <c r="RUM352" s="50"/>
      <c r="RUN352" s="50"/>
      <c r="RUO352" s="50"/>
      <c r="RUP352" s="50"/>
      <c r="RUQ352" s="50"/>
      <c r="RUR352" s="50"/>
      <c r="RUS352" s="50"/>
      <c r="RUT352" s="50"/>
      <c r="RUU352" s="50"/>
      <c r="RUV352" s="50"/>
      <c r="RUW352" s="50"/>
      <c r="RUX352" s="50"/>
      <c r="RUY352" s="50"/>
      <c r="RUZ352" s="50"/>
      <c r="RVA352" s="50"/>
      <c r="RVB352" s="50"/>
      <c r="RVC352" s="50"/>
      <c r="RVD352" s="50"/>
      <c r="RVE352" s="50"/>
      <c r="RVF352" s="50"/>
      <c r="RVG352" s="50"/>
      <c r="RVH352" s="50"/>
      <c r="RVI352" s="50"/>
      <c r="RVJ352" s="50"/>
      <c r="RVK352" s="50"/>
      <c r="RVL352" s="50"/>
      <c r="RVM352" s="50"/>
      <c r="RVN352" s="50"/>
      <c r="RVO352" s="50"/>
      <c r="RVP352" s="50"/>
      <c r="RVQ352" s="50"/>
      <c r="RVR352" s="50"/>
      <c r="RVS352" s="50"/>
      <c r="RVT352" s="50"/>
      <c r="RVU352" s="50"/>
      <c r="RVV352" s="50"/>
      <c r="RVW352" s="50"/>
      <c r="RVX352" s="50"/>
      <c r="RVY352" s="50"/>
      <c r="RVZ352" s="50"/>
      <c r="RWA352" s="50"/>
      <c r="RWB352" s="50"/>
      <c r="RWC352" s="50"/>
      <c r="RWD352" s="50"/>
      <c r="RWE352" s="50"/>
      <c r="RWF352" s="50"/>
      <c r="RWG352" s="50"/>
      <c r="RWH352" s="50"/>
      <c r="RWI352" s="50"/>
      <c r="RWJ352" s="50"/>
      <c r="RWK352" s="50"/>
      <c r="RWL352" s="50"/>
      <c r="RWM352" s="50"/>
      <c r="RWN352" s="50"/>
      <c r="RWO352" s="50"/>
      <c r="RWP352" s="50"/>
      <c r="RWQ352" s="50"/>
      <c r="RWR352" s="50"/>
      <c r="RWS352" s="50"/>
      <c r="RWT352" s="50"/>
      <c r="RWU352" s="50"/>
      <c r="RWV352" s="50"/>
      <c r="RWW352" s="50"/>
      <c r="RWX352" s="50"/>
      <c r="RWY352" s="50"/>
      <c r="RWZ352" s="50"/>
      <c r="RXA352" s="50"/>
      <c r="RXB352" s="50"/>
      <c r="RXC352" s="50"/>
      <c r="RXD352" s="50"/>
      <c r="RXE352" s="50"/>
      <c r="RXF352" s="50"/>
      <c r="RXG352" s="50"/>
      <c r="RXH352" s="50"/>
      <c r="RXI352" s="50"/>
      <c r="RXJ352" s="50"/>
      <c r="RXK352" s="50"/>
      <c r="RXL352" s="50"/>
      <c r="RXM352" s="50"/>
      <c r="RXN352" s="50"/>
      <c r="RXO352" s="50"/>
      <c r="RXP352" s="50"/>
      <c r="RXQ352" s="50"/>
      <c r="RXR352" s="50"/>
      <c r="RXS352" s="50"/>
      <c r="RXT352" s="50"/>
      <c r="RXU352" s="50"/>
      <c r="RXV352" s="50"/>
      <c r="RXW352" s="50"/>
      <c r="RXX352" s="50"/>
      <c r="RXY352" s="50"/>
      <c r="RXZ352" s="50"/>
      <c r="RYA352" s="50"/>
      <c r="RYB352" s="50"/>
      <c r="RYC352" s="50"/>
      <c r="RYD352" s="50"/>
      <c r="RYE352" s="50"/>
      <c r="RYF352" s="50"/>
      <c r="RYG352" s="50"/>
      <c r="RYH352" s="50"/>
      <c r="RYI352" s="50"/>
      <c r="RYJ352" s="50"/>
      <c r="RYK352" s="50"/>
      <c r="RYL352" s="50"/>
      <c r="RYM352" s="50"/>
      <c r="RYN352" s="50"/>
      <c r="RYO352" s="50"/>
      <c r="RYP352" s="50"/>
      <c r="RYQ352" s="50"/>
      <c r="RYR352" s="50"/>
      <c r="RYS352" s="50"/>
      <c r="RYT352" s="50"/>
      <c r="RYU352" s="50"/>
      <c r="RYV352" s="50"/>
      <c r="RYW352" s="50"/>
      <c r="RYX352" s="50"/>
      <c r="RYY352" s="50"/>
      <c r="RYZ352" s="50"/>
      <c r="RZA352" s="50"/>
      <c r="RZB352" s="50"/>
      <c r="RZC352" s="50"/>
      <c r="RZD352" s="50"/>
      <c r="RZE352" s="50"/>
      <c r="RZF352" s="50"/>
      <c r="RZG352" s="50"/>
      <c r="RZH352" s="50"/>
      <c r="RZI352" s="50"/>
      <c r="RZJ352" s="50"/>
      <c r="RZK352" s="50"/>
      <c r="RZL352" s="50"/>
      <c r="RZM352" s="50"/>
      <c r="RZN352" s="50"/>
      <c r="RZO352" s="50"/>
      <c r="RZP352" s="50"/>
      <c r="RZQ352" s="50"/>
      <c r="RZR352" s="50"/>
      <c r="RZS352" s="50"/>
      <c r="RZT352" s="50"/>
      <c r="RZU352" s="50"/>
      <c r="RZV352" s="50"/>
      <c r="RZW352" s="50"/>
      <c r="RZX352" s="50"/>
      <c r="RZY352" s="50"/>
      <c r="RZZ352" s="50"/>
      <c r="SAA352" s="50"/>
      <c r="SAB352" s="50"/>
      <c r="SAC352" s="50"/>
      <c r="SAD352" s="50"/>
      <c r="SAE352" s="50"/>
      <c r="SAF352" s="50"/>
      <c r="SAG352" s="50"/>
      <c r="SAH352" s="50"/>
      <c r="SAI352" s="50"/>
      <c r="SAJ352" s="50"/>
      <c r="SAK352" s="50"/>
      <c r="SAL352" s="50"/>
      <c r="SAM352" s="50"/>
      <c r="SAN352" s="50"/>
      <c r="SAO352" s="50"/>
      <c r="SAP352" s="50"/>
      <c r="SAQ352" s="50"/>
      <c r="SAR352" s="50"/>
      <c r="SAS352" s="50"/>
      <c r="SAT352" s="50"/>
      <c r="SAU352" s="50"/>
      <c r="SAV352" s="50"/>
      <c r="SAW352" s="50"/>
      <c r="SAX352" s="50"/>
      <c r="SAY352" s="50"/>
      <c r="SAZ352" s="50"/>
      <c r="SBA352" s="50"/>
      <c r="SBB352" s="50"/>
      <c r="SBC352" s="50"/>
      <c r="SBD352" s="50"/>
      <c r="SBE352" s="50"/>
      <c r="SBF352" s="50"/>
      <c r="SBG352" s="50"/>
      <c r="SBH352" s="50"/>
      <c r="SBI352" s="50"/>
      <c r="SBJ352" s="50"/>
      <c r="SBK352" s="50"/>
      <c r="SBL352" s="50"/>
      <c r="SBM352" s="50"/>
      <c r="SBN352" s="50"/>
      <c r="SBO352" s="50"/>
      <c r="SBP352" s="50"/>
      <c r="SBQ352" s="50"/>
      <c r="SBR352" s="50"/>
      <c r="SBS352" s="50"/>
      <c r="SBT352" s="50"/>
      <c r="SBU352" s="50"/>
      <c r="SBV352" s="50"/>
      <c r="SBW352" s="50"/>
      <c r="SBX352" s="50"/>
      <c r="SBY352" s="50"/>
      <c r="SBZ352" s="50"/>
      <c r="SCA352" s="50"/>
      <c r="SCB352" s="50"/>
      <c r="SCC352" s="50"/>
      <c r="SCD352" s="50"/>
      <c r="SCE352" s="50"/>
      <c r="SCF352" s="50"/>
      <c r="SCG352" s="50"/>
      <c r="SCH352" s="50"/>
      <c r="SCI352" s="50"/>
      <c r="SCJ352" s="50"/>
      <c r="SCK352" s="50"/>
      <c r="SCL352" s="50"/>
      <c r="SCM352" s="50"/>
      <c r="SCN352" s="50"/>
      <c r="SCO352" s="50"/>
      <c r="SCP352" s="50"/>
      <c r="SCQ352" s="50"/>
      <c r="SCR352" s="50"/>
      <c r="SCS352" s="50"/>
      <c r="SCT352" s="50"/>
      <c r="SCU352" s="50"/>
      <c r="SCV352" s="50"/>
      <c r="SCW352" s="50"/>
      <c r="SCX352" s="50"/>
      <c r="SCY352" s="50"/>
      <c r="SCZ352" s="50"/>
      <c r="SDA352" s="50"/>
      <c r="SDB352" s="50"/>
      <c r="SDC352" s="50"/>
      <c r="SDD352" s="50"/>
      <c r="SDE352" s="50"/>
      <c r="SDF352" s="50"/>
      <c r="SDG352" s="50"/>
      <c r="SDH352" s="50"/>
      <c r="SDI352" s="50"/>
      <c r="SDJ352" s="50"/>
      <c r="SDK352" s="50"/>
      <c r="SDL352" s="50"/>
      <c r="SDM352" s="50"/>
      <c r="SDN352" s="50"/>
      <c r="SDO352" s="50"/>
      <c r="SDP352" s="50"/>
      <c r="SDQ352" s="50"/>
      <c r="SDR352" s="50"/>
      <c r="SDS352" s="50"/>
      <c r="SDT352" s="50"/>
      <c r="SDU352" s="50"/>
      <c r="SDV352" s="50"/>
      <c r="SDW352" s="50"/>
      <c r="SDX352" s="50"/>
      <c r="SDY352" s="50"/>
      <c r="SDZ352" s="50"/>
      <c r="SEA352" s="50"/>
      <c r="SEB352" s="50"/>
      <c r="SEC352" s="50"/>
      <c r="SED352" s="50"/>
      <c r="SEE352" s="50"/>
      <c r="SEF352" s="50"/>
      <c r="SEG352" s="50"/>
      <c r="SEH352" s="50"/>
      <c r="SEI352" s="50"/>
      <c r="SEJ352" s="50"/>
      <c r="SEK352" s="50"/>
      <c r="SEL352" s="50"/>
      <c r="SEM352" s="50"/>
      <c r="SEN352" s="50"/>
      <c r="SEO352" s="50"/>
      <c r="SEP352" s="50"/>
      <c r="SEQ352" s="50"/>
      <c r="SER352" s="50"/>
      <c r="SES352" s="50"/>
      <c r="SET352" s="50"/>
      <c r="SEU352" s="50"/>
      <c r="SEV352" s="50"/>
      <c r="SEW352" s="50"/>
      <c r="SEX352" s="50"/>
      <c r="SEY352" s="50"/>
      <c r="SEZ352" s="50"/>
      <c r="SFA352" s="50"/>
      <c r="SFB352" s="50"/>
      <c r="SFC352" s="50"/>
      <c r="SFD352" s="50"/>
      <c r="SFE352" s="50"/>
      <c r="SFF352" s="50"/>
      <c r="SFG352" s="50"/>
      <c r="SFH352" s="50"/>
      <c r="SFI352" s="50"/>
      <c r="SFJ352" s="50"/>
      <c r="SFK352" s="50"/>
      <c r="SFL352" s="50"/>
      <c r="SFM352" s="50"/>
      <c r="SFN352" s="50"/>
      <c r="SFO352" s="50"/>
      <c r="SFP352" s="50"/>
      <c r="SFQ352" s="50"/>
      <c r="SFR352" s="50"/>
      <c r="SFS352" s="50"/>
      <c r="SFT352" s="50"/>
      <c r="SFU352" s="50"/>
      <c r="SFV352" s="50"/>
      <c r="SFW352" s="50"/>
      <c r="SFX352" s="50"/>
      <c r="SFY352" s="50"/>
      <c r="SFZ352" s="50"/>
      <c r="SGA352" s="50"/>
      <c r="SGB352" s="50"/>
      <c r="SGC352" s="50"/>
      <c r="SGD352" s="50"/>
      <c r="SGE352" s="50"/>
      <c r="SGF352" s="50"/>
      <c r="SGG352" s="50"/>
      <c r="SGH352" s="50"/>
      <c r="SGI352" s="50"/>
      <c r="SGJ352" s="50"/>
      <c r="SGK352" s="50"/>
      <c r="SGL352" s="50"/>
      <c r="SGM352" s="50"/>
      <c r="SGN352" s="50"/>
      <c r="SGO352" s="50"/>
      <c r="SGP352" s="50"/>
      <c r="SGQ352" s="50"/>
      <c r="SGR352" s="50"/>
      <c r="SGS352" s="50"/>
      <c r="SGT352" s="50"/>
      <c r="SGU352" s="50"/>
      <c r="SGV352" s="50"/>
      <c r="SGW352" s="50"/>
      <c r="SGX352" s="50"/>
      <c r="SGY352" s="50"/>
      <c r="SGZ352" s="50"/>
      <c r="SHA352" s="50"/>
      <c r="SHB352" s="50"/>
      <c r="SHC352" s="50"/>
      <c r="SHD352" s="50"/>
      <c r="SHE352" s="50"/>
      <c r="SHF352" s="50"/>
      <c r="SHG352" s="50"/>
      <c r="SHH352" s="50"/>
      <c r="SHI352" s="50"/>
      <c r="SHJ352" s="50"/>
      <c r="SHK352" s="50"/>
      <c r="SHL352" s="50"/>
      <c r="SHM352" s="50"/>
      <c r="SHN352" s="50"/>
      <c r="SHO352" s="50"/>
      <c r="SHP352" s="50"/>
      <c r="SHQ352" s="50"/>
      <c r="SHR352" s="50"/>
      <c r="SHS352" s="50"/>
      <c r="SHT352" s="50"/>
      <c r="SHU352" s="50"/>
      <c r="SHV352" s="50"/>
      <c r="SHW352" s="50"/>
      <c r="SHX352" s="50"/>
      <c r="SHY352" s="50"/>
      <c r="SHZ352" s="50"/>
      <c r="SIA352" s="50"/>
      <c r="SIB352" s="50"/>
      <c r="SIC352" s="50"/>
      <c r="SID352" s="50"/>
      <c r="SIE352" s="50"/>
      <c r="SIF352" s="50"/>
      <c r="SIG352" s="50"/>
      <c r="SIH352" s="50"/>
      <c r="SII352" s="50"/>
      <c r="SIJ352" s="50"/>
      <c r="SIK352" s="50"/>
      <c r="SIL352" s="50"/>
      <c r="SIM352" s="50"/>
      <c r="SIN352" s="50"/>
      <c r="SIO352" s="50"/>
      <c r="SIP352" s="50"/>
      <c r="SIQ352" s="50"/>
      <c r="SIR352" s="50"/>
      <c r="SIS352" s="50"/>
      <c r="SIT352" s="50"/>
      <c r="SIU352" s="50"/>
      <c r="SIV352" s="50"/>
      <c r="SIW352" s="50"/>
      <c r="SIX352" s="50"/>
      <c r="SIY352" s="50"/>
      <c r="SIZ352" s="50"/>
      <c r="SJA352" s="50"/>
      <c r="SJB352" s="50"/>
      <c r="SJC352" s="50"/>
      <c r="SJD352" s="50"/>
      <c r="SJE352" s="50"/>
      <c r="SJF352" s="50"/>
      <c r="SJG352" s="50"/>
      <c r="SJH352" s="50"/>
      <c r="SJI352" s="50"/>
      <c r="SJJ352" s="50"/>
      <c r="SJK352" s="50"/>
      <c r="SJL352" s="50"/>
      <c r="SJM352" s="50"/>
      <c r="SJN352" s="50"/>
      <c r="SJO352" s="50"/>
      <c r="SJP352" s="50"/>
      <c r="SJQ352" s="50"/>
      <c r="SJR352" s="50"/>
      <c r="SJS352" s="50"/>
      <c r="SJT352" s="50"/>
      <c r="SJU352" s="50"/>
      <c r="SJV352" s="50"/>
      <c r="SJW352" s="50"/>
      <c r="SJX352" s="50"/>
      <c r="SJY352" s="50"/>
      <c r="SJZ352" s="50"/>
      <c r="SKA352" s="50"/>
      <c r="SKB352" s="50"/>
      <c r="SKC352" s="50"/>
      <c r="SKD352" s="50"/>
      <c r="SKE352" s="50"/>
      <c r="SKF352" s="50"/>
      <c r="SKG352" s="50"/>
      <c r="SKH352" s="50"/>
      <c r="SKI352" s="50"/>
      <c r="SKJ352" s="50"/>
      <c r="SKK352" s="50"/>
      <c r="SKL352" s="50"/>
      <c r="SKM352" s="50"/>
      <c r="SKN352" s="50"/>
      <c r="SKO352" s="50"/>
      <c r="SKP352" s="50"/>
      <c r="SKQ352" s="50"/>
      <c r="SKR352" s="50"/>
      <c r="SKS352" s="50"/>
      <c r="SKT352" s="50"/>
      <c r="SKU352" s="50"/>
      <c r="SKV352" s="50"/>
      <c r="SKW352" s="50"/>
      <c r="SKX352" s="50"/>
      <c r="SKY352" s="50"/>
      <c r="SKZ352" s="50"/>
      <c r="SLA352" s="50"/>
      <c r="SLB352" s="50"/>
      <c r="SLC352" s="50"/>
      <c r="SLD352" s="50"/>
      <c r="SLE352" s="50"/>
      <c r="SLF352" s="50"/>
      <c r="SLG352" s="50"/>
      <c r="SLH352" s="50"/>
      <c r="SLI352" s="50"/>
      <c r="SLJ352" s="50"/>
      <c r="SLK352" s="50"/>
      <c r="SLL352" s="50"/>
      <c r="SLM352" s="50"/>
      <c r="SLN352" s="50"/>
      <c r="SLO352" s="50"/>
      <c r="SLP352" s="50"/>
      <c r="SLQ352" s="50"/>
      <c r="SLR352" s="50"/>
      <c r="SLS352" s="50"/>
      <c r="SLT352" s="50"/>
      <c r="SLU352" s="50"/>
      <c r="SLV352" s="50"/>
      <c r="SLW352" s="50"/>
      <c r="SLX352" s="50"/>
      <c r="SLY352" s="50"/>
      <c r="SLZ352" s="50"/>
      <c r="SMA352" s="50"/>
      <c r="SMB352" s="50"/>
      <c r="SMC352" s="50"/>
      <c r="SMD352" s="50"/>
      <c r="SME352" s="50"/>
      <c r="SMF352" s="50"/>
      <c r="SMG352" s="50"/>
      <c r="SMH352" s="50"/>
      <c r="SMI352" s="50"/>
      <c r="SMJ352" s="50"/>
      <c r="SMK352" s="50"/>
      <c r="SML352" s="50"/>
      <c r="SMM352" s="50"/>
      <c r="SMN352" s="50"/>
      <c r="SMO352" s="50"/>
      <c r="SMP352" s="50"/>
      <c r="SMQ352" s="50"/>
      <c r="SMR352" s="50"/>
      <c r="SMS352" s="50"/>
      <c r="SMT352" s="50"/>
      <c r="SMU352" s="50"/>
      <c r="SMV352" s="50"/>
      <c r="SMW352" s="50"/>
      <c r="SMX352" s="50"/>
      <c r="SMY352" s="50"/>
      <c r="SMZ352" s="50"/>
      <c r="SNA352" s="50"/>
      <c r="SNB352" s="50"/>
      <c r="SNC352" s="50"/>
      <c r="SND352" s="50"/>
      <c r="SNE352" s="50"/>
      <c r="SNF352" s="50"/>
      <c r="SNG352" s="50"/>
      <c r="SNH352" s="50"/>
      <c r="SNI352" s="50"/>
      <c r="SNJ352" s="50"/>
      <c r="SNK352" s="50"/>
      <c r="SNL352" s="50"/>
      <c r="SNM352" s="50"/>
      <c r="SNN352" s="50"/>
      <c r="SNO352" s="50"/>
      <c r="SNP352" s="50"/>
      <c r="SNQ352" s="50"/>
      <c r="SNR352" s="50"/>
      <c r="SNS352" s="50"/>
      <c r="SNT352" s="50"/>
      <c r="SNU352" s="50"/>
      <c r="SNV352" s="50"/>
      <c r="SNW352" s="50"/>
      <c r="SNX352" s="50"/>
      <c r="SNY352" s="50"/>
      <c r="SNZ352" s="50"/>
      <c r="SOA352" s="50"/>
      <c r="SOB352" s="50"/>
      <c r="SOC352" s="50"/>
      <c r="SOD352" s="50"/>
      <c r="SOE352" s="50"/>
      <c r="SOF352" s="50"/>
      <c r="SOG352" s="50"/>
      <c r="SOH352" s="50"/>
      <c r="SOI352" s="50"/>
      <c r="SOJ352" s="50"/>
      <c r="SOK352" s="50"/>
      <c r="SOL352" s="50"/>
      <c r="SOM352" s="50"/>
      <c r="SON352" s="50"/>
      <c r="SOO352" s="50"/>
      <c r="SOP352" s="50"/>
      <c r="SOQ352" s="50"/>
      <c r="SOR352" s="50"/>
      <c r="SOS352" s="50"/>
      <c r="SOT352" s="50"/>
      <c r="SOU352" s="50"/>
      <c r="SOV352" s="50"/>
      <c r="SOW352" s="50"/>
      <c r="SOX352" s="50"/>
      <c r="SOY352" s="50"/>
      <c r="SOZ352" s="50"/>
      <c r="SPA352" s="50"/>
      <c r="SPB352" s="50"/>
      <c r="SPC352" s="50"/>
      <c r="SPD352" s="50"/>
      <c r="SPE352" s="50"/>
      <c r="SPF352" s="50"/>
      <c r="SPG352" s="50"/>
      <c r="SPH352" s="50"/>
      <c r="SPI352" s="50"/>
      <c r="SPJ352" s="50"/>
      <c r="SPK352" s="50"/>
      <c r="SPL352" s="50"/>
      <c r="SPM352" s="50"/>
      <c r="SPN352" s="50"/>
      <c r="SPO352" s="50"/>
      <c r="SPP352" s="50"/>
      <c r="SPQ352" s="50"/>
      <c r="SPR352" s="50"/>
      <c r="SPS352" s="50"/>
      <c r="SPT352" s="50"/>
      <c r="SPU352" s="50"/>
      <c r="SPV352" s="50"/>
      <c r="SPW352" s="50"/>
      <c r="SPX352" s="50"/>
      <c r="SPY352" s="50"/>
      <c r="SPZ352" s="50"/>
      <c r="SQA352" s="50"/>
      <c r="SQB352" s="50"/>
      <c r="SQC352" s="50"/>
      <c r="SQD352" s="50"/>
      <c r="SQE352" s="50"/>
      <c r="SQF352" s="50"/>
      <c r="SQG352" s="50"/>
      <c r="SQH352" s="50"/>
      <c r="SQI352" s="50"/>
      <c r="SQJ352" s="50"/>
      <c r="SQK352" s="50"/>
      <c r="SQL352" s="50"/>
      <c r="SQM352" s="50"/>
      <c r="SQN352" s="50"/>
      <c r="SQO352" s="50"/>
      <c r="SQP352" s="50"/>
      <c r="SQQ352" s="50"/>
      <c r="SQR352" s="50"/>
      <c r="SQS352" s="50"/>
      <c r="SQT352" s="50"/>
      <c r="SQU352" s="50"/>
      <c r="SQV352" s="50"/>
      <c r="SQW352" s="50"/>
      <c r="SQX352" s="50"/>
      <c r="SQY352" s="50"/>
      <c r="SQZ352" s="50"/>
      <c r="SRA352" s="50"/>
      <c r="SRB352" s="50"/>
      <c r="SRC352" s="50"/>
      <c r="SRD352" s="50"/>
      <c r="SRE352" s="50"/>
      <c r="SRF352" s="50"/>
      <c r="SRG352" s="50"/>
      <c r="SRH352" s="50"/>
      <c r="SRI352" s="50"/>
      <c r="SRJ352" s="50"/>
      <c r="SRK352" s="50"/>
      <c r="SRL352" s="50"/>
      <c r="SRM352" s="50"/>
      <c r="SRN352" s="50"/>
      <c r="SRO352" s="50"/>
      <c r="SRP352" s="50"/>
      <c r="SRQ352" s="50"/>
      <c r="SRR352" s="50"/>
      <c r="SRS352" s="50"/>
      <c r="SRT352" s="50"/>
      <c r="SRU352" s="50"/>
      <c r="SRV352" s="50"/>
      <c r="SRW352" s="50"/>
      <c r="SRX352" s="50"/>
      <c r="SRY352" s="50"/>
      <c r="SRZ352" s="50"/>
      <c r="SSA352" s="50"/>
      <c r="SSB352" s="50"/>
      <c r="SSC352" s="50"/>
      <c r="SSD352" s="50"/>
      <c r="SSE352" s="50"/>
      <c r="SSF352" s="50"/>
      <c r="SSG352" s="50"/>
      <c r="SSH352" s="50"/>
      <c r="SSI352" s="50"/>
      <c r="SSJ352" s="50"/>
      <c r="SSK352" s="50"/>
      <c r="SSL352" s="50"/>
      <c r="SSM352" s="50"/>
      <c r="SSN352" s="50"/>
      <c r="SSO352" s="50"/>
      <c r="SSP352" s="50"/>
      <c r="SSQ352" s="50"/>
      <c r="SSR352" s="50"/>
      <c r="SSS352" s="50"/>
      <c r="SST352" s="50"/>
      <c r="SSU352" s="50"/>
      <c r="SSV352" s="50"/>
      <c r="SSW352" s="50"/>
      <c r="SSX352" s="50"/>
      <c r="SSY352" s="50"/>
      <c r="SSZ352" s="50"/>
      <c r="STA352" s="50"/>
      <c r="STB352" s="50"/>
      <c r="STC352" s="50"/>
      <c r="STD352" s="50"/>
      <c r="STE352" s="50"/>
      <c r="STF352" s="50"/>
      <c r="STG352" s="50"/>
      <c r="STH352" s="50"/>
      <c r="STI352" s="50"/>
      <c r="STJ352" s="50"/>
      <c r="STK352" s="50"/>
      <c r="STL352" s="50"/>
      <c r="STM352" s="50"/>
      <c r="STN352" s="50"/>
      <c r="STO352" s="50"/>
      <c r="STP352" s="50"/>
      <c r="STQ352" s="50"/>
      <c r="STR352" s="50"/>
      <c r="STS352" s="50"/>
      <c r="STT352" s="50"/>
      <c r="STU352" s="50"/>
      <c r="STV352" s="50"/>
      <c r="STW352" s="50"/>
      <c r="STX352" s="50"/>
      <c r="STY352" s="50"/>
      <c r="STZ352" s="50"/>
      <c r="SUA352" s="50"/>
      <c r="SUB352" s="50"/>
      <c r="SUC352" s="50"/>
      <c r="SUD352" s="50"/>
      <c r="SUE352" s="50"/>
      <c r="SUF352" s="50"/>
      <c r="SUG352" s="50"/>
      <c r="SUH352" s="50"/>
      <c r="SUI352" s="50"/>
      <c r="SUJ352" s="50"/>
      <c r="SUK352" s="50"/>
      <c r="SUL352" s="50"/>
      <c r="SUM352" s="50"/>
      <c r="SUN352" s="50"/>
      <c r="SUO352" s="50"/>
      <c r="SUP352" s="50"/>
      <c r="SUQ352" s="50"/>
      <c r="SUR352" s="50"/>
      <c r="SUS352" s="50"/>
      <c r="SUT352" s="50"/>
      <c r="SUU352" s="50"/>
      <c r="SUV352" s="50"/>
      <c r="SUW352" s="50"/>
      <c r="SUX352" s="50"/>
      <c r="SUY352" s="50"/>
      <c r="SUZ352" s="50"/>
      <c r="SVA352" s="50"/>
      <c r="SVB352" s="50"/>
      <c r="SVC352" s="50"/>
      <c r="SVD352" s="50"/>
      <c r="SVE352" s="50"/>
      <c r="SVF352" s="50"/>
      <c r="SVG352" s="50"/>
      <c r="SVH352" s="50"/>
      <c r="SVI352" s="50"/>
      <c r="SVJ352" s="50"/>
      <c r="SVK352" s="50"/>
      <c r="SVL352" s="50"/>
      <c r="SVM352" s="50"/>
      <c r="SVN352" s="50"/>
      <c r="SVO352" s="50"/>
      <c r="SVP352" s="50"/>
      <c r="SVQ352" s="50"/>
      <c r="SVR352" s="50"/>
      <c r="SVS352" s="50"/>
      <c r="SVT352" s="50"/>
      <c r="SVU352" s="50"/>
      <c r="SVV352" s="50"/>
      <c r="SVW352" s="50"/>
      <c r="SVX352" s="50"/>
      <c r="SVY352" s="50"/>
      <c r="SVZ352" s="50"/>
      <c r="SWA352" s="50"/>
      <c r="SWB352" s="50"/>
      <c r="SWC352" s="50"/>
      <c r="SWD352" s="50"/>
      <c r="SWE352" s="50"/>
      <c r="SWF352" s="50"/>
      <c r="SWG352" s="50"/>
      <c r="SWH352" s="50"/>
      <c r="SWI352" s="50"/>
      <c r="SWJ352" s="50"/>
      <c r="SWK352" s="50"/>
      <c r="SWL352" s="50"/>
      <c r="SWM352" s="50"/>
      <c r="SWN352" s="50"/>
      <c r="SWO352" s="50"/>
      <c r="SWP352" s="50"/>
      <c r="SWQ352" s="50"/>
      <c r="SWR352" s="50"/>
      <c r="SWS352" s="50"/>
      <c r="SWT352" s="50"/>
      <c r="SWU352" s="50"/>
      <c r="SWV352" s="50"/>
      <c r="SWW352" s="50"/>
      <c r="SWX352" s="50"/>
      <c r="SWY352" s="50"/>
      <c r="SWZ352" s="50"/>
      <c r="SXA352" s="50"/>
      <c r="SXB352" s="50"/>
      <c r="SXC352" s="50"/>
      <c r="SXD352" s="50"/>
      <c r="SXE352" s="50"/>
      <c r="SXF352" s="50"/>
      <c r="SXG352" s="50"/>
      <c r="SXH352" s="50"/>
      <c r="SXI352" s="50"/>
      <c r="SXJ352" s="50"/>
      <c r="SXK352" s="50"/>
      <c r="SXL352" s="50"/>
      <c r="SXM352" s="50"/>
      <c r="SXN352" s="50"/>
      <c r="SXO352" s="50"/>
      <c r="SXP352" s="50"/>
      <c r="SXQ352" s="50"/>
      <c r="SXR352" s="50"/>
      <c r="SXS352" s="50"/>
      <c r="SXT352" s="50"/>
      <c r="SXU352" s="50"/>
      <c r="SXV352" s="50"/>
      <c r="SXW352" s="50"/>
      <c r="SXX352" s="50"/>
      <c r="SXY352" s="50"/>
      <c r="SXZ352" s="50"/>
      <c r="SYA352" s="50"/>
      <c r="SYB352" s="50"/>
      <c r="SYC352" s="50"/>
      <c r="SYD352" s="50"/>
      <c r="SYE352" s="50"/>
      <c r="SYF352" s="50"/>
      <c r="SYG352" s="50"/>
      <c r="SYH352" s="50"/>
      <c r="SYI352" s="50"/>
      <c r="SYJ352" s="50"/>
      <c r="SYK352" s="50"/>
      <c r="SYL352" s="50"/>
      <c r="SYM352" s="50"/>
      <c r="SYN352" s="50"/>
      <c r="SYO352" s="50"/>
      <c r="SYP352" s="50"/>
      <c r="SYQ352" s="50"/>
      <c r="SYR352" s="50"/>
      <c r="SYS352" s="50"/>
      <c r="SYT352" s="50"/>
      <c r="SYU352" s="50"/>
      <c r="SYV352" s="50"/>
      <c r="SYW352" s="50"/>
      <c r="SYX352" s="50"/>
      <c r="SYY352" s="50"/>
      <c r="SYZ352" s="50"/>
      <c r="SZA352" s="50"/>
      <c r="SZB352" s="50"/>
      <c r="SZC352" s="50"/>
      <c r="SZD352" s="50"/>
      <c r="SZE352" s="50"/>
      <c r="SZF352" s="50"/>
      <c r="SZG352" s="50"/>
      <c r="SZH352" s="50"/>
      <c r="SZI352" s="50"/>
      <c r="SZJ352" s="50"/>
      <c r="SZK352" s="50"/>
      <c r="SZL352" s="50"/>
      <c r="SZM352" s="50"/>
      <c r="SZN352" s="50"/>
      <c r="SZO352" s="50"/>
      <c r="SZP352" s="50"/>
      <c r="SZQ352" s="50"/>
      <c r="SZR352" s="50"/>
      <c r="SZS352" s="50"/>
      <c r="SZT352" s="50"/>
      <c r="SZU352" s="50"/>
      <c r="SZV352" s="50"/>
      <c r="SZW352" s="50"/>
      <c r="SZX352" s="50"/>
      <c r="SZY352" s="50"/>
      <c r="SZZ352" s="50"/>
      <c r="TAA352" s="50"/>
      <c r="TAB352" s="50"/>
      <c r="TAC352" s="50"/>
      <c r="TAD352" s="50"/>
      <c r="TAE352" s="50"/>
      <c r="TAF352" s="50"/>
      <c r="TAG352" s="50"/>
      <c r="TAH352" s="50"/>
      <c r="TAI352" s="50"/>
      <c r="TAJ352" s="50"/>
      <c r="TAK352" s="50"/>
      <c r="TAL352" s="50"/>
      <c r="TAM352" s="50"/>
      <c r="TAN352" s="50"/>
      <c r="TAO352" s="50"/>
      <c r="TAP352" s="50"/>
      <c r="TAQ352" s="50"/>
      <c r="TAR352" s="50"/>
      <c r="TAS352" s="50"/>
      <c r="TAT352" s="50"/>
      <c r="TAU352" s="50"/>
      <c r="TAV352" s="50"/>
      <c r="TAW352" s="50"/>
      <c r="TAX352" s="50"/>
      <c r="TAY352" s="50"/>
      <c r="TAZ352" s="50"/>
      <c r="TBA352" s="50"/>
      <c r="TBB352" s="50"/>
      <c r="TBC352" s="50"/>
      <c r="TBD352" s="50"/>
      <c r="TBE352" s="50"/>
      <c r="TBF352" s="50"/>
      <c r="TBG352" s="50"/>
      <c r="TBH352" s="50"/>
      <c r="TBI352" s="50"/>
      <c r="TBJ352" s="50"/>
      <c r="TBK352" s="50"/>
      <c r="TBL352" s="50"/>
      <c r="TBM352" s="50"/>
      <c r="TBN352" s="50"/>
      <c r="TBO352" s="50"/>
      <c r="TBP352" s="50"/>
      <c r="TBQ352" s="50"/>
      <c r="TBR352" s="50"/>
      <c r="TBS352" s="50"/>
      <c r="TBT352" s="50"/>
      <c r="TBU352" s="50"/>
      <c r="TBV352" s="50"/>
      <c r="TBW352" s="50"/>
      <c r="TBX352" s="50"/>
      <c r="TBY352" s="50"/>
      <c r="TBZ352" s="50"/>
      <c r="TCA352" s="50"/>
      <c r="TCB352" s="50"/>
      <c r="TCC352" s="50"/>
      <c r="TCD352" s="50"/>
      <c r="TCE352" s="50"/>
      <c r="TCF352" s="50"/>
      <c r="TCG352" s="50"/>
      <c r="TCH352" s="50"/>
      <c r="TCI352" s="50"/>
      <c r="TCJ352" s="50"/>
      <c r="TCK352" s="50"/>
      <c r="TCL352" s="50"/>
      <c r="TCM352" s="50"/>
      <c r="TCN352" s="50"/>
      <c r="TCO352" s="50"/>
      <c r="TCP352" s="50"/>
      <c r="TCQ352" s="50"/>
      <c r="TCR352" s="50"/>
      <c r="TCS352" s="50"/>
      <c r="TCT352" s="50"/>
      <c r="TCU352" s="50"/>
      <c r="TCV352" s="50"/>
      <c r="TCW352" s="50"/>
      <c r="TCX352" s="50"/>
      <c r="TCY352" s="50"/>
      <c r="TCZ352" s="50"/>
      <c r="TDA352" s="50"/>
      <c r="TDB352" s="50"/>
      <c r="TDC352" s="50"/>
      <c r="TDD352" s="50"/>
      <c r="TDE352" s="50"/>
      <c r="TDF352" s="50"/>
      <c r="TDG352" s="50"/>
      <c r="TDH352" s="50"/>
      <c r="TDI352" s="50"/>
      <c r="TDJ352" s="50"/>
      <c r="TDK352" s="50"/>
      <c r="TDL352" s="50"/>
      <c r="TDM352" s="50"/>
      <c r="TDN352" s="50"/>
      <c r="TDO352" s="50"/>
      <c r="TDP352" s="50"/>
      <c r="TDQ352" s="50"/>
      <c r="TDR352" s="50"/>
      <c r="TDS352" s="50"/>
      <c r="TDT352" s="50"/>
      <c r="TDU352" s="50"/>
      <c r="TDV352" s="50"/>
      <c r="TDW352" s="50"/>
      <c r="TDX352" s="50"/>
      <c r="TDY352" s="50"/>
      <c r="TDZ352" s="50"/>
      <c r="TEA352" s="50"/>
      <c r="TEB352" s="50"/>
      <c r="TEC352" s="50"/>
      <c r="TED352" s="50"/>
      <c r="TEE352" s="50"/>
      <c r="TEF352" s="50"/>
      <c r="TEG352" s="50"/>
      <c r="TEH352" s="50"/>
      <c r="TEI352" s="50"/>
      <c r="TEJ352" s="50"/>
      <c r="TEK352" s="50"/>
      <c r="TEL352" s="50"/>
      <c r="TEM352" s="50"/>
      <c r="TEN352" s="50"/>
      <c r="TEO352" s="50"/>
      <c r="TEP352" s="50"/>
      <c r="TEQ352" s="50"/>
      <c r="TER352" s="50"/>
      <c r="TES352" s="50"/>
      <c r="TET352" s="50"/>
      <c r="TEU352" s="50"/>
      <c r="TEV352" s="50"/>
      <c r="TEW352" s="50"/>
      <c r="TEX352" s="50"/>
      <c r="TEY352" s="50"/>
      <c r="TEZ352" s="50"/>
      <c r="TFA352" s="50"/>
      <c r="TFB352" s="50"/>
      <c r="TFC352" s="50"/>
      <c r="TFD352" s="50"/>
      <c r="TFE352" s="50"/>
      <c r="TFF352" s="50"/>
      <c r="TFG352" s="50"/>
      <c r="TFH352" s="50"/>
      <c r="TFI352" s="50"/>
      <c r="TFJ352" s="50"/>
      <c r="TFK352" s="50"/>
      <c r="TFL352" s="50"/>
      <c r="TFM352" s="50"/>
      <c r="TFN352" s="50"/>
      <c r="TFO352" s="50"/>
      <c r="TFP352" s="50"/>
      <c r="TFQ352" s="50"/>
      <c r="TFR352" s="50"/>
      <c r="TFS352" s="50"/>
      <c r="TFT352" s="50"/>
      <c r="TFU352" s="50"/>
      <c r="TFV352" s="50"/>
      <c r="TFW352" s="50"/>
      <c r="TFX352" s="50"/>
      <c r="TFY352" s="50"/>
      <c r="TFZ352" s="50"/>
      <c r="TGA352" s="50"/>
      <c r="TGB352" s="50"/>
      <c r="TGC352" s="50"/>
      <c r="TGD352" s="50"/>
      <c r="TGE352" s="50"/>
      <c r="TGF352" s="50"/>
      <c r="TGG352" s="50"/>
      <c r="TGH352" s="50"/>
      <c r="TGI352" s="50"/>
      <c r="TGJ352" s="50"/>
      <c r="TGK352" s="50"/>
      <c r="TGL352" s="50"/>
      <c r="TGM352" s="50"/>
      <c r="TGN352" s="50"/>
      <c r="TGO352" s="50"/>
      <c r="TGP352" s="50"/>
      <c r="TGQ352" s="50"/>
      <c r="TGR352" s="50"/>
      <c r="TGS352" s="50"/>
      <c r="TGT352" s="50"/>
      <c r="TGU352" s="50"/>
      <c r="TGV352" s="50"/>
      <c r="TGW352" s="50"/>
      <c r="TGX352" s="50"/>
      <c r="TGY352" s="50"/>
      <c r="TGZ352" s="50"/>
      <c r="THA352" s="50"/>
      <c r="THB352" s="50"/>
      <c r="THC352" s="50"/>
      <c r="THD352" s="50"/>
      <c r="THE352" s="50"/>
      <c r="THF352" s="50"/>
      <c r="THG352" s="50"/>
      <c r="THH352" s="50"/>
      <c r="THI352" s="50"/>
      <c r="THJ352" s="50"/>
      <c r="THK352" s="50"/>
      <c r="THL352" s="50"/>
      <c r="THM352" s="50"/>
      <c r="THN352" s="50"/>
      <c r="THO352" s="50"/>
      <c r="THP352" s="50"/>
      <c r="THQ352" s="50"/>
      <c r="THR352" s="50"/>
      <c r="THS352" s="50"/>
      <c r="THT352" s="50"/>
      <c r="THU352" s="50"/>
      <c r="THV352" s="50"/>
      <c r="THW352" s="50"/>
      <c r="THX352" s="50"/>
      <c r="THY352" s="50"/>
      <c r="THZ352" s="50"/>
      <c r="TIA352" s="50"/>
      <c r="TIB352" s="50"/>
      <c r="TIC352" s="50"/>
      <c r="TID352" s="50"/>
      <c r="TIE352" s="50"/>
      <c r="TIF352" s="50"/>
      <c r="TIG352" s="50"/>
      <c r="TIH352" s="50"/>
      <c r="TII352" s="50"/>
      <c r="TIJ352" s="50"/>
      <c r="TIK352" s="50"/>
      <c r="TIL352" s="50"/>
      <c r="TIM352" s="50"/>
      <c r="TIN352" s="50"/>
      <c r="TIO352" s="50"/>
      <c r="TIP352" s="50"/>
      <c r="TIQ352" s="50"/>
      <c r="TIR352" s="50"/>
      <c r="TIS352" s="50"/>
      <c r="TIT352" s="50"/>
      <c r="TIU352" s="50"/>
      <c r="TIV352" s="50"/>
      <c r="TIW352" s="50"/>
      <c r="TIX352" s="50"/>
      <c r="TIY352" s="50"/>
      <c r="TIZ352" s="50"/>
      <c r="TJA352" s="50"/>
      <c r="TJB352" s="50"/>
      <c r="TJC352" s="50"/>
      <c r="TJD352" s="50"/>
      <c r="TJE352" s="50"/>
      <c r="TJF352" s="50"/>
      <c r="TJG352" s="50"/>
      <c r="TJH352" s="50"/>
      <c r="TJI352" s="50"/>
      <c r="TJJ352" s="50"/>
      <c r="TJK352" s="50"/>
      <c r="TJL352" s="50"/>
      <c r="TJM352" s="50"/>
      <c r="TJN352" s="50"/>
      <c r="TJO352" s="50"/>
      <c r="TJP352" s="50"/>
      <c r="TJQ352" s="50"/>
      <c r="TJR352" s="50"/>
      <c r="TJS352" s="50"/>
      <c r="TJT352" s="50"/>
      <c r="TJU352" s="50"/>
      <c r="TJV352" s="50"/>
      <c r="TJW352" s="50"/>
      <c r="TJX352" s="50"/>
      <c r="TJY352" s="50"/>
      <c r="TJZ352" s="50"/>
      <c r="TKA352" s="50"/>
      <c r="TKB352" s="50"/>
      <c r="TKC352" s="50"/>
      <c r="TKD352" s="50"/>
      <c r="TKE352" s="50"/>
      <c r="TKF352" s="50"/>
      <c r="TKG352" s="50"/>
      <c r="TKH352" s="50"/>
      <c r="TKI352" s="50"/>
      <c r="TKJ352" s="50"/>
      <c r="TKK352" s="50"/>
      <c r="TKL352" s="50"/>
      <c r="TKM352" s="50"/>
      <c r="TKN352" s="50"/>
      <c r="TKO352" s="50"/>
      <c r="TKP352" s="50"/>
      <c r="TKQ352" s="50"/>
      <c r="TKR352" s="50"/>
      <c r="TKS352" s="50"/>
      <c r="TKT352" s="50"/>
      <c r="TKU352" s="50"/>
      <c r="TKV352" s="50"/>
      <c r="TKW352" s="50"/>
      <c r="TKX352" s="50"/>
      <c r="TKY352" s="50"/>
      <c r="TKZ352" s="50"/>
      <c r="TLA352" s="50"/>
      <c r="TLB352" s="50"/>
      <c r="TLC352" s="50"/>
      <c r="TLD352" s="50"/>
      <c r="TLE352" s="50"/>
      <c r="TLF352" s="50"/>
      <c r="TLG352" s="50"/>
      <c r="TLH352" s="50"/>
      <c r="TLI352" s="50"/>
      <c r="TLJ352" s="50"/>
      <c r="TLK352" s="50"/>
      <c r="TLL352" s="50"/>
      <c r="TLM352" s="50"/>
      <c r="TLN352" s="50"/>
      <c r="TLO352" s="50"/>
      <c r="TLP352" s="50"/>
      <c r="TLQ352" s="50"/>
      <c r="TLR352" s="50"/>
      <c r="TLS352" s="50"/>
      <c r="TLT352" s="50"/>
      <c r="TLU352" s="50"/>
      <c r="TLV352" s="50"/>
      <c r="TLW352" s="50"/>
      <c r="TLX352" s="50"/>
      <c r="TLY352" s="50"/>
      <c r="TLZ352" s="50"/>
      <c r="TMA352" s="50"/>
      <c r="TMB352" s="50"/>
      <c r="TMC352" s="50"/>
      <c r="TMD352" s="50"/>
      <c r="TME352" s="50"/>
      <c r="TMF352" s="50"/>
      <c r="TMG352" s="50"/>
      <c r="TMH352" s="50"/>
      <c r="TMI352" s="50"/>
      <c r="TMJ352" s="50"/>
      <c r="TMK352" s="50"/>
      <c r="TML352" s="50"/>
      <c r="TMM352" s="50"/>
      <c r="TMN352" s="50"/>
      <c r="TMO352" s="50"/>
      <c r="TMP352" s="50"/>
      <c r="TMQ352" s="50"/>
      <c r="TMR352" s="50"/>
      <c r="TMS352" s="50"/>
      <c r="TMT352" s="50"/>
      <c r="TMU352" s="50"/>
      <c r="TMV352" s="50"/>
      <c r="TMW352" s="50"/>
      <c r="TMX352" s="50"/>
      <c r="TMY352" s="50"/>
      <c r="TMZ352" s="50"/>
      <c r="TNA352" s="50"/>
      <c r="TNB352" s="50"/>
      <c r="TNC352" s="50"/>
      <c r="TND352" s="50"/>
      <c r="TNE352" s="50"/>
      <c r="TNF352" s="50"/>
      <c r="TNG352" s="50"/>
      <c r="TNH352" s="50"/>
      <c r="TNI352" s="50"/>
      <c r="TNJ352" s="50"/>
      <c r="TNK352" s="50"/>
      <c r="TNL352" s="50"/>
      <c r="TNM352" s="50"/>
      <c r="TNN352" s="50"/>
      <c r="TNO352" s="50"/>
      <c r="TNP352" s="50"/>
      <c r="TNQ352" s="50"/>
      <c r="TNR352" s="50"/>
      <c r="TNS352" s="50"/>
      <c r="TNT352" s="50"/>
      <c r="TNU352" s="50"/>
      <c r="TNV352" s="50"/>
      <c r="TNW352" s="50"/>
      <c r="TNX352" s="50"/>
      <c r="TNY352" s="50"/>
      <c r="TNZ352" s="50"/>
      <c r="TOA352" s="50"/>
      <c r="TOB352" s="50"/>
      <c r="TOC352" s="50"/>
      <c r="TOD352" s="50"/>
      <c r="TOE352" s="50"/>
      <c r="TOF352" s="50"/>
      <c r="TOG352" s="50"/>
      <c r="TOH352" s="50"/>
      <c r="TOI352" s="50"/>
      <c r="TOJ352" s="50"/>
      <c r="TOK352" s="50"/>
      <c r="TOL352" s="50"/>
      <c r="TOM352" s="50"/>
      <c r="TON352" s="50"/>
      <c r="TOO352" s="50"/>
      <c r="TOP352" s="50"/>
      <c r="TOQ352" s="50"/>
      <c r="TOR352" s="50"/>
      <c r="TOS352" s="50"/>
      <c r="TOT352" s="50"/>
      <c r="TOU352" s="50"/>
      <c r="TOV352" s="50"/>
      <c r="TOW352" s="50"/>
      <c r="TOX352" s="50"/>
      <c r="TOY352" s="50"/>
      <c r="TOZ352" s="50"/>
      <c r="TPA352" s="50"/>
      <c r="TPB352" s="50"/>
      <c r="TPC352" s="50"/>
      <c r="TPD352" s="50"/>
      <c r="TPE352" s="50"/>
      <c r="TPF352" s="50"/>
      <c r="TPG352" s="50"/>
      <c r="TPH352" s="50"/>
      <c r="TPI352" s="50"/>
      <c r="TPJ352" s="50"/>
      <c r="TPK352" s="50"/>
      <c r="TPL352" s="50"/>
      <c r="TPM352" s="50"/>
      <c r="TPN352" s="50"/>
      <c r="TPO352" s="50"/>
      <c r="TPP352" s="50"/>
      <c r="TPQ352" s="50"/>
      <c r="TPR352" s="50"/>
      <c r="TPS352" s="50"/>
      <c r="TPT352" s="50"/>
      <c r="TPU352" s="50"/>
      <c r="TPV352" s="50"/>
      <c r="TPW352" s="50"/>
      <c r="TPX352" s="50"/>
      <c r="TPY352" s="50"/>
      <c r="TPZ352" s="50"/>
      <c r="TQA352" s="50"/>
      <c r="TQB352" s="50"/>
      <c r="TQC352" s="50"/>
      <c r="TQD352" s="50"/>
      <c r="TQE352" s="50"/>
      <c r="TQF352" s="50"/>
      <c r="TQG352" s="50"/>
      <c r="TQH352" s="50"/>
      <c r="TQI352" s="50"/>
      <c r="TQJ352" s="50"/>
      <c r="TQK352" s="50"/>
      <c r="TQL352" s="50"/>
      <c r="TQM352" s="50"/>
      <c r="TQN352" s="50"/>
      <c r="TQO352" s="50"/>
      <c r="TQP352" s="50"/>
      <c r="TQQ352" s="50"/>
      <c r="TQR352" s="50"/>
      <c r="TQS352" s="50"/>
      <c r="TQT352" s="50"/>
      <c r="TQU352" s="50"/>
      <c r="TQV352" s="50"/>
      <c r="TQW352" s="50"/>
      <c r="TQX352" s="50"/>
      <c r="TQY352" s="50"/>
      <c r="TQZ352" s="50"/>
      <c r="TRA352" s="50"/>
      <c r="TRB352" s="50"/>
      <c r="TRC352" s="50"/>
      <c r="TRD352" s="50"/>
      <c r="TRE352" s="50"/>
      <c r="TRF352" s="50"/>
      <c r="TRG352" s="50"/>
      <c r="TRH352" s="50"/>
      <c r="TRI352" s="50"/>
      <c r="TRJ352" s="50"/>
      <c r="TRK352" s="50"/>
      <c r="TRL352" s="50"/>
      <c r="TRM352" s="50"/>
      <c r="TRN352" s="50"/>
      <c r="TRO352" s="50"/>
      <c r="TRP352" s="50"/>
      <c r="TRQ352" s="50"/>
      <c r="TRR352" s="50"/>
      <c r="TRS352" s="50"/>
      <c r="TRT352" s="50"/>
      <c r="TRU352" s="50"/>
      <c r="TRV352" s="50"/>
      <c r="TRW352" s="50"/>
      <c r="TRX352" s="50"/>
      <c r="TRY352" s="50"/>
      <c r="TRZ352" s="50"/>
      <c r="TSA352" s="50"/>
      <c r="TSB352" s="50"/>
      <c r="TSC352" s="50"/>
      <c r="TSD352" s="50"/>
      <c r="TSE352" s="50"/>
      <c r="TSF352" s="50"/>
      <c r="TSG352" s="50"/>
      <c r="TSH352" s="50"/>
      <c r="TSI352" s="50"/>
      <c r="TSJ352" s="50"/>
      <c r="TSK352" s="50"/>
      <c r="TSL352" s="50"/>
      <c r="TSM352" s="50"/>
      <c r="TSN352" s="50"/>
      <c r="TSO352" s="50"/>
      <c r="TSP352" s="50"/>
      <c r="TSQ352" s="50"/>
      <c r="TSR352" s="50"/>
      <c r="TSS352" s="50"/>
      <c r="TST352" s="50"/>
      <c r="TSU352" s="50"/>
      <c r="TSV352" s="50"/>
      <c r="TSW352" s="50"/>
      <c r="TSX352" s="50"/>
      <c r="TSY352" s="50"/>
      <c r="TSZ352" s="50"/>
      <c r="TTA352" s="50"/>
      <c r="TTB352" s="50"/>
      <c r="TTC352" s="50"/>
      <c r="TTD352" s="50"/>
      <c r="TTE352" s="50"/>
      <c r="TTF352" s="50"/>
      <c r="TTG352" s="50"/>
      <c r="TTH352" s="50"/>
      <c r="TTI352" s="50"/>
      <c r="TTJ352" s="50"/>
      <c r="TTK352" s="50"/>
      <c r="TTL352" s="50"/>
      <c r="TTM352" s="50"/>
      <c r="TTN352" s="50"/>
      <c r="TTO352" s="50"/>
      <c r="TTP352" s="50"/>
      <c r="TTQ352" s="50"/>
      <c r="TTR352" s="50"/>
      <c r="TTS352" s="50"/>
      <c r="TTT352" s="50"/>
      <c r="TTU352" s="50"/>
      <c r="TTV352" s="50"/>
      <c r="TTW352" s="50"/>
      <c r="TTX352" s="50"/>
      <c r="TTY352" s="50"/>
      <c r="TTZ352" s="50"/>
      <c r="TUA352" s="50"/>
      <c r="TUB352" s="50"/>
      <c r="TUC352" s="50"/>
      <c r="TUD352" s="50"/>
      <c r="TUE352" s="50"/>
      <c r="TUF352" s="50"/>
      <c r="TUG352" s="50"/>
      <c r="TUH352" s="50"/>
      <c r="TUI352" s="50"/>
      <c r="TUJ352" s="50"/>
      <c r="TUK352" s="50"/>
      <c r="TUL352" s="50"/>
      <c r="TUM352" s="50"/>
      <c r="TUN352" s="50"/>
      <c r="TUO352" s="50"/>
      <c r="TUP352" s="50"/>
      <c r="TUQ352" s="50"/>
      <c r="TUR352" s="50"/>
      <c r="TUS352" s="50"/>
      <c r="TUT352" s="50"/>
      <c r="TUU352" s="50"/>
      <c r="TUV352" s="50"/>
      <c r="TUW352" s="50"/>
      <c r="TUX352" s="50"/>
      <c r="TUY352" s="50"/>
      <c r="TUZ352" s="50"/>
      <c r="TVA352" s="50"/>
      <c r="TVB352" s="50"/>
      <c r="TVC352" s="50"/>
      <c r="TVD352" s="50"/>
      <c r="TVE352" s="50"/>
      <c r="TVF352" s="50"/>
      <c r="TVG352" s="50"/>
      <c r="TVH352" s="50"/>
      <c r="TVI352" s="50"/>
      <c r="TVJ352" s="50"/>
      <c r="TVK352" s="50"/>
      <c r="TVL352" s="50"/>
      <c r="TVM352" s="50"/>
      <c r="TVN352" s="50"/>
      <c r="TVO352" s="50"/>
      <c r="TVP352" s="50"/>
      <c r="TVQ352" s="50"/>
      <c r="TVR352" s="50"/>
      <c r="TVS352" s="50"/>
      <c r="TVT352" s="50"/>
      <c r="TVU352" s="50"/>
      <c r="TVV352" s="50"/>
      <c r="TVW352" s="50"/>
      <c r="TVX352" s="50"/>
      <c r="TVY352" s="50"/>
      <c r="TVZ352" s="50"/>
      <c r="TWA352" s="50"/>
      <c r="TWB352" s="50"/>
      <c r="TWC352" s="50"/>
      <c r="TWD352" s="50"/>
      <c r="TWE352" s="50"/>
      <c r="TWF352" s="50"/>
      <c r="TWG352" s="50"/>
      <c r="TWH352" s="50"/>
      <c r="TWI352" s="50"/>
      <c r="TWJ352" s="50"/>
      <c r="TWK352" s="50"/>
      <c r="TWL352" s="50"/>
      <c r="TWM352" s="50"/>
      <c r="TWN352" s="50"/>
      <c r="TWO352" s="50"/>
      <c r="TWP352" s="50"/>
      <c r="TWQ352" s="50"/>
      <c r="TWR352" s="50"/>
      <c r="TWS352" s="50"/>
      <c r="TWT352" s="50"/>
      <c r="TWU352" s="50"/>
      <c r="TWV352" s="50"/>
      <c r="TWW352" s="50"/>
      <c r="TWX352" s="50"/>
      <c r="TWY352" s="50"/>
      <c r="TWZ352" s="50"/>
      <c r="TXA352" s="50"/>
      <c r="TXB352" s="50"/>
      <c r="TXC352" s="50"/>
      <c r="TXD352" s="50"/>
      <c r="TXE352" s="50"/>
      <c r="TXF352" s="50"/>
      <c r="TXG352" s="50"/>
      <c r="TXH352" s="50"/>
      <c r="TXI352" s="50"/>
      <c r="TXJ352" s="50"/>
      <c r="TXK352" s="50"/>
      <c r="TXL352" s="50"/>
      <c r="TXM352" s="50"/>
      <c r="TXN352" s="50"/>
      <c r="TXO352" s="50"/>
      <c r="TXP352" s="50"/>
      <c r="TXQ352" s="50"/>
      <c r="TXR352" s="50"/>
      <c r="TXS352" s="50"/>
      <c r="TXT352" s="50"/>
      <c r="TXU352" s="50"/>
      <c r="TXV352" s="50"/>
      <c r="TXW352" s="50"/>
      <c r="TXX352" s="50"/>
      <c r="TXY352" s="50"/>
      <c r="TXZ352" s="50"/>
      <c r="TYA352" s="50"/>
      <c r="TYB352" s="50"/>
      <c r="TYC352" s="50"/>
      <c r="TYD352" s="50"/>
      <c r="TYE352" s="50"/>
      <c r="TYF352" s="50"/>
      <c r="TYG352" s="50"/>
      <c r="TYH352" s="50"/>
      <c r="TYI352" s="50"/>
      <c r="TYJ352" s="50"/>
      <c r="TYK352" s="50"/>
      <c r="TYL352" s="50"/>
      <c r="TYM352" s="50"/>
      <c r="TYN352" s="50"/>
      <c r="TYO352" s="50"/>
      <c r="TYP352" s="50"/>
      <c r="TYQ352" s="50"/>
      <c r="TYR352" s="50"/>
      <c r="TYS352" s="50"/>
      <c r="TYT352" s="50"/>
      <c r="TYU352" s="50"/>
      <c r="TYV352" s="50"/>
      <c r="TYW352" s="50"/>
      <c r="TYX352" s="50"/>
      <c r="TYY352" s="50"/>
      <c r="TYZ352" s="50"/>
      <c r="TZA352" s="50"/>
      <c r="TZB352" s="50"/>
      <c r="TZC352" s="50"/>
      <c r="TZD352" s="50"/>
      <c r="TZE352" s="50"/>
      <c r="TZF352" s="50"/>
      <c r="TZG352" s="50"/>
      <c r="TZH352" s="50"/>
      <c r="TZI352" s="50"/>
      <c r="TZJ352" s="50"/>
      <c r="TZK352" s="50"/>
      <c r="TZL352" s="50"/>
      <c r="TZM352" s="50"/>
      <c r="TZN352" s="50"/>
      <c r="TZO352" s="50"/>
      <c r="TZP352" s="50"/>
      <c r="TZQ352" s="50"/>
      <c r="TZR352" s="50"/>
      <c r="TZS352" s="50"/>
      <c r="TZT352" s="50"/>
      <c r="TZU352" s="50"/>
      <c r="TZV352" s="50"/>
      <c r="TZW352" s="50"/>
      <c r="TZX352" s="50"/>
      <c r="TZY352" s="50"/>
      <c r="TZZ352" s="50"/>
      <c r="UAA352" s="50"/>
      <c r="UAB352" s="50"/>
      <c r="UAC352" s="50"/>
      <c r="UAD352" s="50"/>
      <c r="UAE352" s="50"/>
      <c r="UAF352" s="50"/>
      <c r="UAG352" s="50"/>
      <c r="UAH352" s="50"/>
      <c r="UAI352" s="50"/>
      <c r="UAJ352" s="50"/>
      <c r="UAK352" s="50"/>
      <c r="UAL352" s="50"/>
      <c r="UAM352" s="50"/>
      <c r="UAN352" s="50"/>
      <c r="UAO352" s="50"/>
      <c r="UAP352" s="50"/>
      <c r="UAQ352" s="50"/>
      <c r="UAR352" s="50"/>
      <c r="UAS352" s="50"/>
      <c r="UAT352" s="50"/>
      <c r="UAU352" s="50"/>
      <c r="UAV352" s="50"/>
      <c r="UAW352" s="50"/>
      <c r="UAX352" s="50"/>
      <c r="UAY352" s="50"/>
      <c r="UAZ352" s="50"/>
      <c r="UBA352" s="50"/>
      <c r="UBB352" s="50"/>
      <c r="UBC352" s="50"/>
      <c r="UBD352" s="50"/>
      <c r="UBE352" s="50"/>
      <c r="UBF352" s="50"/>
      <c r="UBG352" s="50"/>
      <c r="UBH352" s="50"/>
      <c r="UBI352" s="50"/>
      <c r="UBJ352" s="50"/>
      <c r="UBK352" s="50"/>
      <c r="UBL352" s="50"/>
      <c r="UBM352" s="50"/>
      <c r="UBN352" s="50"/>
      <c r="UBO352" s="50"/>
      <c r="UBP352" s="50"/>
      <c r="UBQ352" s="50"/>
      <c r="UBR352" s="50"/>
      <c r="UBS352" s="50"/>
      <c r="UBT352" s="50"/>
      <c r="UBU352" s="50"/>
      <c r="UBV352" s="50"/>
      <c r="UBW352" s="50"/>
      <c r="UBX352" s="50"/>
      <c r="UBY352" s="50"/>
      <c r="UBZ352" s="50"/>
      <c r="UCA352" s="50"/>
      <c r="UCB352" s="50"/>
      <c r="UCC352" s="50"/>
      <c r="UCD352" s="50"/>
      <c r="UCE352" s="50"/>
      <c r="UCF352" s="50"/>
      <c r="UCG352" s="50"/>
      <c r="UCH352" s="50"/>
      <c r="UCI352" s="50"/>
      <c r="UCJ352" s="50"/>
      <c r="UCK352" s="50"/>
      <c r="UCL352" s="50"/>
      <c r="UCM352" s="50"/>
      <c r="UCN352" s="50"/>
      <c r="UCO352" s="50"/>
      <c r="UCP352" s="50"/>
      <c r="UCQ352" s="50"/>
      <c r="UCR352" s="50"/>
      <c r="UCS352" s="50"/>
      <c r="UCT352" s="50"/>
      <c r="UCU352" s="50"/>
      <c r="UCV352" s="50"/>
      <c r="UCW352" s="50"/>
      <c r="UCX352" s="50"/>
      <c r="UCY352" s="50"/>
      <c r="UCZ352" s="50"/>
      <c r="UDA352" s="50"/>
      <c r="UDB352" s="50"/>
      <c r="UDC352" s="50"/>
      <c r="UDD352" s="50"/>
      <c r="UDE352" s="50"/>
      <c r="UDF352" s="50"/>
      <c r="UDG352" s="50"/>
      <c r="UDH352" s="50"/>
      <c r="UDI352" s="50"/>
      <c r="UDJ352" s="50"/>
      <c r="UDK352" s="50"/>
      <c r="UDL352" s="50"/>
      <c r="UDM352" s="50"/>
      <c r="UDN352" s="50"/>
      <c r="UDO352" s="50"/>
      <c r="UDP352" s="50"/>
      <c r="UDQ352" s="50"/>
      <c r="UDR352" s="50"/>
      <c r="UDS352" s="50"/>
      <c r="UDT352" s="50"/>
      <c r="UDU352" s="50"/>
      <c r="UDV352" s="50"/>
      <c r="UDW352" s="50"/>
      <c r="UDX352" s="50"/>
      <c r="UDY352" s="50"/>
      <c r="UDZ352" s="50"/>
      <c r="UEA352" s="50"/>
      <c r="UEB352" s="50"/>
      <c r="UEC352" s="50"/>
      <c r="UED352" s="50"/>
      <c r="UEE352" s="50"/>
      <c r="UEF352" s="50"/>
      <c r="UEG352" s="50"/>
      <c r="UEH352" s="50"/>
      <c r="UEI352" s="50"/>
      <c r="UEJ352" s="50"/>
      <c r="UEK352" s="50"/>
      <c r="UEL352" s="50"/>
      <c r="UEM352" s="50"/>
      <c r="UEN352" s="50"/>
      <c r="UEO352" s="50"/>
      <c r="UEP352" s="50"/>
      <c r="UEQ352" s="50"/>
      <c r="UER352" s="50"/>
      <c r="UES352" s="50"/>
      <c r="UET352" s="50"/>
      <c r="UEU352" s="50"/>
      <c r="UEV352" s="50"/>
      <c r="UEW352" s="50"/>
      <c r="UEX352" s="50"/>
      <c r="UEY352" s="50"/>
      <c r="UEZ352" s="50"/>
      <c r="UFA352" s="50"/>
      <c r="UFB352" s="50"/>
      <c r="UFC352" s="50"/>
      <c r="UFD352" s="50"/>
      <c r="UFE352" s="50"/>
      <c r="UFF352" s="50"/>
      <c r="UFG352" s="50"/>
      <c r="UFH352" s="50"/>
      <c r="UFI352" s="50"/>
      <c r="UFJ352" s="50"/>
      <c r="UFK352" s="50"/>
      <c r="UFL352" s="50"/>
      <c r="UFM352" s="50"/>
      <c r="UFN352" s="50"/>
      <c r="UFO352" s="50"/>
      <c r="UFP352" s="50"/>
      <c r="UFQ352" s="50"/>
      <c r="UFR352" s="50"/>
      <c r="UFS352" s="50"/>
      <c r="UFT352" s="50"/>
      <c r="UFU352" s="50"/>
      <c r="UFV352" s="50"/>
      <c r="UFW352" s="50"/>
      <c r="UFX352" s="50"/>
      <c r="UFY352" s="50"/>
      <c r="UFZ352" s="50"/>
      <c r="UGA352" s="50"/>
      <c r="UGB352" s="50"/>
      <c r="UGC352" s="50"/>
      <c r="UGD352" s="50"/>
      <c r="UGE352" s="50"/>
      <c r="UGF352" s="50"/>
      <c r="UGG352" s="50"/>
      <c r="UGH352" s="50"/>
      <c r="UGI352" s="50"/>
      <c r="UGJ352" s="50"/>
      <c r="UGK352" s="50"/>
      <c r="UGL352" s="50"/>
      <c r="UGM352" s="50"/>
      <c r="UGN352" s="50"/>
      <c r="UGO352" s="50"/>
      <c r="UGP352" s="50"/>
      <c r="UGQ352" s="50"/>
      <c r="UGR352" s="50"/>
      <c r="UGS352" s="50"/>
      <c r="UGT352" s="50"/>
      <c r="UGU352" s="50"/>
      <c r="UGV352" s="50"/>
      <c r="UGW352" s="50"/>
      <c r="UGX352" s="50"/>
      <c r="UGY352" s="50"/>
      <c r="UGZ352" s="50"/>
      <c r="UHA352" s="50"/>
      <c r="UHB352" s="50"/>
      <c r="UHC352" s="50"/>
      <c r="UHD352" s="50"/>
      <c r="UHE352" s="50"/>
      <c r="UHF352" s="50"/>
      <c r="UHG352" s="50"/>
      <c r="UHH352" s="50"/>
      <c r="UHI352" s="50"/>
      <c r="UHJ352" s="50"/>
      <c r="UHK352" s="50"/>
      <c r="UHL352" s="50"/>
      <c r="UHM352" s="50"/>
      <c r="UHN352" s="50"/>
      <c r="UHO352" s="50"/>
      <c r="UHP352" s="50"/>
      <c r="UHQ352" s="50"/>
      <c r="UHR352" s="50"/>
      <c r="UHS352" s="50"/>
      <c r="UHT352" s="50"/>
      <c r="UHU352" s="50"/>
      <c r="UHV352" s="50"/>
      <c r="UHW352" s="50"/>
      <c r="UHX352" s="50"/>
      <c r="UHY352" s="50"/>
      <c r="UHZ352" s="50"/>
      <c r="UIA352" s="50"/>
      <c r="UIB352" s="50"/>
      <c r="UIC352" s="50"/>
      <c r="UID352" s="50"/>
      <c r="UIE352" s="50"/>
      <c r="UIF352" s="50"/>
      <c r="UIG352" s="50"/>
      <c r="UIH352" s="50"/>
      <c r="UII352" s="50"/>
      <c r="UIJ352" s="50"/>
      <c r="UIK352" s="50"/>
      <c r="UIL352" s="50"/>
      <c r="UIM352" s="50"/>
      <c r="UIN352" s="50"/>
      <c r="UIO352" s="50"/>
      <c r="UIP352" s="50"/>
      <c r="UIQ352" s="50"/>
      <c r="UIR352" s="50"/>
      <c r="UIS352" s="50"/>
      <c r="UIT352" s="50"/>
      <c r="UIU352" s="50"/>
      <c r="UIV352" s="50"/>
      <c r="UIW352" s="50"/>
      <c r="UIX352" s="50"/>
      <c r="UIY352" s="50"/>
      <c r="UIZ352" s="50"/>
      <c r="UJA352" s="50"/>
      <c r="UJB352" s="50"/>
      <c r="UJC352" s="50"/>
      <c r="UJD352" s="50"/>
      <c r="UJE352" s="50"/>
      <c r="UJF352" s="50"/>
      <c r="UJG352" s="50"/>
      <c r="UJH352" s="50"/>
      <c r="UJI352" s="50"/>
      <c r="UJJ352" s="50"/>
      <c r="UJK352" s="50"/>
      <c r="UJL352" s="50"/>
      <c r="UJM352" s="50"/>
      <c r="UJN352" s="50"/>
      <c r="UJO352" s="50"/>
      <c r="UJP352" s="50"/>
      <c r="UJQ352" s="50"/>
      <c r="UJR352" s="50"/>
      <c r="UJS352" s="50"/>
      <c r="UJT352" s="50"/>
      <c r="UJU352" s="50"/>
      <c r="UJV352" s="50"/>
      <c r="UJW352" s="50"/>
      <c r="UJX352" s="50"/>
      <c r="UJY352" s="50"/>
      <c r="UJZ352" s="50"/>
      <c r="UKA352" s="50"/>
      <c r="UKB352" s="50"/>
      <c r="UKC352" s="50"/>
      <c r="UKD352" s="50"/>
      <c r="UKE352" s="50"/>
      <c r="UKF352" s="50"/>
      <c r="UKG352" s="50"/>
      <c r="UKH352" s="50"/>
      <c r="UKI352" s="50"/>
      <c r="UKJ352" s="50"/>
      <c r="UKK352" s="50"/>
      <c r="UKL352" s="50"/>
      <c r="UKM352" s="50"/>
      <c r="UKN352" s="50"/>
      <c r="UKO352" s="50"/>
      <c r="UKP352" s="50"/>
      <c r="UKQ352" s="50"/>
      <c r="UKR352" s="50"/>
      <c r="UKS352" s="50"/>
      <c r="UKT352" s="50"/>
      <c r="UKU352" s="50"/>
      <c r="UKV352" s="50"/>
      <c r="UKW352" s="50"/>
      <c r="UKX352" s="50"/>
      <c r="UKY352" s="50"/>
      <c r="UKZ352" s="50"/>
      <c r="ULA352" s="50"/>
      <c r="ULB352" s="50"/>
      <c r="ULC352" s="50"/>
      <c r="ULD352" s="50"/>
      <c r="ULE352" s="50"/>
      <c r="ULF352" s="50"/>
      <c r="ULG352" s="50"/>
      <c r="ULH352" s="50"/>
      <c r="ULI352" s="50"/>
      <c r="ULJ352" s="50"/>
      <c r="ULK352" s="50"/>
      <c r="ULL352" s="50"/>
      <c r="ULM352" s="50"/>
      <c r="ULN352" s="50"/>
      <c r="ULO352" s="50"/>
      <c r="ULP352" s="50"/>
      <c r="ULQ352" s="50"/>
      <c r="ULR352" s="50"/>
      <c r="ULS352" s="50"/>
      <c r="ULT352" s="50"/>
      <c r="ULU352" s="50"/>
      <c r="ULV352" s="50"/>
      <c r="ULW352" s="50"/>
      <c r="ULX352" s="50"/>
      <c r="ULY352" s="50"/>
      <c r="ULZ352" s="50"/>
      <c r="UMA352" s="50"/>
      <c r="UMB352" s="50"/>
      <c r="UMC352" s="50"/>
      <c r="UMD352" s="50"/>
      <c r="UME352" s="50"/>
      <c r="UMF352" s="50"/>
      <c r="UMG352" s="50"/>
      <c r="UMH352" s="50"/>
      <c r="UMI352" s="50"/>
      <c r="UMJ352" s="50"/>
      <c r="UMK352" s="50"/>
      <c r="UML352" s="50"/>
      <c r="UMM352" s="50"/>
      <c r="UMN352" s="50"/>
      <c r="UMO352" s="50"/>
      <c r="UMP352" s="50"/>
      <c r="UMQ352" s="50"/>
      <c r="UMR352" s="50"/>
      <c r="UMS352" s="50"/>
      <c r="UMT352" s="50"/>
      <c r="UMU352" s="50"/>
      <c r="UMV352" s="50"/>
      <c r="UMW352" s="50"/>
      <c r="UMX352" s="50"/>
      <c r="UMY352" s="50"/>
      <c r="UMZ352" s="50"/>
      <c r="UNA352" s="50"/>
      <c r="UNB352" s="50"/>
      <c r="UNC352" s="50"/>
      <c r="UND352" s="50"/>
      <c r="UNE352" s="50"/>
      <c r="UNF352" s="50"/>
      <c r="UNG352" s="50"/>
      <c r="UNH352" s="50"/>
      <c r="UNI352" s="50"/>
      <c r="UNJ352" s="50"/>
      <c r="UNK352" s="50"/>
      <c r="UNL352" s="50"/>
      <c r="UNM352" s="50"/>
      <c r="UNN352" s="50"/>
      <c r="UNO352" s="50"/>
      <c r="UNP352" s="50"/>
      <c r="UNQ352" s="50"/>
      <c r="UNR352" s="50"/>
      <c r="UNS352" s="50"/>
      <c r="UNT352" s="50"/>
      <c r="UNU352" s="50"/>
      <c r="UNV352" s="50"/>
      <c r="UNW352" s="50"/>
      <c r="UNX352" s="50"/>
      <c r="UNY352" s="50"/>
      <c r="UNZ352" s="50"/>
      <c r="UOA352" s="50"/>
      <c r="UOB352" s="50"/>
      <c r="UOC352" s="50"/>
      <c r="UOD352" s="50"/>
      <c r="UOE352" s="50"/>
      <c r="UOF352" s="50"/>
      <c r="UOG352" s="50"/>
      <c r="UOH352" s="50"/>
      <c r="UOI352" s="50"/>
      <c r="UOJ352" s="50"/>
      <c r="UOK352" s="50"/>
      <c r="UOL352" s="50"/>
      <c r="UOM352" s="50"/>
      <c r="UON352" s="50"/>
      <c r="UOO352" s="50"/>
      <c r="UOP352" s="50"/>
      <c r="UOQ352" s="50"/>
      <c r="UOR352" s="50"/>
      <c r="UOS352" s="50"/>
      <c r="UOT352" s="50"/>
      <c r="UOU352" s="50"/>
      <c r="UOV352" s="50"/>
      <c r="UOW352" s="50"/>
      <c r="UOX352" s="50"/>
      <c r="UOY352" s="50"/>
      <c r="UOZ352" s="50"/>
      <c r="UPA352" s="50"/>
      <c r="UPB352" s="50"/>
      <c r="UPC352" s="50"/>
      <c r="UPD352" s="50"/>
      <c r="UPE352" s="50"/>
      <c r="UPF352" s="50"/>
      <c r="UPG352" s="50"/>
      <c r="UPH352" s="50"/>
      <c r="UPI352" s="50"/>
      <c r="UPJ352" s="50"/>
      <c r="UPK352" s="50"/>
      <c r="UPL352" s="50"/>
      <c r="UPM352" s="50"/>
      <c r="UPN352" s="50"/>
      <c r="UPO352" s="50"/>
      <c r="UPP352" s="50"/>
      <c r="UPQ352" s="50"/>
      <c r="UPR352" s="50"/>
      <c r="UPS352" s="50"/>
      <c r="UPT352" s="50"/>
      <c r="UPU352" s="50"/>
      <c r="UPV352" s="50"/>
      <c r="UPW352" s="50"/>
      <c r="UPX352" s="50"/>
      <c r="UPY352" s="50"/>
      <c r="UPZ352" s="50"/>
      <c r="UQA352" s="50"/>
      <c r="UQB352" s="50"/>
      <c r="UQC352" s="50"/>
      <c r="UQD352" s="50"/>
      <c r="UQE352" s="50"/>
      <c r="UQF352" s="50"/>
      <c r="UQG352" s="50"/>
      <c r="UQH352" s="50"/>
      <c r="UQI352" s="50"/>
      <c r="UQJ352" s="50"/>
      <c r="UQK352" s="50"/>
      <c r="UQL352" s="50"/>
      <c r="UQM352" s="50"/>
      <c r="UQN352" s="50"/>
      <c r="UQO352" s="50"/>
      <c r="UQP352" s="50"/>
      <c r="UQQ352" s="50"/>
      <c r="UQR352" s="50"/>
      <c r="UQS352" s="50"/>
      <c r="UQT352" s="50"/>
      <c r="UQU352" s="50"/>
      <c r="UQV352" s="50"/>
      <c r="UQW352" s="50"/>
      <c r="UQX352" s="50"/>
      <c r="UQY352" s="50"/>
      <c r="UQZ352" s="50"/>
      <c r="URA352" s="50"/>
      <c r="URB352" s="50"/>
      <c r="URC352" s="50"/>
      <c r="URD352" s="50"/>
      <c r="URE352" s="50"/>
      <c r="URF352" s="50"/>
      <c r="URG352" s="50"/>
      <c r="URH352" s="50"/>
      <c r="URI352" s="50"/>
      <c r="URJ352" s="50"/>
      <c r="URK352" s="50"/>
      <c r="URL352" s="50"/>
      <c r="URM352" s="50"/>
      <c r="URN352" s="50"/>
      <c r="URO352" s="50"/>
      <c r="URP352" s="50"/>
      <c r="URQ352" s="50"/>
      <c r="URR352" s="50"/>
      <c r="URS352" s="50"/>
      <c r="URT352" s="50"/>
      <c r="URU352" s="50"/>
      <c r="URV352" s="50"/>
      <c r="URW352" s="50"/>
      <c r="URX352" s="50"/>
      <c r="URY352" s="50"/>
      <c r="URZ352" s="50"/>
      <c r="USA352" s="50"/>
      <c r="USB352" s="50"/>
      <c r="USC352" s="50"/>
      <c r="USD352" s="50"/>
      <c r="USE352" s="50"/>
      <c r="USF352" s="50"/>
      <c r="USG352" s="50"/>
      <c r="USH352" s="50"/>
      <c r="USI352" s="50"/>
      <c r="USJ352" s="50"/>
      <c r="USK352" s="50"/>
      <c r="USL352" s="50"/>
      <c r="USM352" s="50"/>
      <c r="USN352" s="50"/>
      <c r="USO352" s="50"/>
      <c r="USP352" s="50"/>
      <c r="USQ352" s="50"/>
      <c r="USR352" s="50"/>
      <c r="USS352" s="50"/>
      <c r="UST352" s="50"/>
      <c r="USU352" s="50"/>
      <c r="USV352" s="50"/>
      <c r="USW352" s="50"/>
      <c r="USX352" s="50"/>
      <c r="USY352" s="50"/>
      <c r="USZ352" s="50"/>
      <c r="UTA352" s="50"/>
      <c r="UTB352" s="50"/>
      <c r="UTC352" s="50"/>
      <c r="UTD352" s="50"/>
      <c r="UTE352" s="50"/>
      <c r="UTF352" s="50"/>
      <c r="UTG352" s="50"/>
      <c r="UTH352" s="50"/>
      <c r="UTI352" s="50"/>
      <c r="UTJ352" s="50"/>
      <c r="UTK352" s="50"/>
      <c r="UTL352" s="50"/>
      <c r="UTM352" s="50"/>
      <c r="UTN352" s="50"/>
      <c r="UTO352" s="50"/>
      <c r="UTP352" s="50"/>
      <c r="UTQ352" s="50"/>
      <c r="UTR352" s="50"/>
      <c r="UTS352" s="50"/>
      <c r="UTT352" s="50"/>
      <c r="UTU352" s="50"/>
      <c r="UTV352" s="50"/>
      <c r="UTW352" s="50"/>
      <c r="UTX352" s="50"/>
      <c r="UTY352" s="50"/>
      <c r="UTZ352" s="50"/>
      <c r="UUA352" s="50"/>
      <c r="UUB352" s="50"/>
      <c r="UUC352" s="50"/>
      <c r="UUD352" s="50"/>
      <c r="UUE352" s="50"/>
      <c r="UUF352" s="50"/>
      <c r="UUG352" s="50"/>
      <c r="UUH352" s="50"/>
      <c r="UUI352" s="50"/>
      <c r="UUJ352" s="50"/>
      <c r="UUK352" s="50"/>
      <c r="UUL352" s="50"/>
      <c r="UUM352" s="50"/>
      <c r="UUN352" s="50"/>
      <c r="UUO352" s="50"/>
      <c r="UUP352" s="50"/>
      <c r="UUQ352" s="50"/>
      <c r="UUR352" s="50"/>
      <c r="UUS352" s="50"/>
      <c r="UUT352" s="50"/>
      <c r="UUU352" s="50"/>
      <c r="UUV352" s="50"/>
      <c r="UUW352" s="50"/>
      <c r="UUX352" s="50"/>
      <c r="UUY352" s="50"/>
      <c r="UUZ352" s="50"/>
      <c r="UVA352" s="50"/>
      <c r="UVB352" s="50"/>
      <c r="UVC352" s="50"/>
      <c r="UVD352" s="50"/>
      <c r="UVE352" s="50"/>
      <c r="UVF352" s="50"/>
      <c r="UVG352" s="50"/>
      <c r="UVH352" s="50"/>
      <c r="UVI352" s="50"/>
      <c r="UVJ352" s="50"/>
      <c r="UVK352" s="50"/>
      <c r="UVL352" s="50"/>
      <c r="UVM352" s="50"/>
      <c r="UVN352" s="50"/>
      <c r="UVO352" s="50"/>
      <c r="UVP352" s="50"/>
      <c r="UVQ352" s="50"/>
      <c r="UVR352" s="50"/>
      <c r="UVS352" s="50"/>
      <c r="UVT352" s="50"/>
      <c r="UVU352" s="50"/>
      <c r="UVV352" s="50"/>
      <c r="UVW352" s="50"/>
      <c r="UVX352" s="50"/>
      <c r="UVY352" s="50"/>
      <c r="UVZ352" s="50"/>
      <c r="UWA352" s="50"/>
      <c r="UWB352" s="50"/>
      <c r="UWC352" s="50"/>
      <c r="UWD352" s="50"/>
      <c r="UWE352" s="50"/>
      <c r="UWF352" s="50"/>
      <c r="UWG352" s="50"/>
      <c r="UWH352" s="50"/>
      <c r="UWI352" s="50"/>
      <c r="UWJ352" s="50"/>
      <c r="UWK352" s="50"/>
      <c r="UWL352" s="50"/>
      <c r="UWM352" s="50"/>
      <c r="UWN352" s="50"/>
      <c r="UWO352" s="50"/>
      <c r="UWP352" s="50"/>
      <c r="UWQ352" s="50"/>
      <c r="UWR352" s="50"/>
      <c r="UWS352" s="50"/>
      <c r="UWT352" s="50"/>
      <c r="UWU352" s="50"/>
      <c r="UWV352" s="50"/>
      <c r="UWW352" s="50"/>
      <c r="UWX352" s="50"/>
      <c r="UWY352" s="50"/>
      <c r="UWZ352" s="50"/>
      <c r="UXA352" s="50"/>
      <c r="UXB352" s="50"/>
      <c r="UXC352" s="50"/>
      <c r="UXD352" s="50"/>
      <c r="UXE352" s="50"/>
      <c r="UXF352" s="50"/>
      <c r="UXG352" s="50"/>
      <c r="UXH352" s="50"/>
      <c r="UXI352" s="50"/>
      <c r="UXJ352" s="50"/>
      <c r="UXK352" s="50"/>
      <c r="UXL352" s="50"/>
      <c r="UXM352" s="50"/>
      <c r="UXN352" s="50"/>
      <c r="UXO352" s="50"/>
      <c r="UXP352" s="50"/>
      <c r="UXQ352" s="50"/>
      <c r="UXR352" s="50"/>
      <c r="UXS352" s="50"/>
      <c r="UXT352" s="50"/>
      <c r="UXU352" s="50"/>
      <c r="UXV352" s="50"/>
      <c r="UXW352" s="50"/>
      <c r="UXX352" s="50"/>
      <c r="UXY352" s="50"/>
      <c r="UXZ352" s="50"/>
      <c r="UYA352" s="50"/>
      <c r="UYB352" s="50"/>
      <c r="UYC352" s="50"/>
      <c r="UYD352" s="50"/>
      <c r="UYE352" s="50"/>
      <c r="UYF352" s="50"/>
      <c r="UYG352" s="50"/>
      <c r="UYH352" s="50"/>
      <c r="UYI352" s="50"/>
      <c r="UYJ352" s="50"/>
      <c r="UYK352" s="50"/>
      <c r="UYL352" s="50"/>
      <c r="UYM352" s="50"/>
      <c r="UYN352" s="50"/>
      <c r="UYO352" s="50"/>
      <c r="UYP352" s="50"/>
      <c r="UYQ352" s="50"/>
      <c r="UYR352" s="50"/>
      <c r="UYS352" s="50"/>
      <c r="UYT352" s="50"/>
      <c r="UYU352" s="50"/>
      <c r="UYV352" s="50"/>
      <c r="UYW352" s="50"/>
      <c r="UYX352" s="50"/>
      <c r="UYY352" s="50"/>
      <c r="UYZ352" s="50"/>
      <c r="UZA352" s="50"/>
      <c r="UZB352" s="50"/>
      <c r="UZC352" s="50"/>
      <c r="UZD352" s="50"/>
      <c r="UZE352" s="50"/>
      <c r="UZF352" s="50"/>
      <c r="UZG352" s="50"/>
      <c r="UZH352" s="50"/>
      <c r="UZI352" s="50"/>
      <c r="UZJ352" s="50"/>
      <c r="UZK352" s="50"/>
      <c r="UZL352" s="50"/>
      <c r="UZM352" s="50"/>
      <c r="UZN352" s="50"/>
      <c r="UZO352" s="50"/>
      <c r="UZP352" s="50"/>
      <c r="UZQ352" s="50"/>
      <c r="UZR352" s="50"/>
      <c r="UZS352" s="50"/>
      <c r="UZT352" s="50"/>
      <c r="UZU352" s="50"/>
      <c r="UZV352" s="50"/>
      <c r="UZW352" s="50"/>
      <c r="UZX352" s="50"/>
      <c r="UZY352" s="50"/>
      <c r="UZZ352" s="50"/>
      <c r="VAA352" s="50"/>
      <c r="VAB352" s="50"/>
      <c r="VAC352" s="50"/>
      <c r="VAD352" s="50"/>
      <c r="VAE352" s="50"/>
      <c r="VAF352" s="50"/>
      <c r="VAG352" s="50"/>
      <c r="VAH352" s="50"/>
      <c r="VAI352" s="50"/>
      <c r="VAJ352" s="50"/>
      <c r="VAK352" s="50"/>
      <c r="VAL352" s="50"/>
      <c r="VAM352" s="50"/>
      <c r="VAN352" s="50"/>
      <c r="VAO352" s="50"/>
      <c r="VAP352" s="50"/>
      <c r="VAQ352" s="50"/>
      <c r="VAR352" s="50"/>
      <c r="VAS352" s="50"/>
      <c r="VAT352" s="50"/>
      <c r="VAU352" s="50"/>
      <c r="VAV352" s="50"/>
      <c r="VAW352" s="50"/>
      <c r="VAX352" s="50"/>
      <c r="VAY352" s="50"/>
      <c r="VAZ352" s="50"/>
      <c r="VBA352" s="50"/>
      <c r="VBB352" s="50"/>
      <c r="VBC352" s="50"/>
      <c r="VBD352" s="50"/>
      <c r="VBE352" s="50"/>
      <c r="VBF352" s="50"/>
      <c r="VBG352" s="50"/>
      <c r="VBH352" s="50"/>
      <c r="VBI352" s="50"/>
      <c r="VBJ352" s="50"/>
      <c r="VBK352" s="50"/>
      <c r="VBL352" s="50"/>
      <c r="VBM352" s="50"/>
      <c r="VBN352" s="50"/>
      <c r="VBO352" s="50"/>
      <c r="VBP352" s="50"/>
      <c r="VBQ352" s="50"/>
      <c r="VBR352" s="50"/>
      <c r="VBS352" s="50"/>
      <c r="VBT352" s="50"/>
      <c r="VBU352" s="50"/>
      <c r="VBV352" s="50"/>
      <c r="VBW352" s="50"/>
      <c r="VBX352" s="50"/>
      <c r="VBY352" s="50"/>
      <c r="VBZ352" s="50"/>
      <c r="VCA352" s="50"/>
      <c r="VCB352" s="50"/>
      <c r="VCC352" s="50"/>
      <c r="VCD352" s="50"/>
      <c r="VCE352" s="50"/>
      <c r="VCF352" s="50"/>
      <c r="VCG352" s="50"/>
      <c r="VCH352" s="50"/>
      <c r="VCI352" s="50"/>
      <c r="VCJ352" s="50"/>
      <c r="VCK352" s="50"/>
      <c r="VCL352" s="50"/>
      <c r="VCM352" s="50"/>
      <c r="VCN352" s="50"/>
      <c r="VCO352" s="50"/>
      <c r="VCP352" s="50"/>
      <c r="VCQ352" s="50"/>
      <c r="VCR352" s="50"/>
      <c r="VCS352" s="50"/>
      <c r="VCT352" s="50"/>
      <c r="VCU352" s="50"/>
      <c r="VCV352" s="50"/>
      <c r="VCW352" s="50"/>
      <c r="VCX352" s="50"/>
      <c r="VCY352" s="50"/>
      <c r="VCZ352" s="50"/>
      <c r="VDA352" s="50"/>
      <c r="VDB352" s="50"/>
      <c r="VDC352" s="50"/>
      <c r="VDD352" s="50"/>
      <c r="VDE352" s="50"/>
      <c r="VDF352" s="50"/>
      <c r="VDG352" s="50"/>
      <c r="VDH352" s="50"/>
      <c r="VDI352" s="50"/>
      <c r="VDJ352" s="50"/>
      <c r="VDK352" s="50"/>
      <c r="VDL352" s="50"/>
      <c r="VDM352" s="50"/>
      <c r="VDN352" s="50"/>
      <c r="VDO352" s="50"/>
      <c r="VDP352" s="50"/>
      <c r="VDQ352" s="50"/>
      <c r="VDR352" s="50"/>
      <c r="VDS352" s="50"/>
      <c r="VDT352" s="50"/>
      <c r="VDU352" s="50"/>
      <c r="VDV352" s="50"/>
      <c r="VDW352" s="50"/>
      <c r="VDX352" s="50"/>
      <c r="VDY352" s="50"/>
      <c r="VDZ352" s="50"/>
      <c r="VEA352" s="50"/>
      <c r="VEB352" s="50"/>
      <c r="VEC352" s="50"/>
      <c r="VED352" s="50"/>
      <c r="VEE352" s="50"/>
      <c r="VEF352" s="50"/>
      <c r="VEG352" s="50"/>
      <c r="VEH352" s="50"/>
      <c r="VEI352" s="50"/>
      <c r="VEJ352" s="50"/>
      <c r="VEK352" s="50"/>
      <c r="VEL352" s="50"/>
      <c r="VEM352" s="50"/>
      <c r="VEN352" s="50"/>
      <c r="VEO352" s="50"/>
      <c r="VEP352" s="50"/>
      <c r="VEQ352" s="50"/>
      <c r="VER352" s="50"/>
      <c r="VES352" s="50"/>
      <c r="VET352" s="50"/>
      <c r="VEU352" s="50"/>
      <c r="VEV352" s="50"/>
      <c r="VEW352" s="50"/>
      <c r="VEX352" s="50"/>
      <c r="VEY352" s="50"/>
      <c r="VEZ352" s="50"/>
      <c r="VFA352" s="50"/>
      <c r="VFB352" s="50"/>
      <c r="VFC352" s="50"/>
      <c r="VFD352" s="50"/>
      <c r="VFE352" s="50"/>
      <c r="VFF352" s="50"/>
      <c r="VFG352" s="50"/>
      <c r="VFH352" s="50"/>
      <c r="VFI352" s="50"/>
      <c r="VFJ352" s="50"/>
      <c r="VFK352" s="50"/>
      <c r="VFL352" s="50"/>
      <c r="VFM352" s="50"/>
      <c r="VFN352" s="50"/>
      <c r="VFO352" s="50"/>
      <c r="VFP352" s="50"/>
      <c r="VFQ352" s="50"/>
      <c r="VFR352" s="50"/>
      <c r="VFS352" s="50"/>
      <c r="VFT352" s="50"/>
      <c r="VFU352" s="50"/>
      <c r="VFV352" s="50"/>
      <c r="VFW352" s="50"/>
      <c r="VFX352" s="50"/>
      <c r="VFY352" s="50"/>
      <c r="VFZ352" s="50"/>
      <c r="VGA352" s="50"/>
      <c r="VGB352" s="50"/>
      <c r="VGC352" s="50"/>
      <c r="VGD352" s="50"/>
      <c r="VGE352" s="50"/>
      <c r="VGF352" s="50"/>
      <c r="VGG352" s="50"/>
      <c r="VGH352" s="50"/>
      <c r="VGI352" s="50"/>
      <c r="VGJ352" s="50"/>
      <c r="VGK352" s="50"/>
      <c r="VGL352" s="50"/>
      <c r="VGM352" s="50"/>
      <c r="VGN352" s="50"/>
      <c r="VGO352" s="50"/>
      <c r="VGP352" s="50"/>
      <c r="VGQ352" s="50"/>
      <c r="VGR352" s="50"/>
      <c r="VGS352" s="50"/>
      <c r="VGT352" s="50"/>
      <c r="VGU352" s="50"/>
      <c r="VGV352" s="50"/>
      <c r="VGW352" s="50"/>
      <c r="VGX352" s="50"/>
      <c r="VGY352" s="50"/>
      <c r="VGZ352" s="50"/>
      <c r="VHA352" s="50"/>
      <c r="VHB352" s="50"/>
      <c r="VHC352" s="50"/>
      <c r="VHD352" s="50"/>
      <c r="VHE352" s="50"/>
      <c r="VHF352" s="50"/>
      <c r="VHG352" s="50"/>
      <c r="VHH352" s="50"/>
      <c r="VHI352" s="50"/>
      <c r="VHJ352" s="50"/>
      <c r="VHK352" s="50"/>
      <c r="VHL352" s="50"/>
      <c r="VHM352" s="50"/>
      <c r="VHN352" s="50"/>
      <c r="VHO352" s="50"/>
      <c r="VHP352" s="50"/>
      <c r="VHQ352" s="50"/>
      <c r="VHR352" s="50"/>
      <c r="VHS352" s="50"/>
      <c r="VHT352" s="50"/>
      <c r="VHU352" s="50"/>
      <c r="VHV352" s="50"/>
      <c r="VHW352" s="50"/>
      <c r="VHX352" s="50"/>
      <c r="VHY352" s="50"/>
      <c r="VHZ352" s="50"/>
      <c r="VIA352" s="50"/>
      <c r="VIB352" s="50"/>
      <c r="VIC352" s="50"/>
      <c r="VID352" s="50"/>
      <c r="VIE352" s="50"/>
      <c r="VIF352" s="50"/>
      <c r="VIG352" s="50"/>
      <c r="VIH352" s="50"/>
      <c r="VII352" s="50"/>
      <c r="VIJ352" s="50"/>
      <c r="VIK352" s="50"/>
      <c r="VIL352" s="50"/>
      <c r="VIM352" s="50"/>
      <c r="VIN352" s="50"/>
      <c r="VIO352" s="50"/>
      <c r="VIP352" s="50"/>
      <c r="VIQ352" s="50"/>
      <c r="VIR352" s="50"/>
      <c r="VIS352" s="50"/>
      <c r="VIT352" s="50"/>
      <c r="VIU352" s="50"/>
      <c r="VIV352" s="50"/>
      <c r="VIW352" s="50"/>
      <c r="VIX352" s="50"/>
      <c r="VIY352" s="50"/>
      <c r="VIZ352" s="50"/>
      <c r="VJA352" s="50"/>
      <c r="VJB352" s="50"/>
      <c r="VJC352" s="50"/>
      <c r="VJD352" s="50"/>
      <c r="VJE352" s="50"/>
      <c r="VJF352" s="50"/>
      <c r="VJG352" s="50"/>
      <c r="VJH352" s="50"/>
      <c r="VJI352" s="50"/>
      <c r="VJJ352" s="50"/>
      <c r="VJK352" s="50"/>
      <c r="VJL352" s="50"/>
      <c r="VJM352" s="50"/>
      <c r="VJN352" s="50"/>
      <c r="VJO352" s="50"/>
      <c r="VJP352" s="50"/>
      <c r="VJQ352" s="50"/>
      <c r="VJR352" s="50"/>
      <c r="VJS352" s="50"/>
      <c r="VJT352" s="50"/>
      <c r="VJU352" s="50"/>
      <c r="VJV352" s="50"/>
      <c r="VJW352" s="50"/>
      <c r="VJX352" s="50"/>
      <c r="VJY352" s="50"/>
      <c r="VJZ352" s="50"/>
      <c r="VKA352" s="50"/>
      <c r="VKB352" s="50"/>
      <c r="VKC352" s="50"/>
      <c r="VKD352" s="50"/>
      <c r="VKE352" s="50"/>
      <c r="VKF352" s="50"/>
      <c r="VKG352" s="50"/>
      <c r="VKH352" s="50"/>
      <c r="VKI352" s="50"/>
      <c r="VKJ352" s="50"/>
      <c r="VKK352" s="50"/>
      <c r="VKL352" s="50"/>
      <c r="VKM352" s="50"/>
      <c r="VKN352" s="50"/>
      <c r="VKO352" s="50"/>
      <c r="VKP352" s="50"/>
      <c r="VKQ352" s="50"/>
      <c r="VKR352" s="50"/>
      <c r="VKS352" s="50"/>
      <c r="VKT352" s="50"/>
      <c r="VKU352" s="50"/>
      <c r="VKV352" s="50"/>
      <c r="VKW352" s="50"/>
      <c r="VKX352" s="50"/>
      <c r="VKY352" s="50"/>
      <c r="VKZ352" s="50"/>
      <c r="VLA352" s="50"/>
      <c r="VLB352" s="50"/>
      <c r="VLC352" s="50"/>
      <c r="VLD352" s="50"/>
      <c r="VLE352" s="50"/>
      <c r="VLF352" s="50"/>
      <c r="VLG352" s="50"/>
      <c r="VLH352" s="50"/>
      <c r="VLI352" s="50"/>
      <c r="VLJ352" s="50"/>
      <c r="VLK352" s="50"/>
      <c r="VLL352" s="50"/>
      <c r="VLM352" s="50"/>
      <c r="VLN352" s="50"/>
      <c r="VLO352" s="50"/>
      <c r="VLP352" s="50"/>
      <c r="VLQ352" s="50"/>
      <c r="VLR352" s="50"/>
      <c r="VLS352" s="50"/>
      <c r="VLT352" s="50"/>
      <c r="VLU352" s="50"/>
      <c r="VLV352" s="50"/>
      <c r="VLW352" s="50"/>
      <c r="VLX352" s="50"/>
      <c r="VLY352" s="50"/>
      <c r="VLZ352" s="50"/>
      <c r="VMA352" s="50"/>
      <c r="VMB352" s="50"/>
      <c r="VMC352" s="50"/>
      <c r="VMD352" s="50"/>
      <c r="VME352" s="50"/>
      <c r="VMF352" s="50"/>
      <c r="VMG352" s="50"/>
      <c r="VMH352" s="50"/>
      <c r="VMI352" s="50"/>
      <c r="VMJ352" s="50"/>
      <c r="VMK352" s="50"/>
      <c r="VML352" s="50"/>
      <c r="VMM352" s="50"/>
      <c r="VMN352" s="50"/>
      <c r="VMO352" s="50"/>
      <c r="VMP352" s="50"/>
      <c r="VMQ352" s="50"/>
      <c r="VMR352" s="50"/>
      <c r="VMS352" s="50"/>
      <c r="VMT352" s="50"/>
      <c r="VMU352" s="50"/>
      <c r="VMV352" s="50"/>
      <c r="VMW352" s="50"/>
      <c r="VMX352" s="50"/>
      <c r="VMY352" s="50"/>
      <c r="VMZ352" s="50"/>
      <c r="VNA352" s="50"/>
      <c r="VNB352" s="50"/>
      <c r="VNC352" s="50"/>
      <c r="VND352" s="50"/>
      <c r="VNE352" s="50"/>
      <c r="VNF352" s="50"/>
      <c r="VNG352" s="50"/>
      <c r="VNH352" s="50"/>
      <c r="VNI352" s="50"/>
      <c r="VNJ352" s="50"/>
      <c r="VNK352" s="50"/>
      <c r="VNL352" s="50"/>
      <c r="VNM352" s="50"/>
      <c r="VNN352" s="50"/>
      <c r="VNO352" s="50"/>
      <c r="VNP352" s="50"/>
      <c r="VNQ352" s="50"/>
      <c r="VNR352" s="50"/>
      <c r="VNS352" s="50"/>
      <c r="VNT352" s="50"/>
      <c r="VNU352" s="50"/>
      <c r="VNV352" s="50"/>
      <c r="VNW352" s="50"/>
      <c r="VNX352" s="50"/>
      <c r="VNY352" s="50"/>
      <c r="VNZ352" s="50"/>
      <c r="VOA352" s="50"/>
      <c r="VOB352" s="50"/>
      <c r="VOC352" s="50"/>
      <c r="VOD352" s="50"/>
      <c r="VOE352" s="50"/>
      <c r="VOF352" s="50"/>
      <c r="VOG352" s="50"/>
      <c r="VOH352" s="50"/>
      <c r="VOI352" s="50"/>
      <c r="VOJ352" s="50"/>
      <c r="VOK352" s="50"/>
      <c r="VOL352" s="50"/>
      <c r="VOM352" s="50"/>
      <c r="VON352" s="50"/>
      <c r="VOO352" s="50"/>
      <c r="VOP352" s="50"/>
      <c r="VOQ352" s="50"/>
      <c r="VOR352" s="50"/>
      <c r="VOS352" s="50"/>
      <c r="VOT352" s="50"/>
      <c r="VOU352" s="50"/>
      <c r="VOV352" s="50"/>
      <c r="VOW352" s="50"/>
      <c r="VOX352" s="50"/>
      <c r="VOY352" s="50"/>
      <c r="VOZ352" s="50"/>
      <c r="VPA352" s="50"/>
      <c r="VPB352" s="50"/>
      <c r="VPC352" s="50"/>
      <c r="VPD352" s="50"/>
      <c r="VPE352" s="50"/>
      <c r="VPF352" s="50"/>
      <c r="VPG352" s="50"/>
      <c r="VPH352" s="50"/>
      <c r="VPI352" s="50"/>
      <c r="VPJ352" s="50"/>
      <c r="VPK352" s="50"/>
      <c r="VPL352" s="50"/>
      <c r="VPM352" s="50"/>
      <c r="VPN352" s="50"/>
      <c r="VPO352" s="50"/>
      <c r="VPP352" s="50"/>
      <c r="VPQ352" s="50"/>
      <c r="VPR352" s="50"/>
      <c r="VPS352" s="50"/>
      <c r="VPT352" s="50"/>
      <c r="VPU352" s="50"/>
      <c r="VPV352" s="50"/>
      <c r="VPW352" s="50"/>
      <c r="VPX352" s="50"/>
      <c r="VPY352" s="50"/>
      <c r="VPZ352" s="50"/>
      <c r="VQA352" s="50"/>
      <c r="VQB352" s="50"/>
      <c r="VQC352" s="50"/>
      <c r="VQD352" s="50"/>
      <c r="VQE352" s="50"/>
      <c r="VQF352" s="50"/>
      <c r="VQG352" s="50"/>
      <c r="VQH352" s="50"/>
      <c r="VQI352" s="50"/>
      <c r="VQJ352" s="50"/>
      <c r="VQK352" s="50"/>
      <c r="VQL352" s="50"/>
      <c r="VQM352" s="50"/>
      <c r="VQN352" s="50"/>
      <c r="VQO352" s="50"/>
      <c r="VQP352" s="50"/>
      <c r="VQQ352" s="50"/>
      <c r="VQR352" s="50"/>
      <c r="VQS352" s="50"/>
      <c r="VQT352" s="50"/>
      <c r="VQU352" s="50"/>
      <c r="VQV352" s="50"/>
      <c r="VQW352" s="50"/>
      <c r="VQX352" s="50"/>
      <c r="VQY352" s="50"/>
      <c r="VQZ352" s="50"/>
      <c r="VRA352" s="50"/>
      <c r="VRB352" s="50"/>
      <c r="VRC352" s="50"/>
      <c r="VRD352" s="50"/>
      <c r="VRE352" s="50"/>
      <c r="VRF352" s="50"/>
      <c r="VRG352" s="50"/>
      <c r="VRH352" s="50"/>
      <c r="VRI352" s="50"/>
      <c r="VRJ352" s="50"/>
      <c r="VRK352" s="50"/>
      <c r="VRL352" s="50"/>
      <c r="VRM352" s="50"/>
      <c r="VRN352" s="50"/>
      <c r="VRO352" s="50"/>
      <c r="VRP352" s="50"/>
      <c r="VRQ352" s="50"/>
      <c r="VRR352" s="50"/>
      <c r="VRS352" s="50"/>
      <c r="VRT352" s="50"/>
      <c r="VRU352" s="50"/>
      <c r="VRV352" s="50"/>
      <c r="VRW352" s="50"/>
      <c r="VRX352" s="50"/>
      <c r="VRY352" s="50"/>
      <c r="VRZ352" s="50"/>
      <c r="VSA352" s="50"/>
      <c r="VSB352" s="50"/>
      <c r="VSC352" s="50"/>
      <c r="VSD352" s="50"/>
      <c r="VSE352" s="50"/>
      <c r="VSF352" s="50"/>
      <c r="VSG352" s="50"/>
      <c r="VSH352" s="50"/>
      <c r="VSI352" s="50"/>
      <c r="VSJ352" s="50"/>
      <c r="VSK352" s="50"/>
      <c r="VSL352" s="50"/>
      <c r="VSM352" s="50"/>
      <c r="VSN352" s="50"/>
      <c r="VSO352" s="50"/>
      <c r="VSP352" s="50"/>
      <c r="VSQ352" s="50"/>
      <c r="VSR352" s="50"/>
      <c r="VSS352" s="50"/>
      <c r="VST352" s="50"/>
      <c r="VSU352" s="50"/>
      <c r="VSV352" s="50"/>
      <c r="VSW352" s="50"/>
      <c r="VSX352" s="50"/>
      <c r="VSY352" s="50"/>
      <c r="VSZ352" s="50"/>
      <c r="VTA352" s="50"/>
      <c r="VTB352" s="50"/>
      <c r="VTC352" s="50"/>
      <c r="VTD352" s="50"/>
      <c r="VTE352" s="50"/>
      <c r="VTF352" s="50"/>
      <c r="VTG352" s="50"/>
      <c r="VTH352" s="50"/>
      <c r="VTI352" s="50"/>
      <c r="VTJ352" s="50"/>
      <c r="VTK352" s="50"/>
      <c r="VTL352" s="50"/>
      <c r="VTM352" s="50"/>
      <c r="VTN352" s="50"/>
      <c r="VTO352" s="50"/>
      <c r="VTP352" s="50"/>
      <c r="VTQ352" s="50"/>
      <c r="VTR352" s="50"/>
      <c r="VTS352" s="50"/>
      <c r="VTT352" s="50"/>
      <c r="VTU352" s="50"/>
      <c r="VTV352" s="50"/>
      <c r="VTW352" s="50"/>
      <c r="VTX352" s="50"/>
      <c r="VTY352" s="50"/>
      <c r="VTZ352" s="50"/>
      <c r="VUA352" s="50"/>
      <c r="VUB352" s="50"/>
      <c r="VUC352" s="50"/>
      <c r="VUD352" s="50"/>
      <c r="VUE352" s="50"/>
      <c r="VUF352" s="50"/>
      <c r="VUG352" s="50"/>
      <c r="VUH352" s="50"/>
      <c r="VUI352" s="50"/>
      <c r="VUJ352" s="50"/>
      <c r="VUK352" s="50"/>
      <c r="VUL352" s="50"/>
      <c r="VUM352" s="50"/>
      <c r="VUN352" s="50"/>
      <c r="VUO352" s="50"/>
      <c r="VUP352" s="50"/>
      <c r="VUQ352" s="50"/>
      <c r="VUR352" s="50"/>
      <c r="VUS352" s="50"/>
      <c r="VUT352" s="50"/>
      <c r="VUU352" s="50"/>
      <c r="VUV352" s="50"/>
      <c r="VUW352" s="50"/>
      <c r="VUX352" s="50"/>
      <c r="VUY352" s="50"/>
      <c r="VUZ352" s="50"/>
      <c r="VVA352" s="50"/>
      <c r="VVB352" s="50"/>
      <c r="VVC352" s="50"/>
      <c r="VVD352" s="50"/>
      <c r="VVE352" s="50"/>
      <c r="VVF352" s="50"/>
      <c r="VVG352" s="50"/>
      <c r="VVH352" s="50"/>
      <c r="VVI352" s="50"/>
      <c r="VVJ352" s="50"/>
      <c r="VVK352" s="50"/>
      <c r="VVL352" s="50"/>
      <c r="VVM352" s="50"/>
      <c r="VVN352" s="50"/>
      <c r="VVO352" s="50"/>
      <c r="VVP352" s="50"/>
      <c r="VVQ352" s="50"/>
      <c r="VVR352" s="50"/>
      <c r="VVS352" s="50"/>
      <c r="VVT352" s="50"/>
      <c r="VVU352" s="50"/>
      <c r="VVV352" s="50"/>
      <c r="VVW352" s="50"/>
      <c r="VVX352" s="50"/>
      <c r="VVY352" s="50"/>
      <c r="VVZ352" s="50"/>
      <c r="VWA352" s="50"/>
      <c r="VWB352" s="50"/>
      <c r="VWC352" s="50"/>
      <c r="VWD352" s="50"/>
      <c r="VWE352" s="50"/>
      <c r="VWF352" s="50"/>
      <c r="VWG352" s="50"/>
      <c r="VWH352" s="50"/>
      <c r="VWI352" s="50"/>
      <c r="VWJ352" s="50"/>
      <c r="VWK352" s="50"/>
      <c r="VWL352" s="50"/>
      <c r="VWM352" s="50"/>
      <c r="VWN352" s="50"/>
      <c r="VWO352" s="50"/>
      <c r="VWP352" s="50"/>
      <c r="VWQ352" s="50"/>
      <c r="VWR352" s="50"/>
      <c r="VWS352" s="50"/>
      <c r="VWT352" s="50"/>
      <c r="VWU352" s="50"/>
      <c r="VWV352" s="50"/>
      <c r="VWW352" s="50"/>
      <c r="VWX352" s="50"/>
      <c r="VWY352" s="50"/>
      <c r="VWZ352" s="50"/>
      <c r="VXA352" s="50"/>
      <c r="VXB352" s="50"/>
      <c r="VXC352" s="50"/>
      <c r="VXD352" s="50"/>
      <c r="VXE352" s="50"/>
      <c r="VXF352" s="50"/>
      <c r="VXG352" s="50"/>
      <c r="VXH352" s="50"/>
      <c r="VXI352" s="50"/>
      <c r="VXJ352" s="50"/>
      <c r="VXK352" s="50"/>
      <c r="VXL352" s="50"/>
      <c r="VXM352" s="50"/>
      <c r="VXN352" s="50"/>
      <c r="VXO352" s="50"/>
      <c r="VXP352" s="50"/>
      <c r="VXQ352" s="50"/>
      <c r="VXR352" s="50"/>
      <c r="VXS352" s="50"/>
      <c r="VXT352" s="50"/>
      <c r="VXU352" s="50"/>
      <c r="VXV352" s="50"/>
      <c r="VXW352" s="50"/>
      <c r="VXX352" s="50"/>
      <c r="VXY352" s="50"/>
      <c r="VXZ352" s="50"/>
      <c r="VYA352" s="50"/>
      <c r="VYB352" s="50"/>
      <c r="VYC352" s="50"/>
      <c r="VYD352" s="50"/>
      <c r="VYE352" s="50"/>
      <c r="VYF352" s="50"/>
      <c r="VYG352" s="50"/>
      <c r="VYH352" s="50"/>
      <c r="VYI352" s="50"/>
      <c r="VYJ352" s="50"/>
      <c r="VYK352" s="50"/>
      <c r="VYL352" s="50"/>
      <c r="VYM352" s="50"/>
      <c r="VYN352" s="50"/>
      <c r="VYO352" s="50"/>
      <c r="VYP352" s="50"/>
      <c r="VYQ352" s="50"/>
      <c r="VYR352" s="50"/>
      <c r="VYS352" s="50"/>
      <c r="VYT352" s="50"/>
      <c r="VYU352" s="50"/>
      <c r="VYV352" s="50"/>
      <c r="VYW352" s="50"/>
      <c r="VYX352" s="50"/>
      <c r="VYY352" s="50"/>
      <c r="VYZ352" s="50"/>
      <c r="VZA352" s="50"/>
      <c r="VZB352" s="50"/>
      <c r="VZC352" s="50"/>
      <c r="VZD352" s="50"/>
      <c r="VZE352" s="50"/>
      <c r="VZF352" s="50"/>
      <c r="VZG352" s="50"/>
      <c r="VZH352" s="50"/>
      <c r="VZI352" s="50"/>
      <c r="VZJ352" s="50"/>
      <c r="VZK352" s="50"/>
      <c r="VZL352" s="50"/>
      <c r="VZM352" s="50"/>
      <c r="VZN352" s="50"/>
      <c r="VZO352" s="50"/>
      <c r="VZP352" s="50"/>
      <c r="VZQ352" s="50"/>
      <c r="VZR352" s="50"/>
      <c r="VZS352" s="50"/>
      <c r="VZT352" s="50"/>
      <c r="VZU352" s="50"/>
      <c r="VZV352" s="50"/>
      <c r="VZW352" s="50"/>
      <c r="VZX352" s="50"/>
      <c r="VZY352" s="50"/>
      <c r="VZZ352" s="50"/>
      <c r="WAA352" s="50"/>
      <c r="WAB352" s="50"/>
      <c r="WAC352" s="50"/>
      <c r="WAD352" s="50"/>
      <c r="WAE352" s="50"/>
      <c r="WAF352" s="50"/>
      <c r="WAG352" s="50"/>
      <c r="WAH352" s="50"/>
      <c r="WAI352" s="50"/>
      <c r="WAJ352" s="50"/>
      <c r="WAK352" s="50"/>
      <c r="WAL352" s="50"/>
      <c r="WAM352" s="50"/>
      <c r="WAN352" s="50"/>
      <c r="WAO352" s="50"/>
      <c r="WAP352" s="50"/>
      <c r="WAQ352" s="50"/>
      <c r="WAR352" s="50"/>
      <c r="WAS352" s="50"/>
      <c r="WAT352" s="50"/>
      <c r="WAU352" s="50"/>
      <c r="WAV352" s="50"/>
      <c r="WAW352" s="50"/>
      <c r="WAX352" s="50"/>
      <c r="WAY352" s="50"/>
      <c r="WAZ352" s="50"/>
      <c r="WBA352" s="50"/>
      <c r="WBB352" s="50"/>
      <c r="WBC352" s="50"/>
      <c r="WBD352" s="50"/>
      <c r="WBE352" s="50"/>
      <c r="WBF352" s="50"/>
      <c r="WBG352" s="50"/>
      <c r="WBH352" s="50"/>
      <c r="WBI352" s="50"/>
      <c r="WBJ352" s="50"/>
      <c r="WBK352" s="50"/>
      <c r="WBL352" s="50"/>
      <c r="WBM352" s="50"/>
      <c r="WBN352" s="50"/>
      <c r="WBO352" s="50"/>
      <c r="WBP352" s="50"/>
      <c r="WBQ352" s="50"/>
      <c r="WBR352" s="50"/>
      <c r="WBS352" s="50"/>
      <c r="WBT352" s="50"/>
      <c r="WBU352" s="50"/>
      <c r="WBV352" s="50"/>
      <c r="WBW352" s="50"/>
      <c r="WBX352" s="50"/>
      <c r="WBY352" s="50"/>
      <c r="WBZ352" s="50"/>
      <c r="WCA352" s="50"/>
      <c r="WCB352" s="50"/>
      <c r="WCC352" s="50"/>
      <c r="WCD352" s="50"/>
      <c r="WCE352" s="50"/>
      <c r="WCF352" s="50"/>
      <c r="WCG352" s="50"/>
      <c r="WCH352" s="50"/>
      <c r="WCI352" s="50"/>
      <c r="WCJ352" s="50"/>
      <c r="WCK352" s="50"/>
      <c r="WCL352" s="50"/>
      <c r="WCM352" s="50"/>
      <c r="WCN352" s="50"/>
      <c r="WCO352" s="50"/>
      <c r="WCP352" s="50"/>
      <c r="WCQ352" s="50"/>
      <c r="WCR352" s="50"/>
      <c r="WCS352" s="50"/>
      <c r="WCT352" s="50"/>
      <c r="WCU352" s="50"/>
      <c r="WCV352" s="50"/>
      <c r="WCW352" s="50"/>
      <c r="WCX352" s="50"/>
      <c r="WCY352" s="50"/>
      <c r="WCZ352" s="50"/>
      <c r="WDA352" s="50"/>
      <c r="WDB352" s="50"/>
      <c r="WDC352" s="50"/>
      <c r="WDD352" s="50"/>
      <c r="WDE352" s="50"/>
      <c r="WDF352" s="50"/>
      <c r="WDG352" s="50"/>
      <c r="WDH352" s="50"/>
      <c r="WDI352" s="50"/>
      <c r="WDJ352" s="50"/>
      <c r="WDK352" s="50"/>
      <c r="WDL352" s="50"/>
      <c r="WDM352" s="50"/>
      <c r="WDN352" s="50"/>
      <c r="WDO352" s="50"/>
      <c r="WDP352" s="50"/>
      <c r="WDQ352" s="50"/>
      <c r="WDR352" s="50"/>
      <c r="WDS352" s="50"/>
      <c r="WDT352" s="50"/>
      <c r="WDU352" s="50"/>
      <c r="WDV352" s="50"/>
      <c r="WDW352" s="50"/>
      <c r="WDX352" s="50"/>
      <c r="WDY352" s="50"/>
      <c r="WDZ352" s="50"/>
      <c r="WEA352" s="50"/>
      <c r="WEB352" s="50"/>
      <c r="WEC352" s="50"/>
      <c r="WED352" s="50"/>
      <c r="WEE352" s="50"/>
      <c r="WEF352" s="50"/>
      <c r="WEG352" s="50"/>
      <c r="WEH352" s="50"/>
      <c r="WEI352" s="50"/>
      <c r="WEJ352" s="50"/>
      <c r="WEK352" s="50"/>
      <c r="WEL352" s="50"/>
      <c r="WEM352" s="50"/>
      <c r="WEN352" s="50"/>
      <c r="WEO352" s="50"/>
      <c r="WEP352" s="50"/>
      <c r="WEQ352" s="50"/>
      <c r="WER352" s="50"/>
      <c r="WES352" s="50"/>
      <c r="WET352" s="50"/>
      <c r="WEU352" s="50"/>
      <c r="WEV352" s="50"/>
      <c r="WEW352" s="50"/>
      <c r="WEX352" s="50"/>
      <c r="WEY352" s="50"/>
      <c r="WEZ352" s="50"/>
      <c r="WFA352" s="50"/>
      <c r="WFB352" s="50"/>
      <c r="WFC352" s="50"/>
      <c r="WFD352" s="50"/>
      <c r="WFE352" s="50"/>
      <c r="WFF352" s="50"/>
      <c r="WFG352" s="50"/>
      <c r="WFH352" s="50"/>
      <c r="WFI352" s="50"/>
      <c r="WFJ352" s="50"/>
      <c r="WFK352" s="50"/>
      <c r="WFL352" s="50"/>
      <c r="WFM352" s="50"/>
      <c r="WFN352" s="50"/>
      <c r="WFO352" s="50"/>
      <c r="WFP352" s="50"/>
      <c r="WFQ352" s="50"/>
      <c r="WFR352" s="50"/>
      <c r="WFS352" s="50"/>
      <c r="WFT352" s="50"/>
      <c r="WFU352" s="50"/>
      <c r="WFV352" s="50"/>
      <c r="WFW352" s="50"/>
      <c r="WFX352" s="50"/>
      <c r="WFY352" s="50"/>
      <c r="WFZ352" s="50"/>
      <c r="WGA352" s="50"/>
      <c r="WGB352" s="50"/>
      <c r="WGC352" s="50"/>
      <c r="WGD352" s="50"/>
      <c r="WGE352" s="50"/>
      <c r="WGF352" s="50"/>
      <c r="WGG352" s="50"/>
      <c r="WGH352" s="50"/>
      <c r="WGI352" s="50"/>
      <c r="WGJ352" s="50"/>
      <c r="WGK352" s="50"/>
      <c r="WGL352" s="50"/>
      <c r="WGM352" s="50"/>
      <c r="WGN352" s="50"/>
      <c r="WGO352" s="50"/>
      <c r="WGP352" s="50"/>
      <c r="WGQ352" s="50"/>
      <c r="WGR352" s="50"/>
      <c r="WGS352" s="50"/>
      <c r="WGT352" s="50"/>
      <c r="WGU352" s="50"/>
      <c r="WGV352" s="50"/>
      <c r="WGW352" s="50"/>
      <c r="WGX352" s="50"/>
      <c r="WGY352" s="50"/>
      <c r="WGZ352" s="50"/>
      <c r="WHA352" s="50"/>
      <c r="WHB352" s="50"/>
      <c r="WHC352" s="50"/>
      <c r="WHD352" s="50"/>
      <c r="WHE352" s="50"/>
      <c r="WHF352" s="50"/>
      <c r="WHG352" s="50"/>
      <c r="WHH352" s="50"/>
      <c r="WHI352" s="50"/>
      <c r="WHJ352" s="50"/>
      <c r="WHK352" s="50"/>
      <c r="WHL352" s="50"/>
      <c r="WHM352" s="50"/>
      <c r="WHN352" s="50"/>
      <c r="WHO352" s="50"/>
      <c r="WHP352" s="50"/>
      <c r="WHQ352" s="50"/>
      <c r="WHR352" s="50"/>
      <c r="WHS352" s="50"/>
      <c r="WHT352" s="50"/>
      <c r="WHU352" s="50"/>
      <c r="WHV352" s="50"/>
      <c r="WHW352" s="50"/>
      <c r="WHX352" s="50"/>
      <c r="WHY352" s="50"/>
      <c r="WHZ352" s="50"/>
      <c r="WIA352" s="50"/>
      <c r="WIB352" s="50"/>
      <c r="WIC352" s="50"/>
      <c r="WID352" s="50"/>
      <c r="WIE352" s="50"/>
      <c r="WIF352" s="50"/>
      <c r="WIG352" s="50"/>
      <c r="WIH352" s="50"/>
      <c r="WII352" s="50"/>
      <c r="WIJ352" s="50"/>
      <c r="WIK352" s="50"/>
      <c r="WIL352" s="50"/>
      <c r="WIM352" s="50"/>
      <c r="WIN352" s="50"/>
      <c r="WIO352" s="50"/>
      <c r="WIP352" s="50"/>
      <c r="WIQ352" s="50"/>
      <c r="WIR352" s="50"/>
      <c r="WIS352" s="50"/>
      <c r="WIT352" s="50"/>
      <c r="WIU352" s="50"/>
      <c r="WIV352" s="50"/>
      <c r="WIW352" s="50"/>
      <c r="WIX352" s="50"/>
      <c r="WIY352" s="50"/>
      <c r="WIZ352" s="50"/>
      <c r="WJA352" s="50"/>
      <c r="WJB352" s="50"/>
      <c r="WJC352" s="50"/>
      <c r="WJD352" s="50"/>
      <c r="WJE352" s="50"/>
      <c r="WJF352" s="50"/>
      <c r="WJG352" s="50"/>
      <c r="WJH352" s="50"/>
      <c r="WJI352" s="50"/>
      <c r="WJJ352" s="50"/>
      <c r="WJK352" s="50"/>
      <c r="WJL352" s="50"/>
      <c r="WJM352" s="50"/>
      <c r="WJN352" s="50"/>
      <c r="WJO352" s="50"/>
      <c r="WJP352" s="50"/>
      <c r="WJQ352" s="50"/>
      <c r="WJR352" s="50"/>
      <c r="WJS352" s="50"/>
      <c r="WJT352" s="50"/>
      <c r="WJU352" s="50"/>
      <c r="WJV352" s="50"/>
      <c r="WJW352" s="50"/>
      <c r="WJX352" s="50"/>
      <c r="WJY352" s="50"/>
      <c r="WJZ352" s="50"/>
      <c r="WKA352" s="50"/>
      <c r="WKB352" s="50"/>
      <c r="WKC352" s="50"/>
      <c r="WKD352" s="50"/>
      <c r="WKE352" s="50"/>
      <c r="WKF352" s="50"/>
      <c r="WKG352" s="50"/>
      <c r="WKH352" s="50"/>
      <c r="WKI352" s="50"/>
      <c r="WKJ352" s="50"/>
      <c r="WKK352" s="50"/>
      <c r="WKL352" s="50"/>
      <c r="WKM352" s="50"/>
      <c r="WKN352" s="50"/>
      <c r="WKO352" s="50"/>
      <c r="WKP352" s="50"/>
      <c r="WKQ352" s="50"/>
      <c r="WKR352" s="50"/>
      <c r="WKS352" s="50"/>
      <c r="WKT352" s="50"/>
      <c r="WKU352" s="50"/>
      <c r="WKV352" s="50"/>
      <c r="WKW352" s="50"/>
      <c r="WKX352" s="50"/>
      <c r="WKY352" s="50"/>
      <c r="WKZ352" s="50"/>
      <c r="WLA352" s="50"/>
      <c r="WLB352" s="50"/>
      <c r="WLC352" s="50"/>
      <c r="WLD352" s="50"/>
      <c r="WLE352" s="50"/>
      <c r="WLF352" s="50"/>
      <c r="WLG352" s="50"/>
      <c r="WLH352" s="50"/>
      <c r="WLI352" s="50"/>
      <c r="WLJ352" s="50"/>
      <c r="WLK352" s="50"/>
      <c r="WLL352" s="50"/>
      <c r="WLM352" s="50"/>
      <c r="WLN352" s="50"/>
      <c r="WLO352" s="50"/>
      <c r="WLP352" s="50"/>
      <c r="WLQ352" s="50"/>
      <c r="WLR352" s="50"/>
      <c r="WLS352" s="50"/>
      <c r="WLT352" s="50"/>
      <c r="WLU352" s="50"/>
      <c r="WLV352" s="50"/>
      <c r="WLW352" s="50"/>
      <c r="WLX352" s="50"/>
      <c r="WLY352" s="50"/>
      <c r="WLZ352" s="50"/>
      <c r="WMA352" s="50"/>
      <c r="WMB352" s="50"/>
      <c r="WMC352" s="50"/>
      <c r="WMD352" s="50"/>
      <c r="WME352" s="50"/>
      <c r="WMF352" s="50"/>
      <c r="WMG352" s="50"/>
      <c r="WMH352" s="50"/>
      <c r="WMI352" s="50"/>
      <c r="WMJ352" s="50"/>
      <c r="WMK352" s="50"/>
      <c r="WML352" s="50"/>
      <c r="WMM352" s="50"/>
      <c r="WMN352" s="50"/>
      <c r="WMO352" s="50"/>
      <c r="WMP352" s="50"/>
      <c r="WMQ352" s="50"/>
      <c r="WMR352" s="50"/>
      <c r="WMS352" s="50"/>
      <c r="WMT352" s="50"/>
      <c r="WMU352" s="50"/>
      <c r="WMV352" s="50"/>
      <c r="WMW352" s="50"/>
      <c r="WMX352" s="50"/>
      <c r="WMY352" s="50"/>
      <c r="WMZ352" s="50"/>
      <c r="WNA352" s="50"/>
      <c r="WNB352" s="50"/>
      <c r="WNC352" s="50"/>
      <c r="WND352" s="50"/>
      <c r="WNE352" s="50"/>
      <c r="WNF352" s="50"/>
      <c r="WNG352" s="50"/>
      <c r="WNH352" s="50"/>
      <c r="WNI352" s="50"/>
      <c r="WNJ352" s="50"/>
      <c r="WNK352" s="50"/>
      <c r="WNL352" s="50"/>
      <c r="WNM352" s="50"/>
      <c r="WNN352" s="50"/>
      <c r="WNO352" s="50"/>
      <c r="WNP352" s="50"/>
      <c r="WNQ352" s="50"/>
      <c r="WNR352" s="50"/>
      <c r="WNS352" s="50"/>
      <c r="WNT352" s="50"/>
      <c r="WNU352" s="50"/>
      <c r="WNV352" s="50"/>
      <c r="WNW352" s="50"/>
      <c r="WNX352" s="50"/>
      <c r="WNY352" s="50"/>
      <c r="WNZ352" s="50"/>
      <c r="WOA352" s="50"/>
      <c r="WOB352" s="50"/>
      <c r="WOC352" s="50"/>
      <c r="WOD352" s="50"/>
      <c r="WOE352" s="50"/>
      <c r="WOF352" s="50"/>
      <c r="WOG352" s="50"/>
      <c r="WOH352" s="50"/>
      <c r="WOI352" s="50"/>
      <c r="WOJ352" s="50"/>
      <c r="WOK352" s="50"/>
      <c r="WOL352" s="50"/>
      <c r="WOM352" s="50"/>
      <c r="WON352" s="50"/>
      <c r="WOO352" s="50"/>
      <c r="WOP352" s="50"/>
      <c r="WOQ352" s="50"/>
      <c r="WOR352" s="50"/>
      <c r="WOS352" s="50"/>
      <c r="WOT352" s="50"/>
      <c r="WOU352" s="50"/>
      <c r="WOV352" s="50"/>
      <c r="WOW352" s="50"/>
      <c r="WOX352" s="50"/>
      <c r="WOY352" s="50"/>
      <c r="WOZ352" s="50"/>
      <c r="WPA352" s="50"/>
      <c r="WPB352" s="50"/>
      <c r="WPC352" s="50"/>
      <c r="WPD352" s="50"/>
      <c r="WPE352" s="50"/>
      <c r="WPF352" s="50"/>
      <c r="WPG352" s="50"/>
      <c r="WPH352" s="50"/>
      <c r="WPI352" s="50"/>
      <c r="WPJ352" s="50"/>
      <c r="WPK352" s="50"/>
      <c r="WPL352" s="50"/>
      <c r="WPM352" s="50"/>
      <c r="WPN352" s="50"/>
      <c r="WPO352" s="50"/>
      <c r="WPP352" s="50"/>
      <c r="WPQ352" s="50"/>
      <c r="WPR352" s="50"/>
      <c r="WPS352" s="50"/>
      <c r="WPT352" s="50"/>
      <c r="WPU352" s="50"/>
      <c r="WPV352" s="50"/>
      <c r="WPW352" s="50"/>
      <c r="WPX352" s="50"/>
      <c r="WPY352" s="50"/>
      <c r="WPZ352" s="50"/>
      <c r="WQA352" s="50"/>
      <c r="WQB352" s="50"/>
      <c r="WQC352" s="50"/>
      <c r="WQD352" s="50"/>
      <c r="WQE352" s="50"/>
      <c r="WQF352" s="50"/>
      <c r="WQG352" s="50"/>
      <c r="WQH352" s="50"/>
      <c r="WQI352" s="50"/>
      <c r="WQJ352" s="50"/>
      <c r="WQK352" s="50"/>
      <c r="WQL352" s="50"/>
      <c r="WQM352" s="50"/>
      <c r="WQN352" s="50"/>
      <c r="WQO352" s="50"/>
      <c r="WQP352" s="50"/>
      <c r="WQQ352" s="50"/>
      <c r="WQR352" s="50"/>
      <c r="WQS352" s="50"/>
      <c r="WQT352" s="50"/>
      <c r="WQU352" s="50"/>
      <c r="WQV352" s="50"/>
      <c r="WQW352" s="50"/>
      <c r="WQX352" s="50"/>
      <c r="WQY352" s="50"/>
      <c r="WQZ352" s="50"/>
      <c r="WRA352" s="50"/>
      <c r="WRB352" s="50"/>
      <c r="WRC352" s="50"/>
      <c r="WRD352" s="50"/>
      <c r="WRE352" s="50"/>
      <c r="WRF352" s="50"/>
      <c r="WRG352" s="50"/>
      <c r="WRH352" s="50"/>
      <c r="WRI352" s="50"/>
      <c r="WRJ352" s="50"/>
      <c r="WRK352" s="50"/>
      <c r="WRL352" s="50"/>
      <c r="WRM352" s="50"/>
      <c r="WRN352" s="50"/>
      <c r="WRO352" s="50"/>
      <c r="WRP352" s="50"/>
      <c r="WRQ352" s="50"/>
      <c r="WRR352" s="50"/>
      <c r="WRS352" s="50"/>
      <c r="WRT352" s="50"/>
      <c r="WRU352" s="50"/>
      <c r="WRV352" s="50"/>
      <c r="WRW352" s="50"/>
      <c r="WRX352" s="50"/>
      <c r="WRY352" s="50"/>
      <c r="WRZ352" s="50"/>
      <c r="WSA352" s="50"/>
      <c r="WSB352" s="50"/>
      <c r="WSC352" s="50"/>
      <c r="WSD352" s="50"/>
      <c r="WSE352" s="50"/>
      <c r="WSF352" s="50"/>
      <c r="WSG352" s="50"/>
      <c r="WSH352" s="50"/>
      <c r="WSI352" s="50"/>
      <c r="WSJ352" s="50"/>
      <c r="WSK352" s="50"/>
      <c r="WSL352" s="50"/>
      <c r="WSM352" s="50"/>
      <c r="WSN352" s="50"/>
      <c r="WSO352" s="50"/>
      <c r="WSP352" s="50"/>
      <c r="WSQ352" s="50"/>
      <c r="WSR352" s="50"/>
      <c r="WSS352" s="50"/>
      <c r="WST352" s="50"/>
      <c r="WSU352" s="50"/>
      <c r="WSV352" s="50"/>
      <c r="WSW352" s="50"/>
      <c r="WSX352" s="50"/>
      <c r="WSY352" s="50"/>
      <c r="WSZ352" s="50"/>
      <c r="WTA352" s="50"/>
      <c r="WTB352" s="50"/>
      <c r="WTC352" s="50"/>
      <c r="WTD352" s="50"/>
      <c r="WTE352" s="50"/>
      <c r="WTF352" s="50"/>
      <c r="WTG352" s="50"/>
      <c r="WTH352" s="50"/>
      <c r="WTI352" s="50"/>
      <c r="WTJ352" s="50"/>
      <c r="WTK352" s="50"/>
      <c r="WTL352" s="50"/>
      <c r="WTM352" s="50"/>
      <c r="WTN352" s="50"/>
      <c r="WTO352" s="50"/>
      <c r="WTP352" s="50"/>
      <c r="WTQ352" s="50"/>
      <c r="WTR352" s="50"/>
      <c r="WTS352" s="50"/>
      <c r="WTT352" s="50"/>
      <c r="WTU352" s="50"/>
      <c r="WTV352" s="50"/>
      <c r="WTW352" s="50"/>
      <c r="WTX352" s="50"/>
      <c r="WTY352" s="50"/>
      <c r="WTZ352" s="50"/>
      <c r="WUA352" s="50"/>
      <c r="WUB352" s="50"/>
      <c r="WUC352" s="50"/>
      <c r="WUD352" s="50"/>
      <c r="WUE352" s="50"/>
      <c r="WUF352" s="50"/>
      <c r="WUG352" s="50"/>
      <c r="WUH352" s="50"/>
      <c r="WUI352" s="50"/>
      <c r="WUJ352" s="50"/>
      <c r="WUK352" s="50"/>
      <c r="WUL352" s="50"/>
      <c r="WUM352" s="50"/>
      <c r="WUN352" s="50"/>
      <c r="WUO352" s="50"/>
    </row>
    <row r="353" spans="1:26" s="29" customFormat="1" ht="90.75" customHeight="1" x14ac:dyDescent="0.25">
      <c r="A353" s="20"/>
      <c r="B353" s="20"/>
      <c r="C353" s="20"/>
      <c r="D353" s="21"/>
      <c r="E353" s="21"/>
      <c r="F353" s="22"/>
      <c r="G353" s="22"/>
      <c r="H353" s="24"/>
      <c r="I353" s="25"/>
      <c r="J353" s="24"/>
      <c r="K353" s="37">
        <v>9</v>
      </c>
      <c r="L353" s="20" t="s">
        <v>31</v>
      </c>
      <c r="M353" s="20"/>
      <c r="N353" s="62" t="s">
        <v>209</v>
      </c>
      <c r="O353" s="24">
        <v>418</v>
      </c>
      <c r="P353" s="35">
        <v>100</v>
      </c>
      <c r="Q353" s="40">
        <v>2550</v>
      </c>
      <c r="R353" s="77">
        <f t="shared" si="69"/>
        <v>1065900</v>
      </c>
      <c r="S353" s="37">
        <v>5</v>
      </c>
      <c r="T353" s="28">
        <f t="shared" si="70"/>
        <v>53295</v>
      </c>
      <c r="U353" s="77">
        <f t="shared" si="71"/>
        <v>1012605</v>
      </c>
      <c r="V353" s="20"/>
      <c r="W353" s="26"/>
      <c r="X353" s="27"/>
      <c r="Y353" s="20"/>
      <c r="Z353" s="20"/>
    </row>
    <row r="354" spans="1:26" s="29" customFormat="1" ht="90.75" customHeight="1" x14ac:dyDescent="0.25">
      <c r="A354" s="20"/>
      <c r="B354" s="20"/>
      <c r="C354" s="20"/>
      <c r="D354" s="21"/>
      <c r="E354" s="21"/>
      <c r="F354" s="22"/>
      <c r="G354" s="22"/>
      <c r="H354" s="24"/>
      <c r="I354" s="25"/>
      <c r="J354" s="24"/>
      <c r="K354" s="37">
        <v>10</v>
      </c>
      <c r="L354" s="20" t="s">
        <v>31</v>
      </c>
      <c r="M354" s="20"/>
      <c r="N354" s="62" t="s">
        <v>209</v>
      </c>
      <c r="O354" s="24">
        <v>462</v>
      </c>
      <c r="P354" s="35">
        <v>100</v>
      </c>
      <c r="Q354" s="40">
        <v>2550</v>
      </c>
      <c r="R354" s="77">
        <f t="shared" si="69"/>
        <v>1178100</v>
      </c>
      <c r="S354" s="37">
        <v>5</v>
      </c>
      <c r="T354" s="28">
        <f t="shared" si="70"/>
        <v>58905</v>
      </c>
      <c r="U354" s="77">
        <f t="shared" si="71"/>
        <v>1119195</v>
      </c>
      <c r="V354" s="20"/>
      <c r="W354" s="26"/>
      <c r="X354" s="27"/>
      <c r="Y354" s="20"/>
      <c r="Z354" s="20"/>
    </row>
    <row r="355" spans="1:26" s="29" customFormat="1" ht="90.75" customHeight="1" x14ac:dyDescent="0.25">
      <c r="A355" s="20"/>
      <c r="B355" s="20"/>
      <c r="C355" s="20"/>
      <c r="D355" s="21"/>
      <c r="E355" s="21"/>
      <c r="F355" s="22"/>
      <c r="G355" s="22"/>
      <c r="H355" s="24"/>
      <c r="I355" s="25"/>
      <c r="J355" s="24"/>
      <c r="K355" s="37">
        <v>11</v>
      </c>
      <c r="L355" s="20" t="s">
        <v>31</v>
      </c>
      <c r="M355" s="20"/>
      <c r="N355" s="62" t="s">
        <v>209</v>
      </c>
      <c r="O355" s="24">
        <v>418</v>
      </c>
      <c r="P355" s="35">
        <v>100</v>
      </c>
      <c r="Q355" s="40">
        <v>2550</v>
      </c>
      <c r="R355" s="77">
        <f t="shared" si="69"/>
        <v>1065900</v>
      </c>
      <c r="S355" s="37">
        <v>5</v>
      </c>
      <c r="T355" s="28">
        <f t="shared" si="70"/>
        <v>53295</v>
      </c>
      <c r="U355" s="77">
        <f t="shared" si="71"/>
        <v>1012605</v>
      </c>
      <c r="V355" s="20"/>
      <c r="W355" s="26"/>
      <c r="X355" s="27"/>
      <c r="Y355" s="20"/>
      <c r="Z355" s="20"/>
    </row>
    <row r="356" spans="1:26" s="29" customFormat="1" ht="90.75" customHeight="1" x14ac:dyDescent="0.25">
      <c r="A356" s="20"/>
      <c r="B356" s="20"/>
      <c r="C356" s="20"/>
      <c r="D356" s="21"/>
      <c r="E356" s="21"/>
      <c r="F356" s="22"/>
      <c r="G356" s="22"/>
      <c r="H356" s="24"/>
      <c r="I356" s="25"/>
      <c r="J356" s="24"/>
      <c r="K356" s="37">
        <v>12</v>
      </c>
      <c r="L356" s="20" t="s">
        <v>31</v>
      </c>
      <c r="M356" s="20"/>
      <c r="N356" s="62" t="s">
        <v>209</v>
      </c>
      <c r="O356" s="24">
        <v>432</v>
      </c>
      <c r="P356" s="35">
        <v>100</v>
      </c>
      <c r="Q356" s="40">
        <v>2550</v>
      </c>
      <c r="R356" s="77">
        <f t="shared" si="69"/>
        <v>1101600</v>
      </c>
      <c r="S356" s="37">
        <v>5</v>
      </c>
      <c r="T356" s="28">
        <f t="shared" si="70"/>
        <v>55080</v>
      </c>
      <c r="U356" s="77">
        <f t="shared" si="71"/>
        <v>1046520</v>
      </c>
      <c r="V356" s="20"/>
      <c r="W356" s="26"/>
      <c r="X356" s="27"/>
      <c r="Y356" s="20"/>
      <c r="Z356" s="20"/>
    </row>
    <row r="357" spans="1:26" s="29" customFormat="1" ht="90.75" customHeight="1" x14ac:dyDescent="0.25">
      <c r="A357" s="20"/>
      <c r="B357" s="20"/>
      <c r="C357" s="20"/>
      <c r="D357" s="21"/>
      <c r="E357" s="21"/>
      <c r="F357" s="22"/>
      <c r="G357" s="22"/>
      <c r="H357" s="24"/>
      <c r="I357" s="25"/>
      <c r="J357" s="24"/>
      <c r="K357" s="37">
        <v>13</v>
      </c>
      <c r="L357" s="20" t="s">
        <v>31</v>
      </c>
      <c r="M357" s="20"/>
      <c r="N357" s="62" t="s">
        <v>209</v>
      </c>
      <c r="O357" s="24">
        <v>506.84</v>
      </c>
      <c r="P357" s="35">
        <v>100</v>
      </c>
      <c r="Q357" s="40">
        <v>2550</v>
      </c>
      <c r="R357" s="77">
        <f t="shared" si="69"/>
        <v>1292442</v>
      </c>
      <c r="S357" s="37">
        <v>3</v>
      </c>
      <c r="T357" s="28">
        <f>(R357*3/100)</f>
        <v>38773.26</v>
      </c>
      <c r="U357" s="77">
        <f t="shared" si="71"/>
        <v>1253668.74</v>
      </c>
      <c r="V357" s="20"/>
      <c r="W357" s="26"/>
      <c r="X357" s="27"/>
      <c r="Y357" s="20"/>
      <c r="Z357" s="20"/>
    </row>
    <row r="358" spans="1:26" s="29" customFormat="1" ht="90.75" customHeight="1" x14ac:dyDescent="0.25">
      <c r="A358" s="20"/>
      <c r="B358" s="20"/>
      <c r="C358" s="20"/>
      <c r="D358" s="21"/>
      <c r="E358" s="21"/>
      <c r="F358" s="22"/>
      <c r="G358" s="22"/>
      <c r="H358" s="24"/>
      <c r="I358" s="25"/>
      <c r="J358" s="24"/>
      <c r="K358" s="37"/>
      <c r="L358" s="20"/>
      <c r="M358" s="20"/>
      <c r="N358" s="62"/>
      <c r="O358" s="24"/>
      <c r="P358" s="35"/>
      <c r="Q358" s="40"/>
      <c r="R358" s="77"/>
      <c r="S358" s="37"/>
      <c r="T358" s="28"/>
      <c r="U358" s="77">
        <f>SUM(U343:U357)</f>
        <v>533759876.24000001</v>
      </c>
      <c r="V358" s="27">
        <f>(J343+U358)</f>
        <v>645544376.24000001</v>
      </c>
      <c r="W358" s="26">
        <f>(V358*100/100)</f>
        <v>645544376.24000001</v>
      </c>
      <c r="X358" s="27">
        <v>0</v>
      </c>
      <c r="Y358" s="78">
        <f>(W358-X358)</f>
        <v>645544376.24000001</v>
      </c>
      <c r="Z358" s="81" t="s">
        <v>284</v>
      </c>
    </row>
    <row r="359" spans="1:26" s="29" customFormat="1" ht="90.75" customHeight="1" x14ac:dyDescent="0.25">
      <c r="A359" s="20">
        <v>223</v>
      </c>
      <c r="B359" s="20" t="s">
        <v>0</v>
      </c>
      <c r="C359" s="20">
        <v>47951</v>
      </c>
      <c r="D359" s="21">
        <v>24</v>
      </c>
      <c r="E359" s="21">
        <v>1</v>
      </c>
      <c r="F359" s="22">
        <v>43</v>
      </c>
      <c r="G359" s="21" t="s">
        <v>209</v>
      </c>
      <c r="H359" s="24">
        <f>(D359*400)+(E359*100)+F359</f>
        <v>9743</v>
      </c>
      <c r="I359" s="25" t="s">
        <v>123</v>
      </c>
      <c r="J359" s="24">
        <f>(H359*I359)</f>
        <v>43843500</v>
      </c>
      <c r="K359" s="30">
        <v>1</v>
      </c>
      <c r="L359" s="20" t="s">
        <v>14</v>
      </c>
      <c r="M359" s="35" t="s">
        <v>13</v>
      </c>
      <c r="N359" s="30">
        <v>3</v>
      </c>
      <c r="O359" s="28">
        <v>9921.32</v>
      </c>
      <c r="P359" s="82">
        <v>100</v>
      </c>
      <c r="Q359" s="83">
        <v>3500</v>
      </c>
      <c r="R359" s="36">
        <f>(O359*Q359)</f>
        <v>34724620</v>
      </c>
      <c r="S359" s="84">
        <v>2</v>
      </c>
      <c r="T359" s="28">
        <f>(R359*2/100)</f>
        <v>694492.4</v>
      </c>
      <c r="U359" s="36">
        <f>(R359-T359)</f>
        <v>34030127.600000001</v>
      </c>
      <c r="V359" s="20"/>
      <c r="W359" s="26"/>
      <c r="X359" s="27"/>
      <c r="Y359" s="20"/>
      <c r="Z359" s="20"/>
    </row>
    <row r="360" spans="1:26" s="29" customFormat="1" ht="90.75" customHeight="1" x14ac:dyDescent="0.25">
      <c r="A360" s="20"/>
      <c r="B360" s="20"/>
      <c r="C360" s="20"/>
      <c r="D360" s="21"/>
      <c r="E360" s="21"/>
      <c r="F360" s="22"/>
      <c r="G360" s="22"/>
      <c r="H360" s="24"/>
      <c r="I360" s="25"/>
      <c r="J360" s="24"/>
      <c r="K360" s="30">
        <v>2</v>
      </c>
      <c r="L360" s="20" t="s">
        <v>27</v>
      </c>
      <c r="M360" s="35" t="s">
        <v>13</v>
      </c>
      <c r="N360" s="30"/>
      <c r="O360" s="28">
        <v>750</v>
      </c>
      <c r="P360" s="82">
        <v>100</v>
      </c>
      <c r="Q360" s="83">
        <v>7100</v>
      </c>
      <c r="R360" s="36">
        <f>(O360*Q360)</f>
        <v>5325000</v>
      </c>
      <c r="S360" s="84">
        <v>2</v>
      </c>
      <c r="T360" s="28">
        <f>(R360*2/100)</f>
        <v>106500</v>
      </c>
      <c r="U360" s="36">
        <f>(R360-T360)</f>
        <v>5218500</v>
      </c>
      <c r="V360" s="20"/>
      <c r="W360" s="26"/>
      <c r="X360" s="27"/>
      <c r="Y360" s="20"/>
      <c r="Z360" s="20"/>
    </row>
    <row r="361" spans="1:26" s="29" customFormat="1" ht="90.75" customHeight="1" x14ac:dyDescent="0.25">
      <c r="A361" s="20"/>
      <c r="B361" s="20"/>
      <c r="C361" s="20"/>
      <c r="D361" s="21"/>
      <c r="E361" s="21"/>
      <c r="F361" s="22"/>
      <c r="G361" s="22"/>
      <c r="H361" s="24"/>
      <c r="I361" s="25"/>
      <c r="J361" s="24"/>
      <c r="K361" s="30">
        <v>3</v>
      </c>
      <c r="L361" s="20" t="s">
        <v>215</v>
      </c>
      <c r="M361" s="35" t="s">
        <v>13</v>
      </c>
      <c r="N361" s="30"/>
      <c r="O361" s="28">
        <v>600</v>
      </c>
      <c r="P361" s="82">
        <v>100</v>
      </c>
      <c r="Q361" s="83">
        <v>6450</v>
      </c>
      <c r="R361" s="36">
        <f>(O361*Q361)</f>
        <v>3870000</v>
      </c>
      <c r="S361" s="84">
        <v>2</v>
      </c>
      <c r="T361" s="28">
        <f>(R361*2/100)</f>
        <v>77400</v>
      </c>
      <c r="U361" s="36">
        <f>(R361-T361)</f>
        <v>3792600</v>
      </c>
      <c r="V361" s="20"/>
      <c r="W361" s="26"/>
      <c r="X361" s="27"/>
      <c r="Y361" s="20"/>
      <c r="Z361" s="20"/>
    </row>
    <row r="362" spans="1:26" s="29" customFormat="1" ht="90.75" customHeight="1" x14ac:dyDescent="0.25">
      <c r="A362" s="20"/>
      <c r="B362" s="20"/>
      <c r="C362" s="20"/>
      <c r="D362" s="21"/>
      <c r="E362" s="21"/>
      <c r="F362" s="22"/>
      <c r="G362" s="22"/>
      <c r="H362" s="24"/>
      <c r="I362" s="25"/>
      <c r="J362" s="24"/>
      <c r="K362" s="30">
        <v>4</v>
      </c>
      <c r="L362" s="20" t="s">
        <v>31</v>
      </c>
      <c r="M362" s="52" t="s">
        <v>145</v>
      </c>
      <c r="N362" s="30"/>
      <c r="O362" s="28">
        <v>75</v>
      </c>
      <c r="P362" s="82">
        <v>100</v>
      </c>
      <c r="Q362" s="83">
        <v>2550</v>
      </c>
      <c r="R362" s="36">
        <f>(O362*Q362)</f>
        <v>191250</v>
      </c>
      <c r="S362" s="84">
        <v>2</v>
      </c>
      <c r="T362" s="28">
        <f>(R362*2/100)</f>
        <v>3825</v>
      </c>
      <c r="U362" s="36">
        <f>(R362-T362)</f>
        <v>187425</v>
      </c>
      <c r="V362" s="20"/>
      <c r="W362" s="26"/>
      <c r="X362" s="27"/>
      <c r="Y362" s="20"/>
      <c r="Z362" s="20"/>
    </row>
    <row r="363" spans="1:26" s="29" customFormat="1" ht="90.75" customHeight="1" x14ac:dyDescent="0.25">
      <c r="A363" s="20"/>
      <c r="B363" s="20"/>
      <c r="C363" s="20"/>
      <c r="D363" s="21"/>
      <c r="E363" s="21"/>
      <c r="F363" s="22"/>
      <c r="G363" s="22"/>
      <c r="H363" s="24"/>
      <c r="I363" s="25"/>
      <c r="J363" s="24"/>
      <c r="K363" s="30">
        <v>5</v>
      </c>
      <c r="L363" s="20" t="s">
        <v>29</v>
      </c>
      <c r="M363" s="35"/>
      <c r="N363" s="30"/>
      <c r="O363" s="28">
        <v>43</v>
      </c>
      <c r="P363" s="82">
        <v>100</v>
      </c>
      <c r="Q363" s="83">
        <v>5550</v>
      </c>
      <c r="R363" s="36">
        <f>(O363*Q363)</f>
        <v>238650</v>
      </c>
      <c r="S363" s="84">
        <v>2</v>
      </c>
      <c r="T363" s="28">
        <f>(R363*2/100)</f>
        <v>4773</v>
      </c>
      <c r="U363" s="36">
        <f>(R363-T363)</f>
        <v>233877</v>
      </c>
      <c r="V363" s="20"/>
      <c r="W363" s="26"/>
      <c r="X363" s="27"/>
      <c r="Y363" s="20"/>
      <c r="Z363" s="20"/>
    </row>
    <row r="364" spans="1:26" s="29" customFormat="1" ht="90.75" customHeight="1" x14ac:dyDescent="0.25">
      <c r="A364" s="20"/>
      <c r="B364" s="20"/>
      <c r="C364" s="20"/>
      <c r="D364" s="21"/>
      <c r="E364" s="21"/>
      <c r="F364" s="22"/>
      <c r="G364" s="22"/>
      <c r="H364" s="24"/>
      <c r="I364" s="25"/>
      <c r="J364" s="24"/>
      <c r="K364" s="30"/>
      <c r="L364" s="20"/>
      <c r="M364" s="35"/>
      <c r="N364" s="30"/>
      <c r="O364" s="28"/>
      <c r="P364" s="82"/>
      <c r="Q364" s="83"/>
      <c r="R364" s="36"/>
      <c r="S364" s="84"/>
      <c r="T364" s="28"/>
      <c r="U364" s="36">
        <f>SUM(U359:U363)</f>
        <v>43462529.600000001</v>
      </c>
      <c r="V364" s="27">
        <f>(J359+U364)</f>
        <v>87306029.599999994</v>
      </c>
      <c r="W364" s="26">
        <f>(V364*100/100)</f>
        <v>87306029.599999994</v>
      </c>
      <c r="X364" s="27">
        <v>0</v>
      </c>
      <c r="Y364" s="78">
        <f>(W364-X364)</f>
        <v>87306029.599999994</v>
      </c>
      <c r="Z364" s="49" t="s">
        <v>250</v>
      </c>
    </row>
    <row r="365" spans="1:26" s="29" customFormat="1" ht="90.75" customHeight="1" x14ac:dyDescent="0.25">
      <c r="A365" s="20">
        <v>224</v>
      </c>
      <c r="B365" s="20" t="s">
        <v>0</v>
      </c>
      <c r="C365" s="20">
        <v>2172</v>
      </c>
      <c r="D365" s="21">
        <v>35</v>
      </c>
      <c r="E365" s="21">
        <v>2</v>
      </c>
      <c r="F365" s="22">
        <v>56</v>
      </c>
      <c r="G365" s="21" t="s">
        <v>209</v>
      </c>
      <c r="H365" s="24">
        <f>(D365*400)+(E365*100)+F365</f>
        <v>14256</v>
      </c>
      <c r="I365" s="25">
        <v>150</v>
      </c>
      <c r="J365" s="24">
        <f>(H365*I365)</f>
        <v>2138400</v>
      </c>
      <c r="K365" s="20"/>
      <c r="L365" s="20"/>
      <c r="M365" s="20"/>
      <c r="N365" s="20"/>
      <c r="O365" s="24"/>
      <c r="P365" s="24"/>
      <c r="Q365" s="25"/>
      <c r="R365" s="24"/>
      <c r="S365" s="20"/>
      <c r="T365" s="27"/>
      <c r="U365" s="77"/>
      <c r="V365" s="27">
        <f>(J365+U365)</f>
        <v>2138400</v>
      </c>
      <c r="W365" s="26">
        <f>(V365*100/100)</f>
        <v>2138400</v>
      </c>
      <c r="X365" s="27">
        <v>0</v>
      </c>
      <c r="Y365" s="26">
        <f>(W365-X365)</f>
        <v>2138400</v>
      </c>
      <c r="Z365" s="49">
        <v>3.0000000000000001E-3</v>
      </c>
    </row>
    <row r="366" spans="1:26" s="29" customFormat="1" ht="90.75" customHeight="1" x14ac:dyDescent="0.25">
      <c r="A366" s="20"/>
      <c r="B366" s="20"/>
      <c r="C366" s="20"/>
      <c r="D366" s="21"/>
      <c r="E366" s="21"/>
      <c r="F366" s="22"/>
      <c r="G366" s="22"/>
      <c r="H366" s="24">
        <v>1603.25</v>
      </c>
      <c r="I366" s="25">
        <v>150</v>
      </c>
      <c r="J366" s="24">
        <f>(H366*I366)</f>
        <v>240487.5</v>
      </c>
      <c r="K366" s="37">
        <v>1</v>
      </c>
      <c r="L366" s="20" t="s">
        <v>12</v>
      </c>
      <c r="M366" s="20" t="s">
        <v>13</v>
      </c>
      <c r="N366" s="62">
        <v>3</v>
      </c>
      <c r="O366" s="24">
        <v>182</v>
      </c>
      <c r="P366" s="35">
        <v>100</v>
      </c>
      <c r="Q366" s="40">
        <v>7700</v>
      </c>
      <c r="R366" s="77">
        <f t="shared" ref="R366:R385" si="72">(O366*Q366)</f>
        <v>1401400</v>
      </c>
      <c r="S366" s="37">
        <v>3</v>
      </c>
      <c r="T366" s="28">
        <f t="shared" ref="T366:T385" si="73">(R366*3/100)</f>
        <v>42042</v>
      </c>
      <c r="U366" s="77">
        <f t="shared" ref="U366:U385" si="74">(R366-T366)</f>
        <v>1359358</v>
      </c>
      <c r="V366" s="20"/>
      <c r="W366" s="26"/>
      <c r="X366" s="27"/>
      <c r="Y366" s="20"/>
      <c r="Z366" s="20"/>
    </row>
    <row r="367" spans="1:26" s="29" customFormat="1" ht="90.75" customHeight="1" x14ac:dyDescent="0.25">
      <c r="A367" s="20"/>
      <c r="B367" s="20"/>
      <c r="C367" s="20"/>
      <c r="D367" s="21"/>
      <c r="E367" s="21"/>
      <c r="F367" s="22"/>
      <c r="G367" s="22"/>
      <c r="H367" s="24"/>
      <c r="I367" s="25"/>
      <c r="J367" s="24"/>
      <c r="K367" s="37">
        <v>2</v>
      </c>
      <c r="L367" s="20" t="s">
        <v>14</v>
      </c>
      <c r="M367" s="20" t="s">
        <v>13</v>
      </c>
      <c r="N367" s="62">
        <v>3</v>
      </c>
      <c r="O367" s="24">
        <v>780</v>
      </c>
      <c r="P367" s="35">
        <v>100</v>
      </c>
      <c r="Q367" s="40">
        <v>3500</v>
      </c>
      <c r="R367" s="77">
        <f t="shared" si="72"/>
        <v>2730000</v>
      </c>
      <c r="S367" s="37">
        <v>3</v>
      </c>
      <c r="T367" s="28">
        <f t="shared" si="73"/>
        <v>81900</v>
      </c>
      <c r="U367" s="77">
        <f t="shared" si="74"/>
        <v>2648100</v>
      </c>
      <c r="V367" s="20"/>
      <c r="W367" s="26"/>
      <c r="X367" s="27"/>
      <c r="Y367" s="20"/>
      <c r="Z367" s="20"/>
    </row>
    <row r="368" spans="1:26" s="29" customFormat="1" ht="90.75" customHeight="1" x14ac:dyDescent="0.25">
      <c r="A368" s="20"/>
      <c r="B368" s="20"/>
      <c r="C368" s="20"/>
      <c r="D368" s="21"/>
      <c r="E368" s="21"/>
      <c r="F368" s="22"/>
      <c r="G368" s="22"/>
      <c r="H368" s="24"/>
      <c r="I368" s="25"/>
      <c r="J368" s="24"/>
      <c r="K368" s="37">
        <v>3</v>
      </c>
      <c r="L368" s="20" t="s">
        <v>14</v>
      </c>
      <c r="M368" s="20" t="s">
        <v>13</v>
      </c>
      <c r="N368" s="62">
        <v>3</v>
      </c>
      <c r="O368" s="24">
        <v>780</v>
      </c>
      <c r="P368" s="35">
        <v>100</v>
      </c>
      <c r="Q368" s="40">
        <v>3500</v>
      </c>
      <c r="R368" s="77">
        <f t="shared" si="72"/>
        <v>2730000</v>
      </c>
      <c r="S368" s="37">
        <v>3</v>
      </c>
      <c r="T368" s="28">
        <f t="shared" si="73"/>
        <v>81900</v>
      </c>
      <c r="U368" s="77">
        <f t="shared" si="74"/>
        <v>2648100</v>
      </c>
      <c r="V368" s="20"/>
      <c r="W368" s="26"/>
      <c r="X368" s="27"/>
      <c r="Y368" s="20"/>
      <c r="Z368" s="20"/>
    </row>
    <row r="369" spans="1:26" s="29" customFormat="1" ht="90.75" customHeight="1" x14ac:dyDescent="0.25">
      <c r="A369" s="20"/>
      <c r="B369" s="20"/>
      <c r="C369" s="20"/>
      <c r="D369" s="21"/>
      <c r="E369" s="21"/>
      <c r="F369" s="22"/>
      <c r="G369" s="22"/>
      <c r="H369" s="24"/>
      <c r="I369" s="25"/>
      <c r="J369" s="24"/>
      <c r="K369" s="37">
        <v>4</v>
      </c>
      <c r="L369" s="20" t="s">
        <v>14</v>
      </c>
      <c r="M369" s="20" t="s">
        <v>13</v>
      </c>
      <c r="N369" s="62">
        <v>3</v>
      </c>
      <c r="O369" s="24">
        <v>780</v>
      </c>
      <c r="P369" s="35">
        <v>100</v>
      </c>
      <c r="Q369" s="40">
        <v>3500</v>
      </c>
      <c r="R369" s="77">
        <f t="shared" si="72"/>
        <v>2730000</v>
      </c>
      <c r="S369" s="37">
        <v>3</v>
      </c>
      <c r="T369" s="28">
        <f t="shared" si="73"/>
        <v>81900</v>
      </c>
      <c r="U369" s="77">
        <f t="shared" si="74"/>
        <v>2648100</v>
      </c>
      <c r="V369" s="20"/>
      <c r="W369" s="26"/>
      <c r="X369" s="27"/>
      <c r="Y369" s="20"/>
      <c r="Z369" s="20"/>
    </row>
    <row r="370" spans="1:26" s="29" customFormat="1" ht="90.75" customHeight="1" x14ac:dyDescent="0.25">
      <c r="A370" s="20"/>
      <c r="B370" s="20"/>
      <c r="C370" s="20"/>
      <c r="D370" s="21"/>
      <c r="E370" s="21"/>
      <c r="F370" s="22"/>
      <c r="G370" s="22"/>
      <c r="H370" s="24"/>
      <c r="I370" s="25"/>
      <c r="J370" s="24"/>
      <c r="K370" s="37">
        <v>5</v>
      </c>
      <c r="L370" s="20" t="s">
        <v>15</v>
      </c>
      <c r="M370" s="20" t="s">
        <v>13</v>
      </c>
      <c r="N370" s="62">
        <v>3</v>
      </c>
      <c r="O370" s="24">
        <v>931</v>
      </c>
      <c r="P370" s="35">
        <v>100</v>
      </c>
      <c r="Q370" s="40">
        <v>5950</v>
      </c>
      <c r="R370" s="77">
        <f t="shared" si="72"/>
        <v>5539450</v>
      </c>
      <c r="S370" s="37">
        <v>3</v>
      </c>
      <c r="T370" s="28">
        <f t="shared" si="73"/>
        <v>166183.5</v>
      </c>
      <c r="U370" s="77">
        <f t="shared" si="74"/>
        <v>5373266.5</v>
      </c>
      <c r="V370" s="20"/>
      <c r="W370" s="26"/>
      <c r="X370" s="27"/>
      <c r="Y370" s="20"/>
      <c r="Z370" s="20"/>
    </row>
    <row r="371" spans="1:26" s="29" customFormat="1" ht="90.75" customHeight="1" x14ac:dyDescent="0.25">
      <c r="A371" s="20"/>
      <c r="B371" s="20"/>
      <c r="C371" s="20"/>
      <c r="D371" s="21"/>
      <c r="E371" s="21"/>
      <c r="F371" s="22"/>
      <c r="G371" s="22"/>
      <c r="H371" s="24"/>
      <c r="I371" s="25"/>
      <c r="J371" s="24"/>
      <c r="K371" s="37">
        <v>6</v>
      </c>
      <c r="L371" s="20" t="s">
        <v>15</v>
      </c>
      <c r="M371" s="20" t="s">
        <v>13</v>
      </c>
      <c r="N371" s="62">
        <v>3</v>
      </c>
      <c r="O371" s="24">
        <v>197</v>
      </c>
      <c r="P371" s="35">
        <v>100</v>
      </c>
      <c r="Q371" s="40">
        <v>5950</v>
      </c>
      <c r="R371" s="77">
        <f t="shared" si="72"/>
        <v>1172150</v>
      </c>
      <c r="S371" s="37">
        <v>3</v>
      </c>
      <c r="T371" s="28">
        <f t="shared" si="73"/>
        <v>35164.5</v>
      </c>
      <c r="U371" s="77">
        <f t="shared" si="74"/>
        <v>1136985.5</v>
      </c>
      <c r="V371" s="20"/>
      <c r="W371" s="26"/>
      <c r="X371" s="27"/>
      <c r="Y371" s="20"/>
      <c r="Z371" s="20"/>
    </row>
    <row r="372" spans="1:26" s="29" customFormat="1" ht="90.75" customHeight="1" x14ac:dyDescent="0.25">
      <c r="A372" s="20"/>
      <c r="B372" s="20"/>
      <c r="C372" s="20"/>
      <c r="D372" s="21"/>
      <c r="E372" s="21"/>
      <c r="F372" s="22"/>
      <c r="G372" s="22"/>
      <c r="H372" s="24"/>
      <c r="I372" s="25"/>
      <c r="J372" s="24"/>
      <c r="K372" s="37">
        <v>7</v>
      </c>
      <c r="L372" s="20" t="s">
        <v>15</v>
      </c>
      <c r="M372" s="20" t="s">
        <v>13</v>
      </c>
      <c r="N372" s="62">
        <v>3</v>
      </c>
      <c r="O372" s="24">
        <v>224</v>
      </c>
      <c r="P372" s="35">
        <v>100</v>
      </c>
      <c r="Q372" s="40">
        <v>5950</v>
      </c>
      <c r="R372" s="77">
        <f t="shared" si="72"/>
        <v>1332800</v>
      </c>
      <c r="S372" s="37">
        <v>3</v>
      </c>
      <c r="T372" s="28">
        <f t="shared" si="73"/>
        <v>39984</v>
      </c>
      <c r="U372" s="77">
        <f t="shared" si="74"/>
        <v>1292816</v>
      </c>
      <c r="V372" s="20"/>
      <c r="W372" s="26"/>
      <c r="X372" s="27"/>
      <c r="Y372" s="20"/>
      <c r="Z372" s="20"/>
    </row>
    <row r="373" spans="1:26" s="29" customFormat="1" ht="90.75" customHeight="1" x14ac:dyDescent="0.25">
      <c r="A373" s="20"/>
      <c r="B373" s="20"/>
      <c r="C373" s="20"/>
      <c r="D373" s="21"/>
      <c r="E373" s="21"/>
      <c r="F373" s="22"/>
      <c r="G373" s="22"/>
      <c r="H373" s="24"/>
      <c r="I373" s="25"/>
      <c r="J373" s="24"/>
      <c r="K373" s="37">
        <v>8</v>
      </c>
      <c r="L373" s="20" t="s">
        <v>15</v>
      </c>
      <c r="M373" s="20" t="s">
        <v>13</v>
      </c>
      <c r="N373" s="62">
        <v>3</v>
      </c>
      <c r="O373" s="24">
        <v>72</v>
      </c>
      <c r="P373" s="35">
        <v>100</v>
      </c>
      <c r="Q373" s="40">
        <v>5950</v>
      </c>
      <c r="R373" s="77">
        <f t="shared" si="72"/>
        <v>428400</v>
      </c>
      <c r="S373" s="37">
        <v>3</v>
      </c>
      <c r="T373" s="28">
        <f t="shared" si="73"/>
        <v>12852</v>
      </c>
      <c r="U373" s="77">
        <f t="shared" si="74"/>
        <v>415548</v>
      </c>
      <c r="V373" s="20"/>
      <c r="W373" s="26"/>
      <c r="X373" s="27"/>
      <c r="Y373" s="20"/>
      <c r="Z373" s="20"/>
    </row>
    <row r="374" spans="1:26" s="29" customFormat="1" ht="90.75" customHeight="1" x14ac:dyDescent="0.25">
      <c r="A374" s="20"/>
      <c r="B374" s="20"/>
      <c r="C374" s="20"/>
      <c r="D374" s="21"/>
      <c r="E374" s="21"/>
      <c r="F374" s="22"/>
      <c r="G374" s="22"/>
      <c r="H374" s="24"/>
      <c r="I374" s="25"/>
      <c r="J374" s="24"/>
      <c r="K374" s="37">
        <v>9</v>
      </c>
      <c r="L374" s="20" t="s">
        <v>15</v>
      </c>
      <c r="M374" s="20" t="s">
        <v>13</v>
      </c>
      <c r="N374" s="62">
        <v>3</v>
      </c>
      <c r="O374" s="24">
        <v>144</v>
      </c>
      <c r="P374" s="35">
        <v>100</v>
      </c>
      <c r="Q374" s="40">
        <v>5950</v>
      </c>
      <c r="R374" s="77">
        <f t="shared" si="72"/>
        <v>856800</v>
      </c>
      <c r="S374" s="37">
        <v>3</v>
      </c>
      <c r="T374" s="28">
        <f t="shared" si="73"/>
        <v>25704</v>
      </c>
      <c r="U374" s="77">
        <f t="shared" si="74"/>
        <v>831096</v>
      </c>
      <c r="V374" s="20"/>
      <c r="W374" s="26"/>
      <c r="X374" s="27"/>
      <c r="Y374" s="20"/>
      <c r="Z374" s="20"/>
    </row>
    <row r="375" spans="1:26" s="29" customFormat="1" ht="90.75" customHeight="1" x14ac:dyDescent="0.25">
      <c r="A375" s="20"/>
      <c r="B375" s="20"/>
      <c r="C375" s="20"/>
      <c r="D375" s="21"/>
      <c r="E375" s="21"/>
      <c r="F375" s="22"/>
      <c r="G375" s="22"/>
      <c r="H375" s="24"/>
      <c r="I375" s="25"/>
      <c r="J375" s="24"/>
      <c r="K375" s="37">
        <v>10</v>
      </c>
      <c r="L375" s="20" t="s">
        <v>15</v>
      </c>
      <c r="M375" s="20" t="s">
        <v>13</v>
      </c>
      <c r="N375" s="62">
        <v>3</v>
      </c>
      <c r="O375" s="24">
        <v>29</v>
      </c>
      <c r="P375" s="35">
        <v>100</v>
      </c>
      <c r="Q375" s="40">
        <v>5950</v>
      </c>
      <c r="R375" s="77">
        <f t="shared" si="72"/>
        <v>172550</v>
      </c>
      <c r="S375" s="37">
        <v>3</v>
      </c>
      <c r="T375" s="28">
        <f t="shared" si="73"/>
        <v>5176.5</v>
      </c>
      <c r="U375" s="77">
        <f t="shared" si="74"/>
        <v>167373.5</v>
      </c>
      <c r="V375" s="20"/>
      <c r="W375" s="26"/>
      <c r="X375" s="27"/>
      <c r="Y375" s="20"/>
      <c r="Z375" s="20"/>
    </row>
    <row r="376" spans="1:26" s="29" customFormat="1" ht="90.75" customHeight="1" x14ac:dyDescent="0.25">
      <c r="A376" s="20"/>
      <c r="B376" s="20"/>
      <c r="C376" s="20"/>
      <c r="D376" s="21"/>
      <c r="E376" s="21"/>
      <c r="F376" s="22"/>
      <c r="G376" s="22"/>
      <c r="H376" s="24"/>
      <c r="I376" s="25"/>
      <c r="J376" s="24"/>
      <c r="K376" s="37">
        <v>11</v>
      </c>
      <c r="L376" s="20" t="s">
        <v>15</v>
      </c>
      <c r="M376" s="20" t="s">
        <v>13</v>
      </c>
      <c r="N376" s="62">
        <v>3</v>
      </c>
      <c r="O376" s="24">
        <v>29</v>
      </c>
      <c r="P376" s="35">
        <v>100</v>
      </c>
      <c r="Q376" s="40">
        <v>5950</v>
      </c>
      <c r="R376" s="77">
        <f t="shared" si="72"/>
        <v>172550</v>
      </c>
      <c r="S376" s="37">
        <v>3</v>
      </c>
      <c r="T376" s="28">
        <f t="shared" si="73"/>
        <v>5176.5</v>
      </c>
      <c r="U376" s="77">
        <f t="shared" si="74"/>
        <v>167373.5</v>
      </c>
      <c r="V376" s="20"/>
      <c r="W376" s="26"/>
      <c r="X376" s="27"/>
      <c r="Y376" s="20"/>
      <c r="Z376" s="20"/>
    </row>
    <row r="377" spans="1:26" s="29" customFormat="1" ht="90.75" customHeight="1" x14ac:dyDescent="0.25">
      <c r="A377" s="20"/>
      <c r="B377" s="20"/>
      <c r="C377" s="20"/>
      <c r="D377" s="21"/>
      <c r="E377" s="21"/>
      <c r="F377" s="22"/>
      <c r="G377" s="22"/>
      <c r="H377" s="24"/>
      <c r="I377" s="25"/>
      <c r="J377" s="24"/>
      <c r="K377" s="37">
        <v>12</v>
      </c>
      <c r="L377" s="20" t="s">
        <v>15</v>
      </c>
      <c r="M377" s="20" t="s">
        <v>13</v>
      </c>
      <c r="N377" s="62">
        <v>3</v>
      </c>
      <c r="O377" s="24">
        <v>40</v>
      </c>
      <c r="P377" s="35">
        <v>100</v>
      </c>
      <c r="Q377" s="40">
        <v>5950</v>
      </c>
      <c r="R377" s="77">
        <f t="shared" si="72"/>
        <v>238000</v>
      </c>
      <c r="S377" s="37">
        <v>3</v>
      </c>
      <c r="T377" s="28">
        <f t="shared" si="73"/>
        <v>7140</v>
      </c>
      <c r="U377" s="77">
        <f t="shared" si="74"/>
        <v>230860</v>
      </c>
      <c r="V377" s="20"/>
      <c r="W377" s="26"/>
      <c r="X377" s="27"/>
      <c r="Y377" s="20"/>
      <c r="Z377" s="20"/>
    </row>
    <row r="378" spans="1:26" s="29" customFormat="1" ht="90.75" customHeight="1" x14ac:dyDescent="0.25">
      <c r="A378" s="20"/>
      <c r="B378" s="20"/>
      <c r="C378" s="20"/>
      <c r="D378" s="21"/>
      <c r="E378" s="21"/>
      <c r="F378" s="22"/>
      <c r="G378" s="22"/>
      <c r="H378" s="24"/>
      <c r="I378" s="25"/>
      <c r="J378" s="24"/>
      <c r="K378" s="37">
        <v>13</v>
      </c>
      <c r="L378" s="20" t="s">
        <v>15</v>
      </c>
      <c r="M378" s="20" t="s">
        <v>13</v>
      </c>
      <c r="N378" s="62">
        <v>3</v>
      </c>
      <c r="O378" s="24">
        <v>314</v>
      </c>
      <c r="P378" s="35">
        <v>100</v>
      </c>
      <c r="Q378" s="40">
        <v>5950</v>
      </c>
      <c r="R378" s="77">
        <f t="shared" si="72"/>
        <v>1868300</v>
      </c>
      <c r="S378" s="37">
        <v>3</v>
      </c>
      <c r="T378" s="28">
        <f t="shared" si="73"/>
        <v>56049</v>
      </c>
      <c r="U378" s="77">
        <f t="shared" si="74"/>
        <v>1812251</v>
      </c>
      <c r="V378" s="20"/>
      <c r="W378" s="26"/>
      <c r="X378" s="27"/>
      <c r="Y378" s="20"/>
      <c r="Z378" s="20"/>
    </row>
    <row r="379" spans="1:26" s="29" customFormat="1" ht="90.75" customHeight="1" x14ac:dyDescent="0.25">
      <c r="A379" s="20"/>
      <c r="B379" s="20"/>
      <c r="C379" s="20"/>
      <c r="D379" s="21"/>
      <c r="E379" s="21"/>
      <c r="F379" s="22"/>
      <c r="G379" s="22"/>
      <c r="H379" s="24"/>
      <c r="I379" s="25"/>
      <c r="J379" s="24"/>
      <c r="K379" s="37">
        <v>14</v>
      </c>
      <c r="L379" s="20" t="s">
        <v>15</v>
      </c>
      <c r="M379" s="20" t="s">
        <v>13</v>
      </c>
      <c r="N379" s="62">
        <v>3</v>
      </c>
      <c r="O379" s="24">
        <v>52</v>
      </c>
      <c r="P379" s="35">
        <v>100</v>
      </c>
      <c r="Q379" s="40">
        <v>5950</v>
      </c>
      <c r="R379" s="77">
        <f t="shared" si="72"/>
        <v>309400</v>
      </c>
      <c r="S379" s="37">
        <v>3</v>
      </c>
      <c r="T379" s="28">
        <f t="shared" si="73"/>
        <v>9282</v>
      </c>
      <c r="U379" s="77">
        <f t="shared" si="74"/>
        <v>300118</v>
      </c>
      <c r="V379" s="20"/>
      <c r="W379" s="26"/>
      <c r="X379" s="27"/>
      <c r="Y379" s="20"/>
      <c r="Z379" s="20"/>
    </row>
    <row r="380" spans="1:26" s="29" customFormat="1" ht="90.75" customHeight="1" x14ac:dyDescent="0.25">
      <c r="A380" s="20"/>
      <c r="B380" s="20"/>
      <c r="C380" s="20"/>
      <c r="D380" s="21"/>
      <c r="E380" s="21"/>
      <c r="F380" s="22"/>
      <c r="G380" s="22"/>
      <c r="H380" s="24"/>
      <c r="I380" s="25"/>
      <c r="J380" s="24"/>
      <c r="K380" s="37">
        <v>15</v>
      </c>
      <c r="L380" s="20" t="s">
        <v>15</v>
      </c>
      <c r="M380" s="20" t="s">
        <v>13</v>
      </c>
      <c r="N380" s="62">
        <v>3</v>
      </c>
      <c r="O380" s="24">
        <v>93</v>
      </c>
      <c r="P380" s="35">
        <v>100</v>
      </c>
      <c r="Q380" s="40">
        <v>5950</v>
      </c>
      <c r="R380" s="77">
        <f t="shared" si="72"/>
        <v>553350</v>
      </c>
      <c r="S380" s="37">
        <v>3</v>
      </c>
      <c r="T380" s="28">
        <f t="shared" si="73"/>
        <v>16600.5</v>
      </c>
      <c r="U380" s="77">
        <f t="shared" si="74"/>
        <v>536749.5</v>
      </c>
      <c r="V380" s="20"/>
      <c r="W380" s="26"/>
      <c r="X380" s="27"/>
      <c r="Y380" s="20"/>
      <c r="Z380" s="20"/>
    </row>
    <row r="381" spans="1:26" s="29" customFormat="1" ht="90.75" customHeight="1" x14ac:dyDescent="0.25">
      <c r="A381" s="20"/>
      <c r="B381" s="20"/>
      <c r="C381" s="20"/>
      <c r="D381" s="21"/>
      <c r="E381" s="21"/>
      <c r="F381" s="22"/>
      <c r="G381" s="22"/>
      <c r="H381" s="24"/>
      <c r="I381" s="25"/>
      <c r="J381" s="24"/>
      <c r="K381" s="37">
        <v>16</v>
      </c>
      <c r="L381" s="20" t="s">
        <v>15</v>
      </c>
      <c r="M381" s="20" t="s">
        <v>13</v>
      </c>
      <c r="N381" s="62">
        <v>3</v>
      </c>
      <c r="O381" s="24">
        <v>10</v>
      </c>
      <c r="P381" s="35">
        <v>100</v>
      </c>
      <c r="Q381" s="40">
        <v>5950</v>
      </c>
      <c r="R381" s="77">
        <f t="shared" si="72"/>
        <v>59500</v>
      </c>
      <c r="S381" s="37">
        <v>3</v>
      </c>
      <c r="T381" s="28">
        <f t="shared" si="73"/>
        <v>1785</v>
      </c>
      <c r="U381" s="77">
        <f t="shared" si="74"/>
        <v>57715</v>
      </c>
      <c r="V381" s="20"/>
      <c r="W381" s="26"/>
      <c r="X381" s="27"/>
      <c r="Y381" s="20"/>
      <c r="Z381" s="20"/>
    </row>
    <row r="382" spans="1:26" s="29" customFormat="1" ht="90.75" customHeight="1" x14ac:dyDescent="0.25">
      <c r="A382" s="20"/>
      <c r="B382" s="20"/>
      <c r="C382" s="20"/>
      <c r="D382" s="21"/>
      <c r="E382" s="21"/>
      <c r="F382" s="22"/>
      <c r="G382" s="22"/>
      <c r="H382" s="24"/>
      <c r="I382" s="25"/>
      <c r="J382" s="24"/>
      <c r="K382" s="37">
        <v>17</v>
      </c>
      <c r="L382" s="20" t="s">
        <v>215</v>
      </c>
      <c r="M382" s="20" t="s">
        <v>13</v>
      </c>
      <c r="N382" s="62">
        <v>3</v>
      </c>
      <c r="O382" s="24">
        <v>22</v>
      </c>
      <c r="P382" s="35">
        <v>100</v>
      </c>
      <c r="Q382" s="40">
        <v>6450</v>
      </c>
      <c r="R382" s="77">
        <f t="shared" si="72"/>
        <v>141900</v>
      </c>
      <c r="S382" s="37">
        <v>3</v>
      </c>
      <c r="T382" s="28">
        <f t="shared" si="73"/>
        <v>4257</v>
      </c>
      <c r="U382" s="77">
        <f t="shared" si="74"/>
        <v>137643</v>
      </c>
      <c r="V382" s="20"/>
      <c r="W382" s="26"/>
      <c r="X382" s="27"/>
      <c r="Y382" s="20"/>
      <c r="Z382" s="20"/>
    </row>
    <row r="383" spans="1:26" s="29" customFormat="1" ht="90.75" customHeight="1" x14ac:dyDescent="0.25">
      <c r="A383" s="20"/>
      <c r="B383" s="20"/>
      <c r="C383" s="20"/>
      <c r="D383" s="21"/>
      <c r="E383" s="21"/>
      <c r="F383" s="22"/>
      <c r="G383" s="22"/>
      <c r="H383" s="24"/>
      <c r="I383" s="25"/>
      <c r="J383" s="24"/>
      <c r="K383" s="37">
        <v>18</v>
      </c>
      <c r="L383" s="20" t="s">
        <v>17</v>
      </c>
      <c r="M383" s="20" t="s">
        <v>13</v>
      </c>
      <c r="N383" s="62">
        <v>3</v>
      </c>
      <c r="O383" s="24">
        <v>22</v>
      </c>
      <c r="P383" s="35">
        <v>100</v>
      </c>
      <c r="Q383" s="40">
        <v>5900</v>
      </c>
      <c r="R383" s="77">
        <f t="shared" si="72"/>
        <v>129800</v>
      </c>
      <c r="S383" s="37">
        <v>3</v>
      </c>
      <c r="T383" s="28">
        <f t="shared" si="73"/>
        <v>3894</v>
      </c>
      <c r="U383" s="77">
        <f t="shared" si="74"/>
        <v>125906</v>
      </c>
      <c r="V383" s="20"/>
      <c r="W383" s="26"/>
      <c r="X383" s="27"/>
      <c r="Y383" s="20"/>
      <c r="Z383" s="20"/>
    </row>
    <row r="384" spans="1:26" s="29" customFormat="1" ht="90.75" customHeight="1" x14ac:dyDescent="0.25">
      <c r="A384" s="20"/>
      <c r="B384" s="20"/>
      <c r="C384" s="20"/>
      <c r="D384" s="21"/>
      <c r="E384" s="21"/>
      <c r="F384" s="22"/>
      <c r="G384" s="22"/>
      <c r="H384" s="24"/>
      <c r="I384" s="25"/>
      <c r="J384" s="24"/>
      <c r="K384" s="37">
        <v>19</v>
      </c>
      <c r="L384" s="20" t="s">
        <v>18</v>
      </c>
      <c r="M384" s="20" t="s">
        <v>13</v>
      </c>
      <c r="N384" s="62">
        <v>3</v>
      </c>
      <c r="O384" s="24">
        <v>320</v>
      </c>
      <c r="P384" s="35">
        <v>100</v>
      </c>
      <c r="Q384" s="40">
        <v>7750</v>
      </c>
      <c r="R384" s="77">
        <f t="shared" si="72"/>
        <v>2480000</v>
      </c>
      <c r="S384" s="37">
        <v>3</v>
      </c>
      <c r="T384" s="28">
        <f t="shared" si="73"/>
        <v>74400</v>
      </c>
      <c r="U384" s="77">
        <f t="shared" si="74"/>
        <v>2405600</v>
      </c>
      <c r="V384" s="20"/>
      <c r="W384" s="26"/>
      <c r="X384" s="27"/>
      <c r="Y384" s="20"/>
      <c r="Z384" s="20"/>
    </row>
    <row r="385" spans="1:26" s="29" customFormat="1" ht="90.75" customHeight="1" x14ac:dyDescent="0.25">
      <c r="A385" s="20"/>
      <c r="B385" s="20"/>
      <c r="C385" s="20"/>
      <c r="D385" s="21"/>
      <c r="E385" s="21"/>
      <c r="F385" s="22"/>
      <c r="G385" s="22"/>
      <c r="H385" s="24"/>
      <c r="I385" s="25"/>
      <c r="J385" s="24"/>
      <c r="K385" s="20">
        <v>20</v>
      </c>
      <c r="L385" s="20" t="s">
        <v>15</v>
      </c>
      <c r="M385" s="20" t="s">
        <v>13</v>
      </c>
      <c r="N385" s="20">
        <v>3</v>
      </c>
      <c r="O385" s="24">
        <v>1392</v>
      </c>
      <c r="P385" s="35">
        <v>100</v>
      </c>
      <c r="Q385" s="40">
        <v>5950</v>
      </c>
      <c r="R385" s="77">
        <f t="shared" si="72"/>
        <v>8282400</v>
      </c>
      <c r="S385" s="37">
        <v>3</v>
      </c>
      <c r="T385" s="28">
        <f t="shared" si="73"/>
        <v>248472</v>
      </c>
      <c r="U385" s="77">
        <f t="shared" si="74"/>
        <v>8033928</v>
      </c>
      <c r="V385" s="20"/>
      <c r="W385" s="26"/>
      <c r="X385" s="27"/>
      <c r="Y385" s="20"/>
      <c r="Z385" s="20"/>
    </row>
    <row r="386" spans="1:26" s="29" customFormat="1" ht="90.75" customHeight="1" x14ac:dyDescent="0.25">
      <c r="A386" s="20"/>
      <c r="B386" s="20"/>
      <c r="C386" s="20"/>
      <c r="D386" s="21"/>
      <c r="E386" s="21"/>
      <c r="F386" s="22"/>
      <c r="G386" s="22"/>
      <c r="H386" s="24"/>
      <c r="I386" s="25"/>
      <c r="J386" s="24"/>
      <c r="K386" s="20"/>
      <c r="L386" s="20"/>
      <c r="M386" s="20"/>
      <c r="N386" s="20"/>
      <c r="O386" s="24"/>
      <c r="P386" s="35"/>
      <c r="Q386" s="40"/>
      <c r="R386" s="77"/>
      <c r="S386" s="37"/>
      <c r="T386" s="28"/>
      <c r="U386" s="77">
        <f>SUM(U366:U385)</f>
        <v>32328887.5</v>
      </c>
      <c r="V386" s="27">
        <f>(J366+U386)</f>
        <v>32569375</v>
      </c>
      <c r="W386" s="26">
        <f t="shared" ref="W386:W449" si="75">(V386*100/100)</f>
        <v>32569375</v>
      </c>
      <c r="X386" s="27">
        <v>0</v>
      </c>
      <c r="Y386" s="26">
        <f t="shared" ref="Y386:Y449" si="76">(W386-X386)</f>
        <v>32569375</v>
      </c>
      <c r="Z386" s="49">
        <v>3.0000000000000001E-3</v>
      </c>
    </row>
    <row r="387" spans="1:26" s="29" customFormat="1" ht="90.75" customHeight="1" x14ac:dyDescent="0.25">
      <c r="A387" s="20">
        <v>225</v>
      </c>
      <c r="B387" s="20" t="s">
        <v>0</v>
      </c>
      <c r="C387" s="20">
        <v>32541</v>
      </c>
      <c r="D387" s="21">
        <v>24</v>
      </c>
      <c r="E387" s="21">
        <v>2</v>
      </c>
      <c r="F387" s="22">
        <v>58</v>
      </c>
      <c r="G387" s="22" t="s">
        <v>198</v>
      </c>
      <c r="H387" s="24">
        <f t="shared" ref="H387:H450" si="77">(D387*400)+(E387*100)+F387</f>
        <v>9858</v>
      </c>
      <c r="I387" s="25">
        <v>600</v>
      </c>
      <c r="J387" s="24">
        <f t="shared" ref="J387:J450" si="78">(H387*I387)</f>
        <v>5914800</v>
      </c>
      <c r="K387" s="20"/>
      <c r="L387" s="20"/>
      <c r="M387" s="20"/>
      <c r="N387" s="20"/>
      <c r="O387" s="24"/>
      <c r="P387" s="24"/>
      <c r="Q387" s="25"/>
      <c r="R387" s="24"/>
      <c r="S387" s="20"/>
      <c r="T387" s="27"/>
      <c r="U387" s="20"/>
      <c r="V387" s="27">
        <f t="shared" ref="V387:V450" si="79">(J387+U387)</f>
        <v>5914800</v>
      </c>
      <c r="W387" s="26">
        <f t="shared" si="75"/>
        <v>5914800</v>
      </c>
      <c r="X387" s="27">
        <v>0</v>
      </c>
      <c r="Y387" s="78">
        <f t="shared" si="76"/>
        <v>5914800</v>
      </c>
      <c r="Z387" s="49">
        <v>1E-4</v>
      </c>
    </row>
    <row r="388" spans="1:26" s="29" customFormat="1" ht="90.75" customHeight="1" x14ac:dyDescent="0.25">
      <c r="A388" s="20">
        <v>226</v>
      </c>
      <c r="B388" s="20" t="s">
        <v>0</v>
      </c>
      <c r="C388" s="20">
        <v>32542</v>
      </c>
      <c r="D388" s="21">
        <v>7</v>
      </c>
      <c r="E388" s="21">
        <v>2</v>
      </c>
      <c r="F388" s="22">
        <v>63</v>
      </c>
      <c r="G388" s="22" t="s">
        <v>198</v>
      </c>
      <c r="H388" s="24">
        <f t="shared" si="77"/>
        <v>3063</v>
      </c>
      <c r="I388" s="25" t="s">
        <v>32</v>
      </c>
      <c r="J388" s="24">
        <f t="shared" si="78"/>
        <v>612600</v>
      </c>
      <c r="K388" s="20"/>
      <c r="L388" s="20"/>
      <c r="M388" s="20"/>
      <c r="N388" s="20"/>
      <c r="O388" s="24"/>
      <c r="P388" s="24"/>
      <c r="Q388" s="25"/>
      <c r="R388" s="24"/>
      <c r="S388" s="20"/>
      <c r="T388" s="27"/>
      <c r="U388" s="20"/>
      <c r="V388" s="27">
        <f t="shared" si="79"/>
        <v>612600</v>
      </c>
      <c r="W388" s="26">
        <f t="shared" si="75"/>
        <v>612600</v>
      </c>
      <c r="X388" s="27">
        <v>0</v>
      </c>
      <c r="Y388" s="78">
        <f t="shared" si="76"/>
        <v>612600</v>
      </c>
      <c r="Z388" s="49">
        <v>1E-4</v>
      </c>
    </row>
    <row r="389" spans="1:26" s="29" customFormat="1" ht="90.75" customHeight="1" x14ac:dyDescent="0.25">
      <c r="A389" s="20">
        <v>227</v>
      </c>
      <c r="B389" s="20" t="s">
        <v>0</v>
      </c>
      <c r="C389" s="20">
        <v>32543</v>
      </c>
      <c r="D389" s="21">
        <v>35</v>
      </c>
      <c r="E389" s="21">
        <v>2</v>
      </c>
      <c r="F389" s="22">
        <v>6</v>
      </c>
      <c r="G389" s="22" t="s">
        <v>198</v>
      </c>
      <c r="H389" s="24">
        <f t="shared" si="77"/>
        <v>14206</v>
      </c>
      <c r="I389" s="25" t="s">
        <v>7</v>
      </c>
      <c r="J389" s="24">
        <f t="shared" si="78"/>
        <v>4972100</v>
      </c>
      <c r="K389" s="20"/>
      <c r="L389" s="20"/>
      <c r="M389" s="20"/>
      <c r="N389" s="20"/>
      <c r="O389" s="24"/>
      <c r="P389" s="24"/>
      <c r="Q389" s="25"/>
      <c r="R389" s="24"/>
      <c r="S389" s="20"/>
      <c r="T389" s="27"/>
      <c r="U389" s="20"/>
      <c r="V389" s="27">
        <f t="shared" si="79"/>
        <v>4972100</v>
      </c>
      <c r="W389" s="26">
        <f t="shared" si="75"/>
        <v>4972100</v>
      </c>
      <c r="X389" s="27">
        <v>0</v>
      </c>
      <c r="Y389" s="78">
        <f t="shared" si="76"/>
        <v>4972100</v>
      </c>
      <c r="Z389" s="49">
        <v>1E-4</v>
      </c>
    </row>
    <row r="390" spans="1:26" s="29" customFormat="1" ht="90.75" customHeight="1" x14ac:dyDescent="0.25">
      <c r="A390" s="20">
        <v>228</v>
      </c>
      <c r="B390" s="20" t="s">
        <v>0</v>
      </c>
      <c r="C390" s="20">
        <v>6852</v>
      </c>
      <c r="D390" s="21">
        <v>11</v>
      </c>
      <c r="E390" s="21">
        <v>2</v>
      </c>
      <c r="F390" s="22">
        <v>4</v>
      </c>
      <c r="G390" s="22" t="s">
        <v>198</v>
      </c>
      <c r="H390" s="24">
        <f t="shared" si="77"/>
        <v>4604</v>
      </c>
      <c r="I390" s="25" t="s">
        <v>32</v>
      </c>
      <c r="J390" s="24">
        <f t="shared" si="78"/>
        <v>920800</v>
      </c>
      <c r="K390" s="20"/>
      <c r="L390" s="20"/>
      <c r="M390" s="20"/>
      <c r="N390" s="20"/>
      <c r="O390" s="24"/>
      <c r="P390" s="24"/>
      <c r="Q390" s="25"/>
      <c r="R390" s="24"/>
      <c r="S390" s="20"/>
      <c r="T390" s="27"/>
      <c r="U390" s="20"/>
      <c r="V390" s="27">
        <f t="shared" si="79"/>
        <v>920800</v>
      </c>
      <c r="W390" s="26">
        <f t="shared" si="75"/>
        <v>920800</v>
      </c>
      <c r="X390" s="27">
        <v>0</v>
      </c>
      <c r="Y390" s="78">
        <f t="shared" si="76"/>
        <v>920800</v>
      </c>
      <c r="Z390" s="49">
        <v>1E-4</v>
      </c>
    </row>
    <row r="391" spans="1:26" s="29" customFormat="1" ht="90.75" customHeight="1" x14ac:dyDescent="0.25">
      <c r="A391" s="20">
        <v>229</v>
      </c>
      <c r="B391" s="20" t="s">
        <v>0</v>
      </c>
      <c r="C391" s="20">
        <v>6859</v>
      </c>
      <c r="D391" s="21">
        <v>3</v>
      </c>
      <c r="E391" s="21">
        <v>2</v>
      </c>
      <c r="F391" s="22">
        <v>19</v>
      </c>
      <c r="G391" s="22" t="s">
        <v>198</v>
      </c>
      <c r="H391" s="24">
        <f t="shared" si="77"/>
        <v>1419</v>
      </c>
      <c r="I391" s="25" t="s">
        <v>22</v>
      </c>
      <c r="J391" s="24">
        <f t="shared" si="78"/>
        <v>744975</v>
      </c>
      <c r="K391" s="20"/>
      <c r="L391" s="20"/>
      <c r="M391" s="20"/>
      <c r="N391" s="20"/>
      <c r="O391" s="24"/>
      <c r="P391" s="24"/>
      <c r="Q391" s="25"/>
      <c r="R391" s="24"/>
      <c r="S391" s="20"/>
      <c r="T391" s="27"/>
      <c r="U391" s="20"/>
      <c r="V391" s="27">
        <f t="shared" si="79"/>
        <v>744975</v>
      </c>
      <c r="W391" s="26">
        <f t="shared" si="75"/>
        <v>744975</v>
      </c>
      <c r="X391" s="27">
        <v>0</v>
      </c>
      <c r="Y391" s="78">
        <f t="shared" si="76"/>
        <v>744975</v>
      </c>
      <c r="Z391" s="49">
        <v>1E-4</v>
      </c>
    </row>
    <row r="392" spans="1:26" s="29" customFormat="1" ht="90.75" customHeight="1" x14ac:dyDescent="0.25">
      <c r="A392" s="20">
        <v>230</v>
      </c>
      <c r="B392" s="20" t="s">
        <v>0</v>
      </c>
      <c r="C392" s="20">
        <v>6860</v>
      </c>
      <c r="D392" s="21">
        <v>3</v>
      </c>
      <c r="E392" s="21">
        <v>3</v>
      </c>
      <c r="F392" s="22">
        <v>71</v>
      </c>
      <c r="G392" s="22" t="s">
        <v>198</v>
      </c>
      <c r="H392" s="24">
        <f t="shared" si="77"/>
        <v>1571</v>
      </c>
      <c r="I392" s="25" t="s">
        <v>22</v>
      </c>
      <c r="J392" s="24">
        <f t="shared" si="78"/>
        <v>824775</v>
      </c>
      <c r="K392" s="20"/>
      <c r="L392" s="20"/>
      <c r="M392" s="20"/>
      <c r="N392" s="20"/>
      <c r="O392" s="24"/>
      <c r="P392" s="24"/>
      <c r="Q392" s="25"/>
      <c r="R392" s="24"/>
      <c r="S392" s="20"/>
      <c r="T392" s="27"/>
      <c r="U392" s="20"/>
      <c r="V392" s="27">
        <f t="shared" si="79"/>
        <v>824775</v>
      </c>
      <c r="W392" s="26">
        <f t="shared" si="75"/>
        <v>824775</v>
      </c>
      <c r="X392" s="27">
        <v>0</v>
      </c>
      <c r="Y392" s="78">
        <f t="shared" si="76"/>
        <v>824775</v>
      </c>
      <c r="Z392" s="49">
        <v>1E-4</v>
      </c>
    </row>
    <row r="393" spans="1:26" s="29" customFormat="1" ht="90.75" customHeight="1" x14ac:dyDescent="0.25">
      <c r="A393" s="20">
        <v>231</v>
      </c>
      <c r="B393" s="20" t="s">
        <v>0</v>
      </c>
      <c r="C393" s="20">
        <v>6861</v>
      </c>
      <c r="D393" s="21">
        <v>5</v>
      </c>
      <c r="E393" s="21">
        <v>3</v>
      </c>
      <c r="F393" s="22">
        <v>36</v>
      </c>
      <c r="G393" s="22" t="s">
        <v>198</v>
      </c>
      <c r="H393" s="24">
        <f t="shared" si="77"/>
        <v>2336</v>
      </c>
      <c r="I393" s="25" t="s">
        <v>19</v>
      </c>
      <c r="J393" s="24">
        <f t="shared" si="78"/>
        <v>876000</v>
      </c>
      <c r="K393" s="20"/>
      <c r="L393" s="20"/>
      <c r="M393" s="20"/>
      <c r="N393" s="20"/>
      <c r="O393" s="24"/>
      <c r="P393" s="24"/>
      <c r="Q393" s="25"/>
      <c r="R393" s="24"/>
      <c r="S393" s="20"/>
      <c r="T393" s="27"/>
      <c r="U393" s="20"/>
      <c r="V393" s="27">
        <f t="shared" si="79"/>
        <v>876000</v>
      </c>
      <c r="W393" s="26">
        <f t="shared" si="75"/>
        <v>876000</v>
      </c>
      <c r="X393" s="27">
        <v>0</v>
      </c>
      <c r="Y393" s="78">
        <f t="shared" si="76"/>
        <v>876000</v>
      </c>
      <c r="Z393" s="49">
        <v>1E-4</v>
      </c>
    </row>
    <row r="394" spans="1:26" s="29" customFormat="1" ht="90.75" customHeight="1" x14ac:dyDescent="0.25">
      <c r="A394" s="20">
        <v>232</v>
      </c>
      <c r="B394" s="20" t="s">
        <v>0</v>
      </c>
      <c r="C394" s="20">
        <v>11672</v>
      </c>
      <c r="D394" s="21">
        <v>9</v>
      </c>
      <c r="E394" s="21">
        <v>3</v>
      </c>
      <c r="F394" s="22">
        <v>82</v>
      </c>
      <c r="G394" s="22" t="s">
        <v>198</v>
      </c>
      <c r="H394" s="24">
        <f t="shared" si="77"/>
        <v>3982</v>
      </c>
      <c r="I394" s="25" t="s">
        <v>53</v>
      </c>
      <c r="J394" s="24">
        <f t="shared" si="78"/>
        <v>1791900</v>
      </c>
      <c r="K394" s="20"/>
      <c r="L394" s="20"/>
      <c r="M394" s="20"/>
      <c r="N394" s="20"/>
      <c r="O394" s="24"/>
      <c r="P394" s="24"/>
      <c r="Q394" s="25"/>
      <c r="R394" s="24"/>
      <c r="S394" s="20"/>
      <c r="T394" s="27"/>
      <c r="U394" s="20"/>
      <c r="V394" s="27">
        <f t="shared" si="79"/>
        <v>1791900</v>
      </c>
      <c r="W394" s="26">
        <f t="shared" si="75"/>
        <v>1791900</v>
      </c>
      <c r="X394" s="27">
        <v>0</v>
      </c>
      <c r="Y394" s="78">
        <f t="shared" si="76"/>
        <v>1791900</v>
      </c>
      <c r="Z394" s="49">
        <v>1E-4</v>
      </c>
    </row>
    <row r="395" spans="1:26" s="29" customFormat="1" ht="90.75" customHeight="1" x14ac:dyDescent="0.25">
      <c r="A395" s="20">
        <v>233</v>
      </c>
      <c r="B395" s="20" t="s">
        <v>0</v>
      </c>
      <c r="C395" s="20">
        <v>6743</v>
      </c>
      <c r="D395" s="21">
        <v>8</v>
      </c>
      <c r="E395" s="21">
        <v>0</v>
      </c>
      <c r="F395" s="22">
        <v>56</v>
      </c>
      <c r="G395" s="22" t="s">
        <v>198</v>
      </c>
      <c r="H395" s="24">
        <f t="shared" si="77"/>
        <v>3256</v>
      </c>
      <c r="I395" s="25" t="s">
        <v>53</v>
      </c>
      <c r="J395" s="24">
        <f t="shared" si="78"/>
        <v>1465200</v>
      </c>
      <c r="K395" s="20"/>
      <c r="L395" s="20"/>
      <c r="M395" s="20"/>
      <c r="N395" s="20"/>
      <c r="O395" s="24"/>
      <c r="P395" s="24"/>
      <c r="Q395" s="25"/>
      <c r="R395" s="24"/>
      <c r="S395" s="20"/>
      <c r="T395" s="27"/>
      <c r="U395" s="20"/>
      <c r="V395" s="27">
        <f t="shared" si="79"/>
        <v>1465200</v>
      </c>
      <c r="W395" s="26">
        <f t="shared" si="75"/>
        <v>1465200</v>
      </c>
      <c r="X395" s="27">
        <v>0</v>
      </c>
      <c r="Y395" s="78">
        <f t="shared" si="76"/>
        <v>1465200</v>
      </c>
      <c r="Z395" s="49">
        <v>1E-4</v>
      </c>
    </row>
    <row r="396" spans="1:26" s="29" customFormat="1" ht="90.75" customHeight="1" x14ac:dyDescent="0.25">
      <c r="A396" s="20">
        <v>234</v>
      </c>
      <c r="B396" s="20" t="s">
        <v>0</v>
      </c>
      <c r="C396" s="20">
        <v>11383</v>
      </c>
      <c r="D396" s="21">
        <v>23</v>
      </c>
      <c r="E396" s="21">
        <v>2</v>
      </c>
      <c r="F396" s="22">
        <v>25</v>
      </c>
      <c r="G396" s="22" t="s">
        <v>198</v>
      </c>
      <c r="H396" s="24">
        <f t="shared" si="77"/>
        <v>9425</v>
      </c>
      <c r="I396" s="25" t="s">
        <v>53</v>
      </c>
      <c r="J396" s="24">
        <f t="shared" si="78"/>
        <v>4241250</v>
      </c>
      <c r="K396" s="20"/>
      <c r="L396" s="20"/>
      <c r="M396" s="20"/>
      <c r="N396" s="20"/>
      <c r="O396" s="24"/>
      <c r="P396" s="24"/>
      <c r="Q396" s="25"/>
      <c r="R396" s="24"/>
      <c r="S396" s="20"/>
      <c r="T396" s="27"/>
      <c r="U396" s="20"/>
      <c r="V396" s="27">
        <f t="shared" si="79"/>
        <v>4241250</v>
      </c>
      <c r="W396" s="26">
        <f t="shared" si="75"/>
        <v>4241250</v>
      </c>
      <c r="X396" s="27">
        <v>0</v>
      </c>
      <c r="Y396" s="78">
        <f t="shared" si="76"/>
        <v>4241250</v>
      </c>
      <c r="Z396" s="49">
        <v>1E-4</v>
      </c>
    </row>
    <row r="397" spans="1:26" s="29" customFormat="1" ht="90.75" customHeight="1" x14ac:dyDescent="0.25">
      <c r="A397" s="20">
        <v>235</v>
      </c>
      <c r="B397" s="20" t="s">
        <v>0</v>
      </c>
      <c r="C397" s="20">
        <v>6745</v>
      </c>
      <c r="D397" s="21">
        <v>19</v>
      </c>
      <c r="E397" s="21">
        <v>2</v>
      </c>
      <c r="F397" s="22">
        <v>87</v>
      </c>
      <c r="G397" s="22" t="s">
        <v>198</v>
      </c>
      <c r="H397" s="24">
        <f t="shared" si="77"/>
        <v>7887</v>
      </c>
      <c r="I397" s="25" t="s">
        <v>19</v>
      </c>
      <c r="J397" s="24">
        <f t="shared" si="78"/>
        <v>2957625</v>
      </c>
      <c r="K397" s="20"/>
      <c r="L397" s="20"/>
      <c r="M397" s="20"/>
      <c r="N397" s="20"/>
      <c r="O397" s="24"/>
      <c r="P397" s="24"/>
      <c r="Q397" s="25"/>
      <c r="R397" s="24"/>
      <c r="S397" s="20"/>
      <c r="T397" s="27"/>
      <c r="U397" s="20"/>
      <c r="V397" s="27">
        <f t="shared" si="79"/>
        <v>2957625</v>
      </c>
      <c r="W397" s="26">
        <f t="shared" si="75"/>
        <v>2957625</v>
      </c>
      <c r="X397" s="27">
        <v>0</v>
      </c>
      <c r="Y397" s="78">
        <f t="shared" si="76"/>
        <v>2957625</v>
      </c>
      <c r="Z397" s="49">
        <v>1E-4</v>
      </c>
    </row>
    <row r="398" spans="1:26" s="29" customFormat="1" ht="90.75" customHeight="1" x14ac:dyDescent="0.25">
      <c r="A398" s="20">
        <v>236</v>
      </c>
      <c r="B398" s="20" t="s">
        <v>0</v>
      </c>
      <c r="C398" s="20">
        <v>6746</v>
      </c>
      <c r="D398" s="21">
        <v>6</v>
      </c>
      <c r="E398" s="21">
        <v>2</v>
      </c>
      <c r="F398" s="22">
        <v>76</v>
      </c>
      <c r="G398" s="22" t="s">
        <v>198</v>
      </c>
      <c r="H398" s="24">
        <f t="shared" si="77"/>
        <v>2676</v>
      </c>
      <c r="I398" s="25" t="s">
        <v>11</v>
      </c>
      <c r="J398" s="24">
        <f t="shared" si="78"/>
        <v>735900</v>
      </c>
      <c r="K398" s="20"/>
      <c r="L398" s="20"/>
      <c r="M398" s="20"/>
      <c r="N398" s="20"/>
      <c r="O398" s="24"/>
      <c r="P398" s="24"/>
      <c r="Q398" s="25"/>
      <c r="R398" s="24"/>
      <c r="S398" s="20"/>
      <c r="T398" s="27"/>
      <c r="U398" s="20"/>
      <c r="V398" s="27">
        <f t="shared" si="79"/>
        <v>735900</v>
      </c>
      <c r="W398" s="26">
        <f t="shared" si="75"/>
        <v>735900</v>
      </c>
      <c r="X398" s="27">
        <v>0</v>
      </c>
      <c r="Y398" s="78">
        <f t="shared" si="76"/>
        <v>735900</v>
      </c>
      <c r="Z398" s="49">
        <v>1E-4</v>
      </c>
    </row>
    <row r="399" spans="1:26" s="29" customFormat="1" ht="90.75" customHeight="1" x14ac:dyDescent="0.25">
      <c r="A399" s="20">
        <v>237</v>
      </c>
      <c r="B399" s="20" t="s">
        <v>0</v>
      </c>
      <c r="C399" s="20">
        <v>11673</v>
      </c>
      <c r="D399" s="21">
        <v>12</v>
      </c>
      <c r="E399" s="21">
        <v>1</v>
      </c>
      <c r="F399" s="22">
        <v>46</v>
      </c>
      <c r="G399" s="22" t="s">
        <v>198</v>
      </c>
      <c r="H399" s="24">
        <f t="shared" si="77"/>
        <v>4946</v>
      </c>
      <c r="I399" s="25" t="s">
        <v>37</v>
      </c>
      <c r="J399" s="24">
        <f t="shared" si="78"/>
        <v>2102050</v>
      </c>
      <c r="K399" s="20"/>
      <c r="L399" s="20"/>
      <c r="M399" s="20"/>
      <c r="N399" s="20"/>
      <c r="O399" s="24"/>
      <c r="P399" s="24"/>
      <c r="Q399" s="25"/>
      <c r="R399" s="24"/>
      <c r="S399" s="20"/>
      <c r="T399" s="27"/>
      <c r="U399" s="20"/>
      <c r="V399" s="27">
        <f t="shared" si="79"/>
        <v>2102050</v>
      </c>
      <c r="W399" s="26">
        <f t="shared" si="75"/>
        <v>2102050</v>
      </c>
      <c r="X399" s="27">
        <v>0</v>
      </c>
      <c r="Y399" s="78">
        <f t="shared" si="76"/>
        <v>2102050</v>
      </c>
      <c r="Z399" s="49">
        <v>1E-4</v>
      </c>
    </row>
    <row r="400" spans="1:26" s="29" customFormat="1" ht="90.75" customHeight="1" x14ac:dyDescent="0.25">
      <c r="A400" s="20">
        <v>238</v>
      </c>
      <c r="B400" s="20" t="s">
        <v>0</v>
      </c>
      <c r="C400" s="20">
        <v>9666</v>
      </c>
      <c r="D400" s="21">
        <v>25</v>
      </c>
      <c r="E400" s="21">
        <v>3</v>
      </c>
      <c r="F400" s="22">
        <v>71</v>
      </c>
      <c r="G400" s="22" t="s">
        <v>198</v>
      </c>
      <c r="H400" s="24">
        <f t="shared" si="77"/>
        <v>10371</v>
      </c>
      <c r="I400" s="25" t="s">
        <v>32</v>
      </c>
      <c r="J400" s="24">
        <f t="shared" si="78"/>
        <v>2074200</v>
      </c>
      <c r="K400" s="20"/>
      <c r="L400" s="20"/>
      <c r="M400" s="20"/>
      <c r="N400" s="20"/>
      <c r="O400" s="24"/>
      <c r="P400" s="24"/>
      <c r="Q400" s="25"/>
      <c r="R400" s="24"/>
      <c r="S400" s="20"/>
      <c r="T400" s="27"/>
      <c r="U400" s="20"/>
      <c r="V400" s="27">
        <f t="shared" si="79"/>
        <v>2074200</v>
      </c>
      <c r="W400" s="26">
        <f t="shared" si="75"/>
        <v>2074200</v>
      </c>
      <c r="X400" s="27">
        <v>0</v>
      </c>
      <c r="Y400" s="78">
        <f t="shared" si="76"/>
        <v>2074200</v>
      </c>
      <c r="Z400" s="49">
        <v>1E-4</v>
      </c>
    </row>
    <row r="401" spans="1:26" s="29" customFormat="1" ht="90.75" customHeight="1" x14ac:dyDescent="0.25">
      <c r="A401" s="20">
        <v>239</v>
      </c>
      <c r="B401" s="20" t="s">
        <v>0</v>
      </c>
      <c r="C401" s="20">
        <v>6752</v>
      </c>
      <c r="D401" s="21">
        <v>13</v>
      </c>
      <c r="E401" s="21">
        <v>0</v>
      </c>
      <c r="F401" s="22">
        <v>36</v>
      </c>
      <c r="G401" s="22" t="s">
        <v>198</v>
      </c>
      <c r="H401" s="24">
        <f t="shared" si="77"/>
        <v>5236</v>
      </c>
      <c r="I401" s="25" t="s">
        <v>32</v>
      </c>
      <c r="J401" s="24">
        <f t="shared" si="78"/>
        <v>1047200</v>
      </c>
      <c r="K401" s="20"/>
      <c r="L401" s="20"/>
      <c r="M401" s="20"/>
      <c r="N401" s="20"/>
      <c r="O401" s="24"/>
      <c r="P401" s="24"/>
      <c r="Q401" s="25"/>
      <c r="R401" s="24"/>
      <c r="S401" s="20"/>
      <c r="T401" s="27"/>
      <c r="U401" s="20"/>
      <c r="V401" s="27">
        <f t="shared" si="79"/>
        <v>1047200</v>
      </c>
      <c r="W401" s="26">
        <f t="shared" si="75"/>
        <v>1047200</v>
      </c>
      <c r="X401" s="27">
        <v>0</v>
      </c>
      <c r="Y401" s="78">
        <f t="shared" si="76"/>
        <v>1047200</v>
      </c>
      <c r="Z401" s="49">
        <v>1E-4</v>
      </c>
    </row>
    <row r="402" spans="1:26" s="29" customFormat="1" ht="90.75" customHeight="1" x14ac:dyDescent="0.25">
      <c r="A402" s="20">
        <v>240</v>
      </c>
      <c r="B402" s="20" t="s">
        <v>0</v>
      </c>
      <c r="C402" s="20">
        <v>6753</v>
      </c>
      <c r="D402" s="21">
        <v>9</v>
      </c>
      <c r="E402" s="21">
        <v>3</v>
      </c>
      <c r="F402" s="22">
        <v>77</v>
      </c>
      <c r="G402" s="22" t="s">
        <v>198</v>
      </c>
      <c r="H402" s="24">
        <f t="shared" si="77"/>
        <v>3977</v>
      </c>
      <c r="I402" s="25" t="s">
        <v>11</v>
      </c>
      <c r="J402" s="24">
        <f t="shared" si="78"/>
        <v>1093675</v>
      </c>
      <c r="K402" s="20"/>
      <c r="L402" s="20"/>
      <c r="M402" s="20"/>
      <c r="N402" s="20"/>
      <c r="O402" s="24"/>
      <c r="P402" s="24"/>
      <c r="Q402" s="25"/>
      <c r="R402" s="24"/>
      <c r="S402" s="20"/>
      <c r="T402" s="27"/>
      <c r="U402" s="20"/>
      <c r="V402" s="27">
        <f t="shared" si="79"/>
        <v>1093675</v>
      </c>
      <c r="W402" s="26">
        <f t="shared" si="75"/>
        <v>1093675</v>
      </c>
      <c r="X402" s="27">
        <v>0</v>
      </c>
      <c r="Y402" s="78">
        <f t="shared" si="76"/>
        <v>1093675</v>
      </c>
      <c r="Z402" s="49">
        <v>1E-4</v>
      </c>
    </row>
    <row r="403" spans="1:26" s="29" customFormat="1" ht="90.75" customHeight="1" x14ac:dyDescent="0.25">
      <c r="A403" s="20">
        <v>241</v>
      </c>
      <c r="B403" s="20" t="s">
        <v>0</v>
      </c>
      <c r="C403" s="20">
        <v>6814</v>
      </c>
      <c r="D403" s="21">
        <v>10</v>
      </c>
      <c r="E403" s="21">
        <v>2</v>
      </c>
      <c r="F403" s="22">
        <v>50</v>
      </c>
      <c r="G403" s="22" t="s">
        <v>198</v>
      </c>
      <c r="H403" s="24">
        <f t="shared" si="77"/>
        <v>4250</v>
      </c>
      <c r="I403" s="25">
        <v>200</v>
      </c>
      <c r="J403" s="24">
        <f t="shared" si="78"/>
        <v>850000</v>
      </c>
      <c r="K403" s="20"/>
      <c r="L403" s="20"/>
      <c r="M403" s="20"/>
      <c r="N403" s="20"/>
      <c r="O403" s="24"/>
      <c r="P403" s="24"/>
      <c r="Q403" s="25"/>
      <c r="R403" s="24"/>
      <c r="S403" s="20"/>
      <c r="T403" s="27"/>
      <c r="U403" s="20"/>
      <c r="V403" s="27">
        <f t="shared" si="79"/>
        <v>850000</v>
      </c>
      <c r="W403" s="26">
        <f t="shared" si="75"/>
        <v>850000</v>
      </c>
      <c r="X403" s="27">
        <v>0</v>
      </c>
      <c r="Y403" s="78">
        <f t="shared" si="76"/>
        <v>850000</v>
      </c>
      <c r="Z403" s="49">
        <v>1E-4</v>
      </c>
    </row>
    <row r="404" spans="1:26" s="29" customFormat="1" ht="90.75" customHeight="1" x14ac:dyDescent="0.25">
      <c r="A404" s="20">
        <v>242</v>
      </c>
      <c r="B404" s="20" t="s">
        <v>0</v>
      </c>
      <c r="C404" s="20">
        <v>6749</v>
      </c>
      <c r="D404" s="21">
        <v>12</v>
      </c>
      <c r="E404" s="21">
        <v>1</v>
      </c>
      <c r="F404" s="22">
        <v>88</v>
      </c>
      <c r="G404" s="22" t="s">
        <v>198</v>
      </c>
      <c r="H404" s="24">
        <f t="shared" si="77"/>
        <v>4988</v>
      </c>
      <c r="I404" s="25" t="s">
        <v>19</v>
      </c>
      <c r="J404" s="24">
        <f t="shared" si="78"/>
        <v>1870500</v>
      </c>
      <c r="K404" s="20"/>
      <c r="L404" s="20"/>
      <c r="M404" s="20"/>
      <c r="N404" s="20"/>
      <c r="O404" s="24"/>
      <c r="P404" s="24"/>
      <c r="Q404" s="25"/>
      <c r="R404" s="24"/>
      <c r="S404" s="20"/>
      <c r="T404" s="27"/>
      <c r="U404" s="20"/>
      <c r="V404" s="27">
        <f t="shared" si="79"/>
        <v>1870500</v>
      </c>
      <c r="W404" s="26">
        <f t="shared" si="75"/>
        <v>1870500</v>
      </c>
      <c r="X404" s="27">
        <v>0</v>
      </c>
      <c r="Y404" s="78">
        <f t="shared" si="76"/>
        <v>1870500</v>
      </c>
      <c r="Z404" s="49">
        <v>1E-4</v>
      </c>
    </row>
    <row r="405" spans="1:26" s="29" customFormat="1" ht="90.75" customHeight="1" x14ac:dyDescent="0.25">
      <c r="A405" s="20">
        <v>243</v>
      </c>
      <c r="B405" s="20" t="s">
        <v>0</v>
      </c>
      <c r="C405" s="20">
        <v>6750</v>
      </c>
      <c r="D405" s="21">
        <v>5</v>
      </c>
      <c r="E405" s="21">
        <v>3</v>
      </c>
      <c r="F405" s="22">
        <v>85</v>
      </c>
      <c r="G405" s="22" t="s">
        <v>198</v>
      </c>
      <c r="H405" s="24">
        <f t="shared" si="77"/>
        <v>2385</v>
      </c>
      <c r="I405" s="25" t="s">
        <v>19</v>
      </c>
      <c r="J405" s="24">
        <f t="shared" si="78"/>
        <v>894375</v>
      </c>
      <c r="K405" s="20"/>
      <c r="L405" s="20"/>
      <c r="M405" s="20"/>
      <c r="N405" s="20"/>
      <c r="O405" s="24"/>
      <c r="P405" s="24"/>
      <c r="Q405" s="25"/>
      <c r="R405" s="24"/>
      <c r="S405" s="20"/>
      <c r="T405" s="27"/>
      <c r="U405" s="20"/>
      <c r="V405" s="27">
        <f t="shared" si="79"/>
        <v>894375</v>
      </c>
      <c r="W405" s="26">
        <f t="shared" si="75"/>
        <v>894375</v>
      </c>
      <c r="X405" s="27">
        <v>0</v>
      </c>
      <c r="Y405" s="78">
        <f t="shared" si="76"/>
        <v>894375</v>
      </c>
      <c r="Z405" s="49">
        <v>1E-4</v>
      </c>
    </row>
    <row r="406" spans="1:26" s="29" customFormat="1" ht="90.75" customHeight="1" x14ac:dyDescent="0.25">
      <c r="A406" s="20">
        <v>244</v>
      </c>
      <c r="B406" s="20" t="s">
        <v>0</v>
      </c>
      <c r="C406" s="20">
        <v>6751</v>
      </c>
      <c r="D406" s="21">
        <v>9</v>
      </c>
      <c r="E406" s="21">
        <v>1</v>
      </c>
      <c r="F406" s="22">
        <v>66</v>
      </c>
      <c r="G406" s="22" t="s">
        <v>198</v>
      </c>
      <c r="H406" s="24">
        <f t="shared" si="77"/>
        <v>3766</v>
      </c>
      <c r="I406" s="25" t="s">
        <v>19</v>
      </c>
      <c r="J406" s="24">
        <f t="shared" si="78"/>
        <v>1412250</v>
      </c>
      <c r="K406" s="20"/>
      <c r="L406" s="20"/>
      <c r="M406" s="20"/>
      <c r="N406" s="20"/>
      <c r="O406" s="24"/>
      <c r="P406" s="24"/>
      <c r="Q406" s="25"/>
      <c r="R406" s="24"/>
      <c r="S406" s="20"/>
      <c r="T406" s="27"/>
      <c r="U406" s="20"/>
      <c r="V406" s="27">
        <f t="shared" si="79"/>
        <v>1412250</v>
      </c>
      <c r="W406" s="26">
        <f t="shared" si="75"/>
        <v>1412250</v>
      </c>
      <c r="X406" s="27">
        <v>0</v>
      </c>
      <c r="Y406" s="78">
        <f t="shared" si="76"/>
        <v>1412250</v>
      </c>
      <c r="Z406" s="49">
        <v>1E-4</v>
      </c>
    </row>
    <row r="407" spans="1:26" s="29" customFormat="1" ht="90.75" customHeight="1" x14ac:dyDescent="0.25">
      <c r="A407" s="20">
        <v>245</v>
      </c>
      <c r="B407" s="20" t="s">
        <v>0</v>
      </c>
      <c r="C407" s="20">
        <v>16625</v>
      </c>
      <c r="D407" s="21">
        <v>0</v>
      </c>
      <c r="E407" s="21">
        <v>1</v>
      </c>
      <c r="F407" s="22">
        <v>74</v>
      </c>
      <c r="G407" s="22" t="s">
        <v>198</v>
      </c>
      <c r="H407" s="24">
        <f t="shared" si="77"/>
        <v>174</v>
      </c>
      <c r="I407" s="25" t="s">
        <v>23</v>
      </c>
      <c r="J407" s="24">
        <f t="shared" si="78"/>
        <v>174000</v>
      </c>
      <c r="K407" s="20"/>
      <c r="L407" s="20"/>
      <c r="M407" s="20"/>
      <c r="N407" s="20"/>
      <c r="O407" s="24"/>
      <c r="P407" s="24"/>
      <c r="Q407" s="25"/>
      <c r="R407" s="24"/>
      <c r="S407" s="20"/>
      <c r="T407" s="27"/>
      <c r="U407" s="20"/>
      <c r="V407" s="27">
        <f t="shared" si="79"/>
        <v>174000</v>
      </c>
      <c r="W407" s="26">
        <f t="shared" si="75"/>
        <v>174000</v>
      </c>
      <c r="X407" s="27">
        <v>0</v>
      </c>
      <c r="Y407" s="78">
        <f t="shared" si="76"/>
        <v>174000</v>
      </c>
      <c r="Z407" s="49">
        <v>1E-4</v>
      </c>
    </row>
    <row r="408" spans="1:26" s="29" customFormat="1" ht="90.75" customHeight="1" x14ac:dyDescent="0.25">
      <c r="A408" s="20">
        <v>246</v>
      </c>
      <c r="B408" s="20" t="s">
        <v>0</v>
      </c>
      <c r="C408" s="20">
        <v>32557</v>
      </c>
      <c r="D408" s="21">
        <v>1</v>
      </c>
      <c r="E408" s="21">
        <v>2</v>
      </c>
      <c r="F408" s="22">
        <v>7</v>
      </c>
      <c r="G408" s="22" t="s">
        <v>198</v>
      </c>
      <c r="H408" s="24">
        <f t="shared" si="77"/>
        <v>607</v>
      </c>
      <c r="I408" s="25">
        <v>350</v>
      </c>
      <c r="J408" s="24">
        <f t="shared" si="78"/>
        <v>212450</v>
      </c>
      <c r="K408" s="20"/>
      <c r="L408" s="20"/>
      <c r="M408" s="20"/>
      <c r="N408" s="20"/>
      <c r="O408" s="24"/>
      <c r="P408" s="24"/>
      <c r="Q408" s="25"/>
      <c r="R408" s="24"/>
      <c r="S408" s="20"/>
      <c r="T408" s="27"/>
      <c r="U408" s="20"/>
      <c r="V408" s="27">
        <f t="shared" si="79"/>
        <v>212450</v>
      </c>
      <c r="W408" s="26">
        <f t="shared" si="75"/>
        <v>212450</v>
      </c>
      <c r="X408" s="27">
        <v>0</v>
      </c>
      <c r="Y408" s="78">
        <f t="shared" si="76"/>
        <v>212450</v>
      </c>
      <c r="Z408" s="49">
        <v>1E-4</v>
      </c>
    </row>
    <row r="409" spans="1:26" s="29" customFormat="1" ht="90.75" customHeight="1" x14ac:dyDescent="0.25">
      <c r="A409" s="20">
        <v>247</v>
      </c>
      <c r="B409" s="20" t="s">
        <v>0</v>
      </c>
      <c r="C409" s="20">
        <v>32558</v>
      </c>
      <c r="D409" s="21">
        <v>12</v>
      </c>
      <c r="E409" s="21">
        <v>2</v>
      </c>
      <c r="F409" s="22">
        <v>4</v>
      </c>
      <c r="G409" s="22" t="s">
        <v>198</v>
      </c>
      <c r="H409" s="24">
        <f t="shared" si="77"/>
        <v>5004</v>
      </c>
      <c r="I409" s="25" t="s">
        <v>7</v>
      </c>
      <c r="J409" s="24">
        <f t="shared" si="78"/>
        <v>1751400</v>
      </c>
      <c r="K409" s="20"/>
      <c r="L409" s="20"/>
      <c r="M409" s="20"/>
      <c r="N409" s="20"/>
      <c r="O409" s="24"/>
      <c r="P409" s="24"/>
      <c r="Q409" s="25"/>
      <c r="R409" s="24"/>
      <c r="S409" s="20"/>
      <c r="T409" s="27"/>
      <c r="U409" s="20"/>
      <c r="V409" s="27">
        <f t="shared" si="79"/>
        <v>1751400</v>
      </c>
      <c r="W409" s="26">
        <f t="shared" si="75"/>
        <v>1751400</v>
      </c>
      <c r="X409" s="27">
        <v>0</v>
      </c>
      <c r="Y409" s="78">
        <f t="shared" si="76"/>
        <v>1751400</v>
      </c>
      <c r="Z409" s="49">
        <v>1E-4</v>
      </c>
    </row>
    <row r="410" spans="1:26" s="29" customFormat="1" ht="90.75" customHeight="1" x14ac:dyDescent="0.25">
      <c r="A410" s="20">
        <v>248</v>
      </c>
      <c r="B410" s="20" t="s">
        <v>0</v>
      </c>
      <c r="C410" s="20">
        <v>32559</v>
      </c>
      <c r="D410" s="21">
        <v>18</v>
      </c>
      <c r="E410" s="21">
        <v>0</v>
      </c>
      <c r="F410" s="22">
        <v>6</v>
      </c>
      <c r="G410" s="22" t="s">
        <v>198</v>
      </c>
      <c r="H410" s="24">
        <f t="shared" si="77"/>
        <v>7206</v>
      </c>
      <c r="I410" s="25" t="s">
        <v>19</v>
      </c>
      <c r="J410" s="24">
        <f t="shared" si="78"/>
        <v>2702250</v>
      </c>
      <c r="K410" s="20"/>
      <c r="L410" s="20"/>
      <c r="M410" s="20"/>
      <c r="N410" s="20"/>
      <c r="O410" s="24"/>
      <c r="P410" s="24"/>
      <c r="Q410" s="25"/>
      <c r="R410" s="24"/>
      <c r="S410" s="20"/>
      <c r="T410" s="27"/>
      <c r="U410" s="20"/>
      <c r="V410" s="27">
        <f t="shared" si="79"/>
        <v>2702250</v>
      </c>
      <c r="W410" s="26">
        <f t="shared" si="75"/>
        <v>2702250</v>
      </c>
      <c r="X410" s="27">
        <v>0</v>
      </c>
      <c r="Y410" s="78">
        <f t="shared" si="76"/>
        <v>2702250</v>
      </c>
      <c r="Z410" s="49">
        <v>1E-4</v>
      </c>
    </row>
    <row r="411" spans="1:26" s="29" customFormat="1" ht="90.75" customHeight="1" x14ac:dyDescent="0.25">
      <c r="A411" s="20">
        <v>249</v>
      </c>
      <c r="B411" s="20" t="s">
        <v>0</v>
      </c>
      <c r="C411" s="20">
        <v>2412</v>
      </c>
      <c r="D411" s="21">
        <v>5</v>
      </c>
      <c r="E411" s="21">
        <v>3</v>
      </c>
      <c r="F411" s="22">
        <v>63</v>
      </c>
      <c r="G411" s="22" t="s">
        <v>198</v>
      </c>
      <c r="H411" s="24">
        <f t="shared" si="77"/>
        <v>2363</v>
      </c>
      <c r="I411" s="25" t="s">
        <v>32</v>
      </c>
      <c r="J411" s="24">
        <f t="shared" si="78"/>
        <v>472600</v>
      </c>
      <c r="K411" s="20"/>
      <c r="L411" s="20"/>
      <c r="M411" s="20"/>
      <c r="N411" s="20"/>
      <c r="O411" s="24"/>
      <c r="P411" s="24"/>
      <c r="Q411" s="25"/>
      <c r="R411" s="24"/>
      <c r="S411" s="20"/>
      <c r="T411" s="27"/>
      <c r="U411" s="20"/>
      <c r="V411" s="27">
        <f t="shared" si="79"/>
        <v>472600</v>
      </c>
      <c r="W411" s="26">
        <f t="shared" si="75"/>
        <v>472600</v>
      </c>
      <c r="X411" s="27">
        <v>0</v>
      </c>
      <c r="Y411" s="78">
        <f t="shared" si="76"/>
        <v>472600</v>
      </c>
      <c r="Z411" s="49">
        <v>1E-4</v>
      </c>
    </row>
    <row r="412" spans="1:26" s="29" customFormat="1" ht="90.75" customHeight="1" x14ac:dyDescent="0.25">
      <c r="A412" s="20">
        <v>250</v>
      </c>
      <c r="B412" s="20" t="s">
        <v>0</v>
      </c>
      <c r="C412" s="20">
        <v>32562</v>
      </c>
      <c r="D412" s="21">
        <v>2</v>
      </c>
      <c r="E412" s="21">
        <v>2</v>
      </c>
      <c r="F412" s="22">
        <v>58</v>
      </c>
      <c r="G412" s="22" t="s">
        <v>198</v>
      </c>
      <c r="H412" s="24">
        <f t="shared" si="77"/>
        <v>1058</v>
      </c>
      <c r="I412" s="25" t="s">
        <v>32</v>
      </c>
      <c r="J412" s="24">
        <f t="shared" si="78"/>
        <v>211600</v>
      </c>
      <c r="K412" s="20"/>
      <c r="L412" s="20"/>
      <c r="M412" s="20"/>
      <c r="N412" s="20"/>
      <c r="O412" s="24"/>
      <c r="P412" s="24"/>
      <c r="Q412" s="25"/>
      <c r="R412" s="24"/>
      <c r="S412" s="20"/>
      <c r="T412" s="27"/>
      <c r="U412" s="20"/>
      <c r="V412" s="27">
        <f t="shared" si="79"/>
        <v>211600</v>
      </c>
      <c r="W412" s="26">
        <f t="shared" si="75"/>
        <v>211600</v>
      </c>
      <c r="X412" s="27">
        <v>0</v>
      </c>
      <c r="Y412" s="78">
        <f t="shared" si="76"/>
        <v>211600</v>
      </c>
      <c r="Z412" s="49">
        <v>1E-4</v>
      </c>
    </row>
    <row r="413" spans="1:26" s="29" customFormat="1" ht="90.75" customHeight="1" x14ac:dyDescent="0.25">
      <c r="A413" s="20">
        <v>251</v>
      </c>
      <c r="B413" s="20" t="s">
        <v>0</v>
      </c>
      <c r="C413" s="20">
        <v>43360</v>
      </c>
      <c r="D413" s="21">
        <v>9</v>
      </c>
      <c r="E413" s="21">
        <v>2</v>
      </c>
      <c r="F413" s="22">
        <v>64</v>
      </c>
      <c r="G413" s="22" t="s">
        <v>198</v>
      </c>
      <c r="H413" s="24">
        <f t="shared" si="77"/>
        <v>3864</v>
      </c>
      <c r="I413" s="25" t="s">
        <v>62</v>
      </c>
      <c r="J413" s="24">
        <f t="shared" si="78"/>
        <v>1932000</v>
      </c>
      <c r="K413" s="20"/>
      <c r="L413" s="20"/>
      <c r="M413" s="20"/>
      <c r="N413" s="20"/>
      <c r="O413" s="24"/>
      <c r="P413" s="24"/>
      <c r="Q413" s="25"/>
      <c r="R413" s="24"/>
      <c r="S413" s="20"/>
      <c r="T413" s="27"/>
      <c r="U413" s="20"/>
      <c r="V413" s="27">
        <f t="shared" si="79"/>
        <v>1932000</v>
      </c>
      <c r="W413" s="26">
        <f t="shared" si="75"/>
        <v>1932000</v>
      </c>
      <c r="X413" s="27">
        <v>0</v>
      </c>
      <c r="Y413" s="78">
        <f t="shared" si="76"/>
        <v>1932000</v>
      </c>
      <c r="Z413" s="49">
        <v>1E-4</v>
      </c>
    </row>
    <row r="414" spans="1:26" s="29" customFormat="1" ht="90.75" customHeight="1" x14ac:dyDescent="0.25">
      <c r="A414" s="20">
        <v>252</v>
      </c>
      <c r="B414" s="20" t="s">
        <v>0</v>
      </c>
      <c r="C414" s="20">
        <v>32563</v>
      </c>
      <c r="D414" s="21">
        <v>8</v>
      </c>
      <c r="E414" s="21">
        <v>3</v>
      </c>
      <c r="F414" s="22">
        <v>9</v>
      </c>
      <c r="G414" s="22" t="s">
        <v>198</v>
      </c>
      <c r="H414" s="24">
        <f t="shared" si="77"/>
        <v>3509</v>
      </c>
      <c r="I414" s="25" t="s">
        <v>32</v>
      </c>
      <c r="J414" s="24">
        <f t="shared" si="78"/>
        <v>701800</v>
      </c>
      <c r="K414" s="20"/>
      <c r="L414" s="20"/>
      <c r="M414" s="20"/>
      <c r="N414" s="20"/>
      <c r="O414" s="24"/>
      <c r="P414" s="24"/>
      <c r="Q414" s="25"/>
      <c r="R414" s="24"/>
      <c r="S414" s="20"/>
      <c r="T414" s="27"/>
      <c r="U414" s="20"/>
      <c r="V414" s="27">
        <f t="shared" si="79"/>
        <v>701800</v>
      </c>
      <c r="W414" s="26">
        <f t="shared" si="75"/>
        <v>701800</v>
      </c>
      <c r="X414" s="27">
        <v>0</v>
      </c>
      <c r="Y414" s="78">
        <f t="shared" si="76"/>
        <v>701800</v>
      </c>
      <c r="Z414" s="49">
        <v>1E-4</v>
      </c>
    </row>
    <row r="415" spans="1:26" s="29" customFormat="1" ht="90.75" customHeight="1" x14ac:dyDescent="0.25">
      <c r="A415" s="20">
        <v>253</v>
      </c>
      <c r="B415" s="20" t="s">
        <v>0</v>
      </c>
      <c r="C415" s="20">
        <v>52019</v>
      </c>
      <c r="D415" s="21">
        <v>18</v>
      </c>
      <c r="E415" s="21">
        <v>0</v>
      </c>
      <c r="F415" s="22">
        <v>4</v>
      </c>
      <c r="G415" s="22" t="s">
        <v>198</v>
      </c>
      <c r="H415" s="24">
        <f t="shared" si="77"/>
        <v>7204</v>
      </c>
      <c r="I415" s="25" t="s">
        <v>7</v>
      </c>
      <c r="J415" s="24">
        <f t="shared" si="78"/>
        <v>2521400</v>
      </c>
      <c r="K415" s="20"/>
      <c r="L415" s="20"/>
      <c r="M415" s="20"/>
      <c r="N415" s="20"/>
      <c r="O415" s="24"/>
      <c r="P415" s="24"/>
      <c r="Q415" s="25"/>
      <c r="R415" s="24"/>
      <c r="S415" s="20"/>
      <c r="T415" s="27"/>
      <c r="U415" s="20"/>
      <c r="V415" s="27">
        <f t="shared" si="79"/>
        <v>2521400</v>
      </c>
      <c r="W415" s="26">
        <f t="shared" si="75"/>
        <v>2521400</v>
      </c>
      <c r="X415" s="27">
        <v>0</v>
      </c>
      <c r="Y415" s="78">
        <f t="shared" si="76"/>
        <v>2521400</v>
      </c>
      <c r="Z415" s="49">
        <v>1E-4</v>
      </c>
    </row>
    <row r="416" spans="1:26" s="29" customFormat="1" ht="90.75" customHeight="1" x14ac:dyDescent="0.25">
      <c r="A416" s="20">
        <v>254</v>
      </c>
      <c r="B416" s="20" t="s">
        <v>0</v>
      </c>
      <c r="C416" s="20">
        <v>32567</v>
      </c>
      <c r="D416" s="21">
        <v>9</v>
      </c>
      <c r="E416" s="21">
        <v>1</v>
      </c>
      <c r="F416" s="22">
        <v>10</v>
      </c>
      <c r="G416" s="22" t="s">
        <v>198</v>
      </c>
      <c r="H416" s="24">
        <f t="shared" si="77"/>
        <v>3710</v>
      </c>
      <c r="I416" s="25" t="s">
        <v>37</v>
      </c>
      <c r="J416" s="24">
        <f t="shared" si="78"/>
        <v>1576750</v>
      </c>
      <c r="K416" s="20"/>
      <c r="L416" s="20"/>
      <c r="M416" s="20"/>
      <c r="N416" s="20"/>
      <c r="O416" s="24"/>
      <c r="P416" s="24"/>
      <c r="Q416" s="25"/>
      <c r="R416" s="24"/>
      <c r="S416" s="20"/>
      <c r="T416" s="27"/>
      <c r="U416" s="20"/>
      <c r="V416" s="27">
        <f t="shared" si="79"/>
        <v>1576750</v>
      </c>
      <c r="W416" s="26">
        <f t="shared" si="75"/>
        <v>1576750</v>
      </c>
      <c r="X416" s="27">
        <v>0</v>
      </c>
      <c r="Y416" s="78">
        <f t="shared" si="76"/>
        <v>1576750</v>
      </c>
      <c r="Z416" s="49">
        <v>1E-4</v>
      </c>
    </row>
    <row r="417" spans="1:26" s="29" customFormat="1" ht="90.75" customHeight="1" x14ac:dyDescent="0.25">
      <c r="A417" s="20">
        <v>255</v>
      </c>
      <c r="B417" s="20" t="s">
        <v>0</v>
      </c>
      <c r="C417" s="20">
        <v>52022</v>
      </c>
      <c r="D417" s="21">
        <v>0</v>
      </c>
      <c r="E417" s="21">
        <v>3</v>
      </c>
      <c r="F417" s="22">
        <v>7</v>
      </c>
      <c r="G417" s="22" t="s">
        <v>198</v>
      </c>
      <c r="H417" s="24">
        <f t="shared" si="77"/>
        <v>307</v>
      </c>
      <c r="I417" s="25" t="s">
        <v>62</v>
      </c>
      <c r="J417" s="24">
        <f t="shared" si="78"/>
        <v>153500</v>
      </c>
      <c r="K417" s="20"/>
      <c r="L417" s="20"/>
      <c r="M417" s="20"/>
      <c r="N417" s="20"/>
      <c r="O417" s="24"/>
      <c r="P417" s="24"/>
      <c r="Q417" s="25"/>
      <c r="R417" s="24"/>
      <c r="S417" s="20"/>
      <c r="T417" s="27"/>
      <c r="U417" s="20"/>
      <c r="V417" s="27">
        <f t="shared" si="79"/>
        <v>153500</v>
      </c>
      <c r="W417" s="26">
        <f t="shared" si="75"/>
        <v>153500</v>
      </c>
      <c r="X417" s="27">
        <v>0</v>
      </c>
      <c r="Y417" s="78">
        <f t="shared" si="76"/>
        <v>153500</v>
      </c>
      <c r="Z417" s="49">
        <v>1E-4</v>
      </c>
    </row>
    <row r="418" spans="1:26" s="29" customFormat="1" ht="90.75" customHeight="1" x14ac:dyDescent="0.25">
      <c r="A418" s="20">
        <v>256</v>
      </c>
      <c r="B418" s="20" t="s">
        <v>0</v>
      </c>
      <c r="C418" s="20">
        <v>32577</v>
      </c>
      <c r="D418" s="21">
        <v>9</v>
      </c>
      <c r="E418" s="21">
        <v>0</v>
      </c>
      <c r="F418" s="22">
        <v>57</v>
      </c>
      <c r="G418" s="22" t="s">
        <v>198</v>
      </c>
      <c r="H418" s="24">
        <f t="shared" si="77"/>
        <v>3657</v>
      </c>
      <c r="I418" s="25" t="s">
        <v>19</v>
      </c>
      <c r="J418" s="24">
        <f t="shared" si="78"/>
        <v>1371375</v>
      </c>
      <c r="K418" s="20"/>
      <c r="L418" s="20"/>
      <c r="M418" s="20"/>
      <c r="N418" s="20"/>
      <c r="O418" s="24"/>
      <c r="P418" s="24"/>
      <c r="Q418" s="25"/>
      <c r="R418" s="24"/>
      <c r="S418" s="20"/>
      <c r="T418" s="27"/>
      <c r="U418" s="20"/>
      <c r="V418" s="27">
        <f t="shared" si="79"/>
        <v>1371375</v>
      </c>
      <c r="W418" s="26">
        <f t="shared" si="75"/>
        <v>1371375</v>
      </c>
      <c r="X418" s="27">
        <v>0</v>
      </c>
      <c r="Y418" s="78">
        <f t="shared" si="76"/>
        <v>1371375</v>
      </c>
      <c r="Z418" s="49">
        <v>1E-4</v>
      </c>
    </row>
    <row r="419" spans="1:26" s="29" customFormat="1" ht="90.75" customHeight="1" x14ac:dyDescent="0.25">
      <c r="A419" s="20">
        <v>257</v>
      </c>
      <c r="B419" s="20" t="s">
        <v>0</v>
      </c>
      <c r="C419" s="20">
        <v>32572</v>
      </c>
      <c r="D419" s="21">
        <v>16</v>
      </c>
      <c r="E419" s="21">
        <v>1</v>
      </c>
      <c r="F419" s="22">
        <v>18</v>
      </c>
      <c r="G419" s="22" t="s">
        <v>198</v>
      </c>
      <c r="H419" s="24">
        <f t="shared" si="77"/>
        <v>6518</v>
      </c>
      <c r="I419" s="25" t="s">
        <v>19</v>
      </c>
      <c r="J419" s="24">
        <f t="shared" si="78"/>
        <v>2444250</v>
      </c>
      <c r="K419" s="20"/>
      <c r="L419" s="20"/>
      <c r="M419" s="20"/>
      <c r="N419" s="20"/>
      <c r="O419" s="24"/>
      <c r="P419" s="24"/>
      <c r="Q419" s="25"/>
      <c r="R419" s="24"/>
      <c r="S419" s="20"/>
      <c r="T419" s="27"/>
      <c r="U419" s="20"/>
      <c r="V419" s="27">
        <f t="shared" si="79"/>
        <v>2444250</v>
      </c>
      <c r="W419" s="26">
        <f t="shared" si="75"/>
        <v>2444250</v>
      </c>
      <c r="X419" s="27">
        <v>0</v>
      </c>
      <c r="Y419" s="78">
        <f t="shared" si="76"/>
        <v>2444250</v>
      </c>
      <c r="Z419" s="49">
        <v>1E-4</v>
      </c>
    </row>
    <row r="420" spans="1:26" s="29" customFormat="1" ht="90.75" customHeight="1" x14ac:dyDescent="0.25">
      <c r="A420" s="20">
        <v>258</v>
      </c>
      <c r="B420" s="20" t="s">
        <v>0</v>
      </c>
      <c r="C420" s="20">
        <v>32573</v>
      </c>
      <c r="D420" s="21">
        <v>0</v>
      </c>
      <c r="E420" s="21">
        <v>2</v>
      </c>
      <c r="F420" s="22">
        <v>79</v>
      </c>
      <c r="G420" s="22" t="s">
        <v>198</v>
      </c>
      <c r="H420" s="24">
        <f t="shared" si="77"/>
        <v>279</v>
      </c>
      <c r="I420" s="25" t="s">
        <v>75</v>
      </c>
      <c r="J420" s="24">
        <f t="shared" si="78"/>
        <v>174375</v>
      </c>
      <c r="K420" s="20"/>
      <c r="L420" s="20"/>
      <c r="M420" s="20"/>
      <c r="N420" s="20"/>
      <c r="O420" s="24"/>
      <c r="P420" s="24"/>
      <c r="Q420" s="25"/>
      <c r="R420" s="24"/>
      <c r="S420" s="20"/>
      <c r="T420" s="27"/>
      <c r="U420" s="20"/>
      <c r="V420" s="27">
        <f t="shared" si="79"/>
        <v>174375</v>
      </c>
      <c r="W420" s="26">
        <f t="shared" si="75"/>
        <v>174375</v>
      </c>
      <c r="X420" s="27">
        <v>0</v>
      </c>
      <c r="Y420" s="78">
        <f t="shared" si="76"/>
        <v>174375</v>
      </c>
      <c r="Z420" s="49">
        <v>1E-4</v>
      </c>
    </row>
    <row r="421" spans="1:26" s="29" customFormat="1" ht="90.75" customHeight="1" x14ac:dyDescent="0.25">
      <c r="A421" s="20">
        <v>259</v>
      </c>
      <c r="B421" s="20" t="s">
        <v>0</v>
      </c>
      <c r="C421" s="20">
        <v>10274</v>
      </c>
      <c r="D421" s="21">
        <v>0</v>
      </c>
      <c r="E421" s="21">
        <v>2</v>
      </c>
      <c r="F421" s="22">
        <v>60</v>
      </c>
      <c r="G421" s="22" t="s">
        <v>198</v>
      </c>
      <c r="H421" s="24">
        <f t="shared" si="77"/>
        <v>260</v>
      </c>
      <c r="I421" s="25" t="s">
        <v>75</v>
      </c>
      <c r="J421" s="24">
        <f t="shared" si="78"/>
        <v>162500</v>
      </c>
      <c r="K421" s="20"/>
      <c r="L421" s="20"/>
      <c r="M421" s="20"/>
      <c r="N421" s="20"/>
      <c r="O421" s="24"/>
      <c r="P421" s="24"/>
      <c r="Q421" s="25"/>
      <c r="R421" s="24"/>
      <c r="S421" s="20"/>
      <c r="T421" s="27"/>
      <c r="U421" s="20"/>
      <c r="V421" s="27">
        <f t="shared" si="79"/>
        <v>162500</v>
      </c>
      <c r="W421" s="26">
        <f t="shared" si="75"/>
        <v>162500</v>
      </c>
      <c r="X421" s="27">
        <v>0</v>
      </c>
      <c r="Y421" s="78">
        <f t="shared" si="76"/>
        <v>162500</v>
      </c>
      <c r="Z421" s="49">
        <v>1E-4</v>
      </c>
    </row>
    <row r="422" spans="1:26" s="29" customFormat="1" ht="90.75" customHeight="1" x14ac:dyDescent="0.25">
      <c r="A422" s="20">
        <v>260</v>
      </c>
      <c r="B422" s="20" t="s">
        <v>0</v>
      </c>
      <c r="C422" s="20">
        <v>52021</v>
      </c>
      <c r="D422" s="21">
        <v>3</v>
      </c>
      <c r="E422" s="21">
        <v>2</v>
      </c>
      <c r="F422" s="22">
        <v>6</v>
      </c>
      <c r="G422" s="22" t="s">
        <v>198</v>
      </c>
      <c r="H422" s="24">
        <f t="shared" si="77"/>
        <v>1406</v>
      </c>
      <c r="I422" s="25" t="s">
        <v>80</v>
      </c>
      <c r="J422" s="24">
        <f t="shared" si="78"/>
        <v>808450</v>
      </c>
      <c r="K422" s="20"/>
      <c r="L422" s="20"/>
      <c r="M422" s="20"/>
      <c r="N422" s="20"/>
      <c r="O422" s="24"/>
      <c r="P422" s="24"/>
      <c r="Q422" s="25"/>
      <c r="R422" s="24"/>
      <c r="S422" s="20"/>
      <c r="T422" s="27"/>
      <c r="U422" s="20"/>
      <c r="V422" s="27">
        <f t="shared" si="79"/>
        <v>808450</v>
      </c>
      <c r="W422" s="26">
        <f t="shared" si="75"/>
        <v>808450</v>
      </c>
      <c r="X422" s="27">
        <v>0</v>
      </c>
      <c r="Y422" s="78">
        <f t="shared" si="76"/>
        <v>808450</v>
      </c>
      <c r="Z422" s="49">
        <v>1E-4</v>
      </c>
    </row>
    <row r="423" spans="1:26" s="29" customFormat="1" ht="90.75" customHeight="1" x14ac:dyDescent="0.25">
      <c r="A423" s="20">
        <v>261</v>
      </c>
      <c r="B423" s="20" t="s">
        <v>0</v>
      </c>
      <c r="C423" s="20">
        <v>7788</v>
      </c>
      <c r="D423" s="21">
        <v>8</v>
      </c>
      <c r="E423" s="21">
        <v>1</v>
      </c>
      <c r="F423" s="22">
        <v>27</v>
      </c>
      <c r="G423" s="22" t="s">
        <v>198</v>
      </c>
      <c r="H423" s="24">
        <f t="shared" si="77"/>
        <v>3327</v>
      </c>
      <c r="I423" s="25" t="s">
        <v>75</v>
      </c>
      <c r="J423" s="24">
        <f t="shared" si="78"/>
        <v>2079375</v>
      </c>
      <c r="K423" s="20"/>
      <c r="L423" s="20"/>
      <c r="M423" s="20"/>
      <c r="N423" s="20"/>
      <c r="O423" s="24"/>
      <c r="P423" s="24"/>
      <c r="Q423" s="25"/>
      <c r="R423" s="24"/>
      <c r="S423" s="20"/>
      <c r="T423" s="27"/>
      <c r="U423" s="20"/>
      <c r="V423" s="27">
        <f t="shared" si="79"/>
        <v>2079375</v>
      </c>
      <c r="W423" s="26">
        <f t="shared" si="75"/>
        <v>2079375</v>
      </c>
      <c r="X423" s="27">
        <v>0</v>
      </c>
      <c r="Y423" s="78">
        <f t="shared" si="76"/>
        <v>2079375</v>
      </c>
      <c r="Z423" s="49">
        <v>1E-4</v>
      </c>
    </row>
    <row r="424" spans="1:26" s="29" customFormat="1" ht="90.75" customHeight="1" x14ac:dyDescent="0.25">
      <c r="A424" s="20">
        <v>262</v>
      </c>
      <c r="B424" s="20" t="s">
        <v>0</v>
      </c>
      <c r="C424" s="20">
        <v>7785</v>
      </c>
      <c r="D424" s="21">
        <v>25</v>
      </c>
      <c r="E424" s="21">
        <v>1</v>
      </c>
      <c r="F424" s="22">
        <v>70</v>
      </c>
      <c r="G424" s="22" t="s">
        <v>198</v>
      </c>
      <c r="H424" s="24">
        <f t="shared" si="77"/>
        <v>10170</v>
      </c>
      <c r="I424" s="25" t="s">
        <v>11</v>
      </c>
      <c r="J424" s="24">
        <f t="shared" si="78"/>
        <v>2796750</v>
      </c>
      <c r="K424" s="20"/>
      <c r="L424" s="20"/>
      <c r="M424" s="20"/>
      <c r="N424" s="20"/>
      <c r="O424" s="24"/>
      <c r="P424" s="24"/>
      <c r="Q424" s="25"/>
      <c r="R424" s="24"/>
      <c r="S424" s="20"/>
      <c r="T424" s="27"/>
      <c r="U424" s="20"/>
      <c r="V424" s="27">
        <f t="shared" si="79"/>
        <v>2796750</v>
      </c>
      <c r="W424" s="26">
        <f t="shared" si="75"/>
        <v>2796750</v>
      </c>
      <c r="X424" s="27">
        <v>0</v>
      </c>
      <c r="Y424" s="78">
        <f t="shared" si="76"/>
        <v>2796750</v>
      </c>
      <c r="Z424" s="49">
        <v>1E-4</v>
      </c>
    </row>
    <row r="425" spans="1:26" s="29" customFormat="1" ht="90.75" customHeight="1" x14ac:dyDescent="0.25">
      <c r="A425" s="20">
        <v>263</v>
      </c>
      <c r="B425" s="20" t="s">
        <v>0</v>
      </c>
      <c r="C425" s="20">
        <v>7159</v>
      </c>
      <c r="D425" s="21">
        <v>15</v>
      </c>
      <c r="E425" s="21">
        <v>3</v>
      </c>
      <c r="F425" s="22">
        <v>47</v>
      </c>
      <c r="G425" s="22" t="s">
        <v>198</v>
      </c>
      <c r="H425" s="24">
        <f t="shared" si="77"/>
        <v>6347</v>
      </c>
      <c r="I425" s="25" t="s">
        <v>32</v>
      </c>
      <c r="J425" s="24">
        <f t="shared" si="78"/>
        <v>1269400</v>
      </c>
      <c r="K425" s="20"/>
      <c r="L425" s="20"/>
      <c r="M425" s="20"/>
      <c r="N425" s="20"/>
      <c r="O425" s="24"/>
      <c r="P425" s="24"/>
      <c r="Q425" s="25"/>
      <c r="R425" s="24"/>
      <c r="S425" s="20"/>
      <c r="T425" s="27"/>
      <c r="U425" s="20"/>
      <c r="V425" s="27">
        <f t="shared" si="79"/>
        <v>1269400</v>
      </c>
      <c r="W425" s="26">
        <f t="shared" si="75"/>
        <v>1269400</v>
      </c>
      <c r="X425" s="27">
        <v>0</v>
      </c>
      <c r="Y425" s="78">
        <f t="shared" si="76"/>
        <v>1269400</v>
      </c>
      <c r="Z425" s="49">
        <v>1E-4</v>
      </c>
    </row>
    <row r="426" spans="1:26" s="29" customFormat="1" ht="90.75" customHeight="1" x14ac:dyDescent="0.25">
      <c r="A426" s="20">
        <v>264</v>
      </c>
      <c r="B426" s="20" t="s">
        <v>0</v>
      </c>
      <c r="C426" s="20">
        <v>9859</v>
      </c>
      <c r="D426" s="21">
        <v>17</v>
      </c>
      <c r="E426" s="21">
        <v>0</v>
      </c>
      <c r="F426" s="22">
        <v>37</v>
      </c>
      <c r="G426" s="22" t="s">
        <v>198</v>
      </c>
      <c r="H426" s="24">
        <f t="shared" si="77"/>
        <v>6837</v>
      </c>
      <c r="I426" s="25" t="s">
        <v>19</v>
      </c>
      <c r="J426" s="24">
        <f t="shared" si="78"/>
        <v>2563875</v>
      </c>
      <c r="K426" s="20"/>
      <c r="L426" s="20"/>
      <c r="M426" s="20"/>
      <c r="N426" s="20"/>
      <c r="O426" s="24"/>
      <c r="P426" s="24"/>
      <c r="Q426" s="25"/>
      <c r="R426" s="24"/>
      <c r="S426" s="20"/>
      <c r="T426" s="27"/>
      <c r="U426" s="20"/>
      <c r="V426" s="27">
        <f t="shared" si="79"/>
        <v>2563875</v>
      </c>
      <c r="W426" s="26">
        <f t="shared" si="75"/>
        <v>2563875</v>
      </c>
      <c r="X426" s="27">
        <v>0</v>
      </c>
      <c r="Y426" s="78">
        <f t="shared" si="76"/>
        <v>2563875</v>
      </c>
      <c r="Z426" s="49">
        <v>1E-4</v>
      </c>
    </row>
    <row r="427" spans="1:26" s="29" customFormat="1" ht="90.75" customHeight="1" x14ac:dyDescent="0.25">
      <c r="A427" s="20">
        <v>265</v>
      </c>
      <c r="B427" s="20" t="s">
        <v>0</v>
      </c>
      <c r="C427" s="20">
        <v>7158</v>
      </c>
      <c r="D427" s="21">
        <v>14</v>
      </c>
      <c r="E427" s="21">
        <v>3</v>
      </c>
      <c r="F427" s="22">
        <v>76</v>
      </c>
      <c r="G427" s="22" t="s">
        <v>198</v>
      </c>
      <c r="H427" s="24">
        <f t="shared" si="77"/>
        <v>5976</v>
      </c>
      <c r="I427" s="25" t="s">
        <v>32</v>
      </c>
      <c r="J427" s="24">
        <f t="shared" si="78"/>
        <v>1195200</v>
      </c>
      <c r="K427" s="20"/>
      <c r="L427" s="20"/>
      <c r="M427" s="20"/>
      <c r="N427" s="20"/>
      <c r="O427" s="24"/>
      <c r="P427" s="24"/>
      <c r="Q427" s="25"/>
      <c r="R427" s="24"/>
      <c r="S427" s="20"/>
      <c r="T427" s="27"/>
      <c r="U427" s="20"/>
      <c r="V427" s="27">
        <f t="shared" si="79"/>
        <v>1195200</v>
      </c>
      <c r="W427" s="26">
        <f t="shared" si="75"/>
        <v>1195200</v>
      </c>
      <c r="X427" s="27">
        <v>0</v>
      </c>
      <c r="Y427" s="78">
        <f t="shared" si="76"/>
        <v>1195200</v>
      </c>
      <c r="Z427" s="49">
        <v>1E-4</v>
      </c>
    </row>
    <row r="428" spans="1:26" s="29" customFormat="1" ht="90.75" customHeight="1" x14ac:dyDescent="0.25">
      <c r="A428" s="20">
        <v>266</v>
      </c>
      <c r="B428" s="20" t="s">
        <v>0</v>
      </c>
      <c r="C428" s="20">
        <v>7157</v>
      </c>
      <c r="D428" s="21">
        <v>23</v>
      </c>
      <c r="E428" s="21">
        <v>0</v>
      </c>
      <c r="F428" s="22">
        <v>25</v>
      </c>
      <c r="G428" s="22" t="s">
        <v>198</v>
      </c>
      <c r="H428" s="24">
        <f t="shared" si="77"/>
        <v>9225</v>
      </c>
      <c r="I428" s="25" t="s">
        <v>32</v>
      </c>
      <c r="J428" s="24">
        <f t="shared" si="78"/>
        <v>1845000</v>
      </c>
      <c r="K428" s="20"/>
      <c r="L428" s="20"/>
      <c r="M428" s="20"/>
      <c r="N428" s="20"/>
      <c r="O428" s="24"/>
      <c r="P428" s="24"/>
      <c r="Q428" s="25"/>
      <c r="R428" s="24"/>
      <c r="S428" s="20"/>
      <c r="T428" s="27"/>
      <c r="U428" s="20"/>
      <c r="V428" s="27">
        <f t="shared" si="79"/>
        <v>1845000</v>
      </c>
      <c r="W428" s="26">
        <f t="shared" si="75"/>
        <v>1845000</v>
      </c>
      <c r="X428" s="27">
        <v>0</v>
      </c>
      <c r="Y428" s="78">
        <f t="shared" si="76"/>
        <v>1845000</v>
      </c>
      <c r="Z428" s="49">
        <v>1E-4</v>
      </c>
    </row>
    <row r="429" spans="1:26" s="29" customFormat="1" ht="90.75" customHeight="1" x14ac:dyDescent="0.25">
      <c r="A429" s="20">
        <v>267</v>
      </c>
      <c r="B429" s="20" t="s">
        <v>0</v>
      </c>
      <c r="C429" s="20">
        <v>32576</v>
      </c>
      <c r="D429" s="21">
        <v>24</v>
      </c>
      <c r="E429" s="21">
        <v>1</v>
      </c>
      <c r="F429" s="22">
        <v>64</v>
      </c>
      <c r="G429" s="22" t="s">
        <v>198</v>
      </c>
      <c r="H429" s="24">
        <f t="shared" si="77"/>
        <v>9764</v>
      </c>
      <c r="I429" s="25" t="s">
        <v>75</v>
      </c>
      <c r="J429" s="24">
        <f t="shared" si="78"/>
        <v>6102500</v>
      </c>
      <c r="K429" s="20"/>
      <c r="L429" s="20"/>
      <c r="M429" s="20"/>
      <c r="N429" s="20"/>
      <c r="O429" s="24"/>
      <c r="P429" s="24"/>
      <c r="Q429" s="25"/>
      <c r="R429" s="24"/>
      <c r="S429" s="20"/>
      <c r="T429" s="27"/>
      <c r="U429" s="20"/>
      <c r="V429" s="27">
        <f t="shared" si="79"/>
        <v>6102500</v>
      </c>
      <c r="W429" s="26">
        <f t="shared" si="75"/>
        <v>6102500</v>
      </c>
      <c r="X429" s="27">
        <v>0</v>
      </c>
      <c r="Y429" s="78">
        <f t="shared" si="76"/>
        <v>6102500</v>
      </c>
      <c r="Z429" s="49">
        <v>1E-4</v>
      </c>
    </row>
    <row r="430" spans="1:26" s="29" customFormat="1" ht="90.75" customHeight="1" x14ac:dyDescent="0.25">
      <c r="A430" s="20">
        <v>268</v>
      </c>
      <c r="B430" s="20" t="s">
        <v>0</v>
      </c>
      <c r="C430" s="20">
        <v>9879</v>
      </c>
      <c r="D430" s="21">
        <v>22</v>
      </c>
      <c r="E430" s="21">
        <v>0</v>
      </c>
      <c r="F430" s="22">
        <v>1</v>
      </c>
      <c r="G430" s="22" t="s">
        <v>198</v>
      </c>
      <c r="H430" s="24">
        <f t="shared" si="77"/>
        <v>8801</v>
      </c>
      <c r="I430" s="25" t="s">
        <v>19</v>
      </c>
      <c r="J430" s="24">
        <f t="shared" si="78"/>
        <v>3300375</v>
      </c>
      <c r="K430" s="20"/>
      <c r="L430" s="20"/>
      <c r="M430" s="20"/>
      <c r="N430" s="20"/>
      <c r="O430" s="24"/>
      <c r="P430" s="24"/>
      <c r="Q430" s="25"/>
      <c r="R430" s="24"/>
      <c r="S430" s="20"/>
      <c r="T430" s="27"/>
      <c r="U430" s="20"/>
      <c r="V430" s="27">
        <f t="shared" si="79"/>
        <v>3300375</v>
      </c>
      <c r="W430" s="26">
        <f t="shared" si="75"/>
        <v>3300375</v>
      </c>
      <c r="X430" s="27">
        <v>0</v>
      </c>
      <c r="Y430" s="78">
        <f t="shared" si="76"/>
        <v>3300375</v>
      </c>
      <c r="Z430" s="49">
        <v>1E-4</v>
      </c>
    </row>
    <row r="431" spans="1:26" s="29" customFormat="1" ht="90.75" customHeight="1" x14ac:dyDescent="0.25">
      <c r="A431" s="20">
        <v>269</v>
      </c>
      <c r="B431" s="20" t="s">
        <v>0</v>
      </c>
      <c r="C431" s="20">
        <v>9870</v>
      </c>
      <c r="D431" s="21">
        <v>14</v>
      </c>
      <c r="E431" s="21">
        <v>0</v>
      </c>
      <c r="F431" s="22">
        <v>12</v>
      </c>
      <c r="G431" s="22" t="s">
        <v>198</v>
      </c>
      <c r="H431" s="24">
        <f t="shared" si="77"/>
        <v>5612</v>
      </c>
      <c r="I431" s="25">
        <v>375</v>
      </c>
      <c r="J431" s="24">
        <f t="shared" si="78"/>
        <v>2104500</v>
      </c>
      <c r="K431" s="20"/>
      <c r="L431" s="20"/>
      <c r="M431" s="20"/>
      <c r="N431" s="20"/>
      <c r="O431" s="24"/>
      <c r="P431" s="24"/>
      <c r="Q431" s="25"/>
      <c r="R431" s="24"/>
      <c r="S431" s="20"/>
      <c r="T431" s="27"/>
      <c r="U431" s="20"/>
      <c r="V431" s="27">
        <f t="shared" si="79"/>
        <v>2104500</v>
      </c>
      <c r="W431" s="26">
        <f t="shared" si="75"/>
        <v>2104500</v>
      </c>
      <c r="X431" s="27">
        <v>0</v>
      </c>
      <c r="Y431" s="78">
        <f t="shared" si="76"/>
        <v>2104500</v>
      </c>
      <c r="Z431" s="49">
        <v>1E-4</v>
      </c>
    </row>
    <row r="432" spans="1:26" s="29" customFormat="1" ht="90.75" customHeight="1" x14ac:dyDescent="0.25">
      <c r="A432" s="20">
        <v>270</v>
      </c>
      <c r="B432" s="20" t="s">
        <v>0</v>
      </c>
      <c r="C432" s="20">
        <v>9908</v>
      </c>
      <c r="D432" s="21">
        <v>33</v>
      </c>
      <c r="E432" s="21">
        <v>0</v>
      </c>
      <c r="F432" s="22">
        <v>98</v>
      </c>
      <c r="G432" s="22" t="s">
        <v>198</v>
      </c>
      <c r="H432" s="24">
        <f t="shared" si="77"/>
        <v>13298</v>
      </c>
      <c r="I432" s="25" t="s">
        <v>32</v>
      </c>
      <c r="J432" s="24">
        <f t="shared" si="78"/>
        <v>2659600</v>
      </c>
      <c r="K432" s="20"/>
      <c r="L432" s="20"/>
      <c r="M432" s="20"/>
      <c r="N432" s="20"/>
      <c r="O432" s="24"/>
      <c r="P432" s="24"/>
      <c r="Q432" s="25"/>
      <c r="R432" s="24"/>
      <c r="S432" s="20"/>
      <c r="T432" s="27"/>
      <c r="U432" s="20"/>
      <c r="V432" s="27">
        <f t="shared" si="79"/>
        <v>2659600</v>
      </c>
      <c r="W432" s="26">
        <f t="shared" si="75"/>
        <v>2659600</v>
      </c>
      <c r="X432" s="27">
        <v>0</v>
      </c>
      <c r="Y432" s="78">
        <f t="shared" si="76"/>
        <v>2659600</v>
      </c>
      <c r="Z432" s="49">
        <v>1E-4</v>
      </c>
    </row>
    <row r="433" spans="1:26" s="29" customFormat="1" ht="90.75" customHeight="1" x14ac:dyDescent="0.25">
      <c r="A433" s="20">
        <v>271</v>
      </c>
      <c r="B433" s="20" t="s">
        <v>0</v>
      </c>
      <c r="C433" s="20">
        <v>7167</v>
      </c>
      <c r="D433" s="21">
        <v>7</v>
      </c>
      <c r="E433" s="21">
        <v>3</v>
      </c>
      <c r="F433" s="22">
        <v>83</v>
      </c>
      <c r="G433" s="22" t="s">
        <v>198</v>
      </c>
      <c r="H433" s="24">
        <f t="shared" si="77"/>
        <v>3183</v>
      </c>
      <c r="I433" s="25" t="s">
        <v>32</v>
      </c>
      <c r="J433" s="24">
        <f t="shared" si="78"/>
        <v>636600</v>
      </c>
      <c r="K433" s="20"/>
      <c r="L433" s="20"/>
      <c r="M433" s="20"/>
      <c r="N433" s="20"/>
      <c r="O433" s="24"/>
      <c r="P433" s="24"/>
      <c r="Q433" s="25"/>
      <c r="R433" s="24"/>
      <c r="S433" s="20"/>
      <c r="T433" s="27"/>
      <c r="U433" s="20"/>
      <c r="V433" s="27">
        <f t="shared" si="79"/>
        <v>636600</v>
      </c>
      <c r="W433" s="26">
        <f t="shared" si="75"/>
        <v>636600</v>
      </c>
      <c r="X433" s="27">
        <v>0</v>
      </c>
      <c r="Y433" s="78">
        <f t="shared" si="76"/>
        <v>636600</v>
      </c>
      <c r="Z433" s="49">
        <v>1E-4</v>
      </c>
    </row>
    <row r="434" spans="1:26" s="29" customFormat="1" ht="90.75" customHeight="1" x14ac:dyDescent="0.25">
      <c r="A434" s="20">
        <v>272</v>
      </c>
      <c r="B434" s="20" t="s">
        <v>0</v>
      </c>
      <c r="C434" s="20">
        <v>7166</v>
      </c>
      <c r="D434" s="21">
        <v>24</v>
      </c>
      <c r="E434" s="21">
        <v>1</v>
      </c>
      <c r="F434" s="22">
        <v>76</v>
      </c>
      <c r="G434" s="22" t="s">
        <v>198</v>
      </c>
      <c r="H434" s="24">
        <f t="shared" si="77"/>
        <v>9776</v>
      </c>
      <c r="I434" s="25" t="s">
        <v>19</v>
      </c>
      <c r="J434" s="24">
        <f t="shared" si="78"/>
        <v>3666000</v>
      </c>
      <c r="K434" s="20"/>
      <c r="L434" s="20"/>
      <c r="M434" s="20"/>
      <c r="N434" s="20"/>
      <c r="O434" s="24"/>
      <c r="P434" s="24"/>
      <c r="Q434" s="25"/>
      <c r="R434" s="24"/>
      <c r="S434" s="20"/>
      <c r="T434" s="27"/>
      <c r="U434" s="20"/>
      <c r="V434" s="27">
        <f t="shared" si="79"/>
        <v>3666000</v>
      </c>
      <c r="W434" s="26">
        <f t="shared" si="75"/>
        <v>3666000</v>
      </c>
      <c r="X434" s="27">
        <v>0</v>
      </c>
      <c r="Y434" s="78">
        <f t="shared" si="76"/>
        <v>3666000</v>
      </c>
      <c r="Z434" s="49">
        <v>1E-4</v>
      </c>
    </row>
    <row r="435" spans="1:26" s="29" customFormat="1" ht="90.75" customHeight="1" x14ac:dyDescent="0.25">
      <c r="A435" s="20">
        <v>273</v>
      </c>
      <c r="B435" s="20" t="s">
        <v>0</v>
      </c>
      <c r="C435" s="20">
        <v>7168</v>
      </c>
      <c r="D435" s="21">
        <v>44</v>
      </c>
      <c r="E435" s="21">
        <v>1</v>
      </c>
      <c r="F435" s="22">
        <v>7</v>
      </c>
      <c r="G435" s="22" t="s">
        <v>198</v>
      </c>
      <c r="H435" s="24">
        <f t="shared" si="77"/>
        <v>17707</v>
      </c>
      <c r="I435" s="25" t="s">
        <v>32</v>
      </c>
      <c r="J435" s="24">
        <f t="shared" si="78"/>
        <v>3541400</v>
      </c>
      <c r="K435" s="20"/>
      <c r="L435" s="20"/>
      <c r="M435" s="20"/>
      <c r="N435" s="20"/>
      <c r="O435" s="24"/>
      <c r="P435" s="24"/>
      <c r="Q435" s="25"/>
      <c r="R435" s="24"/>
      <c r="S435" s="20"/>
      <c r="T435" s="27"/>
      <c r="U435" s="20"/>
      <c r="V435" s="27">
        <f t="shared" si="79"/>
        <v>3541400</v>
      </c>
      <c r="W435" s="26">
        <f t="shared" si="75"/>
        <v>3541400</v>
      </c>
      <c r="X435" s="27">
        <v>0</v>
      </c>
      <c r="Y435" s="78">
        <f t="shared" si="76"/>
        <v>3541400</v>
      </c>
      <c r="Z435" s="49">
        <v>1E-4</v>
      </c>
    </row>
    <row r="436" spans="1:26" s="29" customFormat="1" ht="90.75" customHeight="1" x14ac:dyDescent="0.25">
      <c r="A436" s="20">
        <v>274</v>
      </c>
      <c r="B436" s="20" t="s">
        <v>0</v>
      </c>
      <c r="C436" s="20">
        <v>7231</v>
      </c>
      <c r="D436" s="21">
        <v>23</v>
      </c>
      <c r="E436" s="21">
        <v>0</v>
      </c>
      <c r="F436" s="22">
        <v>31</v>
      </c>
      <c r="G436" s="22" t="s">
        <v>198</v>
      </c>
      <c r="H436" s="24">
        <f t="shared" si="77"/>
        <v>9231</v>
      </c>
      <c r="I436" s="25" t="s">
        <v>32</v>
      </c>
      <c r="J436" s="24">
        <f t="shared" si="78"/>
        <v>1846200</v>
      </c>
      <c r="K436" s="20"/>
      <c r="L436" s="20"/>
      <c r="M436" s="20"/>
      <c r="N436" s="20"/>
      <c r="O436" s="24"/>
      <c r="P436" s="24"/>
      <c r="Q436" s="25"/>
      <c r="R436" s="24"/>
      <c r="S436" s="20"/>
      <c r="T436" s="27"/>
      <c r="U436" s="20"/>
      <c r="V436" s="27">
        <f t="shared" si="79"/>
        <v>1846200</v>
      </c>
      <c r="W436" s="26">
        <f t="shared" si="75"/>
        <v>1846200</v>
      </c>
      <c r="X436" s="27">
        <v>0</v>
      </c>
      <c r="Y436" s="78">
        <f t="shared" si="76"/>
        <v>1846200</v>
      </c>
      <c r="Z436" s="49">
        <v>1E-4</v>
      </c>
    </row>
    <row r="437" spans="1:26" s="29" customFormat="1" ht="90.75" customHeight="1" x14ac:dyDescent="0.25">
      <c r="A437" s="20">
        <v>275</v>
      </c>
      <c r="B437" s="20" t="s">
        <v>0</v>
      </c>
      <c r="C437" s="20">
        <v>7234</v>
      </c>
      <c r="D437" s="21">
        <v>11</v>
      </c>
      <c r="E437" s="21">
        <v>1</v>
      </c>
      <c r="F437" s="22">
        <v>63</v>
      </c>
      <c r="G437" s="22" t="s">
        <v>198</v>
      </c>
      <c r="H437" s="24">
        <f t="shared" si="77"/>
        <v>4563</v>
      </c>
      <c r="I437" s="25" t="s">
        <v>32</v>
      </c>
      <c r="J437" s="24">
        <f t="shared" si="78"/>
        <v>912600</v>
      </c>
      <c r="K437" s="20"/>
      <c r="L437" s="20"/>
      <c r="M437" s="20"/>
      <c r="N437" s="20"/>
      <c r="O437" s="24"/>
      <c r="P437" s="24"/>
      <c r="Q437" s="25"/>
      <c r="R437" s="24"/>
      <c r="S437" s="20"/>
      <c r="T437" s="27"/>
      <c r="U437" s="20"/>
      <c r="V437" s="27">
        <f t="shared" si="79"/>
        <v>912600</v>
      </c>
      <c r="W437" s="26">
        <f t="shared" si="75"/>
        <v>912600</v>
      </c>
      <c r="X437" s="27">
        <v>0</v>
      </c>
      <c r="Y437" s="78">
        <f t="shared" si="76"/>
        <v>912600</v>
      </c>
      <c r="Z437" s="49">
        <v>1E-4</v>
      </c>
    </row>
    <row r="438" spans="1:26" s="29" customFormat="1" ht="90.75" customHeight="1" x14ac:dyDescent="0.25">
      <c r="A438" s="20">
        <v>276</v>
      </c>
      <c r="B438" s="20" t="s">
        <v>0</v>
      </c>
      <c r="C438" s="20">
        <v>7233</v>
      </c>
      <c r="D438" s="21">
        <v>13</v>
      </c>
      <c r="E438" s="21">
        <v>1</v>
      </c>
      <c r="F438" s="22">
        <v>91</v>
      </c>
      <c r="G438" s="22" t="s">
        <v>198</v>
      </c>
      <c r="H438" s="24">
        <f t="shared" si="77"/>
        <v>5391</v>
      </c>
      <c r="I438" s="25" t="s">
        <v>32</v>
      </c>
      <c r="J438" s="24">
        <f t="shared" si="78"/>
        <v>1078200</v>
      </c>
      <c r="K438" s="20"/>
      <c r="L438" s="20"/>
      <c r="M438" s="20"/>
      <c r="N438" s="20"/>
      <c r="O438" s="24"/>
      <c r="P438" s="24"/>
      <c r="Q438" s="25"/>
      <c r="R438" s="24"/>
      <c r="S438" s="20"/>
      <c r="T438" s="27"/>
      <c r="U438" s="20"/>
      <c r="V438" s="27">
        <f t="shared" si="79"/>
        <v>1078200</v>
      </c>
      <c r="W438" s="26">
        <f t="shared" si="75"/>
        <v>1078200</v>
      </c>
      <c r="X438" s="27">
        <v>0</v>
      </c>
      <c r="Y438" s="78">
        <f t="shared" si="76"/>
        <v>1078200</v>
      </c>
      <c r="Z438" s="49">
        <v>1E-4</v>
      </c>
    </row>
    <row r="439" spans="1:26" s="29" customFormat="1" ht="90.75" customHeight="1" x14ac:dyDescent="0.25">
      <c r="A439" s="20">
        <v>277</v>
      </c>
      <c r="B439" s="20" t="s">
        <v>0</v>
      </c>
      <c r="C439" s="20">
        <v>7230</v>
      </c>
      <c r="D439" s="21">
        <v>12</v>
      </c>
      <c r="E439" s="21">
        <v>1</v>
      </c>
      <c r="F439" s="22">
        <v>24</v>
      </c>
      <c r="G439" s="22" t="s">
        <v>198</v>
      </c>
      <c r="H439" s="24">
        <f t="shared" si="77"/>
        <v>4924</v>
      </c>
      <c r="I439" s="25" t="s">
        <v>32</v>
      </c>
      <c r="J439" s="24">
        <f t="shared" si="78"/>
        <v>984800</v>
      </c>
      <c r="K439" s="20"/>
      <c r="L439" s="20"/>
      <c r="M439" s="20"/>
      <c r="N439" s="20"/>
      <c r="O439" s="24"/>
      <c r="P439" s="24"/>
      <c r="Q439" s="25"/>
      <c r="R439" s="24"/>
      <c r="S439" s="20"/>
      <c r="T439" s="27"/>
      <c r="U439" s="20"/>
      <c r="V439" s="27">
        <f t="shared" si="79"/>
        <v>984800</v>
      </c>
      <c r="W439" s="26">
        <f t="shared" si="75"/>
        <v>984800</v>
      </c>
      <c r="X439" s="27">
        <v>0</v>
      </c>
      <c r="Y439" s="78">
        <f t="shared" si="76"/>
        <v>984800</v>
      </c>
      <c r="Z439" s="49">
        <v>1E-4</v>
      </c>
    </row>
    <row r="440" spans="1:26" s="29" customFormat="1" ht="90.75" customHeight="1" x14ac:dyDescent="0.25">
      <c r="A440" s="20">
        <v>278</v>
      </c>
      <c r="B440" s="20" t="s">
        <v>0</v>
      </c>
      <c r="C440" s="20">
        <v>9853</v>
      </c>
      <c r="D440" s="21">
        <v>64</v>
      </c>
      <c r="E440" s="21">
        <v>1</v>
      </c>
      <c r="F440" s="22">
        <v>47</v>
      </c>
      <c r="G440" s="22" t="s">
        <v>198</v>
      </c>
      <c r="H440" s="24">
        <f t="shared" si="77"/>
        <v>25747</v>
      </c>
      <c r="I440" s="25" t="s">
        <v>19</v>
      </c>
      <c r="J440" s="24">
        <f t="shared" si="78"/>
        <v>9655125</v>
      </c>
      <c r="K440" s="20"/>
      <c r="L440" s="20"/>
      <c r="M440" s="20"/>
      <c r="N440" s="20"/>
      <c r="O440" s="24"/>
      <c r="P440" s="24"/>
      <c r="Q440" s="25"/>
      <c r="R440" s="24"/>
      <c r="S440" s="20"/>
      <c r="T440" s="27"/>
      <c r="U440" s="20"/>
      <c r="V440" s="27">
        <f t="shared" si="79"/>
        <v>9655125</v>
      </c>
      <c r="W440" s="26">
        <f t="shared" si="75"/>
        <v>9655125</v>
      </c>
      <c r="X440" s="27">
        <v>0</v>
      </c>
      <c r="Y440" s="78">
        <f t="shared" si="76"/>
        <v>9655125</v>
      </c>
      <c r="Z440" s="49">
        <v>1E-4</v>
      </c>
    </row>
    <row r="441" spans="1:26" s="29" customFormat="1" ht="90.75" customHeight="1" x14ac:dyDescent="0.25">
      <c r="A441" s="20">
        <v>279</v>
      </c>
      <c r="B441" s="20" t="s">
        <v>0</v>
      </c>
      <c r="C441" s="20">
        <v>7229</v>
      </c>
      <c r="D441" s="21">
        <v>9</v>
      </c>
      <c r="E441" s="21">
        <v>0</v>
      </c>
      <c r="F441" s="22">
        <v>98</v>
      </c>
      <c r="G441" s="22" t="s">
        <v>198</v>
      </c>
      <c r="H441" s="24">
        <f t="shared" si="77"/>
        <v>3698</v>
      </c>
      <c r="I441" s="25" t="s">
        <v>32</v>
      </c>
      <c r="J441" s="24">
        <f t="shared" si="78"/>
        <v>739600</v>
      </c>
      <c r="K441" s="20"/>
      <c r="L441" s="20"/>
      <c r="M441" s="20"/>
      <c r="N441" s="20"/>
      <c r="O441" s="24"/>
      <c r="P441" s="24"/>
      <c r="Q441" s="25"/>
      <c r="R441" s="24"/>
      <c r="S441" s="20"/>
      <c r="T441" s="27"/>
      <c r="U441" s="20"/>
      <c r="V441" s="27">
        <f t="shared" si="79"/>
        <v>739600</v>
      </c>
      <c r="W441" s="26">
        <f t="shared" si="75"/>
        <v>739600</v>
      </c>
      <c r="X441" s="27">
        <v>0</v>
      </c>
      <c r="Y441" s="78">
        <f t="shared" si="76"/>
        <v>739600</v>
      </c>
      <c r="Z441" s="49">
        <v>1E-4</v>
      </c>
    </row>
    <row r="442" spans="1:26" s="29" customFormat="1" ht="90.75" customHeight="1" x14ac:dyDescent="0.25">
      <c r="A442" s="20">
        <v>280</v>
      </c>
      <c r="B442" s="20" t="s">
        <v>0</v>
      </c>
      <c r="C442" s="20">
        <v>32583</v>
      </c>
      <c r="D442" s="21">
        <v>18</v>
      </c>
      <c r="E442" s="21">
        <v>3</v>
      </c>
      <c r="F442" s="22">
        <v>35</v>
      </c>
      <c r="G442" s="22" t="s">
        <v>198</v>
      </c>
      <c r="H442" s="24">
        <f t="shared" si="77"/>
        <v>7535</v>
      </c>
      <c r="I442" s="25" t="s">
        <v>37</v>
      </c>
      <c r="J442" s="24">
        <f t="shared" si="78"/>
        <v>3202375</v>
      </c>
      <c r="K442" s="20"/>
      <c r="L442" s="20"/>
      <c r="M442" s="20"/>
      <c r="N442" s="20"/>
      <c r="O442" s="24"/>
      <c r="P442" s="24"/>
      <c r="Q442" s="25"/>
      <c r="R442" s="24"/>
      <c r="S442" s="20"/>
      <c r="T442" s="27"/>
      <c r="U442" s="20"/>
      <c r="V442" s="27">
        <f t="shared" si="79"/>
        <v>3202375</v>
      </c>
      <c r="W442" s="26">
        <f t="shared" si="75"/>
        <v>3202375</v>
      </c>
      <c r="X442" s="27">
        <v>0</v>
      </c>
      <c r="Y442" s="78">
        <f t="shared" si="76"/>
        <v>3202375</v>
      </c>
      <c r="Z442" s="49">
        <v>1E-4</v>
      </c>
    </row>
    <row r="443" spans="1:26" s="29" customFormat="1" ht="90.75" customHeight="1" x14ac:dyDescent="0.25">
      <c r="A443" s="20">
        <v>281</v>
      </c>
      <c r="B443" s="20" t="s">
        <v>0</v>
      </c>
      <c r="C443" s="20">
        <v>32579</v>
      </c>
      <c r="D443" s="21">
        <v>6</v>
      </c>
      <c r="E443" s="21">
        <v>0</v>
      </c>
      <c r="F443" s="22">
        <v>92</v>
      </c>
      <c r="G443" s="22" t="s">
        <v>198</v>
      </c>
      <c r="H443" s="24">
        <f t="shared" si="77"/>
        <v>2492</v>
      </c>
      <c r="I443" s="25" t="s">
        <v>19</v>
      </c>
      <c r="J443" s="24">
        <f t="shared" si="78"/>
        <v>934500</v>
      </c>
      <c r="K443" s="20"/>
      <c r="L443" s="20"/>
      <c r="M443" s="20"/>
      <c r="N443" s="20"/>
      <c r="O443" s="24"/>
      <c r="P443" s="24"/>
      <c r="Q443" s="25"/>
      <c r="R443" s="24"/>
      <c r="S443" s="20"/>
      <c r="T443" s="27"/>
      <c r="U443" s="20"/>
      <c r="V443" s="27">
        <f t="shared" si="79"/>
        <v>934500</v>
      </c>
      <c r="W443" s="26">
        <f t="shared" si="75"/>
        <v>934500</v>
      </c>
      <c r="X443" s="27">
        <v>0</v>
      </c>
      <c r="Y443" s="78">
        <f t="shared" si="76"/>
        <v>934500</v>
      </c>
      <c r="Z443" s="49">
        <v>1E-4</v>
      </c>
    </row>
    <row r="444" spans="1:26" s="29" customFormat="1" ht="90.75" customHeight="1" x14ac:dyDescent="0.25">
      <c r="A444" s="20">
        <v>282</v>
      </c>
      <c r="B444" s="20" t="s">
        <v>0</v>
      </c>
      <c r="C444" s="20">
        <v>7182</v>
      </c>
      <c r="D444" s="21">
        <v>15</v>
      </c>
      <c r="E444" s="21">
        <v>0</v>
      </c>
      <c r="F444" s="22">
        <v>35</v>
      </c>
      <c r="G444" s="22" t="s">
        <v>198</v>
      </c>
      <c r="H444" s="24">
        <f t="shared" si="77"/>
        <v>6035</v>
      </c>
      <c r="I444" s="25" t="s">
        <v>4</v>
      </c>
      <c r="J444" s="24">
        <f t="shared" si="78"/>
        <v>1357875</v>
      </c>
      <c r="K444" s="20"/>
      <c r="L444" s="20"/>
      <c r="M444" s="20"/>
      <c r="N444" s="20"/>
      <c r="O444" s="24"/>
      <c r="P444" s="24"/>
      <c r="Q444" s="25"/>
      <c r="R444" s="24"/>
      <c r="S444" s="20"/>
      <c r="T444" s="27"/>
      <c r="U444" s="20"/>
      <c r="V444" s="27">
        <f t="shared" si="79"/>
        <v>1357875</v>
      </c>
      <c r="W444" s="26">
        <f t="shared" si="75"/>
        <v>1357875</v>
      </c>
      <c r="X444" s="27">
        <v>0</v>
      </c>
      <c r="Y444" s="78">
        <f t="shared" si="76"/>
        <v>1357875</v>
      </c>
      <c r="Z444" s="49">
        <v>1E-4</v>
      </c>
    </row>
    <row r="445" spans="1:26" s="29" customFormat="1" ht="90.75" customHeight="1" x14ac:dyDescent="0.25">
      <c r="A445" s="20">
        <v>283</v>
      </c>
      <c r="B445" s="20" t="s">
        <v>0</v>
      </c>
      <c r="C445" s="20">
        <v>6781</v>
      </c>
      <c r="D445" s="21">
        <v>7</v>
      </c>
      <c r="E445" s="21">
        <v>1</v>
      </c>
      <c r="F445" s="22">
        <v>83</v>
      </c>
      <c r="G445" s="22" t="s">
        <v>198</v>
      </c>
      <c r="H445" s="24">
        <f t="shared" si="77"/>
        <v>2983</v>
      </c>
      <c r="I445" s="25" t="s">
        <v>19</v>
      </c>
      <c r="J445" s="24">
        <f t="shared" si="78"/>
        <v>1118625</v>
      </c>
      <c r="K445" s="20"/>
      <c r="L445" s="20"/>
      <c r="M445" s="20"/>
      <c r="N445" s="20"/>
      <c r="O445" s="24"/>
      <c r="P445" s="24"/>
      <c r="Q445" s="25"/>
      <c r="R445" s="24"/>
      <c r="S445" s="20"/>
      <c r="T445" s="27"/>
      <c r="U445" s="20"/>
      <c r="V445" s="27">
        <f t="shared" si="79"/>
        <v>1118625</v>
      </c>
      <c r="W445" s="26">
        <f t="shared" si="75"/>
        <v>1118625</v>
      </c>
      <c r="X445" s="27">
        <v>0</v>
      </c>
      <c r="Y445" s="78">
        <f t="shared" si="76"/>
        <v>1118625</v>
      </c>
      <c r="Z445" s="49">
        <v>1E-4</v>
      </c>
    </row>
    <row r="446" spans="1:26" s="29" customFormat="1" ht="90.75" customHeight="1" x14ac:dyDescent="0.25">
      <c r="A446" s="20">
        <v>284</v>
      </c>
      <c r="B446" s="20" t="s">
        <v>0</v>
      </c>
      <c r="C446" s="20">
        <v>6780</v>
      </c>
      <c r="D446" s="21">
        <v>7</v>
      </c>
      <c r="E446" s="21">
        <v>0</v>
      </c>
      <c r="F446" s="22">
        <v>85</v>
      </c>
      <c r="G446" s="22" t="s">
        <v>198</v>
      </c>
      <c r="H446" s="24">
        <f t="shared" si="77"/>
        <v>2885</v>
      </c>
      <c r="I446" s="25" t="s">
        <v>22</v>
      </c>
      <c r="J446" s="24">
        <f t="shared" si="78"/>
        <v>1514625</v>
      </c>
      <c r="K446" s="20"/>
      <c r="L446" s="20"/>
      <c r="M446" s="20"/>
      <c r="N446" s="20"/>
      <c r="O446" s="24"/>
      <c r="P446" s="24"/>
      <c r="Q446" s="25"/>
      <c r="R446" s="24"/>
      <c r="S446" s="20"/>
      <c r="T446" s="27"/>
      <c r="U446" s="20"/>
      <c r="V446" s="27">
        <f t="shared" si="79"/>
        <v>1514625</v>
      </c>
      <c r="W446" s="26">
        <f t="shared" si="75"/>
        <v>1514625</v>
      </c>
      <c r="X446" s="27">
        <v>0</v>
      </c>
      <c r="Y446" s="78">
        <f t="shared" si="76"/>
        <v>1514625</v>
      </c>
      <c r="Z446" s="49">
        <v>1E-4</v>
      </c>
    </row>
    <row r="447" spans="1:26" s="29" customFormat="1" ht="90.75" customHeight="1" x14ac:dyDescent="0.25">
      <c r="A447" s="20">
        <v>285</v>
      </c>
      <c r="B447" s="20" t="s">
        <v>0</v>
      </c>
      <c r="C447" s="20">
        <v>32582</v>
      </c>
      <c r="D447" s="21">
        <v>12</v>
      </c>
      <c r="E447" s="21">
        <v>3</v>
      </c>
      <c r="F447" s="22">
        <v>50</v>
      </c>
      <c r="G447" s="22" t="s">
        <v>198</v>
      </c>
      <c r="H447" s="24">
        <f t="shared" si="77"/>
        <v>5150</v>
      </c>
      <c r="I447" s="25" t="s">
        <v>62</v>
      </c>
      <c r="J447" s="24">
        <f t="shared" si="78"/>
        <v>2575000</v>
      </c>
      <c r="K447" s="20"/>
      <c r="L447" s="20"/>
      <c r="M447" s="20"/>
      <c r="N447" s="20"/>
      <c r="O447" s="24"/>
      <c r="P447" s="24"/>
      <c r="Q447" s="25"/>
      <c r="R447" s="24"/>
      <c r="S447" s="20"/>
      <c r="T447" s="27"/>
      <c r="U447" s="20"/>
      <c r="V447" s="27">
        <f t="shared" si="79"/>
        <v>2575000</v>
      </c>
      <c r="W447" s="26">
        <f t="shared" si="75"/>
        <v>2575000</v>
      </c>
      <c r="X447" s="27">
        <v>0</v>
      </c>
      <c r="Y447" s="78">
        <f t="shared" si="76"/>
        <v>2575000</v>
      </c>
      <c r="Z447" s="49">
        <v>1E-4</v>
      </c>
    </row>
    <row r="448" spans="1:26" s="29" customFormat="1" ht="90.75" customHeight="1" x14ac:dyDescent="0.25">
      <c r="A448" s="20">
        <v>286</v>
      </c>
      <c r="B448" s="20" t="s">
        <v>0</v>
      </c>
      <c r="C448" s="20">
        <v>32578</v>
      </c>
      <c r="D448" s="21">
        <v>14</v>
      </c>
      <c r="E448" s="21">
        <v>2</v>
      </c>
      <c r="F448" s="22">
        <v>43</v>
      </c>
      <c r="G448" s="22" t="s">
        <v>198</v>
      </c>
      <c r="H448" s="24">
        <f t="shared" si="77"/>
        <v>5843</v>
      </c>
      <c r="I448" s="25" t="s">
        <v>32</v>
      </c>
      <c r="J448" s="24">
        <f t="shared" si="78"/>
        <v>1168600</v>
      </c>
      <c r="K448" s="20"/>
      <c r="L448" s="20"/>
      <c r="M448" s="20"/>
      <c r="N448" s="20"/>
      <c r="O448" s="24"/>
      <c r="P448" s="24"/>
      <c r="Q448" s="25"/>
      <c r="R448" s="24"/>
      <c r="S448" s="20"/>
      <c r="T448" s="27"/>
      <c r="U448" s="20"/>
      <c r="V448" s="27">
        <f t="shared" si="79"/>
        <v>1168600</v>
      </c>
      <c r="W448" s="26">
        <f t="shared" si="75"/>
        <v>1168600</v>
      </c>
      <c r="X448" s="27">
        <v>0</v>
      </c>
      <c r="Y448" s="78">
        <f t="shared" si="76"/>
        <v>1168600</v>
      </c>
      <c r="Z448" s="49">
        <v>1E-4</v>
      </c>
    </row>
    <row r="449" spans="1:26" s="29" customFormat="1" ht="90.75" customHeight="1" x14ac:dyDescent="0.25">
      <c r="A449" s="20">
        <v>287</v>
      </c>
      <c r="B449" s="20" t="s">
        <v>0</v>
      </c>
      <c r="C449" s="20">
        <v>7156</v>
      </c>
      <c r="D449" s="21">
        <v>7</v>
      </c>
      <c r="E449" s="21">
        <v>3</v>
      </c>
      <c r="F449" s="22">
        <v>31</v>
      </c>
      <c r="G449" s="22" t="s">
        <v>198</v>
      </c>
      <c r="H449" s="24">
        <f t="shared" si="77"/>
        <v>3131</v>
      </c>
      <c r="I449" s="25" t="s">
        <v>7</v>
      </c>
      <c r="J449" s="24">
        <f t="shared" si="78"/>
        <v>1095850</v>
      </c>
      <c r="K449" s="20"/>
      <c r="L449" s="20"/>
      <c r="M449" s="20"/>
      <c r="N449" s="20"/>
      <c r="O449" s="24"/>
      <c r="P449" s="24"/>
      <c r="Q449" s="25"/>
      <c r="R449" s="24"/>
      <c r="S449" s="20"/>
      <c r="T449" s="27"/>
      <c r="U449" s="20"/>
      <c r="V449" s="27">
        <f t="shared" si="79"/>
        <v>1095850</v>
      </c>
      <c r="W449" s="26">
        <f t="shared" si="75"/>
        <v>1095850</v>
      </c>
      <c r="X449" s="27">
        <v>0</v>
      </c>
      <c r="Y449" s="78">
        <f t="shared" si="76"/>
        <v>1095850</v>
      </c>
      <c r="Z449" s="49">
        <v>1E-4</v>
      </c>
    </row>
    <row r="450" spans="1:26" s="29" customFormat="1" ht="90.75" customHeight="1" x14ac:dyDescent="0.25">
      <c r="A450" s="20">
        <v>288</v>
      </c>
      <c r="B450" s="20" t="s">
        <v>0</v>
      </c>
      <c r="C450" s="20">
        <v>7221</v>
      </c>
      <c r="D450" s="21">
        <v>9</v>
      </c>
      <c r="E450" s="21">
        <v>1</v>
      </c>
      <c r="F450" s="22">
        <v>28</v>
      </c>
      <c r="G450" s="22" t="s">
        <v>198</v>
      </c>
      <c r="H450" s="24">
        <f t="shared" si="77"/>
        <v>3728</v>
      </c>
      <c r="I450" s="25" t="s">
        <v>32</v>
      </c>
      <c r="J450" s="24">
        <f t="shared" si="78"/>
        <v>745600</v>
      </c>
      <c r="K450" s="20"/>
      <c r="L450" s="20"/>
      <c r="M450" s="20"/>
      <c r="N450" s="20"/>
      <c r="O450" s="24"/>
      <c r="P450" s="24"/>
      <c r="Q450" s="25"/>
      <c r="R450" s="24"/>
      <c r="S450" s="20"/>
      <c r="T450" s="27"/>
      <c r="U450" s="20"/>
      <c r="V450" s="27">
        <f t="shared" si="79"/>
        <v>745600</v>
      </c>
      <c r="W450" s="26">
        <f t="shared" ref="W450:W513" si="80">(V450*100/100)</f>
        <v>745600</v>
      </c>
      <c r="X450" s="27">
        <v>0</v>
      </c>
      <c r="Y450" s="78">
        <f t="shared" ref="Y450:Y513" si="81">(W450-X450)</f>
        <v>745600</v>
      </c>
      <c r="Z450" s="49">
        <v>1E-4</v>
      </c>
    </row>
    <row r="451" spans="1:26" s="29" customFormat="1" ht="90.75" customHeight="1" x14ac:dyDescent="0.25">
      <c r="A451" s="20">
        <v>289</v>
      </c>
      <c r="B451" s="20" t="s">
        <v>0</v>
      </c>
      <c r="C451" s="20">
        <v>7220</v>
      </c>
      <c r="D451" s="21">
        <v>14</v>
      </c>
      <c r="E451" s="21">
        <v>2</v>
      </c>
      <c r="F451" s="22">
        <v>74</v>
      </c>
      <c r="G451" s="22" t="s">
        <v>198</v>
      </c>
      <c r="H451" s="24">
        <f t="shared" ref="H451:H514" si="82">(D451*400)+(E451*100)+F451</f>
        <v>5874</v>
      </c>
      <c r="I451" s="25" t="s">
        <v>32</v>
      </c>
      <c r="J451" s="24">
        <f t="shared" ref="J451:J514" si="83">(H451*I451)</f>
        <v>1174800</v>
      </c>
      <c r="K451" s="20"/>
      <c r="L451" s="20"/>
      <c r="M451" s="20"/>
      <c r="N451" s="20"/>
      <c r="O451" s="24"/>
      <c r="P451" s="24"/>
      <c r="Q451" s="25"/>
      <c r="R451" s="24"/>
      <c r="S451" s="20"/>
      <c r="T451" s="27"/>
      <c r="U451" s="20"/>
      <c r="V451" s="27">
        <f t="shared" ref="V451:V514" si="84">(J451+U451)</f>
        <v>1174800</v>
      </c>
      <c r="W451" s="26">
        <f t="shared" si="80"/>
        <v>1174800</v>
      </c>
      <c r="X451" s="27">
        <v>0</v>
      </c>
      <c r="Y451" s="78">
        <f t="shared" si="81"/>
        <v>1174800</v>
      </c>
      <c r="Z451" s="49">
        <v>1E-4</v>
      </c>
    </row>
    <row r="452" spans="1:26" s="29" customFormat="1" ht="90.75" customHeight="1" x14ac:dyDescent="0.25">
      <c r="A452" s="20">
        <v>290</v>
      </c>
      <c r="B452" s="20" t="s">
        <v>0</v>
      </c>
      <c r="C452" s="20">
        <v>7222</v>
      </c>
      <c r="D452" s="21">
        <v>19</v>
      </c>
      <c r="E452" s="21">
        <v>1</v>
      </c>
      <c r="F452" s="22">
        <v>75</v>
      </c>
      <c r="G452" s="22" t="s">
        <v>198</v>
      </c>
      <c r="H452" s="24">
        <f t="shared" si="82"/>
        <v>7775</v>
      </c>
      <c r="I452" s="25" t="s">
        <v>32</v>
      </c>
      <c r="J452" s="24">
        <f t="shared" si="83"/>
        <v>1555000</v>
      </c>
      <c r="K452" s="20"/>
      <c r="L452" s="20"/>
      <c r="M452" s="20"/>
      <c r="N452" s="20"/>
      <c r="O452" s="24"/>
      <c r="P452" s="24"/>
      <c r="Q452" s="25"/>
      <c r="R452" s="24"/>
      <c r="S452" s="20"/>
      <c r="T452" s="27"/>
      <c r="U452" s="20"/>
      <c r="V452" s="27">
        <f t="shared" si="84"/>
        <v>1555000</v>
      </c>
      <c r="W452" s="26">
        <f t="shared" si="80"/>
        <v>1555000</v>
      </c>
      <c r="X452" s="27">
        <v>0</v>
      </c>
      <c r="Y452" s="78">
        <f t="shared" si="81"/>
        <v>1555000</v>
      </c>
      <c r="Z452" s="49">
        <v>1E-4</v>
      </c>
    </row>
    <row r="453" spans="1:26" s="29" customFormat="1" ht="90.75" customHeight="1" x14ac:dyDescent="0.25">
      <c r="A453" s="20">
        <v>291</v>
      </c>
      <c r="B453" s="20" t="s">
        <v>0</v>
      </c>
      <c r="C453" s="20">
        <v>7223</v>
      </c>
      <c r="D453" s="21">
        <v>4</v>
      </c>
      <c r="E453" s="21">
        <v>3</v>
      </c>
      <c r="F453" s="22">
        <v>6</v>
      </c>
      <c r="G453" s="22" t="s">
        <v>198</v>
      </c>
      <c r="H453" s="24">
        <f t="shared" si="82"/>
        <v>1906</v>
      </c>
      <c r="I453" s="25" t="s">
        <v>32</v>
      </c>
      <c r="J453" s="24">
        <f t="shared" si="83"/>
        <v>381200</v>
      </c>
      <c r="K453" s="20"/>
      <c r="L453" s="20"/>
      <c r="M453" s="20"/>
      <c r="N453" s="20"/>
      <c r="O453" s="24"/>
      <c r="P453" s="24"/>
      <c r="Q453" s="25"/>
      <c r="R453" s="24"/>
      <c r="S453" s="20"/>
      <c r="T453" s="27"/>
      <c r="U453" s="20"/>
      <c r="V453" s="27">
        <f t="shared" si="84"/>
        <v>381200</v>
      </c>
      <c r="W453" s="26">
        <f t="shared" si="80"/>
        <v>381200</v>
      </c>
      <c r="X453" s="27">
        <v>0</v>
      </c>
      <c r="Y453" s="78">
        <f t="shared" si="81"/>
        <v>381200</v>
      </c>
      <c r="Z453" s="49">
        <v>1E-4</v>
      </c>
    </row>
    <row r="454" spans="1:26" s="29" customFormat="1" ht="90.75" customHeight="1" x14ac:dyDescent="0.25">
      <c r="A454" s="20">
        <v>292</v>
      </c>
      <c r="B454" s="20" t="s">
        <v>0</v>
      </c>
      <c r="C454" s="20">
        <v>7224</v>
      </c>
      <c r="D454" s="21">
        <v>26</v>
      </c>
      <c r="E454" s="21">
        <v>2</v>
      </c>
      <c r="F454" s="22">
        <v>37</v>
      </c>
      <c r="G454" s="22" t="s">
        <v>198</v>
      </c>
      <c r="H454" s="24">
        <f t="shared" si="82"/>
        <v>10637</v>
      </c>
      <c r="I454" s="25" t="s">
        <v>32</v>
      </c>
      <c r="J454" s="24">
        <f t="shared" si="83"/>
        <v>2127400</v>
      </c>
      <c r="K454" s="20"/>
      <c r="L454" s="20"/>
      <c r="M454" s="20"/>
      <c r="N454" s="20"/>
      <c r="O454" s="24"/>
      <c r="P454" s="24"/>
      <c r="Q454" s="25"/>
      <c r="R454" s="24"/>
      <c r="S454" s="20"/>
      <c r="T454" s="27"/>
      <c r="U454" s="20"/>
      <c r="V454" s="27">
        <f t="shared" si="84"/>
        <v>2127400</v>
      </c>
      <c r="W454" s="26">
        <f t="shared" si="80"/>
        <v>2127400</v>
      </c>
      <c r="X454" s="27">
        <v>0</v>
      </c>
      <c r="Y454" s="78">
        <f t="shared" si="81"/>
        <v>2127400</v>
      </c>
      <c r="Z454" s="49">
        <v>1E-4</v>
      </c>
    </row>
    <row r="455" spans="1:26" s="29" customFormat="1" ht="90.75" customHeight="1" x14ac:dyDescent="0.25">
      <c r="A455" s="20">
        <v>293</v>
      </c>
      <c r="B455" s="20" t="s">
        <v>0</v>
      </c>
      <c r="C455" s="20">
        <v>7225</v>
      </c>
      <c r="D455" s="21">
        <v>11</v>
      </c>
      <c r="E455" s="21">
        <v>0</v>
      </c>
      <c r="F455" s="22">
        <v>51</v>
      </c>
      <c r="G455" s="22" t="s">
        <v>198</v>
      </c>
      <c r="H455" s="24">
        <f t="shared" si="82"/>
        <v>4451</v>
      </c>
      <c r="I455" s="25" t="s">
        <v>32</v>
      </c>
      <c r="J455" s="24">
        <f t="shared" si="83"/>
        <v>890200</v>
      </c>
      <c r="K455" s="20"/>
      <c r="L455" s="20"/>
      <c r="M455" s="20"/>
      <c r="N455" s="20"/>
      <c r="O455" s="24"/>
      <c r="P455" s="24"/>
      <c r="Q455" s="25"/>
      <c r="R455" s="24"/>
      <c r="S455" s="20"/>
      <c r="T455" s="27"/>
      <c r="U455" s="20"/>
      <c r="V455" s="27">
        <f t="shared" si="84"/>
        <v>890200</v>
      </c>
      <c r="W455" s="26">
        <f t="shared" si="80"/>
        <v>890200</v>
      </c>
      <c r="X455" s="27">
        <v>0</v>
      </c>
      <c r="Y455" s="78">
        <f t="shared" si="81"/>
        <v>890200</v>
      </c>
      <c r="Z455" s="49">
        <v>1E-4</v>
      </c>
    </row>
    <row r="456" spans="1:26" s="29" customFormat="1" ht="90.75" customHeight="1" x14ac:dyDescent="0.25">
      <c r="A456" s="20">
        <v>294</v>
      </c>
      <c r="B456" s="20" t="s">
        <v>0</v>
      </c>
      <c r="C456" s="20">
        <v>7226</v>
      </c>
      <c r="D456" s="21">
        <v>10</v>
      </c>
      <c r="E456" s="21">
        <v>0</v>
      </c>
      <c r="F456" s="22">
        <v>23</v>
      </c>
      <c r="G456" s="22" t="s">
        <v>198</v>
      </c>
      <c r="H456" s="24">
        <f t="shared" si="82"/>
        <v>4023</v>
      </c>
      <c r="I456" s="25" t="s">
        <v>32</v>
      </c>
      <c r="J456" s="24">
        <f t="shared" si="83"/>
        <v>804600</v>
      </c>
      <c r="K456" s="20"/>
      <c r="L456" s="20"/>
      <c r="M456" s="20"/>
      <c r="N456" s="20"/>
      <c r="O456" s="24"/>
      <c r="P456" s="24"/>
      <c r="Q456" s="25"/>
      <c r="R456" s="24"/>
      <c r="S456" s="20"/>
      <c r="T456" s="27"/>
      <c r="U456" s="20"/>
      <c r="V456" s="27">
        <f t="shared" si="84"/>
        <v>804600</v>
      </c>
      <c r="W456" s="26">
        <f t="shared" si="80"/>
        <v>804600</v>
      </c>
      <c r="X456" s="27">
        <v>0</v>
      </c>
      <c r="Y456" s="78">
        <f t="shared" si="81"/>
        <v>804600</v>
      </c>
      <c r="Z456" s="49">
        <v>1E-4</v>
      </c>
    </row>
    <row r="457" spans="1:26" s="29" customFormat="1" ht="90.75" customHeight="1" x14ac:dyDescent="0.25">
      <c r="A457" s="20">
        <v>295</v>
      </c>
      <c r="B457" s="20" t="s">
        <v>0</v>
      </c>
      <c r="C457" s="20">
        <v>8259</v>
      </c>
      <c r="D457" s="21">
        <v>16</v>
      </c>
      <c r="E457" s="21">
        <v>1</v>
      </c>
      <c r="F457" s="22">
        <v>42</v>
      </c>
      <c r="G457" s="22" t="s">
        <v>198</v>
      </c>
      <c r="H457" s="24">
        <f t="shared" si="82"/>
        <v>6542</v>
      </c>
      <c r="I457" s="25" t="s">
        <v>19</v>
      </c>
      <c r="J457" s="24">
        <f t="shared" si="83"/>
        <v>2453250</v>
      </c>
      <c r="K457" s="20"/>
      <c r="L457" s="20"/>
      <c r="M457" s="20"/>
      <c r="N457" s="20"/>
      <c r="O457" s="24"/>
      <c r="P457" s="24"/>
      <c r="Q457" s="25"/>
      <c r="R457" s="24"/>
      <c r="S457" s="20"/>
      <c r="T457" s="27"/>
      <c r="U457" s="20"/>
      <c r="V457" s="27">
        <f t="shared" si="84"/>
        <v>2453250</v>
      </c>
      <c r="W457" s="26">
        <f t="shared" si="80"/>
        <v>2453250</v>
      </c>
      <c r="X457" s="27">
        <v>0</v>
      </c>
      <c r="Y457" s="78">
        <f t="shared" si="81"/>
        <v>2453250</v>
      </c>
      <c r="Z457" s="49">
        <v>1E-4</v>
      </c>
    </row>
    <row r="458" spans="1:26" s="29" customFormat="1" ht="90.75" customHeight="1" x14ac:dyDescent="0.25">
      <c r="A458" s="20">
        <v>296</v>
      </c>
      <c r="B458" s="20" t="s">
        <v>0</v>
      </c>
      <c r="C458" s="20">
        <v>6782</v>
      </c>
      <c r="D458" s="21">
        <v>3</v>
      </c>
      <c r="E458" s="21">
        <v>1</v>
      </c>
      <c r="F458" s="22">
        <v>38</v>
      </c>
      <c r="G458" s="22" t="s">
        <v>198</v>
      </c>
      <c r="H458" s="24">
        <f t="shared" si="82"/>
        <v>1338</v>
      </c>
      <c r="I458" s="25" t="s">
        <v>62</v>
      </c>
      <c r="J458" s="24">
        <f t="shared" si="83"/>
        <v>669000</v>
      </c>
      <c r="K458" s="20"/>
      <c r="L458" s="20"/>
      <c r="M458" s="20"/>
      <c r="N458" s="20"/>
      <c r="O458" s="24"/>
      <c r="P458" s="24"/>
      <c r="Q458" s="25"/>
      <c r="R458" s="24"/>
      <c r="S458" s="20"/>
      <c r="T458" s="27"/>
      <c r="U458" s="20"/>
      <c r="V458" s="27">
        <f t="shared" si="84"/>
        <v>669000</v>
      </c>
      <c r="W458" s="26">
        <f t="shared" si="80"/>
        <v>669000</v>
      </c>
      <c r="X458" s="27">
        <v>0</v>
      </c>
      <c r="Y458" s="78">
        <f t="shared" si="81"/>
        <v>669000</v>
      </c>
      <c r="Z458" s="49">
        <v>1E-4</v>
      </c>
    </row>
    <row r="459" spans="1:26" s="29" customFormat="1" ht="90.75" customHeight="1" x14ac:dyDescent="0.25">
      <c r="A459" s="20">
        <v>297</v>
      </c>
      <c r="B459" s="20" t="s">
        <v>0</v>
      </c>
      <c r="C459" s="20">
        <v>8260</v>
      </c>
      <c r="D459" s="21">
        <v>9</v>
      </c>
      <c r="E459" s="21">
        <v>3</v>
      </c>
      <c r="F459" s="22">
        <v>27</v>
      </c>
      <c r="G459" s="22" t="s">
        <v>198</v>
      </c>
      <c r="H459" s="24">
        <f t="shared" si="82"/>
        <v>3927</v>
      </c>
      <c r="I459" s="25" t="s">
        <v>4</v>
      </c>
      <c r="J459" s="24">
        <f t="shared" si="83"/>
        <v>883575</v>
      </c>
      <c r="K459" s="20"/>
      <c r="L459" s="20"/>
      <c r="M459" s="20"/>
      <c r="N459" s="20"/>
      <c r="O459" s="24"/>
      <c r="P459" s="24"/>
      <c r="Q459" s="25"/>
      <c r="R459" s="24"/>
      <c r="S459" s="20"/>
      <c r="T459" s="27"/>
      <c r="U459" s="20"/>
      <c r="V459" s="27">
        <f t="shared" si="84"/>
        <v>883575</v>
      </c>
      <c r="W459" s="26">
        <f t="shared" si="80"/>
        <v>883575</v>
      </c>
      <c r="X459" s="27">
        <v>0</v>
      </c>
      <c r="Y459" s="78">
        <f t="shared" si="81"/>
        <v>883575</v>
      </c>
      <c r="Z459" s="49">
        <v>1E-4</v>
      </c>
    </row>
    <row r="460" spans="1:26" s="29" customFormat="1" ht="90.75" customHeight="1" x14ac:dyDescent="0.25">
      <c r="A460" s="20">
        <v>298</v>
      </c>
      <c r="B460" s="20" t="s">
        <v>0</v>
      </c>
      <c r="C460" s="20">
        <v>7933</v>
      </c>
      <c r="D460" s="21">
        <v>27</v>
      </c>
      <c r="E460" s="21">
        <v>1</v>
      </c>
      <c r="F460" s="22">
        <v>90</v>
      </c>
      <c r="G460" s="22" t="s">
        <v>198</v>
      </c>
      <c r="H460" s="24">
        <f t="shared" si="82"/>
        <v>10990</v>
      </c>
      <c r="I460" s="25" t="s">
        <v>32</v>
      </c>
      <c r="J460" s="24">
        <f t="shared" si="83"/>
        <v>2198000</v>
      </c>
      <c r="K460" s="20"/>
      <c r="L460" s="20"/>
      <c r="M460" s="20"/>
      <c r="N460" s="20"/>
      <c r="O460" s="24"/>
      <c r="P460" s="24"/>
      <c r="Q460" s="25"/>
      <c r="R460" s="24"/>
      <c r="S460" s="20"/>
      <c r="T460" s="27"/>
      <c r="U460" s="20"/>
      <c r="V460" s="27">
        <f t="shared" si="84"/>
        <v>2198000</v>
      </c>
      <c r="W460" s="26">
        <f t="shared" si="80"/>
        <v>2198000</v>
      </c>
      <c r="X460" s="27">
        <v>0</v>
      </c>
      <c r="Y460" s="78">
        <f t="shared" si="81"/>
        <v>2198000</v>
      </c>
      <c r="Z460" s="49">
        <v>1E-4</v>
      </c>
    </row>
    <row r="461" spans="1:26" s="29" customFormat="1" ht="90.75" customHeight="1" x14ac:dyDescent="0.25">
      <c r="A461" s="20">
        <v>299</v>
      </c>
      <c r="B461" s="20" t="s">
        <v>0</v>
      </c>
      <c r="C461" s="20">
        <v>7934</v>
      </c>
      <c r="D461" s="21">
        <v>9</v>
      </c>
      <c r="E461" s="21">
        <v>2</v>
      </c>
      <c r="F461" s="22">
        <v>53</v>
      </c>
      <c r="G461" s="22" t="s">
        <v>198</v>
      </c>
      <c r="H461" s="24">
        <f t="shared" si="82"/>
        <v>3853</v>
      </c>
      <c r="I461" s="25" t="s">
        <v>32</v>
      </c>
      <c r="J461" s="24">
        <f t="shared" si="83"/>
        <v>770600</v>
      </c>
      <c r="K461" s="20"/>
      <c r="L461" s="20"/>
      <c r="M461" s="20"/>
      <c r="N461" s="20"/>
      <c r="O461" s="24"/>
      <c r="P461" s="24"/>
      <c r="Q461" s="25"/>
      <c r="R461" s="24"/>
      <c r="S461" s="20"/>
      <c r="T461" s="27"/>
      <c r="U461" s="20"/>
      <c r="V461" s="27">
        <f t="shared" si="84"/>
        <v>770600</v>
      </c>
      <c r="W461" s="26">
        <f t="shared" si="80"/>
        <v>770600</v>
      </c>
      <c r="X461" s="27">
        <v>0</v>
      </c>
      <c r="Y461" s="78">
        <f t="shared" si="81"/>
        <v>770600</v>
      </c>
      <c r="Z461" s="49">
        <v>1E-4</v>
      </c>
    </row>
    <row r="462" spans="1:26" s="29" customFormat="1" ht="90.75" customHeight="1" x14ac:dyDescent="0.25">
      <c r="A462" s="20">
        <v>300</v>
      </c>
      <c r="B462" s="20" t="s">
        <v>0</v>
      </c>
      <c r="C462" s="20">
        <v>7206</v>
      </c>
      <c r="D462" s="21">
        <v>3</v>
      </c>
      <c r="E462" s="21">
        <v>1</v>
      </c>
      <c r="F462" s="22">
        <v>52</v>
      </c>
      <c r="G462" s="22" t="s">
        <v>198</v>
      </c>
      <c r="H462" s="24">
        <f t="shared" si="82"/>
        <v>1352</v>
      </c>
      <c r="I462" s="25" t="s">
        <v>32</v>
      </c>
      <c r="J462" s="24">
        <f t="shared" si="83"/>
        <v>270400</v>
      </c>
      <c r="K462" s="20"/>
      <c r="L462" s="20"/>
      <c r="M462" s="20"/>
      <c r="N462" s="20"/>
      <c r="O462" s="24"/>
      <c r="P462" s="24"/>
      <c r="Q462" s="25"/>
      <c r="R462" s="24"/>
      <c r="S462" s="20"/>
      <c r="T462" s="27"/>
      <c r="U462" s="20"/>
      <c r="V462" s="27">
        <f t="shared" si="84"/>
        <v>270400</v>
      </c>
      <c r="W462" s="26">
        <f t="shared" si="80"/>
        <v>270400</v>
      </c>
      <c r="X462" s="27">
        <v>0</v>
      </c>
      <c r="Y462" s="78">
        <f t="shared" si="81"/>
        <v>270400</v>
      </c>
      <c r="Z462" s="49">
        <v>1E-4</v>
      </c>
    </row>
    <row r="463" spans="1:26" s="29" customFormat="1" ht="90.75" customHeight="1" x14ac:dyDescent="0.25">
      <c r="A463" s="20">
        <v>301</v>
      </c>
      <c r="B463" s="20" t="s">
        <v>0</v>
      </c>
      <c r="C463" s="20">
        <v>6893</v>
      </c>
      <c r="D463" s="21">
        <v>11</v>
      </c>
      <c r="E463" s="21">
        <v>1</v>
      </c>
      <c r="F463" s="22">
        <v>24</v>
      </c>
      <c r="G463" s="22" t="s">
        <v>198</v>
      </c>
      <c r="H463" s="24">
        <f t="shared" si="82"/>
        <v>4524</v>
      </c>
      <c r="I463" s="25" t="s">
        <v>32</v>
      </c>
      <c r="J463" s="24">
        <f t="shared" si="83"/>
        <v>904800</v>
      </c>
      <c r="K463" s="20"/>
      <c r="L463" s="20"/>
      <c r="M463" s="20"/>
      <c r="N463" s="20"/>
      <c r="O463" s="24"/>
      <c r="P463" s="24"/>
      <c r="Q463" s="25"/>
      <c r="R463" s="24"/>
      <c r="S463" s="20"/>
      <c r="T463" s="27"/>
      <c r="U463" s="20"/>
      <c r="V463" s="27">
        <f t="shared" si="84"/>
        <v>904800</v>
      </c>
      <c r="W463" s="26">
        <f t="shared" si="80"/>
        <v>904800</v>
      </c>
      <c r="X463" s="27">
        <v>0</v>
      </c>
      <c r="Y463" s="78">
        <f t="shared" si="81"/>
        <v>904800</v>
      </c>
      <c r="Z463" s="49">
        <v>1E-4</v>
      </c>
    </row>
    <row r="464" spans="1:26" s="29" customFormat="1" ht="90.75" customHeight="1" x14ac:dyDescent="0.25">
      <c r="A464" s="20">
        <v>302</v>
      </c>
      <c r="B464" s="20" t="s">
        <v>0</v>
      </c>
      <c r="C464" s="20">
        <v>12594</v>
      </c>
      <c r="D464" s="21">
        <v>47</v>
      </c>
      <c r="E464" s="21">
        <v>3</v>
      </c>
      <c r="F464" s="22">
        <v>65</v>
      </c>
      <c r="G464" s="22" t="s">
        <v>198</v>
      </c>
      <c r="H464" s="24">
        <f t="shared" si="82"/>
        <v>19165</v>
      </c>
      <c r="I464" s="25" t="s">
        <v>32</v>
      </c>
      <c r="J464" s="24">
        <f t="shared" si="83"/>
        <v>3833000</v>
      </c>
      <c r="K464" s="20"/>
      <c r="L464" s="20"/>
      <c r="M464" s="20"/>
      <c r="N464" s="20"/>
      <c r="O464" s="24"/>
      <c r="P464" s="24"/>
      <c r="Q464" s="25"/>
      <c r="R464" s="24"/>
      <c r="S464" s="20"/>
      <c r="T464" s="27"/>
      <c r="U464" s="20"/>
      <c r="V464" s="27">
        <f t="shared" si="84"/>
        <v>3833000</v>
      </c>
      <c r="W464" s="26">
        <f t="shared" si="80"/>
        <v>3833000</v>
      </c>
      <c r="X464" s="27">
        <v>0</v>
      </c>
      <c r="Y464" s="78">
        <f t="shared" si="81"/>
        <v>3833000</v>
      </c>
      <c r="Z464" s="49">
        <v>1E-4</v>
      </c>
    </row>
    <row r="465" spans="1:26" s="29" customFormat="1" ht="90.75" customHeight="1" x14ac:dyDescent="0.25">
      <c r="A465" s="20">
        <v>303</v>
      </c>
      <c r="B465" s="20" t="s">
        <v>0</v>
      </c>
      <c r="C465" s="20">
        <v>6894</v>
      </c>
      <c r="D465" s="21">
        <v>24</v>
      </c>
      <c r="E465" s="21">
        <v>0</v>
      </c>
      <c r="F465" s="22">
        <v>47</v>
      </c>
      <c r="G465" s="22" t="s">
        <v>198</v>
      </c>
      <c r="H465" s="24">
        <f t="shared" si="82"/>
        <v>9647</v>
      </c>
      <c r="I465" s="25" t="s">
        <v>32</v>
      </c>
      <c r="J465" s="24">
        <f t="shared" si="83"/>
        <v>1929400</v>
      </c>
      <c r="K465" s="20"/>
      <c r="L465" s="20"/>
      <c r="M465" s="20"/>
      <c r="N465" s="20"/>
      <c r="O465" s="24"/>
      <c r="P465" s="24"/>
      <c r="Q465" s="25"/>
      <c r="R465" s="24"/>
      <c r="S465" s="20"/>
      <c r="T465" s="27"/>
      <c r="U465" s="20"/>
      <c r="V465" s="27">
        <f t="shared" si="84"/>
        <v>1929400</v>
      </c>
      <c r="W465" s="26">
        <f t="shared" si="80"/>
        <v>1929400</v>
      </c>
      <c r="X465" s="27">
        <v>0</v>
      </c>
      <c r="Y465" s="78">
        <f t="shared" si="81"/>
        <v>1929400</v>
      </c>
      <c r="Z465" s="49">
        <v>1E-4</v>
      </c>
    </row>
    <row r="466" spans="1:26" s="29" customFormat="1" ht="90.75" customHeight="1" x14ac:dyDescent="0.25">
      <c r="A466" s="20">
        <v>304</v>
      </c>
      <c r="B466" s="20" t="s">
        <v>0</v>
      </c>
      <c r="C466" s="20">
        <v>9866</v>
      </c>
      <c r="D466" s="21">
        <v>24</v>
      </c>
      <c r="E466" s="21">
        <v>2</v>
      </c>
      <c r="F466" s="22">
        <v>73</v>
      </c>
      <c r="G466" s="22" t="s">
        <v>198</v>
      </c>
      <c r="H466" s="24">
        <f t="shared" si="82"/>
        <v>9873</v>
      </c>
      <c r="I466" s="25" t="s">
        <v>32</v>
      </c>
      <c r="J466" s="24">
        <f t="shared" si="83"/>
        <v>1974600</v>
      </c>
      <c r="K466" s="20"/>
      <c r="L466" s="20"/>
      <c r="M466" s="20"/>
      <c r="N466" s="20"/>
      <c r="O466" s="24"/>
      <c r="P466" s="24"/>
      <c r="Q466" s="25"/>
      <c r="R466" s="24"/>
      <c r="S466" s="20"/>
      <c r="T466" s="27"/>
      <c r="U466" s="20"/>
      <c r="V466" s="27">
        <f t="shared" si="84"/>
        <v>1974600</v>
      </c>
      <c r="W466" s="26">
        <f t="shared" si="80"/>
        <v>1974600</v>
      </c>
      <c r="X466" s="27">
        <v>0</v>
      </c>
      <c r="Y466" s="78">
        <f t="shared" si="81"/>
        <v>1974600</v>
      </c>
      <c r="Z466" s="49">
        <v>1E-4</v>
      </c>
    </row>
    <row r="467" spans="1:26" s="29" customFormat="1" ht="90.75" customHeight="1" x14ac:dyDescent="0.25">
      <c r="A467" s="20">
        <v>305</v>
      </c>
      <c r="B467" s="20" t="s">
        <v>0</v>
      </c>
      <c r="C467" s="20">
        <v>6895</v>
      </c>
      <c r="D467" s="21">
        <v>23</v>
      </c>
      <c r="E467" s="21">
        <v>2</v>
      </c>
      <c r="F467" s="22">
        <v>85</v>
      </c>
      <c r="G467" s="22" t="s">
        <v>198</v>
      </c>
      <c r="H467" s="24">
        <f t="shared" si="82"/>
        <v>9485</v>
      </c>
      <c r="I467" s="25">
        <v>200</v>
      </c>
      <c r="J467" s="24">
        <f t="shared" si="83"/>
        <v>1897000</v>
      </c>
      <c r="K467" s="20"/>
      <c r="L467" s="20"/>
      <c r="M467" s="20"/>
      <c r="N467" s="20"/>
      <c r="O467" s="24"/>
      <c r="P467" s="24"/>
      <c r="Q467" s="25"/>
      <c r="R467" s="24"/>
      <c r="S467" s="20"/>
      <c r="T467" s="27"/>
      <c r="U467" s="20"/>
      <c r="V467" s="27">
        <f t="shared" si="84"/>
        <v>1897000</v>
      </c>
      <c r="W467" s="26">
        <f t="shared" si="80"/>
        <v>1897000</v>
      </c>
      <c r="X467" s="27">
        <v>0</v>
      </c>
      <c r="Y467" s="78">
        <f t="shared" si="81"/>
        <v>1897000</v>
      </c>
      <c r="Z467" s="49">
        <v>1E-4</v>
      </c>
    </row>
    <row r="468" spans="1:26" s="29" customFormat="1" ht="90.75" customHeight="1" x14ac:dyDescent="0.25">
      <c r="A468" s="20">
        <v>306</v>
      </c>
      <c r="B468" s="20" t="s">
        <v>0</v>
      </c>
      <c r="C468" s="20">
        <v>7227</v>
      </c>
      <c r="D468" s="21">
        <v>7</v>
      </c>
      <c r="E468" s="21">
        <v>2</v>
      </c>
      <c r="F468" s="22">
        <v>7</v>
      </c>
      <c r="G468" s="22" t="s">
        <v>198</v>
      </c>
      <c r="H468" s="24">
        <f t="shared" si="82"/>
        <v>3007</v>
      </c>
      <c r="I468" s="25" t="s">
        <v>32</v>
      </c>
      <c r="J468" s="24">
        <f t="shared" si="83"/>
        <v>601400</v>
      </c>
      <c r="K468" s="20"/>
      <c r="L468" s="20"/>
      <c r="M468" s="20"/>
      <c r="N468" s="20"/>
      <c r="O468" s="24"/>
      <c r="P468" s="24"/>
      <c r="Q468" s="25"/>
      <c r="R468" s="24"/>
      <c r="S468" s="20"/>
      <c r="T468" s="27"/>
      <c r="U468" s="20"/>
      <c r="V468" s="27">
        <f t="shared" si="84"/>
        <v>601400</v>
      </c>
      <c r="W468" s="26">
        <f t="shared" si="80"/>
        <v>601400</v>
      </c>
      <c r="X468" s="27">
        <v>0</v>
      </c>
      <c r="Y468" s="78">
        <f t="shared" si="81"/>
        <v>601400</v>
      </c>
      <c r="Z468" s="49">
        <v>1E-4</v>
      </c>
    </row>
    <row r="469" spans="1:26" s="29" customFormat="1" ht="90.75" customHeight="1" x14ac:dyDescent="0.25">
      <c r="A469" s="20">
        <v>307</v>
      </c>
      <c r="B469" s="20" t="s">
        <v>0</v>
      </c>
      <c r="C469" s="20">
        <v>9877</v>
      </c>
      <c r="D469" s="21">
        <v>19</v>
      </c>
      <c r="E469" s="21">
        <v>2</v>
      </c>
      <c r="F469" s="22">
        <v>31</v>
      </c>
      <c r="G469" s="22" t="s">
        <v>198</v>
      </c>
      <c r="H469" s="24">
        <f t="shared" si="82"/>
        <v>7831</v>
      </c>
      <c r="I469" s="25" t="s">
        <v>32</v>
      </c>
      <c r="J469" s="24">
        <f t="shared" si="83"/>
        <v>1566200</v>
      </c>
      <c r="K469" s="20"/>
      <c r="L469" s="20"/>
      <c r="M469" s="20"/>
      <c r="N469" s="20"/>
      <c r="O469" s="24"/>
      <c r="P469" s="24"/>
      <c r="Q469" s="25"/>
      <c r="R469" s="24"/>
      <c r="S469" s="20"/>
      <c r="T469" s="27"/>
      <c r="U469" s="20"/>
      <c r="V469" s="27">
        <f t="shared" si="84"/>
        <v>1566200</v>
      </c>
      <c r="W469" s="26">
        <f t="shared" si="80"/>
        <v>1566200</v>
      </c>
      <c r="X469" s="27">
        <v>0</v>
      </c>
      <c r="Y469" s="78">
        <f t="shared" si="81"/>
        <v>1566200</v>
      </c>
      <c r="Z469" s="49">
        <v>1E-4</v>
      </c>
    </row>
    <row r="470" spans="1:26" s="29" customFormat="1" ht="90.75" customHeight="1" x14ac:dyDescent="0.25">
      <c r="A470" s="20">
        <v>308</v>
      </c>
      <c r="B470" s="20" t="s">
        <v>0</v>
      </c>
      <c r="C470" s="20">
        <v>9895</v>
      </c>
      <c r="D470" s="21">
        <v>4</v>
      </c>
      <c r="E470" s="21">
        <v>1</v>
      </c>
      <c r="F470" s="22">
        <v>5</v>
      </c>
      <c r="G470" s="22" t="s">
        <v>198</v>
      </c>
      <c r="H470" s="24">
        <f t="shared" si="82"/>
        <v>1705</v>
      </c>
      <c r="I470" s="25" t="s">
        <v>32</v>
      </c>
      <c r="J470" s="24">
        <f t="shared" si="83"/>
        <v>341000</v>
      </c>
      <c r="K470" s="20"/>
      <c r="L470" s="20"/>
      <c r="M470" s="20"/>
      <c r="N470" s="20"/>
      <c r="O470" s="24"/>
      <c r="P470" s="24"/>
      <c r="Q470" s="25"/>
      <c r="R470" s="24"/>
      <c r="S470" s="20"/>
      <c r="T470" s="27"/>
      <c r="U470" s="20"/>
      <c r="V470" s="27">
        <f t="shared" si="84"/>
        <v>341000</v>
      </c>
      <c r="W470" s="26">
        <f t="shared" si="80"/>
        <v>341000</v>
      </c>
      <c r="X470" s="27">
        <v>0</v>
      </c>
      <c r="Y470" s="78">
        <f t="shared" si="81"/>
        <v>341000</v>
      </c>
      <c r="Z470" s="49">
        <v>1E-4</v>
      </c>
    </row>
    <row r="471" spans="1:26" s="29" customFormat="1" ht="90.75" customHeight="1" x14ac:dyDescent="0.25">
      <c r="A471" s="20">
        <v>309</v>
      </c>
      <c r="B471" s="20" t="s">
        <v>0</v>
      </c>
      <c r="C471" s="20">
        <v>7228</v>
      </c>
      <c r="D471" s="21">
        <v>25</v>
      </c>
      <c r="E471" s="21">
        <v>1</v>
      </c>
      <c r="F471" s="22">
        <v>49</v>
      </c>
      <c r="G471" s="22" t="s">
        <v>198</v>
      </c>
      <c r="H471" s="24">
        <f t="shared" si="82"/>
        <v>10149</v>
      </c>
      <c r="I471" s="25">
        <v>200</v>
      </c>
      <c r="J471" s="24">
        <f t="shared" si="83"/>
        <v>2029800</v>
      </c>
      <c r="K471" s="20"/>
      <c r="L471" s="20"/>
      <c r="M471" s="20"/>
      <c r="N471" s="20"/>
      <c r="O471" s="24"/>
      <c r="P471" s="24"/>
      <c r="Q471" s="25"/>
      <c r="R471" s="24"/>
      <c r="S471" s="20"/>
      <c r="T471" s="27"/>
      <c r="U471" s="20"/>
      <c r="V471" s="27">
        <f t="shared" si="84"/>
        <v>2029800</v>
      </c>
      <c r="W471" s="26">
        <f t="shared" si="80"/>
        <v>2029800</v>
      </c>
      <c r="X471" s="27">
        <v>0</v>
      </c>
      <c r="Y471" s="78">
        <f t="shared" si="81"/>
        <v>2029800</v>
      </c>
      <c r="Z471" s="49">
        <v>1E-4</v>
      </c>
    </row>
    <row r="472" spans="1:26" s="29" customFormat="1" ht="90.75" customHeight="1" x14ac:dyDescent="0.25">
      <c r="A472" s="20">
        <v>310</v>
      </c>
      <c r="B472" s="20" t="s">
        <v>0</v>
      </c>
      <c r="C472" s="20">
        <v>9883</v>
      </c>
      <c r="D472" s="21">
        <v>24</v>
      </c>
      <c r="E472" s="21">
        <v>2</v>
      </c>
      <c r="F472" s="22">
        <v>49</v>
      </c>
      <c r="G472" s="22" t="s">
        <v>198</v>
      </c>
      <c r="H472" s="24">
        <f t="shared" si="82"/>
        <v>9849</v>
      </c>
      <c r="I472" s="25" t="s">
        <v>32</v>
      </c>
      <c r="J472" s="24">
        <f t="shared" si="83"/>
        <v>1969800</v>
      </c>
      <c r="K472" s="20"/>
      <c r="L472" s="20"/>
      <c r="M472" s="20"/>
      <c r="N472" s="20"/>
      <c r="O472" s="24"/>
      <c r="P472" s="24"/>
      <c r="Q472" s="25"/>
      <c r="R472" s="24"/>
      <c r="S472" s="20"/>
      <c r="T472" s="27"/>
      <c r="U472" s="20"/>
      <c r="V472" s="27">
        <f t="shared" si="84"/>
        <v>1969800</v>
      </c>
      <c r="W472" s="26">
        <f t="shared" si="80"/>
        <v>1969800</v>
      </c>
      <c r="X472" s="27">
        <v>0</v>
      </c>
      <c r="Y472" s="78">
        <f t="shared" si="81"/>
        <v>1969800</v>
      </c>
      <c r="Z472" s="49">
        <v>1E-4</v>
      </c>
    </row>
    <row r="473" spans="1:26" s="29" customFormat="1" ht="90.75" customHeight="1" x14ac:dyDescent="0.25">
      <c r="A473" s="20">
        <v>311</v>
      </c>
      <c r="B473" s="20" t="s">
        <v>0</v>
      </c>
      <c r="C473" s="20">
        <v>9868</v>
      </c>
      <c r="D473" s="21">
        <v>37</v>
      </c>
      <c r="E473" s="21">
        <v>2</v>
      </c>
      <c r="F473" s="22">
        <v>17</v>
      </c>
      <c r="G473" s="22" t="s">
        <v>198</v>
      </c>
      <c r="H473" s="24">
        <f t="shared" si="82"/>
        <v>15017</v>
      </c>
      <c r="I473" s="25" t="s">
        <v>19</v>
      </c>
      <c r="J473" s="24">
        <f t="shared" si="83"/>
        <v>5631375</v>
      </c>
      <c r="K473" s="20"/>
      <c r="L473" s="20"/>
      <c r="M473" s="20"/>
      <c r="N473" s="20"/>
      <c r="O473" s="24"/>
      <c r="P473" s="24"/>
      <c r="Q473" s="25"/>
      <c r="R473" s="24"/>
      <c r="S473" s="20"/>
      <c r="T473" s="27"/>
      <c r="U473" s="20"/>
      <c r="V473" s="27">
        <f t="shared" si="84"/>
        <v>5631375</v>
      </c>
      <c r="W473" s="26">
        <f t="shared" si="80"/>
        <v>5631375</v>
      </c>
      <c r="X473" s="27">
        <v>0</v>
      </c>
      <c r="Y473" s="78">
        <f t="shared" si="81"/>
        <v>5631375</v>
      </c>
      <c r="Z473" s="49">
        <v>1E-4</v>
      </c>
    </row>
    <row r="474" spans="1:26" s="29" customFormat="1" ht="90.75" customHeight="1" x14ac:dyDescent="0.25">
      <c r="A474" s="20">
        <v>312</v>
      </c>
      <c r="B474" s="20" t="s">
        <v>0</v>
      </c>
      <c r="C474" s="20">
        <v>7237</v>
      </c>
      <c r="D474" s="21">
        <v>13</v>
      </c>
      <c r="E474" s="21">
        <v>2</v>
      </c>
      <c r="F474" s="22">
        <v>0</v>
      </c>
      <c r="G474" s="22" t="s">
        <v>198</v>
      </c>
      <c r="H474" s="24">
        <f t="shared" si="82"/>
        <v>5400</v>
      </c>
      <c r="I474" s="25" t="s">
        <v>22</v>
      </c>
      <c r="J474" s="24">
        <f t="shared" si="83"/>
        <v>2835000</v>
      </c>
      <c r="K474" s="20"/>
      <c r="L474" s="20"/>
      <c r="M474" s="20"/>
      <c r="N474" s="20"/>
      <c r="O474" s="24"/>
      <c r="P474" s="24"/>
      <c r="Q474" s="25"/>
      <c r="R474" s="24"/>
      <c r="S474" s="20"/>
      <c r="T474" s="27"/>
      <c r="U474" s="20"/>
      <c r="V474" s="27">
        <f t="shared" si="84"/>
        <v>2835000</v>
      </c>
      <c r="W474" s="26">
        <f t="shared" si="80"/>
        <v>2835000</v>
      </c>
      <c r="X474" s="27">
        <v>0</v>
      </c>
      <c r="Y474" s="78">
        <f t="shared" si="81"/>
        <v>2835000</v>
      </c>
      <c r="Z474" s="49">
        <v>1E-4</v>
      </c>
    </row>
    <row r="475" spans="1:26" s="29" customFormat="1" ht="90.75" customHeight="1" x14ac:dyDescent="0.25">
      <c r="A475" s="20">
        <v>313</v>
      </c>
      <c r="B475" s="20" t="s">
        <v>0</v>
      </c>
      <c r="C475" s="20">
        <v>12595</v>
      </c>
      <c r="D475" s="21">
        <v>21</v>
      </c>
      <c r="E475" s="21">
        <v>0</v>
      </c>
      <c r="F475" s="22">
        <v>18</v>
      </c>
      <c r="G475" s="22" t="s">
        <v>198</v>
      </c>
      <c r="H475" s="24">
        <f t="shared" si="82"/>
        <v>8418</v>
      </c>
      <c r="I475" s="25" t="s">
        <v>62</v>
      </c>
      <c r="J475" s="24">
        <f t="shared" si="83"/>
        <v>4209000</v>
      </c>
      <c r="K475" s="20"/>
      <c r="L475" s="20"/>
      <c r="M475" s="20"/>
      <c r="N475" s="20"/>
      <c r="O475" s="24"/>
      <c r="P475" s="24"/>
      <c r="Q475" s="25"/>
      <c r="R475" s="24"/>
      <c r="S475" s="20"/>
      <c r="T475" s="27"/>
      <c r="U475" s="20"/>
      <c r="V475" s="27">
        <f t="shared" si="84"/>
        <v>4209000</v>
      </c>
      <c r="W475" s="26">
        <f t="shared" si="80"/>
        <v>4209000</v>
      </c>
      <c r="X475" s="27">
        <v>0</v>
      </c>
      <c r="Y475" s="78">
        <f t="shared" si="81"/>
        <v>4209000</v>
      </c>
      <c r="Z475" s="49">
        <v>1E-4</v>
      </c>
    </row>
    <row r="476" spans="1:26" s="29" customFormat="1" ht="90.75" customHeight="1" x14ac:dyDescent="0.25">
      <c r="A476" s="20">
        <v>314</v>
      </c>
      <c r="B476" s="20" t="s">
        <v>0</v>
      </c>
      <c r="C476" s="20">
        <v>9852</v>
      </c>
      <c r="D476" s="21">
        <v>6</v>
      </c>
      <c r="E476" s="21">
        <v>1</v>
      </c>
      <c r="F476" s="22">
        <v>37</v>
      </c>
      <c r="G476" s="22" t="s">
        <v>198</v>
      </c>
      <c r="H476" s="24">
        <f t="shared" si="82"/>
        <v>2537</v>
      </c>
      <c r="I476" s="25" t="s">
        <v>32</v>
      </c>
      <c r="J476" s="24">
        <f t="shared" si="83"/>
        <v>507400</v>
      </c>
      <c r="K476" s="20"/>
      <c r="L476" s="20"/>
      <c r="M476" s="20"/>
      <c r="N476" s="20"/>
      <c r="O476" s="24"/>
      <c r="P476" s="24"/>
      <c r="Q476" s="25"/>
      <c r="R476" s="24"/>
      <c r="S476" s="20"/>
      <c r="T476" s="27"/>
      <c r="U476" s="20"/>
      <c r="V476" s="27">
        <f t="shared" si="84"/>
        <v>507400</v>
      </c>
      <c r="W476" s="26">
        <f t="shared" si="80"/>
        <v>507400</v>
      </c>
      <c r="X476" s="27">
        <v>0</v>
      </c>
      <c r="Y476" s="78">
        <f t="shared" si="81"/>
        <v>507400</v>
      </c>
      <c r="Z476" s="49">
        <v>1E-4</v>
      </c>
    </row>
    <row r="477" spans="1:26" s="29" customFormat="1" ht="90.75" customHeight="1" x14ac:dyDescent="0.25">
      <c r="A477" s="20">
        <v>315</v>
      </c>
      <c r="B477" s="20" t="s">
        <v>0</v>
      </c>
      <c r="C477" s="20">
        <v>6897</v>
      </c>
      <c r="D477" s="21">
        <v>16</v>
      </c>
      <c r="E477" s="21">
        <v>2</v>
      </c>
      <c r="F477" s="22">
        <v>59</v>
      </c>
      <c r="G477" s="22" t="s">
        <v>198</v>
      </c>
      <c r="H477" s="24">
        <f t="shared" si="82"/>
        <v>6659</v>
      </c>
      <c r="I477" s="25" t="s">
        <v>32</v>
      </c>
      <c r="J477" s="24">
        <f t="shared" si="83"/>
        <v>1331800</v>
      </c>
      <c r="K477" s="20"/>
      <c r="L477" s="20"/>
      <c r="M477" s="20"/>
      <c r="N477" s="20"/>
      <c r="O477" s="24"/>
      <c r="P477" s="24"/>
      <c r="Q477" s="25"/>
      <c r="R477" s="24"/>
      <c r="S477" s="20"/>
      <c r="T477" s="27"/>
      <c r="U477" s="20"/>
      <c r="V477" s="27">
        <f t="shared" si="84"/>
        <v>1331800</v>
      </c>
      <c r="W477" s="26">
        <f t="shared" si="80"/>
        <v>1331800</v>
      </c>
      <c r="X477" s="27">
        <v>0</v>
      </c>
      <c r="Y477" s="78">
        <f t="shared" si="81"/>
        <v>1331800</v>
      </c>
      <c r="Z477" s="49">
        <v>1E-4</v>
      </c>
    </row>
    <row r="478" spans="1:26" s="29" customFormat="1" ht="90.75" customHeight="1" x14ac:dyDescent="0.25">
      <c r="A478" s="20">
        <v>316</v>
      </c>
      <c r="B478" s="20" t="s">
        <v>0</v>
      </c>
      <c r="C478" s="20">
        <v>9878</v>
      </c>
      <c r="D478" s="21">
        <v>27</v>
      </c>
      <c r="E478" s="21">
        <v>3</v>
      </c>
      <c r="F478" s="22">
        <v>30</v>
      </c>
      <c r="G478" s="22" t="s">
        <v>198</v>
      </c>
      <c r="H478" s="24">
        <f t="shared" si="82"/>
        <v>11130</v>
      </c>
      <c r="I478" s="25" t="s">
        <v>32</v>
      </c>
      <c r="J478" s="24">
        <f t="shared" si="83"/>
        <v>2226000</v>
      </c>
      <c r="K478" s="20"/>
      <c r="L478" s="20"/>
      <c r="M478" s="20"/>
      <c r="N478" s="20"/>
      <c r="O478" s="24"/>
      <c r="P478" s="24"/>
      <c r="Q478" s="25"/>
      <c r="R478" s="24"/>
      <c r="S478" s="20"/>
      <c r="T478" s="27"/>
      <c r="U478" s="20"/>
      <c r="V478" s="27">
        <f t="shared" si="84"/>
        <v>2226000</v>
      </c>
      <c r="W478" s="26">
        <f t="shared" si="80"/>
        <v>2226000</v>
      </c>
      <c r="X478" s="27">
        <v>0</v>
      </c>
      <c r="Y478" s="78">
        <f t="shared" si="81"/>
        <v>2226000</v>
      </c>
      <c r="Z478" s="49">
        <v>1E-4</v>
      </c>
    </row>
    <row r="479" spans="1:26" s="29" customFormat="1" ht="90.75" customHeight="1" x14ac:dyDescent="0.25">
      <c r="A479" s="20">
        <v>317</v>
      </c>
      <c r="B479" s="20" t="s">
        <v>0</v>
      </c>
      <c r="C479" s="20">
        <v>8316</v>
      </c>
      <c r="D479" s="21">
        <v>34</v>
      </c>
      <c r="E479" s="21">
        <v>3</v>
      </c>
      <c r="F479" s="22">
        <v>6</v>
      </c>
      <c r="G479" s="22" t="s">
        <v>198</v>
      </c>
      <c r="H479" s="24">
        <f t="shared" si="82"/>
        <v>13906</v>
      </c>
      <c r="I479" s="25" t="s">
        <v>32</v>
      </c>
      <c r="J479" s="24">
        <f t="shared" si="83"/>
        <v>2781200</v>
      </c>
      <c r="K479" s="20"/>
      <c r="L479" s="20"/>
      <c r="M479" s="20"/>
      <c r="N479" s="20"/>
      <c r="O479" s="24"/>
      <c r="P479" s="24"/>
      <c r="Q479" s="25"/>
      <c r="R479" s="24"/>
      <c r="S479" s="20"/>
      <c r="T479" s="27"/>
      <c r="U479" s="20"/>
      <c r="V479" s="27">
        <f t="shared" si="84"/>
        <v>2781200</v>
      </c>
      <c r="W479" s="26">
        <f t="shared" si="80"/>
        <v>2781200</v>
      </c>
      <c r="X479" s="27">
        <v>0</v>
      </c>
      <c r="Y479" s="78">
        <f t="shared" si="81"/>
        <v>2781200</v>
      </c>
      <c r="Z479" s="49">
        <v>1E-4</v>
      </c>
    </row>
    <row r="480" spans="1:26" s="29" customFormat="1" ht="90.75" customHeight="1" x14ac:dyDescent="0.25">
      <c r="A480" s="20">
        <v>318</v>
      </c>
      <c r="B480" s="20" t="s">
        <v>0</v>
      </c>
      <c r="C480" s="20">
        <v>9823</v>
      </c>
      <c r="D480" s="21">
        <v>43</v>
      </c>
      <c r="E480" s="21">
        <v>0</v>
      </c>
      <c r="F480" s="22">
        <v>53</v>
      </c>
      <c r="G480" s="22" t="s">
        <v>198</v>
      </c>
      <c r="H480" s="24">
        <f t="shared" si="82"/>
        <v>17253</v>
      </c>
      <c r="I480" s="25" t="s">
        <v>32</v>
      </c>
      <c r="J480" s="24">
        <f t="shared" si="83"/>
        <v>3450600</v>
      </c>
      <c r="K480" s="20"/>
      <c r="L480" s="20"/>
      <c r="M480" s="20"/>
      <c r="N480" s="20"/>
      <c r="O480" s="24"/>
      <c r="P480" s="24"/>
      <c r="Q480" s="25"/>
      <c r="R480" s="24"/>
      <c r="S480" s="20"/>
      <c r="T480" s="27"/>
      <c r="U480" s="20"/>
      <c r="V480" s="27">
        <f t="shared" si="84"/>
        <v>3450600</v>
      </c>
      <c r="W480" s="26">
        <f t="shared" si="80"/>
        <v>3450600</v>
      </c>
      <c r="X480" s="27">
        <v>0</v>
      </c>
      <c r="Y480" s="78">
        <f t="shared" si="81"/>
        <v>3450600</v>
      </c>
      <c r="Z480" s="49">
        <v>1E-4</v>
      </c>
    </row>
    <row r="481" spans="1:26" s="29" customFormat="1" ht="90.75" customHeight="1" x14ac:dyDescent="0.25">
      <c r="A481" s="20">
        <v>319</v>
      </c>
      <c r="B481" s="20" t="s">
        <v>0</v>
      </c>
      <c r="C481" s="20">
        <v>9889</v>
      </c>
      <c r="D481" s="21">
        <v>14</v>
      </c>
      <c r="E481" s="21">
        <v>1</v>
      </c>
      <c r="F481" s="22">
        <v>37</v>
      </c>
      <c r="G481" s="22" t="s">
        <v>198</v>
      </c>
      <c r="H481" s="24">
        <f t="shared" si="82"/>
        <v>5737</v>
      </c>
      <c r="I481" s="25" t="s">
        <v>32</v>
      </c>
      <c r="J481" s="24">
        <f t="shared" si="83"/>
        <v>1147400</v>
      </c>
      <c r="K481" s="20"/>
      <c r="L481" s="20"/>
      <c r="M481" s="20"/>
      <c r="N481" s="20"/>
      <c r="O481" s="24"/>
      <c r="P481" s="24"/>
      <c r="Q481" s="25"/>
      <c r="R481" s="24"/>
      <c r="S481" s="20"/>
      <c r="T481" s="27"/>
      <c r="U481" s="20"/>
      <c r="V481" s="27">
        <f t="shared" si="84"/>
        <v>1147400</v>
      </c>
      <c r="W481" s="26">
        <f t="shared" si="80"/>
        <v>1147400</v>
      </c>
      <c r="X481" s="27">
        <v>0</v>
      </c>
      <c r="Y481" s="78">
        <f t="shared" si="81"/>
        <v>1147400</v>
      </c>
      <c r="Z481" s="49">
        <v>1E-4</v>
      </c>
    </row>
    <row r="482" spans="1:26" s="29" customFormat="1" ht="90.75" customHeight="1" x14ac:dyDescent="0.25">
      <c r="A482" s="20">
        <v>320</v>
      </c>
      <c r="B482" s="20" t="s">
        <v>0</v>
      </c>
      <c r="C482" s="20">
        <v>6900</v>
      </c>
      <c r="D482" s="21">
        <v>30</v>
      </c>
      <c r="E482" s="21">
        <v>1</v>
      </c>
      <c r="F482" s="22">
        <v>65</v>
      </c>
      <c r="G482" s="22" t="s">
        <v>198</v>
      </c>
      <c r="H482" s="24">
        <f t="shared" si="82"/>
        <v>12165</v>
      </c>
      <c r="I482" s="25" t="s">
        <v>32</v>
      </c>
      <c r="J482" s="24">
        <f t="shared" si="83"/>
        <v>2433000</v>
      </c>
      <c r="K482" s="20"/>
      <c r="L482" s="20"/>
      <c r="M482" s="20"/>
      <c r="N482" s="20"/>
      <c r="O482" s="24"/>
      <c r="P482" s="24"/>
      <c r="Q482" s="25"/>
      <c r="R482" s="24"/>
      <c r="S482" s="20"/>
      <c r="T482" s="27"/>
      <c r="U482" s="20"/>
      <c r="V482" s="27">
        <f t="shared" si="84"/>
        <v>2433000</v>
      </c>
      <c r="W482" s="26">
        <f t="shared" si="80"/>
        <v>2433000</v>
      </c>
      <c r="X482" s="27">
        <v>0</v>
      </c>
      <c r="Y482" s="78">
        <f t="shared" si="81"/>
        <v>2433000</v>
      </c>
      <c r="Z482" s="49">
        <v>1E-4</v>
      </c>
    </row>
    <row r="483" spans="1:26" s="29" customFormat="1" ht="90.75" customHeight="1" x14ac:dyDescent="0.25">
      <c r="A483" s="20">
        <v>321</v>
      </c>
      <c r="B483" s="20" t="s">
        <v>0</v>
      </c>
      <c r="C483" s="20">
        <v>9849</v>
      </c>
      <c r="D483" s="21">
        <v>15</v>
      </c>
      <c r="E483" s="21">
        <v>1</v>
      </c>
      <c r="F483" s="22">
        <v>77</v>
      </c>
      <c r="G483" s="22" t="s">
        <v>198</v>
      </c>
      <c r="H483" s="24">
        <f t="shared" si="82"/>
        <v>6177</v>
      </c>
      <c r="I483" s="25" t="s">
        <v>32</v>
      </c>
      <c r="J483" s="24">
        <f t="shared" si="83"/>
        <v>1235400</v>
      </c>
      <c r="K483" s="20"/>
      <c r="L483" s="20"/>
      <c r="M483" s="20"/>
      <c r="N483" s="20"/>
      <c r="O483" s="24"/>
      <c r="P483" s="24"/>
      <c r="Q483" s="25"/>
      <c r="R483" s="24"/>
      <c r="S483" s="20"/>
      <c r="T483" s="27"/>
      <c r="U483" s="20"/>
      <c r="V483" s="27">
        <f t="shared" si="84"/>
        <v>1235400</v>
      </c>
      <c r="W483" s="26">
        <f t="shared" si="80"/>
        <v>1235400</v>
      </c>
      <c r="X483" s="27">
        <v>0</v>
      </c>
      <c r="Y483" s="78">
        <f t="shared" si="81"/>
        <v>1235400</v>
      </c>
      <c r="Z483" s="49">
        <v>1E-4</v>
      </c>
    </row>
    <row r="484" spans="1:26" s="29" customFormat="1" ht="90.75" customHeight="1" x14ac:dyDescent="0.25">
      <c r="A484" s="20">
        <v>322</v>
      </c>
      <c r="B484" s="20" t="s">
        <v>0</v>
      </c>
      <c r="C484" s="20">
        <v>10668</v>
      </c>
      <c r="D484" s="21">
        <v>19</v>
      </c>
      <c r="E484" s="21">
        <v>2</v>
      </c>
      <c r="F484" s="22">
        <v>68</v>
      </c>
      <c r="G484" s="22" t="s">
        <v>198</v>
      </c>
      <c r="H484" s="24">
        <f t="shared" si="82"/>
        <v>7868</v>
      </c>
      <c r="I484" s="25" t="s">
        <v>37</v>
      </c>
      <c r="J484" s="24">
        <f t="shared" si="83"/>
        <v>3343900</v>
      </c>
      <c r="K484" s="20"/>
      <c r="L484" s="20"/>
      <c r="M484" s="20"/>
      <c r="N484" s="20"/>
      <c r="O484" s="24"/>
      <c r="P484" s="24"/>
      <c r="Q484" s="25"/>
      <c r="R484" s="24"/>
      <c r="S484" s="20"/>
      <c r="T484" s="27"/>
      <c r="U484" s="20"/>
      <c r="V484" s="27">
        <f t="shared" si="84"/>
        <v>3343900</v>
      </c>
      <c r="W484" s="26">
        <f t="shared" si="80"/>
        <v>3343900</v>
      </c>
      <c r="X484" s="27">
        <v>0</v>
      </c>
      <c r="Y484" s="78">
        <f t="shared" si="81"/>
        <v>3343900</v>
      </c>
      <c r="Z484" s="49">
        <v>1E-4</v>
      </c>
    </row>
    <row r="485" spans="1:26" s="29" customFormat="1" ht="90.75" customHeight="1" x14ac:dyDescent="0.25">
      <c r="A485" s="20">
        <v>323</v>
      </c>
      <c r="B485" s="20" t="s">
        <v>0</v>
      </c>
      <c r="C485" s="20">
        <v>43366</v>
      </c>
      <c r="D485" s="21">
        <v>0</v>
      </c>
      <c r="E485" s="21">
        <v>2</v>
      </c>
      <c r="F485" s="22">
        <v>22</v>
      </c>
      <c r="G485" s="22" t="s">
        <v>198</v>
      </c>
      <c r="H485" s="24">
        <f t="shared" si="82"/>
        <v>222</v>
      </c>
      <c r="I485" s="25">
        <v>425</v>
      </c>
      <c r="J485" s="24">
        <f t="shared" si="83"/>
        <v>94350</v>
      </c>
      <c r="K485" s="20"/>
      <c r="L485" s="20"/>
      <c r="M485" s="20"/>
      <c r="N485" s="20"/>
      <c r="O485" s="24"/>
      <c r="P485" s="24"/>
      <c r="Q485" s="25"/>
      <c r="R485" s="24"/>
      <c r="S485" s="20"/>
      <c r="T485" s="27"/>
      <c r="U485" s="20"/>
      <c r="V485" s="27">
        <f t="shared" si="84"/>
        <v>94350</v>
      </c>
      <c r="W485" s="26">
        <f t="shared" si="80"/>
        <v>94350</v>
      </c>
      <c r="X485" s="27">
        <v>0</v>
      </c>
      <c r="Y485" s="78">
        <f t="shared" si="81"/>
        <v>94350</v>
      </c>
      <c r="Z485" s="49">
        <v>1E-4</v>
      </c>
    </row>
    <row r="486" spans="1:26" s="29" customFormat="1" ht="90.75" customHeight="1" x14ac:dyDescent="0.25">
      <c r="A486" s="20">
        <v>324</v>
      </c>
      <c r="B486" s="20" t="s">
        <v>0</v>
      </c>
      <c r="C486" s="20">
        <v>43358</v>
      </c>
      <c r="D486" s="21">
        <v>3</v>
      </c>
      <c r="E486" s="21">
        <v>2</v>
      </c>
      <c r="F486" s="22">
        <v>3</v>
      </c>
      <c r="G486" s="22" t="s">
        <v>198</v>
      </c>
      <c r="H486" s="24">
        <f t="shared" si="82"/>
        <v>1403</v>
      </c>
      <c r="I486" s="25" t="s">
        <v>75</v>
      </c>
      <c r="J486" s="24">
        <f t="shared" si="83"/>
        <v>876875</v>
      </c>
      <c r="K486" s="20"/>
      <c r="L486" s="20"/>
      <c r="M486" s="20"/>
      <c r="N486" s="20"/>
      <c r="O486" s="24"/>
      <c r="P486" s="24"/>
      <c r="Q486" s="25"/>
      <c r="R486" s="24"/>
      <c r="S486" s="20"/>
      <c r="T486" s="27"/>
      <c r="U486" s="20"/>
      <c r="V486" s="27">
        <f t="shared" si="84"/>
        <v>876875</v>
      </c>
      <c r="W486" s="26">
        <f t="shared" si="80"/>
        <v>876875</v>
      </c>
      <c r="X486" s="27">
        <v>0</v>
      </c>
      <c r="Y486" s="78">
        <f t="shared" si="81"/>
        <v>876875</v>
      </c>
      <c r="Z486" s="49">
        <v>1E-4</v>
      </c>
    </row>
    <row r="487" spans="1:26" s="29" customFormat="1" ht="90.75" customHeight="1" x14ac:dyDescent="0.25">
      <c r="A487" s="20">
        <v>325</v>
      </c>
      <c r="B487" s="20" t="s">
        <v>0</v>
      </c>
      <c r="C487" s="20">
        <v>43364</v>
      </c>
      <c r="D487" s="21">
        <v>5</v>
      </c>
      <c r="E487" s="21">
        <v>0</v>
      </c>
      <c r="F487" s="22">
        <v>18</v>
      </c>
      <c r="G487" s="22" t="s">
        <v>198</v>
      </c>
      <c r="H487" s="24">
        <f t="shared" si="82"/>
        <v>2018</v>
      </c>
      <c r="I487" s="25" t="s">
        <v>53</v>
      </c>
      <c r="J487" s="24">
        <f t="shared" si="83"/>
        <v>908100</v>
      </c>
      <c r="K487" s="20"/>
      <c r="L487" s="20"/>
      <c r="M487" s="20"/>
      <c r="N487" s="20"/>
      <c r="O487" s="24"/>
      <c r="P487" s="24"/>
      <c r="Q487" s="25"/>
      <c r="R487" s="24"/>
      <c r="S487" s="20"/>
      <c r="T487" s="27"/>
      <c r="U487" s="20"/>
      <c r="V487" s="27">
        <f t="shared" si="84"/>
        <v>908100</v>
      </c>
      <c r="W487" s="26">
        <f t="shared" si="80"/>
        <v>908100</v>
      </c>
      <c r="X487" s="27">
        <v>0</v>
      </c>
      <c r="Y487" s="78">
        <f t="shared" si="81"/>
        <v>908100</v>
      </c>
      <c r="Z487" s="49">
        <v>1E-4</v>
      </c>
    </row>
    <row r="488" spans="1:26" s="29" customFormat="1" ht="90.75" customHeight="1" x14ac:dyDescent="0.25">
      <c r="A488" s="20">
        <v>326</v>
      </c>
      <c r="B488" s="20" t="s">
        <v>0</v>
      </c>
      <c r="C488" s="20">
        <v>32560</v>
      </c>
      <c r="D488" s="21">
        <v>10</v>
      </c>
      <c r="E488" s="21">
        <v>3</v>
      </c>
      <c r="F488" s="22">
        <v>27</v>
      </c>
      <c r="G488" s="22" t="s">
        <v>198</v>
      </c>
      <c r="H488" s="24">
        <f t="shared" si="82"/>
        <v>4327</v>
      </c>
      <c r="I488" s="25" t="s">
        <v>19</v>
      </c>
      <c r="J488" s="24">
        <f t="shared" si="83"/>
        <v>1622625</v>
      </c>
      <c r="K488" s="20"/>
      <c r="L488" s="20"/>
      <c r="M488" s="20"/>
      <c r="N488" s="20"/>
      <c r="O488" s="24"/>
      <c r="P488" s="24"/>
      <c r="Q488" s="25"/>
      <c r="R488" s="24"/>
      <c r="S488" s="20"/>
      <c r="T488" s="27"/>
      <c r="U488" s="20"/>
      <c r="V488" s="27">
        <f t="shared" si="84"/>
        <v>1622625</v>
      </c>
      <c r="W488" s="26">
        <f t="shared" si="80"/>
        <v>1622625</v>
      </c>
      <c r="X488" s="27">
        <v>0</v>
      </c>
      <c r="Y488" s="78">
        <f t="shared" si="81"/>
        <v>1622625</v>
      </c>
      <c r="Z488" s="49">
        <v>1E-4</v>
      </c>
    </row>
    <row r="489" spans="1:26" s="29" customFormat="1" ht="90.75" customHeight="1" x14ac:dyDescent="0.25">
      <c r="A489" s="20">
        <v>327</v>
      </c>
      <c r="B489" s="20" t="s">
        <v>0</v>
      </c>
      <c r="C489" s="20">
        <v>32638</v>
      </c>
      <c r="D489" s="21">
        <v>6</v>
      </c>
      <c r="E489" s="21">
        <v>3</v>
      </c>
      <c r="F489" s="22">
        <v>65</v>
      </c>
      <c r="G489" s="22" t="s">
        <v>198</v>
      </c>
      <c r="H489" s="24">
        <f t="shared" si="82"/>
        <v>2765</v>
      </c>
      <c r="I489" s="25" t="s">
        <v>7</v>
      </c>
      <c r="J489" s="24">
        <f t="shared" si="83"/>
        <v>967750</v>
      </c>
      <c r="K489" s="20"/>
      <c r="L489" s="20"/>
      <c r="M489" s="20"/>
      <c r="N489" s="20"/>
      <c r="O489" s="24"/>
      <c r="P489" s="24"/>
      <c r="Q489" s="25"/>
      <c r="R489" s="24"/>
      <c r="S489" s="20"/>
      <c r="T489" s="27"/>
      <c r="U489" s="20"/>
      <c r="V489" s="27">
        <f t="shared" si="84"/>
        <v>967750</v>
      </c>
      <c r="W489" s="26">
        <f t="shared" si="80"/>
        <v>967750</v>
      </c>
      <c r="X489" s="27">
        <v>0</v>
      </c>
      <c r="Y489" s="78">
        <f t="shared" si="81"/>
        <v>967750</v>
      </c>
      <c r="Z489" s="49">
        <v>1E-4</v>
      </c>
    </row>
    <row r="490" spans="1:26" s="29" customFormat="1" ht="90.75" customHeight="1" x14ac:dyDescent="0.25">
      <c r="A490" s="20">
        <v>328</v>
      </c>
      <c r="B490" s="20" t="s">
        <v>0</v>
      </c>
      <c r="C490" s="20">
        <v>32561</v>
      </c>
      <c r="D490" s="21">
        <v>7</v>
      </c>
      <c r="E490" s="21">
        <v>1</v>
      </c>
      <c r="F490" s="22">
        <v>39</v>
      </c>
      <c r="G490" s="22" t="s">
        <v>198</v>
      </c>
      <c r="H490" s="24">
        <f t="shared" si="82"/>
        <v>2939</v>
      </c>
      <c r="I490" s="25" t="s">
        <v>53</v>
      </c>
      <c r="J490" s="24">
        <f t="shared" si="83"/>
        <v>1322550</v>
      </c>
      <c r="K490" s="20"/>
      <c r="L490" s="20"/>
      <c r="M490" s="20"/>
      <c r="N490" s="20"/>
      <c r="O490" s="24"/>
      <c r="P490" s="24"/>
      <c r="Q490" s="25"/>
      <c r="R490" s="24"/>
      <c r="S490" s="20"/>
      <c r="T490" s="27"/>
      <c r="U490" s="20"/>
      <c r="V490" s="27">
        <f t="shared" si="84"/>
        <v>1322550</v>
      </c>
      <c r="W490" s="26">
        <f t="shared" si="80"/>
        <v>1322550</v>
      </c>
      <c r="X490" s="27">
        <v>0</v>
      </c>
      <c r="Y490" s="78">
        <f t="shared" si="81"/>
        <v>1322550</v>
      </c>
      <c r="Z490" s="49">
        <v>1E-4</v>
      </c>
    </row>
    <row r="491" spans="1:26" s="29" customFormat="1" ht="90.75" customHeight="1" x14ac:dyDescent="0.25">
      <c r="A491" s="20">
        <v>329</v>
      </c>
      <c r="B491" s="20" t="s">
        <v>0</v>
      </c>
      <c r="C491" s="20">
        <v>32564</v>
      </c>
      <c r="D491" s="21">
        <v>17</v>
      </c>
      <c r="E491" s="21">
        <v>3</v>
      </c>
      <c r="F491" s="22">
        <v>40</v>
      </c>
      <c r="G491" s="22" t="s">
        <v>198</v>
      </c>
      <c r="H491" s="24">
        <f t="shared" si="82"/>
        <v>7140</v>
      </c>
      <c r="I491" s="25" t="s">
        <v>7</v>
      </c>
      <c r="J491" s="24">
        <f t="shared" si="83"/>
        <v>2499000</v>
      </c>
      <c r="K491" s="20"/>
      <c r="L491" s="20"/>
      <c r="M491" s="20"/>
      <c r="N491" s="20"/>
      <c r="O491" s="24"/>
      <c r="P491" s="24"/>
      <c r="Q491" s="25"/>
      <c r="R491" s="24"/>
      <c r="S491" s="20"/>
      <c r="T491" s="27"/>
      <c r="U491" s="20"/>
      <c r="V491" s="27">
        <f t="shared" si="84"/>
        <v>2499000</v>
      </c>
      <c r="W491" s="26">
        <f t="shared" si="80"/>
        <v>2499000</v>
      </c>
      <c r="X491" s="27">
        <v>0</v>
      </c>
      <c r="Y491" s="78">
        <f t="shared" si="81"/>
        <v>2499000</v>
      </c>
      <c r="Z491" s="49">
        <v>1E-4</v>
      </c>
    </row>
    <row r="492" spans="1:26" s="29" customFormat="1" ht="90.75" customHeight="1" x14ac:dyDescent="0.25">
      <c r="A492" s="20">
        <v>330</v>
      </c>
      <c r="B492" s="20" t="s">
        <v>0</v>
      </c>
      <c r="C492" s="20">
        <v>32565</v>
      </c>
      <c r="D492" s="21">
        <v>23</v>
      </c>
      <c r="E492" s="21">
        <v>1</v>
      </c>
      <c r="F492" s="22">
        <v>16</v>
      </c>
      <c r="G492" s="22" t="s">
        <v>198</v>
      </c>
      <c r="H492" s="24">
        <f t="shared" si="82"/>
        <v>9316</v>
      </c>
      <c r="I492" s="25" t="s">
        <v>7</v>
      </c>
      <c r="J492" s="24">
        <f t="shared" si="83"/>
        <v>3260600</v>
      </c>
      <c r="K492" s="20"/>
      <c r="L492" s="20"/>
      <c r="M492" s="20"/>
      <c r="N492" s="20"/>
      <c r="O492" s="24"/>
      <c r="P492" s="24"/>
      <c r="Q492" s="25"/>
      <c r="R492" s="24"/>
      <c r="S492" s="20"/>
      <c r="T492" s="27"/>
      <c r="U492" s="20"/>
      <c r="V492" s="27">
        <f t="shared" si="84"/>
        <v>3260600</v>
      </c>
      <c r="W492" s="26">
        <f t="shared" si="80"/>
        <v>3260600</v>
      </c>
      <c r="X492" s="27">
        <v>0</v>
      </c>
      <c r="Y492" s="78">
        <f t="shared" si="81"/>
        <v>3260600</v>
      </c>
      <c r="Z492" s="49">
        <v>1E-4</v>
      </c>
    </row>
    <row r="493" spans="1:26" s="29" customFormat="1" ht="90.75" customHeight="1" x14ac:dyDescent="0.25">
      <c r="A493" s="20">
        <v>331</v>
      </c>
      <c r="B493" s="20" t="s">
        <v>0</v>
      </c>
      <c r="C493" s="20">
        <v>12580</v>
      </c>
      <c r="D493" s="21">
        <v>2</v>
      </c>
      <c r="E493" s="21">
        <v>0</v>
      </c>
      <c r="F493" s="22">
        <v>91</v>
      </c>
      <c r="G493" s="22" t="s">
        <v>198</v>
      </c>
      <c r="H493" s="24">
        <f t="shared" si="82"/>
        <v>891</v>
      </c>
      <c r="I493" s="25" t="s">
        <v>32</v>
      </c>
      <c r="J493" s="24">
        <f t="shared" si="83"/>
        <v>178200</v>
      </c>
      <c r="K493" s="20"/>
      <c r="L493" s="20"/>
      <c r="M493" s="20"/>
      <c r="N493" s="20"/>
      <c r="O493" s="24"/>
      <c r="P493" s="24"/>
      <c r="Q493" s="25"/>
      <c r="R493" s="24"/>
      <c r="S493" s="20"/>
      <c r="T493" s="27"/>
      <c r="U493" s="20"/>
      <c r="V493" s="27">
        <f t="shared" si="84"/>
        <v>178200</v>
      </c>
      <c r="W493" s="26">
        <f t="shared" si="80"/>
        <v>178200</v>
      </c>
      <c r="X493" s="27">
        <v>0</v>
      </c>
      <c r="Y493" s="78">
        <f t="shared" si="81"/>
        <v>178200</v>
      </c>
      <c r="Z493" s="49">
        <v>1E-4</v>
      </c>
    </row>
    <row r="494" spans="1:26" s="29" customFormat="1" ht="90.75" customHeight="1" x14ac:dyDescent="0.25">
      <c r="A494" s="20">
        <v>332</v>
      </c>
      <c r="B494" s="20" t="s">
        <v>0</v>
      </c>
      <c r="C494" s="20">
        <v>10661</v>
      </c>
      <c r="D494" s="21">
        <v>12</v>
      </c>
      <c r="E494" s="21">
        <v>0</v>
      </c>
      <c r="F494" s="22">
        <v>25</v>
      </c>
      <c r="G494" s="22" t="s">
        <v>198</v>
      </c>
      <c r="H494" s="24">
        <f t="shared" si="82"/>
        <v>4825</v>
      </c>
      <c r="I494" s="25" t="s">
        <v>32</v>
      </c>
      <c r="J494" s="24">
        <f t="shared" si="83"/>
        <v>965000</v>
      </c>
      <c r="K494" s="20"/>
      <c r="L494" s="20"/>
      <c r="M494" s="20"/>
      <c r="N494" s="20"/>
      <c r="O494" s="24"/>
      <c r="P494" s="24"/>
      <c r="Q494" s="25"/>
      <c r="R494" s="24"/>
      <c r="S494" s="20"/>
      <c r="T494" s="27"/>
      <c r="U494" s="20"/>
      <c r="V494" s="27">
        <f t="shared" si="84"/>
        <v>965000</v>
      </c>
      <c r="W494" s="26">
        <f t="shared" si="80"/>
        <v>965000</v>
      </c>
      <c r="X494" s="27">
        <v>0</v>
      </c>
      <c r="Y494" s="78">
        <f t="shared" si="81"/>
        <v>965000</v>
      </c>
      <c r="Z494" s="49">
        <v>1E-4</v>
      </c>
    </row>
    <row r="495" spans="1:26" s="29" customFormat="1" ht="90.75" customHeight="1" x14ac:dyDescent="0.25">
      <c r="A495" s="20">
        <v>333</v>
      </c>
      <c r="B495" s="20" t="s">
        <v>0</v>
      </c>
      <c r="C495" s="20">
        <v>5613</v>
      </c>
      <c r="D495" s="21">
        <v>15</v>
      </c>
      <c r="E495" s="21">
        <v>3</v>
      </c>
      <c r="F495" s="22">
        <v>86</v>
      </c>
      <c r="G495" s="22" t="s">
        <v>198</v>
      </c>
      <c r="H495" s="24">
        <f t="shared" si="82"/>
        <v>6386</v>
      </c>
      <c r="I495" s="25" t="s">
        <v>19</v>
      </c>
      <c r="J495" s="24">
        <f t="shared" si="83"/>
        <v>2394750</v>
      </c>
      <c r="K495" s="20"/>
      <c r="L495" s="20"/>
      <c r="M495" s="20"/>
      <c r="N495" s="20"/>
      <c r="O495" s="24"/>
      <c r="P495" s="24"/>
      <c r="Q495" s="25"/>
      <c r="R495" s="24"/>
      <c r="S495" s="20"/>
      <c r="T495" s="27"/>
      <c r="U495" s="20"/>
      <c r="V495" s="27">
        <f t="shared" si="84"/>
        <v>2394750</v>
      </c>
      <c r="W495" s="26">
        <f t="shared" si="80"/>
        <v>2394750</v>
      </c>
      <c r="X495" s="27">
        <v>0</v>
      </c>
      <c r="Y495" s="78">
        <f t="shared" si="81"/>
        <v>2394750</v>
      </c>
      <c r="Z495" s="49">
        <v>1E-4</v>
      </c>
    </row>
    <row r="496" spans="1:26" s="29" customFormat="1" ht="90.75" customHeight="1" x14ac:dyDescent="0.25">
      <c r="A496" s="20">
        <v>334</v>
      </c>
      <c r="B496" s="20" t="s">
        <v>0</v>
      </c>
      <c r="C496" s="20">
        <v>10626</v>
      </c>
      <c r="D496" s="21">
        <v>3</v>
      </c>
      <c r="E496" s="21">
        <v>0</v>
      </c>
      <c r="F496" s="22">
        <v>53</v>
      </c>
      <c r="G496" s="22" t="s">
        <v>198</v>
      </c>
      <c r="H496" s="24">
        <f t="shared" si="82"/>
        <v>1253</v>
      </c>
      <c r="I496" s="25" t="s">
        <v>53</v>
      </c>
      <c r="J496" s="24">
        <f t="shared" si="83"/>
        <v>563850</v>
      </c>
      <c r="K496" s="20"/>
      <c r="L496" s="20"/>
      <c r="M496" s="20"/>
      <c r="N496" s="20"/>
      <c r="O496" s="24"/>
      <c r="P496" s="24"/>
      <c r="Q496" s="25"/>
      <c r="R496" s="24"/>
      <c r="S496" s="20"/>
      <c r="T496" s="27"/>
      <c r="U496" s="20"/>
      <c r="V496" s="27">
        <f t="shared" si="84"/>
        <v>563850</v>
      </c>
      <c r="W496" s="26">
        <f t="shared" si="80"/>
        <v>563850</v>
      </c>
      <c r="X496" s="27">
        <v>0</v>
      </c>
      <c r="Y496" s="78">
        <f t="shared" si="81"/>
        <v>563850</v>
      </c>
      <c r="Z496" s="49">
        <v>1E-4</v>
      </c>
    </row>
    <row r="497" spans="1:26" s="29" customFormat="1" ht="90.75" customHeight="1" x14ac:dyDescent="0.25">
      <c r="A497" s="20">
        <v>335</v>
      </c>
      <c r="B497" s="20" t="s">
        <v>0</v>
      </c>
      <c r="C497" s="20">
        <v>2429</v>
      </c>
      <c r="D497" s="21">
        <v>19</v>
      </c>
      <c r="E497" s="21">
        <v>1</v>
      </c>
      <c r="F497" s="22">
        <v>0</v>
      </c>
      <c r="G497" s="22" t="s">
        <v>198</v>
      </c>
      <c r="H497" s="24">
        <f t="shared" si="82"/>
        <v>7700</v>
      </c>
      <c r="I497" s="25" t="s">
        <v>19</v>
      </c>
      <c r="J497" s="24">
        <f t="shared" si="83"/>
        <v>2887500</v>
      </c>
      <c r="K497" s="20"/>
      <c r="L497" s="20"/>
      <c r="M497" s="20"/>
      <c r="N497" s="20"/>
      <c r="O497" s="24"/>
      <c r="P497" s="24"/>
      <c r="Q497" s="25"/>
      <c r="R497" s="24"/>
      <c r="S497" s="20"/>
      <c r="T497" s="27"/>
      <c r="U497" s="20"/>
      <c r="V497" s="27">
        <f t="shared" si="84"/>
        <v>2887500</v>
      </c>
      <c r="W497" s="26">
        <f t="shared" si="80"/>
        <v>2887500</v>
      </c>
      <c r="X497" s="27">
        <v>0</v>
      </c>
      <c r="Y497" s="78">
        <f t="shared" si="81"/>
        <v>2887500</v>
      </c>
      <c r="Z497" s="49">
        <v>1E-4</v>
      </c>
    </row>
    <row r="498" spans="1:26" s="29" customFormat="1" ht="90.75" customHeight="1" x14ac:dyDescent="0.25">
      <c r="A498" s="20">
        <v>336</v>
      </c>
      <c r="B498" s="20" t="s">
        <v>0</v>
      </c>
      <c r="C498" s="20">
        <v>2430</v>
      </c>
      <c r="D498" s="21">
        <v>13</v>
      </c>
      <c r="E498" s="21">
        <v>0</v>
      </c>
      <c r="F498" s="22">
        <v>20</v>
      </c>
      <c r="G498" s="22" t="s">
        <v>198</v>
      </c>
      <c r="H498" s="24">
        <f t="shared" si="82"/>
        <v>5220</v>
      </c>
      <c r="I498" s="25" t="s">
        <v>32</v>
      </c>
      <c r="J498" s="24">
        <f t="shared" si="83"/>
        <v>1044000</v>
      </c>
      <c r="K498" s="20"/>
      <c r="L498" s="20"/>
      <c r="M498" s="20"/>
      <c r="N498" s="20"/>
      <c r="O498" s="24"/>
      <c r="P498" s="24"/>
      <c r="Q498" s="25"/>
      <c r="R498" s="24"/>
      <c r="S498" s="20"/>
      <c r="T498" s="27"/>
      <c r="U498" s="20"/>
      <c r="V498" s="27">
        <f t="shared" si="84"/>
        <v>1044000</v>
      </c>
      <c r="W498" s="26">
        <f t="shared" si="80"/>
        <v>1044000</v>
      </c>
      <c r="X498" s="27">
        <v>0</v>
      </c>
      <c r="Y498" s="78">
        <f t="shared" si="81"/>
        <v>1044000</v>
      </c>
      <c r="Z498" s="49">
        <v>1E-4</v>
      </c>
    </row>
    <row r="499" spans="1:26" s="29" customFormat="1" ht="90.75" customHeight="1" x14ac:dyDescent="0.25">
      <c r="A499" s="20">
        <v>337</v>
      </c>
      <c r="B499" s="20" t="s">
        <v>0</v>
      </c>
      <c r="C499" s="20">
        <v>10624</v>
      </c>
      <c r="D499" s="21">
        <v>1</v>
      </c>
      <c r="E499" s="21">
        <v>1</v>
      </c>
      <c r="F499" s="22">
        <v>68</v>
      </c>
      <c r="G499" s="22" t="s">
        <v>198</v>
      </c>
      <c r="H499" s="24">
        <f t="shared" si="82"/>
        <v>568</v>
      </c>
      <c r="I499" s="25" t="s">
        <v>32</v>
      </c>
      <c r="J499" s="24">
        <f t="shared" si="83"/>
        <v>113600</v>
      </c>
      <c r="K499" s="20"/>
      <c r="L499" s="20"/>
      <c r="M499" s="20"/>
      <c r="N499" s="20"/>
      <c r="O499" s="24"/>
      <c r="P499" s="24"/>
      <c r="Q499" s="25"/>
      <c r="R499" s="24"/>
      <c r="S499" s="20"/>
      <c r="T499" s="27"/>
      <c r="U499" s="20"/>
      <c r="V499" s="27">
        <f t="shared" si="84"/>
        <v>113600</v>
      </c>
      <c r="W499" s="26">
        <f t="shared" si="80"/>
        <v>113600</v>
      </c>
      <c r="X499" s="27">
        <v>0</v>
      </c>
      <c r="Y499" s="78">
        <f t="shared" si="81"/>
        <v>113600</v>
      </c>
      <c r="Z499" s="49">
        <v>1E-4</v>
      </c>
    </row>
    <row r="500" spans="1:26" s="29" customFormat="1" ht="90.75" customHeight="1" x14ac:dyDescent="0.25">
      <c r="A500" s="20">
        <v>338</v>
      </c>
      <c r="B500" s="20" t="s">
        <v>0</v>
      </c>
      <c r="C500" s="20">
        <v>9860</v>
      </c>
      <c r="D500" s="21">
        <v>1</v>
      </c>
      <c r="E500" s="21">
        <v>2</v>
      </c>
      <c r="F500" s="22">
        <v>71</v>
      </c>
      <c r="G500" s="22" t="s">
        <v>198</v>
      </c>
      <c r="H500" s="24">
        <f t="shared" si="82"/>
        <v>671</v>
      </c>
      <c r="I500" s="25" t="s">
        <v>32</v>
      </c>
      <c r="J500" s="24">
        <f t="shared" si="83"/>
        <v>134200</v>
      </c>
      <c r="K500" s="20"/>
      <c r="L500" s="20"/>
      <c r="M500" s="20"/>
      <c r="N500" s="20"/>
      <c r="O500" s="24"/>
      <c r="P500" s="24"/>
      <c r="Q500" s="25"/>
      <c r="R500" s="24"/>
      <c r="S500" s="20"/>
      <c r="T500" s="27"/>
      <c r="U500" s="20"/>
      <c r="V500" s="27">
        <f t="shared" si="84"/>
        <v>134200</v>
      </c>
      <c r="W500" s="26">
        <f t="shared" si="80"/>
        <v>134200</v>
      </c>
      <c r="X500" s="27">
        <v>0</v>
      </c>
      <c r="Y500" s="78">
        <f t="shared" si="81"/>
        <v>134200</v>
      </c>
      <c r="Z500" s="49">
        <v>1E-4</v>
      </c>
    </row>
    <row r="501" spans="1:26" s="29" customFormat="1" ht="90.75" customHeight="1" x14ac:dyDescent="0.25">
      <c r="A501" s="20">
        <v>339</v>
      </c>
      <c r="B501" s="20" t="s">
        <v>0</v>
      </c>
      <c r="C501" s="20">
        <v>10617</v>
      </c>
      <c r="D501" s="21">
        <v>25</v>
      </c>
      <c r="E501" s="21">
        <v>2</v>
      </c>
      <c r="F501" s="22">
        <v>81</v>
      </c>
      <c r="G501" s="22" t="s">
        <v>198</v>
      </c>
      <c r="H501" s="24">
        <f t="shared" si="82"/>
        <v>10281</v>
      </c>
      <c r="I501" s="25" t="s">
        <v>32</v>
      </c>
      <c r="J501" s="24">
        <f t="shared" si="83"/>
        <v>2056200</v>
      </c>
      <c r="K501" s="20"/>
      <c r="L501" s="20"/>
      <c r="M501" s="20"/>
      <c r="N501" s="20"/>
      <c r="O501" s="24"/>
      <c r="P501" s="24"/>
      <c r="Q501" s="25"/>
      <c r="R501" s="24"/>
      <c r="S501" s="20"/>
      <c r="T501" s="27"/>
      <c r="U501" s="20"/>
      <c r="V501" s="27">
        <f t="shared" si="84"/>
        <v>2056200</v>
      </c>
      <c r="W501" s="26">
        <f t="shared" si="80"/>
        <v>2056200</v>
      </c>
      <c r="X501" s="27">
        <v>0</v>
      </c>
      <c r="Y501" s="78">
        <f t="shared" si="81"/>
        <v>2056200</v>
      </c>
      <c r="Z501" s="49">
        <v>1E-4</v>
      </c>
    </row>
    <row r="502" spans="1:26" s="29" customFormat="1" ht="90.75" customHeight="1" x14ac:dyDescent="0.25">
      <c r="A502" s="20">
        <v>340</v>
      </c>
      <c r="B502" s="20" t="s">
        <v>0</v>
      </c>
      <c r="C502" s="20">
        <v>10616</v>
      </c>
      <c r="D502" s="21">
        <v>22</v>
      </c>
      <c r="E502" s="21">
        <v>1</v>
      </c>
      <c r="F502" s="22">
        <v>28</v>
      </c>
      <c r="G502" s="22" t="s">
        <v>198</v>
      </c>
      <c r="H502" s="24">
        <f t="shared" si="82"/>
        <v>8928</v>
      </c>
      <c r="I502" s="25" t="s">
        <v>79</v>
      </c>
      <c r="J502" s="24">
        <f t="shared" si="83"/>
        <v>5803200</v>
      </c>
      <c r="K502" s="20"/>
      <c r="L502" s="20"/>
      <c r="M502" s="20"/>
      <c r="N502" s="20"/>
      <c r="O502" s="24"/>
      <c r="P502" s="24"/>
      <c r="Q502" s="25"/>
      <c r="R502" s="24"/>
      <c r="S502" s="20"/>
      <c r="T502" s="27"/>
      <c r="U502" s="20"/>
      <c r="V502" s="27">
        <f t="shared" si="84"/>
        <v>5803200</v>
      </c>
      <c r="W502" s="26">
        <f t="shared" si="80"/>
        <v>5803200</v>
      </c>
      <c r="X502" s="27">
        <v>0</v>
      </c>
      <c r="Y502" s="78">
        <f t="shared" si="81"/>
        <v>5803200</v>
      </c>
      <c r="Z502" s="49">
        <v>1E-4</v>
      </c>
    </row>
    <row r="503" spans="1:26" s="29" customFormat="1" ht="90.75" customHeight="1" x14ac:dyDescent="0.25">
      <c r="A503" s="20">
        <v>341</v>
      </c>
      <c r="B503" s="20" t="s">
        <v>0</v>
      </c>
      <c r="C503" s="20">
        <v>32566</v>
      </c>
      <c r="D503" s="21">
        <v>20</v>
      </c>
      <c r="E503" s="21">
        <v>2</v>
      </c>
      <c r="F503" s="22">
        <v>23</v>
      </c>
      <c r="G503" s="22" t="s">
        <v>198</v>
      </c>
      <c r="H503" s="24">
        <f t="shared" si="82"/>
        <v>8223</v>
      </c>
      <c r="I503" s="25" t="s">
        <v>32</v>
      </c>
      <c r="J503" s="24">
        <f t="shared" si="83"/>
        <v>1644600</v>
      </c>
      <c r="K503" s="20"/>
      <c r="L503" s="20"/>
      <c r="M503" s="20"/>
      <c r="N503" s="20"/>
      <c r="O503" s="24"/>
      <c r="P503" s="24"/>
      <c r="Q503" s="25"/>
      <c r="R503" s="24"/>
      <c r="S503" s="20"/>
      <c r="T503" s="27"/>
      <c r="U503" s="20"/>
      <c r="V503" s="27">
        <f t="shared" si="84"/>
        <v>1644600</v>
      </c>
      <c r="W503" s="26">
        <f t="shared" si="80"/>
        <v>1644600</v>
      </c>
      <c r="X503" s="27">
        <v>0</v>
      </c>
      <c r="Y503" s="78">
        <f t="shared" si="81"/>
        <v>1644600</v>
      </c>
      <c r="Z503" s="49">
        <v>1E-4</v>
      </c>
    </row>
    <row r="504" spans="1:26" s="29" customFormat="1" ht="90.75" customHeight="1" x14ac:dyDescent="0.25">
      <c r="A504" s="20">
        <v>342</v>
      </c>
      <c r="B504" s="20" t="s">
        <v>0</v>
      </c>
      <c r="C504" s="20">
        <v>10627</v>
      </c>
      <c r="D504" s="21">
        <v>14</v>
      </c>
      <c r="E504" s="21">
        <v>1</v>
      </c>
      <c r="F504" s="22">
        <v>36</v>
      </c>
      <c r="G504" s="22" t="s">
        <v>198</v>
      </c>
      <c r="H504" s="24">
        <f t="shared" si="82"/>
        <v>5736</v>
      </c>
      <c r="I504" s="25" t="s">
        <v>19</v>
      </c>
      <c r="J504" s="24">
        <f t="shared" si="83"/>
        <v>2151000</v>
      </c>
      <c r="K504" s="20"/>
      <c r="L504" s="20"/>
      <c r="M504" s="20"/>
      <c r="N504" s="20"/>
      <c r="O504" s="24"/>
      <c r="P504" s="24"/>
      <c r="Q504" s="25"/>
      <c r="R504" s="24"/>
      <c r="S504" s="20"/>
      <c r="T504" s="27"/>
      <c r="U504" s="20"/>
      <c r="V504" s="27">
        <f t="shared" si="84"/>
        <v>2151000</v>
      </c>
      <c r="W504" s="26">
        <f t="shared" si="80"/>
        <v>2151000</v>
      </c>
      <c r="X504" s="27">
        <v>0</v>
      </c>
      <c r="Y504" s="78">
        <f t="shared" si="81"/>
        <v>2151000</v>
      </c>
      <c r="Z504" s="49">
        <v>1E-4</v>
      </c>
    </row>
    <row r="505" spans="1:26" s="29" customFormat="1" ht="90.75" customHeight="1" x14ac:dyDescent="0.25">
      <c r="A505" s="20">
        <v>343</v>
      </c>
      <c r="B505" s="20" t="s">
        <v>0</v>
      </c>
      <c r="C505" s="20">
        <v>9858</v>
      </c>
      <c r="D505" s="21">
        <v>16</v>
      </c>
      <c r="E505" s="21">
        <v>2</v>
      </c>
      <c r="F505" s="22">
        <v>66</v>
      </c>
      <c r="G505" s="22" t="s">
        <v>198</v>
      </c>
      <c r="H505" s="24">
        <f t="shared" si="82"/>
        <v>6666</v>
      </c>
      <c r="I505" s="25" t="s">
        <v>19</v>
      </c>
      <c r="J505" s="24">
        <f t="shared" si="83"/>
        <v>2499750</v>
      </c>
      <c r="K505" s="20"/>
      <c r="L505" s="20"/>
      <c r="M505" s="20"/>
      <c r="N505" s="20"/>
      <c r="O505" s="24"/>
      <c r="P505" s="24"/>
      <c r="Q505" s="25"/>
      <c r="R505" s="24"/>
      <c r="S505" s="20"/>
      <c r="T505" s="27"/>
      <c r="U505" s="20"/>
      <c r="V505" s="27">
        <f t="shared" si="84"/>
        <v>2499750</v>
      </c>
      <c r="W505" s="26">
        <f t="shared" si="80"/>
        <v>2499750</v>
      </c>
      <c r="X505" s="27">
        <v>0</v>
      </c>
      <c r="Y505" s="78">
        <f t="shared" si="81"/>
        <v>2499750</v>
      </c>
      <c r="Z505" s="49">
        <v>1E-4</v>
      </c>
    </row>
    <row r="506" spans="1:26" s="29" customFormat="1" ht="90.75" customHeight="1" x14ac:dyDescent="0.25">
      <c r="A506" s="20">
        <v>344</v>
      </c>
      <c r="B506" s="20" t="s">
        <v>0</v>
      </c>
      <c r="C506" s="20">
        <v>7841</v>
      </c>
      <c r="D506" s="21">
        <v>7</v>
      </c>
      <c r="E506" s="21">
        <v>1</v>
      </c>
      <c r="F506" s="22">
        <v>9</v>
      </c>
      <c r="G506" s="22" t="s">
        <v>198</v>
      </c>
      <c r="H506" s="24">
        <f t="shared" si="82"/>
        <v>2909</v>
      </c>
      <c r="I506" s="25" t="s">
        <v>75</v>
      </c>
      <c r="J506" s="24">
        <f t="shared" si="83"/>
        <v>1818125</v>
      </c>
      <c r="K506" s="20"/>
      <c r="L506" s="20"/>
      <c r="M506" s="20"/>
      <c r="N506" s="20"/>
      <c r="O506" s="24"/>
      <c r="P506" s="24"/>
      <c r="Q506" s="25"/>
      <c r="R506" s="24"/>
      <c r="S506" s="20"/>
      <c r="T506" s="27"/>
      <c r="U506" s="20"/>
      <c r="V506" s="27">
        <f t="shared" si="84"/>
        <v>1818125</v>
      </c>
      <c r="W506" s="26">
        <f t="shared" si="80"/>
        <v>1818125</v>
      </c>
      <c r="X506" s="27">
        <v>0</v>
      </c>
      <c r="Y506" s="78">
        <f t="shared" si="81"/>
        <v>1818125</v>
      </c>
      <c r="Z506" s="49">
        <v>1E-4</v>
      </c>
    </row>
    <row r="507" spans="1:26" s="29" customFormat="1" ht="90.75" customHeight="1" x14ac:dyDescent="0.25">
      <c r="A507" s="20">
        <v>345</v>
      </c>
      <c r="B507" s="20" t="s">
        <v>0</v>
      </c>
      <c r="C507" s="20">
        <v>10625</v>
      </c>
      <c r="D507" s="21">
        <v>27</v>
      </c>
      <c r="E507" s="21">
        <v>2</v>
      </c>
      <c r="F507" s="22">
        <v>43</v>
      </c>
      <c r="G507" s="22" t="s">
        <v>198</v>
      </c>
      <c r="H507" s="24">
        <f t="shared" si="82"/>
        <v>11043</v>
      </c>
      <c r="I507" s="25" t="s">
        <v>19</v>
      </c>
      <c r="J507" s="24">
        <f t="shared" si="83"/>
        <v>4141125</v>
      </c>
      <c r="K507" s="20"/>
      <c r="L507" s="20"/>
      <c r="M507" s="20"/>
      <c r="N507" s="20"/>
      <c r="O507" s="24"/>
      <c r="P507" s="24"/>
      <c r="Q507" s="25"/>
      <c r="R507" s="24"/>
      <c r="S507" s="20"/>
      <c r="T507" s="27"/>
      <c r="U507" s="20"/>
      <c r="V507" s="27">
        <f t="shared" si="84"/>
        <v>4141125</v>
      </c>
      <c r="W507" s="26">
        <f t="shared" si="80"/>
        <v>4141125</v>
      </c>
      <c r="X507" s="27">
        <v>0</v>
      </c>
      <c r="Y507" s="78">
        <f t="shared" si="81"/>
        <v>4141125</v>
      </c>
      <c r="Z507" s="49">
        <v>1E-4</v>
      </c>
    </row>
    <row r="508" spans="1:26" s="29" customFormat="1" ht="90.75" customHeight="1" x14ac:dyDescent="0.25">
      <c r="A508" s="20">
        <v>346</v>
      </c>
      <c r="B508" s="20" t="s">
        <v>0</v>
      </c>
      <c r="C508" s="20">
        <v>9872</v>
      </c>
      <c r="D508" s="21">
        <v>15</v>
      </c>
      <c r="E508" s="21">
        <v>3</v>
      </c>
      <c r="F508" s="22">
        <v>11</v>
      </c>
      <c r="G508" s="22" t="s">
        <v>198</v>
      </c>
      <c r="H508" s="24">
        <f t="shared" si="82"/>
        <v>6311</v>
      </c>
      <c r="I508" s="25" t="s">
        <v>19</v>
      </c>
      <c r="J508" s="24">
        <f t="shared" si="83"/>
        <v>2366625</v>
      </c>
      <c r="K508" s="20"/>
      <c r="L508" s="20"/>
      <c r="M508" s="20"/>
      <c r="N508" s="20"/>
      <c r="O508" s="24"/>
      <c r="P508" s="24"/>
      <c r="Q508" s="25"/>
      <c r="R508" s="24"/>
      <c r="S508" s="20"/>
      <c r="T508" s="27"/>
      <c r="U508" s="20"/>
      <c r="V508" s="27">
        <f t="shared" si="84"/>
        <v>2366625</v>
      </c>
      <c r="W508" s="26">
        <f t="shared" si="80"/>
        <v>2366625</v>
      </c>
      <c r="X508" s="27">
        <v>0</v>
      </c>
      <c r="Y508" s="78">
        <f t="shared" si="81"/>
        <v>2366625</v>
      </c>
      <c r="Z508" s="49">
        <v>1E-4</v>
      </c>
    </row>
    <row r="509" spans="1:26" s="29" customFormat="1" ht="90.75" customHeight="1" x14ac:dyDescent="0.25">
      <c r="A509" s="20">
        <v>347</v>
      </c>
      <c r="B509" s="20" t="s">
        <v>0</v>
      </c>
      <c r="C509" s="20">
        <v>43362</v>
      </c>
      <c r="D509" s="21">
        <v>7</v>
      </c>
      <c r="E509" s="21">
        <v>1</v>
      </c>
      <c r="F509" s="22">
        <v>1</v>
      </c>
      <c r="G509" s="22" t="s">
        <v>198</v>
      </c>
      <c r="H509" s="24">
        <f t="shared" si="82"/>
        <v>2901</v>
      </c>
      <c r="I509" s="25" t="s">
        <v>75</v>
      </c>
      <c r="J509" s="24">
        <f t="shared" si="83"/>
        <v>1813125</v>
      </c>
      <c r="K509" s="20"/>
      <c r="L509" s="20"/>
      <c r="M509" s="20"/>
      <c r="N509" s="20"/>
      <c r="O509" s="24"/>
      <c r="P509" s="24"/>
      <c r="Q509" s="25"/>
      <c r="R509" s="24"/>
      <c r="S509" s="20"/>
      <c r="T509" s="27"/>
      <c r="U509" s="20"/>
      <c r="V509" s="27">
        <f t="shared" si="84"/>
        <v>1813125</v>
      </c>
      <c r="W509" s="26">
        <f t="shared" si="80"/>
        <v>1813125</v>
      </c>
      <c r="X509" s="27">
        <v>0</v>
      </c>
      <c r="Y509" s="78">
        <f t="shared" si="81"/>
        <v>1813125</v>
      </c>
      <c r="Z509" s="49">
        <v>1E-4</v>
      </c>
    </row>
    <row r="510" spans="1:26" s="29" customFormat="1" ht="90.75" customHeight="1" x14ac:dyDescent="0.25">
      <c r="A510" s="20">
        <v>348</v>
      </c>
      <c r="B510" s="20" t="s">
        <v>0</v>
      </c>
      <c r="C510" s="20">
        <v>11268</v>
      </c>
      <c r="D510" s="21">
        <v>23</v>
      </c>
      <c r="E510" s="21">
        <v>1</v>
      </c>
      <c r="F510" s="22">
        <v>14</v>
      </c>
      <c r="G510" s="22" t="s">
        <v>198</v>
      </c>
      <c r="H510" s="24">
        <f t="shared" si="82"/>
        <v>9314</v>
      </c>
      <c r="I510" s="25" t="s">
        <v>19</v>
      </c>
      <c r="J510" s="24">
        <f t="shared" si="83"/>
        <v>3492750</v>
      </c>
      <c r="K510" s="20"/>
      <c r="L510" s="20"/>
      <c r="M510" s="20"/>
      <c r="N510" s="20"/>
      <c r="O510" s="24"/>
      <c r="P510" s="24"/>
      <c r="Q510" s="25"/>
      <c r="R510" s="24"/>
      <c r="S510" s="20"/>
      <c r="T510" s="27"/>
      <c r="U510" s="20"/>
      <c r="V510" s="27">
        <f t="shared" si="84"/>
        <v>3492750</v>
      </c>
      <c r="W510" s="26">
        <f t="shared" si="80"/>
        <v>3492750</v>
      </c>
      <c r="X510" s="27">
        <v>0</v>
      </c>
      <c r="Y510" s="78">
        <f t="shared" si="81"/>
        <v>3492750</v>
      </c>
      <c r="Z510" s="49">
        <v>1E-4</v>
      </c>
    </row>
    <row r="511" spans="1:26" s="29" customFormat="1" ht="90.75" customHeight="1" x14ac:dyDescent="0.25">
      <c r="A511" s="20">
        <v>349</v>
      </c>
      <c r="B511" s="20" t="s">
        <v>0</v>
      </c>
      <c r="C511" s="20">
        <v>7163</v>
      </c>
      <c r="D511" s="21">
        <v>4</v>
      </c>
      <c r="E511" s="21">
        <v>2</v>
      </c>
      <c r="F511" s="22">
        <v>48</v>
      </c>
      <c r="G511" s="22" t="s">
        <v>198</v>
      </c>
      <c r="H511" s="24">
        <f t="shared" si="82"/>
        <v>1848</v>
      </c>
      <c r="I511" s="25" t="s">
        <v>22</v>
      </c>
      <c r="J511" s="24">
        <f t="shared" si="83"/>
        <v>970200</v>
      </c>
      <c r="K511" s="20"/>
      <c r="L511" s="20"/>
      <c r="M511" s="20"/>
      <c r="N511" s="20"/>
      <c r="O511" s="24"/>
      <c r="P511" s="24"/>
      <c r="Q511" s="25"/>
      <c r="R511" s="24"/>
      <c r="S511" s="20"/>
      <c r="T511" s="27"/>
      <c r="U511" s="20"/>
      <c r="V511" s="27">
        <f t="shared" si="84"/>
        <v>970200</v>
      </c>
      <c r="W511" s="26">
        <f t="shared" si="80"/>
        <v>970200</v>
      </c>
      <c r="X511" s="27">
        <v>0</v>
      </c>
      <c r="Y511" s="78">
        <f t="shared" si="81"/>
        <v>970200</v>
      </c>
      <c r="Z511" s="49">
        <v>1E-4</v>
      </c>
    </row>
    <row r="512" spans="1:26" s="29" customFormat="1" ht="90.75" customHeight="1" x14ac:dyDescent="0.25">
      <c r="A512" s="20">
        <v>350</v>
      </c>
      <c r="B512" s="20" t="s">
        <v>0</v>
      </c>
      <c r="C512" s="20">
        <v>7162</v>
      </c>
      <c r="D512" s="21">
        <v>4</v>
      </c>
      <c r="E512" s="21">
        <v>3</v>
      </c>
      <c r="F512" s="22">
        <v>30</v>
      </c>
      <c r="G512" s="22" t="s">
        <v>198</v>
      </c>
      <c r="H512" s="24">
        <f t="shared" si="82"/>
        <v>1930</v>
      </c>
      <c r="I512" s="25" t="s">
        <v>19</v>
      </c>
      <c r="J512" s="24">
        <f t="shared" si="83"/>
        <v>723750</v>
      </c>
      <c r="K512" s="20"/>
      <c r="L512" s="20"/>
      <c r="M512" s="20"/>
      <c r="N512" s="20"/>
      <c r="O512" s="24"/>
      <c r="P512" s="24"/>
      <c r="Q512" s="25"/>
      <c r="R512" s="24"/>
      <c r="S512" s="20"/>
      <c r="T512" s="27"/>
      <c r="U512" s="20"/>
      <c r="V512" s="27">
        <f t="shared" si="84"/>
        <v>723750</v>
      </c>
      <c r="W512" s="26">
        <f t="shared" si="80"/>
        <v>723750</v>
      </c>
      <c r="X512" s="27">
        <v>0</v>
      </c>
      <c r="Y512" s="78">
        <f t="shared" si="81"/>
        <v>723750</v>
      </c>
      <c r="Z512" s="49">
        <v>1E-4</v>
      </c>
    </row>
    <row r="513" spans="1:26" s="29" customFormat="1" ht="90.75" customHeight="1" x14ac:dyDescent="0.25">
      <c r="A513" s="20">
        <v>351</v>
      </c>
      <c r="B513" s="20" t="s">
        <v>0</v>
      </c>
      <c r="C513" s="20">
        <v>7161</v>
      </c>
      <c r="D513" s="21">
        <v>4</v>
      </c>
      <c r="E513" s="21">
        <v>3</v>
      </c>
      <c r="F513" s="22">
        <v>35</v>
      </c>
      <c r="G513" s="22" t="s">
        <v>198</v>
      </c>
      <c r="H513" s="24">
        <f t="shared" si="82"/>
        <v>1935</v>
      </c>
      <c r="I513" s="25" t="s">
        <v>19</v>
      </c>
      <c r="J513" s="24">
        <f t="shared" si="83"/>
        <v>725625</v>
      </c>
      <c r="K513" s="20"/>
      <c r="L513" s="20"/>
      <c r="M513" s="20"/>
      <c r="N513" s="20"/>
      <c r="O513" s="24"/>
      <c r="P513" s="24"/>
      <c r="Q513" s="25"/>
      <c r="R513" s="24"/>
      <c r="S513" s="20"/>
      <c r="T513" s="27"/>
      <c r="U513" s="20"/>
      <c r="V513" s="27">
        <f t="shared" si="84"/>
        <v>725625</v>
      </c>
      <c r="W513" s="26">
        <f t="shared" si="80"/>
        <v>725625</v>
      </c>
      <c r="X513" s="27">
        <v>0</v>
      </c>
      <c r="Y513" s="78">
        <f t="shared" si="81"/>
        <v>725625</v>
      </c>
      <c r="Z513" s="49">
        <v>1E-4</v>
      </c>
    </row>
    <row r="514" spans="1:26" s="29" customFormat="1" ht="90.75" customHeight="1" x14ac:dyDescent="0.25">
      <c r="A514" s="20">
        <v>352</v>
      </c>
      <c r="B514" s="20" t="s">
        <v>0</v>
      </c>
      <c r="C514" s="20">
        <v>12599</v>
      </c>
      <c r="D514" s="21">
        <v>4</v>
      </c>
      <c r="E514" s="21">
        <v>0</v>
      </c>
      <c r="F514" s="22">
        <v>21</v>
      </c>
      <c r="G514" s="22" t="s">
        <v>198</v>
      </c>
      <c r="H514" s="24">
        <f t="shared" si="82"/>
        <v>1621</v>
      </c>
      <c r="I514" s="25" t="s">
        <v>65</v>
      </c>
      <c r="J514" s="24">
        <f t="shared" si="83"/>
        <v>1175225</v>
      </c>
      <c r="K514" s="20"/>
      <c r="L514" s="20"/>
      <c r="M514" s="20"/>
      <c r="N514" s="20"/>
      <c r="O514" s="24"/>
      <c r="P514" s="24"/>
      <c r="Q514" s="25"/>
      <c r="R514" s="24"/>
      <c r="S514" s="20"/>
      <c r="T514" s="27"/>
      <c r="U514" s="20"/>
      <c r="V514" s="27">
        <f t="shared" si="84"/>
        <v>1175225</v>
      </c>
      <c r="W514" s="26">
        <f t="shared" ref="W514:W577" si="85">(V514*100/100)</f>
        <v>1175225</v>
      </c>
      <c r="X514" s="27">
        <v>0</v>
      </c>
      <c r="Y514" s="78">
        <f t="shared" ref="Y514:Y577" si="86">(W514-X514)</f>
        <v>1175225</v>
      </c>
      <c r="Z514" s="49">
        <v>1E-4</v>
      </c>
    </row>
    <row r="515" spans="1:26" s="29" customFormat="1" ht="90.75" customHeight="1" x14ac:dyDescent="0.25">
      <c r="A515" s="20">
        <v>353</v>
      </c>
      <c r="B515" s="20" t="s">
        <v>0</v>
      </c>
      <c r="C515" s="20">
        <v>43361</v>
      </c>
      <c r="D515" s="21">
        <v>17</v>
      </c>
      <c r="E515" s="21">
        <v>1</v>
      </c>
      <c r="F515" s="22">
        <v>90</v>
      </c>
      <c r="G515" s="22" t="s">
        <v>198</v>
      </c>
      <c r="H515" s="24">
        <f t="shared" ref="H515:H578" si="87">(D515*400)+(E515*100)+F515</f>
        <v>6990</v>
      </c>
      <c r="I515" s="25" t="s">
        <v>37</v>
      </c>
      <c r="J515" s="24">
        <f t="shared" ref="J515:J578" si="88">(H515*I515)</f>
        <v>2970750</v>
      </c>
      <c r="K515" s="20"/>
      <c r="L515" s="20"/>
      <c r="M515" s="20"/>
      <c r="N515" s="20"/>
      <c r="O515" s="24"/>
      <c r="P515" s="24"/>
      <c r="Q515" s="25"/>
      <c r="R515" s="24"/>
      <c r="S515" s="20"/>
      <c r="T515" s="27"/>
      <c r="U515" s="20"/>
      <c r="V515" s="27">
        <f t="shared" ref="V515:V578" si="89">(J515+U515)</f>
        <v>2970750</v>
      </c>
      <c r="W515" s="26">
        <f t="shared" si="85"/>
        <v>2970750</v>
      </c>
      <c r="X515" s="27">
        <v>0</v>
      </c>
      <c r="Y515" s="78">
        <f t="shared" si="86"/>
        <v>2970750</v>
      </c>
      <c r="Z515" s="49">
        <v>1E-4</v>
      </c>
    </row>
    <row r="516" spans="1:26" s="29" customFormat="1" ht="90.75" customHeight="1" x14ac:dyDescent="0.25">
      <c r="A516" s="20">
        <v>354</v>
      </c>
      <c r="B516" s="20" t="s">
        <v>0</v>
      </c>
      <c r="C516" s="20">
        <v>7164</v>
      </c>
      <c r="D516" s="21">
        <v>0</v>
      </c>
      <c r="E516" s="21">
        <v>2</v>
      </c>
      <c r="F516" s="22">
        <v>33</v>
      </c>
      <c r="G516" s="22" t="s">
        <v>198</v>
      </c>
      <c r="H516" s="24">
        <f t="shared" si="87"/>
        <v>233</v>
      </c>
      <c r="I516" s="25" t="s">
        <v>75</v>
      </c>
      <c r="J516" s="24">
        <f t="shared" si="88"/>
        <v>145625</v>
      </c>
      <c r="K516" s="20"/>
      <c r="L516" s="20"/>
      <c r="M516" s="20"/>
      <c r="N516" s="20"/>
      <c r="O516" s="24"/>
      <c r="P516" s="24"/>
      <c r="Q516" s="25"/>
      <c r="R516" s="24"/>
      <c r="S516" s="20"/>
      <c r="T516" s="27"/>
      <c r="U516" s="20"/>
      <c r="V516" s="27">
        <f t="shared" si="89"/>
        <v>145625</v>
      </c>
      <c r="W516" s="26">
        <f t="shared" si="85"/>
        <v>145625</v>
      </c>
      <c r="X516" s="27">
        <v>0</v>
      </c>
      <c r="Y516" s="78">
        <f t="shared" si="86"/>
        <v>145625</v>
      </c>
      <c r="Z516" s="49">
        <v>1E-4</v>
      </c>
    </row>
    <row r="517" spans="1:26" s="29" customFormat="1" ht="90.75" customHeight="1" x14ac:dyDescent="0.25">
      <c r="A517" s="20">
        <v>355</v>
      </c>
      <c r="B517" s="20" t="s">
        <v>0</v>
      </c>
      <c r="C517" s="20">
        <v>7165</v>
      </c>
      <c r="D517" s="21">
        <v>0</v>
      </c>
      <c r="E517" s="21">
        <v>1</v>
      </c>
      <c r="F517" s="22">
        <v>97</v>
      </c>
      <c r="G517" s="22" t="s">
        <v>198</v>
      </c>
      <c r="H517" s="24">
        <f t="shared" si="87"/>
        <v>197</v>
      </c>
      <c r="I517" s="25">
        <v>625</v>
      </c>
      <c r="J517" s="24">
        <f t="shared" si="88"/>
        <v>123125</v>
      </c>
      <c r="K517" s="20"/>
      <c r="L517" s="20"/>
      <c r="M517" s="20"/>
      <c r="N517" s="20"/>
      <c r="O517" s="24"/>
      <c r="P517" s="24"/>
      <c r="Q517" s="25"/>
      <c r="R517" s="24"/>
      <c r="S517" s="20"/>
      <c r="T517" s="27"/>
      <c r="U517" s="20"/>
      <c r="V517" s="27">
        <f t="shared" si="89"/>
        <v>123125</v>
      </c>
      <c r="W517" s="26">
        <f t="shared" si="85"/>
        <v>123125</v>
      </c>
      <c r="X517" s="27">
        <v>0</v>
      </c>
      <c r="Y517" s="78">
        <f t="shared" si="86"/>
        <v>123125</v>
      </c>
      <c r="Z517" s="49">
        <v>1E-4</v>
      </c>
    </row>
    <row r="518" spans="1:26" s="29" customFormat="1" ht="90.75" customHeight="1" x14ac:dyDescent="0.25">
      <c r="A518" s="20">
        <v>356</v>
      </c>
      <c r="B518" s="20" t="s">
        <v>0</v>
      </c>
      <c r="C518" s="20">
        <v>7165</v>
      </c>
      <c r="D518" s="21">
        <v>0</v>
      </c>
      <c r="E518" s="21">
        <v>1</v>
      </c>
      <c r="F518" s="22">
        <v>97</v>
      </c>
      <c r="G518" s="22" t="s">
        <v>198</v>
      </c>
      <c r="H518" s="24">
        <f t="shared" si="87"/>
        <v>197</v>
      </c>
      <c r="I518" s="25">
        <v>625</v>
      </c>
      <c r="J518" s="24">
        <f t="shared" si="88"/>
        <v>123125</v>
      </c>
      <c r="K518" s="20"/>
      <c r="L518" s="20"/>
      <c r="M518" s="20"/>
      <c r="N518" s="20"/>
      <c r="O518" s="24"/>
      <c r="P518" s="24"/>
      <c r="Q518" s="25"/>
      <c r="R518" s="24"/>
      <c r="S518" s="20"/>
      <c r="T518" s="27"/>
      <c r="U518" s="20"/>
      <c r="V518" s="27">
        <f t="shared" si="89"/>
        <v>123125</v>
      </c>
      <c r="W518" s="26">
        <f t="shared" si="85"/>
        <v>123125</v>
      </c>
      <c r="X518" s="27">
        <v>0</v>
      </c>
      <c r="Y518" s="78">
        <f t="shared" si="86"/>
        <v>123125</v>
      </c>
      <c r="Z518" s="49">
        <v>1E-4</v>
      </c>
    </row>
    <row r="519" spans="1:26" s="29" customFormat="1" ht="90.75" customHeight="1" x14ac:dyDescent="0.25">
      <c r="A519" s="20">
        <v>357</v>
      </c>
      <c r="B519" s="20" t="s">
        <v>0</v>
      </c>
      <c r="C519" s="20">
        <v>7235</v>
      </c>
      <c r="D519" s="21">
        <v>2</v>
      </c>
      <c r="E519" s="21">
        <v>2</v>
      </c>
      <c r="F519" s="22">
        <v>95</v>
      </c>
      <c r="G519" s="22" t="s">
        <v>198</v>
      </c>
      <c r="H519" s="24">
        <f t="shared" si="87"/>
        <v>1095</v>
      </c>
      <c r="I519" s="25" t="s">
        <v>22</v>
      </c>
      <c r="J519" s="24">
        <f t="shared" si="88"/>
        <v>574875</v>
      </c>
      <c r="K519" s="20"/>
      <c r="L519" s="20"/>
      <c r="M519" s="20"/>
      <c r="N519" s="20"/>
      <c r="O519" s="24"/>
      <c r="P519" s="24"/>
      <c r="Q519" s="25"/>
      <c r="R519" s="24"/>
      <c r="S519" s="20"/>
      <c r="T519" s="27"/>
      <c r="U519" s="20"/>
      <c r="V519" s="27">
        <f t="shared" si="89"/>
        <v>574875</v>
      </c>
      <c r="W519" s="26">
        <f t="shared" si="85"/>
        <v>574875</v>
      </c>
      <c r="X519" s="27">
        <v>0</v>
      </c>
      <c r="Y519" s="78">
        <f t="shared" si="86"/>
        <v>574875</v>
      </c>
      <c r="Z519" s="49">
        <v>1E-4</v>
      </c>
    </row>
    <row r="520" spans="1:26" s="29" customFormat="1" ht="90.75" customHeight="1" x14ac:dyDescent="0.25">
      <c r="A520" s="20">
        <v>358</v>
      </c>
      <c r="B520" s="20" t="s">
        <v>0</v>
      </c>
      <c r="C520" s="20">
        <v>10621</v>
      </c>
      <c r="D520" s="21">
        <v>13</v>
      </c>
      <c r="E520" s="21">
        <v>3</v>
      </c>
      <c r="F520" s="22">
        <v>58</v>
      </c>
      <c r="G520" s="22" t="s">
        <v>198</v>
      </c>
      <c r="H520" s="24">
        <f t="shared" si="87"/>
        <v>5558</v>
      </c>
      <c r="I520" s="25" t="s">
        <v>32</v>
      </c>
      <c r="J520" s="24">
        <f t="shared" si="88"/>
        <v>1111600</v>
      </c>
      <c r="K520" s="20"/>
      <c r="L520" s="20"/>
      <c r="M520" s="20"/>
      <c r="N520" s="20"/>
      <c r="O520" s="24"/>
      <c r="P520" s="24"/>
      <c r="Q520" s="25"/>
      <c r="R520" s="24"/>
      <c r="S520" s="20"/>
      <c r="T520" s="27"/>
      <c r="U520" s="20"/>
      <c r="V520" s="27">
        <f t="shared" si="89"/>
        <v>1111600</v>
      </c>
      <c r="W520" s="26">
        <f t="shared" si="85"/>
        <v>1111600</v>
      </c>
      <c r="X520" s="27">
        <v>0</v>
      </c>
      <c r="Y520" s="78">
        <f t="shared" si="86"/>
        <v>1111600</v>
      </c>
      <c r="Z520" s="49">
        <v>1E-4</v>
      </c>
    </row>
    <row r="521" spans="1:26" s="29" customFormat="1" ht="90.75" customHeight="1" x14ac:dyDescent="0.25">
      <c r="A521" s="20">
        <v>359</v>
      </c>
      <c r="B521" s="20" t="s">
        <v>0</v>
      </c>
      <c r="C521" s="20">
        <v>44394</v>
      </c>
      <c r="D521" s="21">
        <v>7</v>
      </c>
      <c r="E521" s="21">
        <v>3</v>
      </c>
      <c r="F521" s="22">
        <v>60</v>
      </c>
      <c r="G521" s="22" t="s">
        <v>198</v>
      </c>
      <c r="H521" s="24">
        <f t="shared" si="87"/>
        <v>3160</v>
      </c>
      <c r="I521" s="25" t="s">
        <v>37</v>
      </c>
      <c r="J521" s="24">
        <f t="shared" si="88"/>
        <v>1343000</v>
      </c>
      <c r="K521" s="20"/>
      <c r="L521" s="20"/>
      <c r="M521" s="20"/>
      <c r="N521" s="20"/>
      <c r="O521" s="24"/>
      <c r="P521" s="24"/>
      <c r="Q521" s="25"/>
      <c r="R521" s="24"/>
      <c r="S521" s="20"/>
      <c r="T521" s="27"/>
      <c r="U521" s="20"/>
      <c r="V521" s="27">
        <f t="shared" si="89"/>
        <v>1343000</v>
      </c>
      <c r="W521" s="26">
        <f t="shared" si="85"/>
        <v>1343000</v>
      </c>
      <c r="X521" s="27">
        <v>0</v>
      </c>
      <c r="Y521" s="78">
        <f t="shared" si="86"/>
        <v>1343000</v>
      </c>
      <c r="Z521" s="49">
        <v>1E-4</v>
      </c>
    </row>
    <row r="522" spans="1:26" s="29" customFormat="1" ht="90.75" customHeight="1" x14ac:dyDescent="0.25">
      <c r="A522" s="20">
        <v>360</v>
      </c>
      <c r="B522" s="20" t="s">
        <v>0</v>
      </c>
      <c r="C522" s="20">
        <v>12596</v>
      </c>
      <c r="D522" s="21">
        <v>16</v>
      </c>
      <c r="E522" s="21">
        <v>1</v>
      </c>
      <c r="F522" s="22">
        <v>37</v>
      </c>
      <c r="G522" s="22" t="s">
        <v>198</v>
      </c>
      <c r="H522" s="24">
        <f t="shared" si="87"/>
        <v>6537</v>
      </c>
      <c r="I522" s="25" t="s">
        <v>62</v>
      </c>
      <c r="J522" s="24">
        <f t="shared" si="88"/>
        <v>3268500</v>
      </c>
      <c r="K522" s="20"/>
      <c r="L522" s="20"/>
      <c r="M522" s="20"/>
      <c r="N522" s="20"/>
      <c r="O522" s="24"/>
      <c r="P522" s="24"/>
      <c r="Q522" s="25"/>
      <c r="R522" s="24"/>
      <c r="S522" s="20"/>
      <c r="T522" s="27"/>
      <c r="U522" s="20"/>
      <c r="V522" s="27">
        <f t="shared" si="89"/>
        <v>3268500</v>
      </c>
      <c r="W522" s="26">
        <f t="shared" si="85"/>
        <v>3268500</v>
      </c>
      <c r="X522" s="27">
        <v>0</v>
      </c>
      <c r="Y522" s="78">
        <f t="shared" si="86"/>
        <v>3268500</v>
      </c>
      <c r="Z522" s="49">
        <v>1E-4</v>
      </c>
    </row>
    <row r="523" spans="1:26" s="29" customFormat="1" ht="90.75" customHeight="1" x14ac:dyDescent="0.25">
      <c r="A523" s="20">
        <v>361</v>
      </c>
      <c r="B523" s="20" t="s">
        <v>0</v>
      </c>
      <c r="C523" s="20">
        <v>32643</v>
      </c>
      <c r="D523" s="21">
        <v>14</v>
      </c>
      <c r="E523" s="21">
        <v>0</v>
      </c>
      <c r="F523" s="22">
        <v>36</v>
      </c>
      <c r="G523" s="22" t="s">
        <v>198</v>
      </c>
      <c r="H523" s="24">
        <f t="shared" si="87"/>
        <v>5636</v>
      </c>
      <c r="I523" s="25" t="s">
        <v>7</v>
      </c>
      <c r="J523" s="24">
        <f t="shared" si="88"/>
        <v>1972600</v>
      </c>
      <c r="K523" s="20"/>
      <c r="L523" s="20"/>
      <c r="M523" s="20"/>
      <c r="N523" s="20"/>
      <c r="O523" s="24"/>
      <c r="P523" s="24"/>
      <c r="Q523" s="25"/>
      <c r="R523" s="24"/>
      <c r="S523" s="20"/>
      <c r="T523" s="27"/>
      <c r="U523" s="20"/>
      <c r="V523" s="27">
        <f t="shared" si="89"/>
        <v>1972600</v>
      </c>
      <c r="W523" s="26">
        <f t="shared" si="85"/>
        <v>1972600</v>
      </c>
      <c r="X523" s="27">
        <v>0</v>
      </c>
      <c r="Y523" s="78">
        <f t="shared" si="86"/>
        <v>1972600</v>
      </c>
      <c r="Z523" s="49">
        <v>1E-4</v>
      </c>
    </row>
    <row r="524" spans="1:26" s="29" customFormat="1" ht="90.75" customHeight="1" x14ac:dyDescent="0.25">
      <c r="A524" s="20">
        <v>362</v>
      </c>
      <c r="B524" s="20" t="s">
        <v>0</v>
      </c>
      <c r="C524" s="20">
        <v>12601</v>
      </c>
      <c r="D524" s="21">
        <v>13</v>
      </c>
      <c r="E524" s="21">
        <v>3</v>
      </c>
      <c r="F524" s="22">
        <v>1</v>
      </c>
      <c r="G524" s="22" t="s">
        <v>198</v>
      </c>
      <c r="H524" s="24">
        <f t="shared" si="87"/>
        <v>5501</v>
      </c>
      <c r="I524" s="25" t="s">
        <v>19</v>
      </c>
      <c r="J524" s="24">
        <f t="shared" si="88"/>
        <v>2062875</v>
      </c>
      <c r="K524" s="20"/>
      <c r="L524" s="20"/>
      <c r="M524" s="20"/>
      <c r="N524" s="20"/>
      <c r="O524" s="24"/>
      <c r="P524" s="24"/>
      <c r="Q524" s="25"/>
      <c r="R524" s="24"/>
      <c r="S524" s="20"/>
      <c r="T524" s="27"/>
      <c r="U524" s="20"/>
      <c r="V524" s="27">
        <f t="shared" si="89"/>
        <v>2062875</v>
      </c>
      <c r="W524" s="26">
        <f t="shared" si="85"/>
        <v>2062875</v>
      </c>
      <c r="X524" s="27">
        <v>0</v>
      </c>
      <c r="Y524" s="78">
        <f t="shared" si="86"/>
        <v>2062875</v>
      </c>
      <c r="Z524" s="49">
        <v>1E-4</v>
      </c>
    </row>
    <row r="525" spans="1:26" s="29" customFormat="1" ht="90.75" customHeight="1" x14ac:dyDescent="0.25">
      <c r="A525" s="20">
        <v>363</v>
      </c>
      <c r="B525" s="20" t="s">
        <v>0</v>
      </c>
      <c r="C525" s="20">
        <v>9845</v>
      </c>
      <c r="D525" s="21">
        <v>1</v>
      </c>
      <c r="E525" s="21">
        <v>0</v>
      </c>
      <c r="F525" s="22">
        <v>53</v>
      </c>
      <c r="G525" s="22" t="s">
        <v>198</v>
      </c>
      <c r="H525" s="24">
        <f t="shared" si="87"/>
        <v>453</v>
      </c>
      <c r="I525" s="25" t="s">
        <v>78</v>
      </c>
      <c r="J525" s="24">
        <f t="shared" si="88"/>
        <v>396375</v>
      </c>
      <c r="K525" s="20"/>
      <c r="L525" s="20"/>
      <c r="M525" s="20"/>
      <c r="N525" s="20"/>
      <c r="O525" s="24"/>
      <c r="P525" s="24"/>
      <c r="Q525" s="25"/>
      <c r="R525" s="24"/>
      <c r="S525" s="20"/>
      <c r="T525" s="27"/>
      <c r="U525" s="20"/>
      <c r="V525" s="27">
        <f t="shared" si="89"/>
        <v>396375</v>
      </c>
      <c r="W525" s="26">
        <f t="shared" si="85"/>
        <v>396375</v>
      </c>
      <c r="X525" s="27">
        <v>0</v>
      </c>
      <c r="Y525" s="78">
        <f t="shared" si="86"/>
        <v>396375</v>
      </c>
      <c r="Z525" s="49">
        <v>1E-4</v>
      </c>
    </row>
    <row r="526" spans="1:26" s="29" customFormat="1" ht="90.75" customHeight="1" x14ac:dyDescent="0.25">
      <c r="A526" s="20">
        <v>364</v>
      </c>
      <c r="B526" s="20" t="s">
        <v>0</v>
      </c>
      <c r="C526" s="20">
        <v>32644</v>
      </c>
      <c r="D526" s="21">
        <v>2</v>
      </c>
      <c r="E526" s="21">
        <v>3</v>
      </c>
      <c r="F526" s="22">
        <v>80</v>
      </c>
      <c r="G526" s="22" t="s">
        <v>198</v>
      </c>
      <c r="H526" s="24">
        <f t="shared" si="87"/>
        <v>1180</v>
      </c>
      <c r="I526" s="25" t="s">
        <v>11</v>
      </c>
      <c r="J526" s="24">
        <f t="shared" si="88"/>
        <v>324500</v>
      </c>
      <c r="K526" s="20"/>
      <c r="L526" s="20"/>
      <c r="M526" s="20"/>
      <c r="N526" s="20"/>
      <c r="O526" s="24"/>
      <c r="P526" s="24"/>
      <c r="Q526" s="25"/>
      <c r="R526" s="24"/>
      <c r="S526" s="20"/>
      <c r="T526" s="27"/>
      <c r="U526" s="20"/>
      <c r="V526" s="27">
        <f t="shared" si="89"/>
        <v>324500</v>
      </c>
      <c r="W526" s="26">
        <f t="shared" si="85"/>
        <v>324500</v>
      </c>
      <c r="X526" s="27">
        <v>0</v>
      </c>
      <c r="Y526" s="78">
        <f t="shared" si="86"/>
        <v>324500</v>
      </c>
      <c r="Z526" s="49">
        <v>1E-4</v>
      </c>
    </row>
    <row r="527" spans="1:26" s="29" customFormat="1" ht="90.75" customHeight="1" x14ac:dyDescent="0.25">
      <c r="A527" s="20">
        <v>365</v>
      </c>
      <c r="B527" s="20" t="s">
        <v>0</v>
      </c>
      <c r="C527" s="20">
        <v>32649</v>
      </c>
      <c r="D527" s="21">
        <v>0</v>
      </c>
      <c r="E527" s="21">
        <v>2</v>
      </c>
      <c r="F527" s="22">
        <v>48</v>
      </c>
      <c r="G527" s="22" t="s">
        <v>198</v>
      </c>
      <c r="H527" s="24">
        <f t="shared" si="87"/>
        <v>248</v>
      </c>
      <c r="I527" s="25">
        <v>525</v>
      </c>
      <c r="J527" s="24">
        <f t="shared" si="88"/>
        <v>130200</v>
      </c>
      <c r="K527" s="20"/>
      <c r="L527" s="20"/>
      <c r="M527" s="20"/>
      <c r="N527" s="20"/>
      <c r="O527" s="24"/>
      <c r="P527" s="24"/>
      <c r="Q527" s="25"/>
      <c r="R527" s="24"/>
      <c r="S527" s="20"/>
      <c r="T527" s="27"/>
      <c r="U527" s="20"/>
      <c r="V527" s="27">
        <f t="shared" si="89"/>
        <v>130200</v>
      </c>
      <c r="W527" s="26">
        <f t="shared" si="85"/>
        <v>130200</v>
      </c>
      <c r="X527" s="27">
        <v>0</v>
      </c>
      <c r="Y527" s="78">
        <f t="shared" si="86"/>
        <v>130200</v>
      </c>
      <c r="Z527" s="49">
        <v>1E-4</v>
      </c>
    </row>
    <row r="528" spans="1:26" s="29" customFormat="1" ht="90.75" customHeight="1" x14ac:dyDescent="0.25">
      <c r="A528" s="20">
        <v>366</v>
      </c>
      <c r="B528" s="20" t="s">
        <v>0</v>
      </c>
      <c r="C528" s="20">
        <v>32652</v>
      </c>
      <c r="D528" s="21">
        <v>1</v>
      </c>
      <c r="E528" s="21">
        <v>0</v>
      </c>
      <c r="F528" s="22">
        <v>50</v>
      </c>
      <c r="G528" s="22" t="s">
        <v>198</v>
      </c>
      <c r="H528" s="24">
        <f t="shared" si="87"/>
        <v>450</v>
      </c>
      <c r="I528" s="25" t="s">
        <v>75</v>
      </c>
      <c r="J528" s="24">
        <f t="shared" si="88"/>
        <v>281250</v>
      </c>
      <c r="K528" s="20"/>
      <c r="L528" s="20"/>
      <c r="M528" s="20"/>
      <c r="N528" s="20"/>
      <c r="O528" s="24"/>
      <c r="P528" s="24"/>
      <c r="Q528" s="25"/>
      <c r="R528" s="24"/>
      <c r="S528" s="20"/>
      <c r="T528" s="27"/>
      <c r="U528" s="20"/>
      <c r="V528" s="27">
        <f t="shared" si="89"/>
        <v>281250</v>
      </c>
      <c r="W528" s="26">
        <f t="shared" si="85"/>
        <v>281250</v>
      </c>
      <c r="X528" s="27">
        <v>0</v>
      </c>
      <c r="Y528" s="78">
        <f t="shared" si="86"/>
        <v>281250</v>
      </c>
      <c r="Z528" s="49">
        <v>1E-4</v>
      </c>
    </row>
    <row r="529" spans="1:26" s="29" customFormat="1" ht="90.75" customHeight="1" x14ac:dyDescent="0.25">
      <c r="A529" s="20">
        <v>367</v>
      </c>
      <c r="B529" s="20" t="s">
        <v>0</v>
      </c>
      <c r="C529" s="20">
        <v>7874</v>
      </c>
      <c r="D529" s="21">
        <v>1</v>
      </c>
      <c r="E529" s="21">
        <v>2</v>
      </c>
      <c r="F529" s="22">
        <v>99</v>
      </c>
      <c r="G529" s="22" t="s">
        <v>198</v>
      </c>
      <c r="H529" s="24">
        <f t="shared" si="87"/>
        <v>699</v>
      </c>
      <c r="I529" s="25" t="s">
        <v>32</v>
      </c>
      <c r="J529" s="24">
        <f t="shared" si="88"/>
        <v>139800</v>
      </c>
      <c r="K529" s="20"/>
      <c r="L529" s="20"/>
      <c r="M529" s="20"/>
      <c r="N529" s="20"/>
      <c r="O529" s="24"/>
      <c r="P529" s="24"/>
      <c r="Q529" s="25"/>
      <c r="R529" s="24"/>
      <c r="S529" s="20"/>
      <c r="T529" s="27"/>
      <c r="U529" s="20"/>
      <c r="V529" s="27">
        <f t="shared" si="89"/>
        <v>139800</v>
      </c>
      <c r="W529" s="26">
        <f t="shared" si="85"/>
        <v>139800</v>
      </c>
      <c r="X529" s="27">
        <v>0</v>
      </c>
      <c r="Y529" s="78">
        <f t="shared" si="86"/>
        <v>139800</v>
      </c>
      <c r="Z529" s="49">
        <v>1E-4</v>
      </c>
    </row>
    <row r="530" spans="1:26" s="29" customFormat="1" ht="90.75" customHeight="1" x14ac:dyDescent="0.25">
      <c r="A530" s="20">
        <v>368</v>
      </c>
      <c r="B530" s="20" t="s">
        <v>0</v>
      </c>
      <c r="C530" s="20">
        <v>7852</v>
      </c>
      <c r="D530" s="21">
        <v>2</v>
      </c>
      <c r="E530" s="21">
        <v>0</v>
      </c>
      <c r="F530" s="22">
        <v>49</v>
      </c>
      <c r="G530" s="22" t="s">
        <v>198</v>
      </c>
      <c r="H530" s="24">
        <f t="shared" si="87"/>
        <v>849</v>
      </c>
      <c r="I530" s="25" t="s">
        <v>80</v>
      </c>
      <c r="J530" s="24">
        <f t="shared" si="88"/>
        <v>488175</v>
      </c>
      <c r="K530" s="20"/>
      <c r="L530" s="20"/>
      <c r="M530" s="20"/>
      <c r="N530" s="20"/>
      <c r="O530" s="24"/>
      <c r="P530" s="24"/>
      <c r="Q530" s="25"/>
      <c r="R530" s="24"/>
      <c r="S530" s="20"/>
      <c r="T530" s="27"/>
      <c r="U530" s="20"/>
      <c r="V530" s="27">
        <f t="shared" si="89"/>
        <v>488175</v>
      </c>
      <c r="W530" s="26">
        <f t="shared" si="85"/>
        <v>488175</v>
      </c>
      <c r="X530" s="27">
        <v>0</v>
      </c>
      <c r="Y530" s="78">
        <f t="shared" si="86"/>
        <v>488175</v>
      </c>
      <c r="Z530" s="49">
        <v>1E-4</v>
      </c>
    </row>
    <row r="531" spans="1:26" s="29" customFormat="1" ht="90.75" customHeight="1" x14ac:dyDescent="0.25">
      <c r="A531" s="20">
        <v>369</v>
      </c>
      <c r="B531" s="20" t="s">
        <v>0</v>
      </c>
      <c r="C531" s="20">
        <v>7854</v>
      </c>
      <c r="D531" s="21">
        <v>3</v>
      </c>
      <c r="E531" s="21">
        <v>0</v>
      </c>
      <c r="F531" s="22">
        <v>96</v>
      </c>
      <c r="G531" s="22" t="s">
        <v>198</v>
      </c>
      <c r="H531" s="24">
        <f t="shared" si="87"/>
        <v>1296</v>
      </c>
      <c r="I531" s="25" t="s">
        <v>80</v>
      </c>
      <c r="J531" s="24">
        <f t="shared" si="88"/>
        <v>745200</v>
      </c>
      <c r="K531" s="20"/>
      <c r="L531" s="20"/>
      <c r="M531" s="20"/>
      <c r="N531" s="20"/>
      <c r="O531" s="24"/>
      <c r="P531" s="24"/>
      <c r="Q531" s="25"/>
      <c r="R531" s="24"/>
      <c r="S531" s="20"/>
      <c r="T531" s="27"/>
      <c r="U531" s="20"/>
      <c r="V531" s="27">
        <f t="shared" si="89"/>
        <v>745200</v>
      </c>
      <c r="W531" s="26">
        <f t="shared" si="85"/>
        <v>745200</v>
      </c>
      <c r="X531" s="27">
        <v>0</v>
      </c>
      <c r="Y531" s="78">
        <f t="shared" si="86"/>
        <v>745200</v>
      </c>
      <c r="Z531" s="49">
        <v>1E-4</v>
      </c>
    </row>
    <row r="532" spans="1:26" s="29" customFormat="1" ht="90.75" customHeight="1" x14ac:dyDescent="0.25">
      <c r="A532" s="20">
        <v>370</v>
      </c>
      <c r="B532" s="20" t="s">
        <v>0</v>
      </c>
      <c r="C532" s="20">
        <v>11266</v>
      </c>
      <c r="D532" s="21">
        <v>12</v>
      </c>
      <c r="E532" s="21">
        <v>0</v>
      </c>
      <c r="F532" s="22">
        <v>4</v>
      </c>
      <c r="G532" s="22" t="s">
        <v>198</v>
      </c>
      <c r="H532" s="24">
        <f t="shared" si="87"/>
        <v>4804</v>
      </c>
      <c r="I532" s="25" t="s">
        <v>7</v>
      </c>
      <c r="J532" s="24">
        <f t="shared" si="88"/>
        <v>1681400</v>
      </c>
      <c r="K532" s="20"/>
      <c r="L532" s="20"/>
      <c r="M532" s="20"/>
      <c r="N532" s="20"/>
      <c r="O532" s="24"/>
      <c r="P532" s="24"/>
      <c r="Q532" s="25"/>
      <c r="R532" s="24"/>
      <c r="S532" s="20"/>
      <c r="T532" s="27"/>
      <c r="U532" s="20"/>
      <c r="V532" s="27">
        <f t="shared" si="89"/>
        <v>1681400</v>
      </c>
      <c r="W532" s="26">
        <f t="shared" si="85"/>
        <v>1681400</v>
      </c>
      <c r="X532" s="27">
        <v>0</v>
      </c>
      <c r="Y532" s="78">
        <f t="shared" si="86"/>
        <v>1681400</v>
      </c>
      <c r="Z532" s="49">
        <v>1E-4</v>
      </c>
    </row>
    <row r="533" spans="1:26" s="29" customFormat="1" ht="90.75" customHeight="1" x14ac:dyDescent="0.25">
      <c r="A533" s="20">
        <v>371</v>
      </c>
      <c r="B533" s="20" t="s">
        <v>0</v>
      </c>
      <c r="C533" s="20">
        <v>10659</v>
      </c>
      <c r="D533" s="21">
        <v>27</v>
      </c>
      <c r="E533" s="21">
        <v>1</v>
      </c>
      <c r="F533" s="22">
        <v>97</v>
      </c>
      <c r="G533" s="22" t="s">
        <v>198</v>
      </c>
      <c r="H533" s="24">
        <f t="shared" si="87"/>
        <v>10997</v>
      </c>
      <c r="I533" s="25" t="s">
        <v>7</v>
      </c>
      <c r="J533" s="24">
        <f t="shared" si="88"/>
        <v>3848950</v>
      </c>
      <c r="K533" s="20"/>
      <c r="L533" s="20"/>
      <c r="M533" s="20"/>
      <c r="N533" s="20"/>
      <c r="O533" s="24"/>
      <c r="P533" s="24"/>
      <c r="Q533" s="25"/>
      <c r="R533" s="24"/>
      <c r="S533" s="20"/>
      <c r="T533" s="27"/>
      <c r="U533" s="20"/>
      <c r="V533" s="27">
        <f t="shared" si="89"/>
        <v>3848950</v>
      </c>
      <c r="W533" s="26">
        <f t="shared" si="85"/>
        <v>3848950</v>
      </c>
      <c r="X533" s="27">
        <v>0</v>
      </c>
      <c r="Y533" s="78">
        <f t="shared" si="86"/>
        <v>3848950</v>
      </c>
      <c r="Z533" s="49">
        <v>1E-4</v>
      </c>
    </row>
    <row r="534" spans="1:26" s="29" customFormat="1" ht="90.75" customHeight="1" x14ac:dyDescent="0.25">
      <c r="A534" s="20">
        <v>372</v>
      </c>
      <c r="B534" s="20" t="s">
        <v>0</v>
      </c>
      <c r="C534" s="20">
        <v>9873</v>
      </c>
      <c r="D534" s="21">
        <v>22</v>
      </c>
      <c r="E534" s="21">
        <v>2</v>
      </c>
      <c r="F534" s="22">
        <v>53</v>
      </c>
      <c r="G534" s="22" t="s">
        <v>198</v>
      </c>
      <c r="H534" s="24">
        <f t="shared" si="87"/>
        <v>9053</v>
      </c>
      <c r="I534" s="25" t="s">
        <v>7</v>
      </c>
      <c r="J534" s="24">
        <f t="shared" si="88"/>
        <v>3168550</v>
      </c>
      <c r="K534" s="20"/>
      <c r="L534" s="20"/>
      <c r="M534" s="20"/>
      <c r="N534" s="20"/>
      <c r="O534" s="24"/>
      <c r="P534" s="24"/>
      <c r="Q534" s="25"/>
      <c r="R534" s="24"/>
      <c r="S534" s="20"/>
      <c r="T534" s="27"/>
      <c r="U534" s="20"/>
      <c r="V534" s="27">
        <f t="shared" si="89"/>
        <v>3168550</v>
      </c>
      <c r="W534" s="26">
        <f t="shared" si="85"/>
        <v>3168550</v>
      </c>
      <c r="X534" s="27">
        <v>0</v>
      </c>
      <c r="Y534" s="78">
        <f t="shared" si="86"/>
        <v>3168550</v>
      </c>
      <c r="Z534" s="49">
        <v>1E-4</v>
      </c>
    </row>
    <row r="535" spans="1:26" s="29" customFormat="1" ht="90.75" customHeight="1" x14ac:dyDescent="0.25">
      <c r="A535" s="20">
        <v>373</v>
      </c>
      <c r="B535" s="20" t="s">
        <v>0</v>
      </c>
      <c r="C535" s="20">
        <v>7775</v>
      </c>
      <c r="D535" s="21">
        <v>17</v>
      </c>
      <c r="E535" s="21">
        <v>2</v>
      </c>
      <c r="F535" s="22">
        <v>36</v>
      </c>
      <c r="G535" s="22" t="s">
        <v>198</v>
      </c>
      <c r="H535" s="24">
        <f t="shared" si="87"/>
        <v>7036</v>
      </c>
      <c r="I535" s="25" t="s">
        <v>32</v>
      </c>
      <c r="J535" s="24">
        <f t="shared" si="88"/>
        <v>1407200</v>
      </c>
      <c r="K535" s="20"/>
      <c r="L535" s="20"/>
      <c r="M535" s="20"/>
      <c r="N535" s="20"/>
      <c r="O535" s="24"/>
      <c r="P535" s="24"/>
      <c r="Q535" s="25"/>
      <c r="R535" s="24"/>
      <c r="S535" s="20"/>
      <c r="T535" s="27"/>
      <c r="U535" s="20"/>
      <c r="V535" s="27">
        <f t="shared" si="89"/>
        <v>1407200</v>
      </c>
      <c r="W535" s="26">
        <f t="shared" si="85"/>
        <v>1407200</v>
      </c>
      <c r="X535" s="27">
        <v>0</v>
      </c>
      <c r="Y535" s="78">
        <f t="shared" si="86"/>
        <v>1407200</v>
      </c>
      <c r="Z535" s="49">
        <v>1E-4</v>
      </c>
    </row>
    <row r="536" spans="1:26" s="29" customFormat="1" ht="90.75" customHeight="1" x14ac:dyDescent="0.25">
      <c r="A536" s="20">
        <v>374</v>
      </c>
      <c r="B536" s="20" t="s">
        <v>0</v>
      </c>
      <c r="C536" s="20">
        <v>7856</v>
      </c>
      <c r="D536" s="21">
        <v>13</v>
      </c>
      <c r="E536" s="21">
        <v>2</v>
      </c>
      <c r="F536" s="22">
        <v>45</v>
      </c>
      <c r="G536" s="22" t="s">
        <v>198</v>
      </c>
      <c r="H536" s="24">
        <f t="shared" si="87"/>
        <v>5445</v>
      </c>
      <c r="I536" s="25" t="s">
        <v>32</v>
      </c>
      <c r="J536" s="24">
        <f t="shared" si="88"/>
        <v>1089000</v>
      </c>
      <c r="K536" s="20"/>
      <c r="L536" s="20"/>
      <c r="M536" s="20"/>
      <c r="N536" s="20"/>
      <c r="O536" s="24"/>
      <c r="P536" s="24"/>
      <c r="Q536" s="25"/>
      <c r="R536" s="24"/>
      <c r="S536" s="20"/>
      <c r="T536" s="27"/>
      <c r="U536" s="20"/>
      <c r="V536" s="27">
        <f t="shared" si="89"/>
        <v>1089000</v>
      </c>
      <c r="W536" s="26">
        <f t="shared" si="85"/>
        <v>1089000</v>
      </c>
      <c r="X536" s="27">
        <v>0</v>
      </c>
      <c r="Y536" s="78">
        <f t="shared" si="86"/>
        <v>1089000</v>
      </c>
      <c r="Z536" s="49">
        <v>1E-4</v>
      </c>
    </row>
    <row r="537" spans="1:26" s="29" customFormat="1" ht="90.75" customHeight="1" x14ac:dyDescent="0.25">
      <c r="A537" s="20">
        <v>375</v>
      </c>
      <c r="B537" s="20" t="s">
        <v>0</v>
      </c>
      <c r="C537" s="20">
        <v>12600</v>
      </c>
      <c r="D537" s="21">
        <v>17</v>
      </c>
      <c r="E537" s="21">
        <v>2</v>
      </c>
      <c r="F537" s="22">
        <v>89</v>
      </c>
      <c r="G537" s="22" t="s">
        <v>198</v>
      </c>
      <c r="H537" s="24">
        <f t="shared" si="87"/>
        <v>7089</v>
      </c>
      <c r="I537" s="25" t="s">
        <v>19</v>
      </c>
      <c r="J537" s="24">
        <f t="shared" si="88"/>
        <v>2658375</v>
      </c>
      <c r="K537" s="20"/>
      <c r="L537" s="20"/>
      <c r="M537" s="20"/>
      <c r="N537" s="20"/>
      <c r="O537" s="24"/>
      <c r="P537" s="24"/>
      <c r="Q537" s="25"/>
      <c r="R537" s="24"/>
      <c r="S537" s="20"/>
      <c r="T537" s="27"/>
      <c r="U537" s="20"/>
      <c r="V537" s="27">
        <f t="shared" si="89"/>
        <v>2658375</v>
      </c>
      <c r="W537" s="26">
        <f t="shared" si="85"/>
        <v>2658375</v>
      </c>
      <c r="X537" s="27">
        <v>0</v>
      </c>
      <c r="Y537" s="78">
        <f t="shared" si="86"/>
        <v>2658375</v>
      </c>
      <c r="Z537" s="49">
        <v>1E-4</v>
      </c>
    </row>
    <row r="538" spans="1:26" s="29" customFormat="1" ht="90.75" customHeight="1" x14ac:dyDescent="0.25">
      <c r="A538" s="20">
        <v>376</v>
      </c>
      <c r="B538" s="20" t="s">
        <v>0</v>
      </c>
      <c r="C538" s="20">
        <v>7212</v>
      </c>
      <c r="D538" s="21">
        <v>21</v>
      </c>
      <c r="E538" s="21">
        <v>3</v>
      </c>
      <c r="F538" s="22">
        <v>52</v>
      </c>
      <c r="G538" s="22" t="s">
        <v>198</v>
      </c>
      <c r="H538" s="24">
        <f t="shared" si="87"/>
        <v>8752</v>
      </c>
      <c r="I538" s="25" t="s">
        <v>53</v>
      </c>
      <c r="J538" s="24">
        <f t="shared" si="88"/>
        <v>3938400</v>
      </c>
      <c r="K538" s="20"/>
      <c r="L538" s="20"/>
      <c r="M538" s="20"/>
      <c r="N538" s="20"/>
      <c r="O538" s="24"/>
      <c r="P538" s="24"/>
      <c r="Q538" s="25"/>
      <c r="R538" s="24"/>
      <c r="S538" s="20"/>
      <c r="T538" s="27"/>
      <c r="U538" s="20"/>
      <c r="V538" s="27">
        <f t="shared" si="89"/>
        <v>3938400</v>
      </c>
      <c r="W538" s="26">
        <f t="shared" si="85"/>
        <v>3938400</v>
      </c>
      <c r="X538" s="27">
        <v>0</v>
      </c>
      <c r="Y538" s="78">
        <f t="shared" si="86"/>
        <v>3938400</v>
      </c>
      <c r="Z538" s="49">
        <v>1E-4</v>
      </c>
    </row>
    <row r="539" spans="1:26" s="29" customFormat="1" ht="90.75" customHeight="1" x14ac:dyDescent="0.25">
      <c r="A539" s="20">
        <v>377</v>
      </c>
      <c r="B539" s="20" t="s">
        <v>0</v>
      </c>
      <c r="C539" s="20">
        <v>7217</v>
      </c>
      <c r="D539" s="21">
        <v>3</v>
      </c>
      <c r="E539" s="21">
        <v>2</v>
      </c>
      <c r="F539" s="22">
        <v>56</v>
      </c>
      <c r="G539" s="22" t="s">
        <v>198</v>
      </c>
      <c r="H539" s="24">
        <f t="shared" si="87"/>
        <v>1456</v>
      </c>
      <c r="I539" s="25" t="s">
        <v>75</v>
      </c>
      <c r="J539" s="24">
        <f t="shared" si="88"/>
        <v>910000</v>
      </c>
      <c r="K539" s="20"/>
      <c r="L539" s="20"/>
      <c r="M539" s="20"/>
      <c r="N539" s="20"/>
      <c r="O539" s="24"/>
      <c r="P539" s="24"/>
      <c r="Q539" s="25"/>
      <c r="R539" s="24"/>
      <c r="S539" s="20"/>
      <c r="T539" s="27"/>
      <c r="U539" s="20"/>
      <c r="V539" s="27">
        <f t="shared" si="89"/>
        <v>910000</v>
      </c>
      <c r="W539" s="26">
        <f t="shared" si="85"/>
        <v>910000</v>
      </c>
      <c r="X539" s="27">
        <v>0</v>
      </c>
      <c r="Y539" s="78">
        <f t="shared" si="86"/>
        <v>910000</v>
      </c>
      <c r="Z539" s="49">
        <v>1E-4</v>
      </c>
    </row>
    <row r="540" spans="1:26" s="29" customFormat="1" ht="90.75" customHeight="1" x14ac:dyDescent="0.25">
      <c r="A540" s="20">
        <v>378</v>
      </c>
      <c r="B540" s="20" t="s">
        <v>0</v>
      </c>
      <c r="C540" s="20">
        <v>44578</v>
      </c>
      <c r="D540" s="21">
        <v>23</v>
      </c>
      <c r="E540" s="21">
        <v>0</v>
      </c>
      <c r="F540" s="22">
        <v>27</v>
      </c>
      <c r="G540" s="22" t="s">
        <v>198</v>
      </c>
      <c r="H540" s="24">
        <f t="shared" si="87"/>
        <v>9227</v>
      </c>
      <c r="I540" s="25" t="s">
        <v>53</v>
      </c>
      <c r="J540" s="24">
        <f t="shared" si="88"/>
        <v>4152150</v>
      </c>
      <c r="K540" s="20"/>
      <c r="L540" s="20"/>
      <c r="M540" s="20"/>
      <c r="N540" s="20"/>
      <c r="O540" s="24"/>
      <c r="P540" s="24"/>
      <c r="Q540" s="25"/>
      <c r="R540" s="24"/>
      <c r="S540" s="20"/>
      <c r="T540" s="27"/>
      <c r="U540" s="20"/>
      <c r="V540" s="27">
        <f t="shared" si="89"/>
        <v>4152150</v>
      </c>
      <c r="W540" s="26">
        <f t="shared" si="85"/>
        <v>4152150</v>
      </c>
      <c r="X540" s="27">
        <v>0</v>
      </c>
      <c r="Y540" s="78">
        <f t="shared" si="86"/>
        <v>4152150</v>
      </c>
      <c r="Z540" s="49">
        <v>1E-4</v>
      </c>
    </row>
    <row r="541" spans="1:26" s="29" customFormat="1" ht="90.75" customHeight="1" x14ac:dyDescent="0.25">
      <c r="A541" s="20">
        <v>379</v>
      </c>
      <c r="B541" s="20" t="s">
        <v>0</v>
      </c>
      <c r="C541" s="20">
        <v>7243</v>
      </c>
      <c r="D541" s="21">
        <v>14</v>
      </c>
      <c r="E541" s="21">
        <v>3</v>
      </c>
      <c r="F541" s="22">
        <v>51</v>
      </c>
      <c r="G541" s="22" t="s">
        <v>198</v>
      </c>
      <c r="H541" s="24">
        <f t="shared" si="87"/>
        <v>5951</v>
      </c>
      <c r="I541" s="25" t="s">
        <v>32</v>
      </c>
      <c r="J541" s="24">
        <f t="shared" si="88"/>
        <v>1190200</v>
      </c>
      <c r="K541" s="20"/>
      <c r="L541" s="20"/>
      <c r="M541" s="20"/>
      <c r="N541" s="20"/>
      <c r="O541" s="24"/>
      <c r="P541" s="24"/>
      <c r="Q541" s="25"/>
      <c r="R541" s="24"/>
      <c r="S541" s="20"/>
      <c r="T541" s="27"/>
      <c r="U541" s="20"/>
      <c r="V541" s="27">
        <f t="shared" si="89"/>
        <v>1190200</v>
      </c>
      <c r="W541" s="26">
        <f t="shared" si="85"/>
        <v>1190200</v>
      </c>
      <c r="X541" s="27">
        <v>0</v>
      </c>
      <c r="Y541" s="78">
        <f t="shared" si="86"/>
        <v>1190200</v>
      </c>
      <c r="Z541" s="49">
        <v>1E-4</v>
      </c>
    </row>
    <row r="542" spans="1:26" s="29" customFormat="1" ht="90.75" customHeight="1" x14ac:dyDescent="0.25">
      <c r="A542" s="20">
        <v>380</v>
      </c>
      <c r="B542" s="20" t="s">
        <v>0</v>
      </c>
      <c r="C542" s="20">
        <v>7211</v>
      </c>
      <c r="D542" s="21">
        <v>34</v>
      </c>
      <c r="E542" s="21">
        <v>1</v>
      </c>
      <c r="F542" s="22">
        <v>74</v>
      </c>
      <c r="G542" s="22" t="s">
        <v>198</v>
      </c>
      <c r="H542" s="24">
        <f t="shared" si="87"/>
        <v>13774</v>
      </c>
      <c r="I542" s="25" t="s">
        <v>19</v>
      </c>
      <c r="J542" s="24">
        <f t="shared" si="88"/>
        <v>5165250</v>
      </c>
      <c r="K542" s="20"/>
      <c r="L542" s="20"/>
      <c r="M542" s="20"/>
      <c r="N542" s="20"/>
      <c r="O542" s="24"/>
      <c r="P542" s="24"/>
      <c r="Q542" s="25"/>
      <c r="R542" s="24"/>
      <c r="S542" s="20"/>
      <c r="T542" s="27"/>
      <c r="U542" s="20"/>
      <c r="V542" s="27">
        <f t="shared" si="89"/>
        <v>5165250</v>
      </c>
      <c r="W542" s="26">
        <f t="shared" si="85"/>
        <v>5165250</v>
      </c>
      <c r="X542" s="27">
        <v>0</v>
      </c>
      <c r="Y542" s="78">
        <f t="shared" si="86"/>
        <v>5165250</v>
      </c>
      <c r="Z542" s="49">
        <v>1E-4</v>
      </c>
    </row>
    <row r="543" spans="1:26" s="29" customFormat="1" ht="90.75" customHeight="1" x14ac:dyDescent="0.25">
      <c r="A543" s="20">
        <v>381</v>
      </c>
      <c r="B543" s="20" t="s">
        <v>0</v>
      </c>
      <c r="C543" s="20">
        <v>6923</v>
      </c>
      <c r="D543" s="21">
        <v>3</v>
      </c>
      <c r="E543" s="21">
        <v>0</v>
      </c>
      <c r="F543" s="22">
        <v>3</v>
      </c>
      <c r="G543" s="22" t="s">
        <v>198</v>
      </c>
      <c r="H543" s="24">
        <f t="shared" si="87"/>
        <v>1203</v>
      </c>
      <c r="I543" s="25" t="s">
        <v>22</v>
      </c>
      <c r="J543" s="24">
        <f t="shared" si="88"/>
        <v>631575</v>
      </c>
      <c r="K543" s="20"/>
      <c r="L543" s="20"/>
      <c r="M543" s="20"/>
      <c r="N543" s="20"/>
      <c r="O543" s="24"/>
      <c r="P543" s="24"/>
      <c r="Q543" s="25"/>
      <c r="R543" s="24"/>
      <c r="S543" s="20"/>
      <c r="T543" s="27"/>
      <c r="U543" s="20"/>
      <c r="V543" s="27">
        <f t="shared" si="89"/>
        <v>631575</v>
      </c>
      <c r="W543" s="26">
        <f t="shared" si="85"/>
        <v>631575</v>
      </c>
      <c r="X543" s="27">
        <v>0</v>
      </c>
      <c r="Y543" s="78">
        <f t="shared" si="86"/>
        <v>631575</v>
      </c>
      <c r="Z543" s="49">
        <v>1E-4</v>
      </c>
    </row>
    <row r="544" spans="1:26" s="29" customFormat="1" ht="90.75" customHeight="1" x14ac:dyDescent="0.25">
      <c r="A544" s="20">
        <v>382</v>
      </c>
      <c r="B544" s="20" t="s">
        <v>0</v>
      </c>
      <c r="C544" s="20">
        <v>7832</v>
      </c>
      <c r="D544" s="21">
        <v>1</v>
      </c>
      <c r="E544" s="21">
        <v>2</v>
      </c>
      <c r="F544" s="22">
        <v>26</v>
      </c>
      <c r="G544" s="22" t="s">
        <v>198</v>
      </c>
      <c r="H544" s="24">
        <f t="shared" si="87"/>
        <v>626</v>
      </c>
      <c r="I544" s="25" t="s">
        <v>22</v>
      </c>
      <c r="J544" s="24">
        <f t="shared" si="88"/>
        <v>328650</v>
      </c>
      <c r="K544" s="20"/>
      <c r="L544" s="20"/>
      <c r="M544" s="20"/>
      <c r="N544" s="20"/>
      <c r="O544" s="24"/>
      <c r="P544" s="24"/>
      <c r="Q544" s="25"/>
      <c r="R544" s="24"/>
      <c r="S544" s="20"/>
      <c r="T544" s="27"/>
      <c r="U544" s="20"/>
      <c r="V544" s="27">
        <f t="shared" si="89"/>
        <v>328650</v>
      </c>
      <c r="W544" s="26">
        <f t="shared" si="85"/>
        <v>328650</v>
      </c>
      <c r="X544" s="27">
        <v>0</v>
      </c>
      <c r="Y544" s="78">
        <f t="shared" si="86"/>
        <v>328650</v>
      </c>
      <c r="Z544" s="49">
        <v>1E-4</v>
      </c>
    </row>
    <row r="545" spans="1:26" s="29" customFormat="1" ht="90.75" customHeight="1" x14ac:dyDescent="0.25">
      <c r="A545" s="20">
        <v>383</v>
      </c>
      <c r="B545" s="20" t="s">
        <v>0</v>
      </c>
      <c r="C545" s="20">
        <v>44579</v>
      </c>
      <c r="D545" s="21">
        <v>4</v>
      </c>
      <c r="E545" s="21">
        <v>0</v>
      </c>
      <c r="F545" s="22">
        <v>57</v>
      </c>
      <c r="G545" s="22" t="s">
        <v>198</v>
      </c>
      <c r="H545" s="24">
        <f t="shared" si="87"/>
        <v>1657</v>
      </c>
      <c r="I545" s="25" t="s">
        <v>22</v>
      </c>
      <c r="J545" s="24">
        <f t="shared" si="88"/>
        <v>869925</v>
      </c>
      <c r="K545" s="20"/>
      <c r="L545" s="20"/>
      <c r="M545" s="20"/>
      <c r="N545" s="20"/>
      <c r="O545" s="24"/>
      <c r="P545" s="24"/>
      <c r="Q545" s="25"/>
      <c r="R545" s="24"/>
      <c r="S545" s="20"/>
      <c r="T545" s="27"/>
      <c r="U545" s="20"/>
      <c r="V545" s="27">
        <f t="shared" si="89"/>
        <v>869925</v>
      </c>
      <c r="W545" s="26">
        <f t="shared" si="85"/>
        <v>869925</v>
      </c>
      <c r="X545" s="27">
        <v>0</v>
      </c>
      <c r="Y545" s="78">
        <f t="shared" si="86"/>
        <v>869925</v>
      </c>
      <c r="Z545" s="49">
        <v>1E-4</v>
      </c>
    </row>
    <row r="546" spans="1:26" s="29" customFormat="1" ht="90.75" customHeight="1" x14ac:dyDescent="0.25">
      <c r="A546" s="20">
        <v>384</v>
      </c>
      <c r="B546" s="20" t="s">
        <v>0</v>
      </c>
      <c r="C546" s="20">
        <v>44576</v>
      </c>
      <c r="D546" s="21">
        <v>1</v>
      </c>
      <c r="E546" s="21">
        <v>2</v>
      </c>
      <c r="F546" s="22">
        <v>25</v>
      </c>
      <c r="G546" s="22" t="s">
        <v>198</v>
      </c>
      <c r="H546" s="24">
        <f t="shared" si="87"/>
        <v>625</v>
      </c>
      <c r="I546" s="25" t="s">
        <v>75</v>
      </c>
      <c r="J546" s="24">
        <f t="shared" si="88"/>
        <v>390625</v>
      </c>
      <c r="K546" s="20"/>
      <c r="L546" s="20"/>
      <c r="M546" s="20"/>
      <c r="N546" s="20"/>
      <c r="O546" s="24"/>
      <c r="P546" s="24"/>
      <c r="Q546" s="25"/>
      <c r="R546" s="24"/>
      <c r="S546" s="20"/>
      <c r="T546" s="27"/>
      <c r="U546" s="20"/>
      <c r="V546" s="27">
        <f t="shared" si="89"/>
        <v>390625</v>
      </c>
      <c r="W546" s="26">
        <f t="shared" si="85"/>
        <v>390625</v>
      </c>
      <c r="X546" s="27">
        <v>0</v>
      </c>
      <c r="Y546" s="78">
        <f t="shared" si="86"/>
        <v>390625</v>
      </c>
      <c r="Z546" s="49">
        <v>1E-4</v>
      </c>
    </row>
    <row r="547" spans="1:26" s="29" customFormat="1" ht="90.75" customHeight="1" x14ac:dyDescent="0.25">
      <c r="A547" s="20">
        <v>385</v>
      </c>
      <c r="B547" s="20" t="s">
        <v>0</v>
      </c>
      <c r="C547" s="20">
        <v>7245</v>
      </c>
      <c r="D547" s="21">
        <v>2</v>
      </c>
      <c r="E547" s="21">
        <v>0</v>
      </c>
      <c r="F547" s="22">
        <v>23</v>
      </c>
      <c r="G547" s="22" t="s">
        <v>198</v>
      </c>
      <c r="H547" s="24">
        <f t="shared" si="87"/>
        <v>823</v>
      </c>
      <c r="I547" s="25" t="s">
        <v>75</v>
      </c>
      <c r="J547" s="24">
        <f t="shared" si="88"/>
        <v>514375</v>
      </c>
      <c r="K547" s="20"/>
      <c r="L547" s="20"/>
      <c r="M547" s="20"/>
      <c r="N547" s="20"/>
      <c r="O547" s="24"/>
      <c r="P547" s="24"/>
      <c r="Q547" s="25"/>
      <c r="R547" s="24"/>
      <c r="S547" s="20"/>
      <c r="T547" s="27"/>
      <c r="U547" s="20"/>
      <c r="V547" s="27">
        <f t="shared" si="89"/>
        <v>514375</v>
      </c>
      <c r="W547" s="26">
        <f t="shared" si="85"/>
        <v>514375</v>
      </c>
      <c r="X547" s="27">
        <v>0</v>
      </c>
      <c r="Y547" s="78">
        <f t="shared" si="86"/>
        <v>514375</v>
      </c>
      <c r="Z547" s="49">
        <v>1E-4</v>
      </c>
    </row>
    <row r="548" spans="1:26" s="29" customFormat="1" ht="90.75" customHeight="1" x14ac:dyDescent="0.25">
      <c r="A548" s="20">
        <v>386</v>
      </c>
      <c r="B548" s="20" t="s">
        <v>0</v>
      </c>
      <c r="C548" s="20">
        <v>8318</v>
      </c>
      <c r="D548" s="21">
        <v>6</v>
      </c>
      <c r="E548" s="21">
        <v>0</v>
      </c>
      <c r="F548" s="22">
        <v>36</v>
      </c>
      <c r="G548" s="22" t="s">
        <v>198</v>
      </c>
      <c r="H548" s="24">
        <f t="shared" si="87"/>
        <v>2436</v>
      </c>
      <c r="I548" s="25" t="s">
        <v>32</v>
      </c>
      <c r="J548" s="24">
        <f t="shared" si="88"/>
        <v>487200</v>
      </c>
      <c r="K548" s="20"/>
      <c r="L548" s="20"/>
      <c r="M548" s="20"/>
      <c r="N548" s="20"/>
      <c r="O548" s="24"/>
      <c r="P548" s="24"/>
      <c r="Q548" s="25"/>
      <c r="R548" s="24"/>
      <c r="S548" s="20"/>
      <c r="T548" s="27"/>
      <c r="U548" s="20"/>
      <c r="V548" s="27">
        <f t="shared" si="89"/>
        <v>487200</v>
      </c>
      <c r="W548" s="26">
        <f t="shared" si="85"/>
        <v>487200</v>
      </c>
      <c r="X548" s="27">
        <v>0</v>
      </c>
      <c r="Y548" s="78">
        <f t="shared" si="86"/>
        <v>487200</v>
      </c>
      <c r="Z548" s="49">
        <v>1E-4</v>
      </c>
    </row>
    <row r="549" spans="1:26" s="29" customFormat="1" ht="90.75" customHeight="1" x14ac:dyDescent="0.25">
      <c r="A549" s="20">
        <v>387</v>
      </c>
      <c r="B549" s="20" t="s">
        <v>0</v>
      </c>
      <c r="C549" s="20">
        <v>12583</v>
      </c>
      <c r="D549" s="21">
        <v>6</v>
      </c>
      <c r="E549" s="21">
        <v>2</v>
      </c>
      <c r="F549" s="22">
        <v>20</v>
      </c>
      <c r="G549" s="22" t="s">
        <v>198</v>
      </c>
      <c r="H549" s="24">
        <f t="shared" si="87"/>
        <v>2620</v>
      </c>
      <c r="I549" s="25" t="s">
        <v>32</v>
      </c>
      <c r="J549" s="24">
        <f t="shared" si="88"/>
        <v>524000</v>
      </c>
      <c r="K549" s="20"/>
      <c r="L549" s="20"/>
      <c r="M549" s="20"/>
      <c r="N549" s="20"/>
      <c r="O549" s="24"/>
      <c r="P549" s="24"/>
      <c r="Q549" s="25"/>
      <c r="R549" s="24"/>
      <c r="S549" s="20"/>
      <c r="T549" s="27"/>
      <c r="U549" s="20"/>
      <c r="V549" s="27">
        <f t="shared" si="89"/>
        <v>524000</v>
      </c>
      <c r="W549" s="26">
        <f t="shared" si="85"/>
        <v>524000</v>
      </c>
      <c r="X549" s="27">
        <v>0</v>
      </c>
      <c r="Y549" s="78">
        <f t="shared" si="86"/>
        <v>524000</v>
      </c>
      <c r="Z549" s="49">
        <v>1E-4</v>
      </c>
    </row>
    <row r="550" spans="1:26" s="29" customFormat="1" ht="90.75" customHeight="1" x14ac:dyDescent="0.25">
      <c r="A550" s="20">
        <v>388</v>
      </c>
      <c r="B550" s="20" t="s">
        <v>0</v>
      </c>
      <c r="C550" s="20">
        <v>9830</v>
      </c>
      <c r="D550" s="21">
        <v>9</v>
      </c>
      <c r="E550" s="21">
        <v>0</v>
      </c>
      <c r="F550" s="22">
        <v>42</v>
      </c>
      <c r="G550" s="22" t="s">
        <v>198</v>
      </c>
      <c r="H550" s="24">
        <f t="shared" si="87"/>
        <v>3642</v>
      </c>
      <c r="I550" s="25" t="s">
        <v>32</v>
      </c>
      <c r="J550" s="24">
        <f t="shared" si="88"/>
        <v>728400</v>
      </c>
      <c r="K550" s="20"/>
      <c r="L550" s="20"/>
      <c r="M550" s="20"/>
      <c r="N550" s="20"/>
      <c r="O550" s="24"/>
      <c r="P550" s="24"/>
      <c r="Q550" s="25"/>
      <c r="R550" s="24"/>
      <c r="S550" s="20"/>
      <c r="T550" s="27"/>
      <c r="U550" s="20"/>
      <c r="V550" s="27">
        <f t="shared" si="89"/>
        <v>728400</v>
      </c>
      <c r="W550" s="26">
        <f t="shared" si="85"/>
        <v>728400</v>
      </c>
      <c r="X550" s="27">
        <v>0</v>
      </c>
      <c r="Y550" s="78">
        <f t="shared" si="86"/>
        <v>728400</v>
      </c>
      <c r="Z550" s="49">
        <v>1E-4</v>
      </c>
    </row>
    <row r="551" spans="1:26" s="29" customFormat="1" ht="90.75" customHeight="1" x14ac:dyDescent="0.25">
      <c r="A551" s="20">
        <v>389</v>
      </c>
      <c r="B551" s="20" t="s">
        <v>0</v>
      </c>
      <c r="C551" s="20">
        <v>9851</v>
      </c>
      <c r="D551" s="21">
        <v>11</v>
      </c>
      <c r="E551" s="21">
        <v>1</v>
      </c>
      <c r="F551" s="22">
        <v>43</v>
      </c>
      <c r="G551" s="22" t="s">
        <v>198</v>
      </c>
      <c r="H551" s="24">
        <f t="shared" si="87"/>
        <v>4543</v>
      </c>
      <c r="I551" s="25" t="s">
        <v>11</v>
      </c>
      <c r="J551" s="24">
        <f t="shared" si="88"/>
        <v>1249325</v>
      </c>
      <c r="K551" s="20"/>
      <c r="L551" s="20"/>
      <c r="M551" s="20"/>
      <c r="N551" s="20"/>
      <c r="O551" s="24"/>
      <c r="P551" s="24"/>
      <c r="Q551" s="25"/>
      <c r="R551" s="24"/>
      <c r="S551" s="20"/>
      <c r="T551" s="27"/>
      <c r="U551" s="20"/>
      <c r="V551" s="27">
        <f t="shared" si="89"/>
        <v>1249325</v>
      </c>
      <c r="W551" s="26">
        <f t="shared" si="85"/>
        <v>1249325</v>
      </c>
      <c r="X551" s="27">
        <v>0</v>
      </c>
      <c r="Y551" s="78">
        <f t="shared" si="86"/>
        <v>1249325</v>
      </c>
      <c r="Z551" s="49">
        <v>1E-4</v>
      </c>
    </row>
    <row r="552" spans="1:26" s="29" customFormat="1" ht="90.75" customHeight="1" x14ac:dyDescent="0.25">
      <c r="A552" s="20">
        <v>390</v>
      </c>
      <c r="B552" s="20" t="s">
        <v>0</v>
      </c>
      <c r="C552" s="20">
        <v>9869</v>
      </c>
      <c r="D552" s="21">
        <v>19</v>
      </c>
      <c r="E552" s="21">
        <v>0</v>
      </c>
      <c r="F552" s="22">
        <v>86</v>
      </c>
      <c r="G552" s="22" t="s">
        <v>198</v>
      </c>
      <c r="H552" s="24">
        <f t="shared" si="87"/>
        <v>7686</v>
      </c>
      <c r="I552" s="25" t="s">
        <v>32</v>
      </c>
      <c r="J552" s="24">
        <f t="shared" si="88"/>
        <v>1537200</v>
      </c>
      <c r="K552" s="20"/>
      <c r="L552" s="20"/>
      <c r="M552" s="20"/>
      <c r="N552" s="20"/>
      <c r="O552" s="24"/>
      <c r="P552" s="24"/>
      <c r="Q552" s="25"/>
      <c r="R552" s="24"/>
      <c r="S552" s="20"/>
      <c r="T552" s="27"/>
      <c r="U552" s="20"/>
      <c r="V552" s="27">
        <f t="shared" si="89"/>
        <v>1537200</v>
      </c>
      <c r="W552" s="26">
        <f t="shared" si="85"/>
        <v>1537200</v>
      </c>
      <c r="X552" s="27">
        <v>0</v>
      </c>
      <c r="Y552" s="78">
        <f t="shared" si="86"/>
        <v>1537200</v>
      </c>
      <c r="Z552" s="49">
        <v>1E-4</v>
      </c>
    </row>
    <row r="553" spans="1:26" s="29" customFormat="1" ht="90.75" customHeight="1" x14ac:dyDescent="0.25">
      <c r="A553" s="20">
        <v>391</v>
      </c>
      <c r="B553" s="20" t="s">
        <v>0</v>
      </c>
      <c r="C553" s="20">
        <v>6922</v>
      </c>
      <c r="D553" s="21">
        <v>49</v>
      </c>
      <c r="E553" s="21">
        <v>1</v>
      </c>
      <c r="F553" s="22">
        <v>82</v>
      </c>
      <c r="G553" s="22" t="s">
        <v>198</v>
      </c>
      <c r="H553" s="24">
        <f t="shared" si="87"/>
        <v>19782</v>
      </c>
      <c r="I553" s="25" t="s">
        <v>19</v>
      </c>
      <c r="J553" s="24">
        <f t="shared" si="88"/>
        <v>7418250</v>
      </c>
      <c r="K553" s="20"/>
      <c r="L553" s="20"/>
      <c r="M553" s="20"/>
      <c r="N553" s="20"/>
      <c r="O553" s="24"/>
      <c r="P553" s="24"/>
      <c r="Q553" s="25"/>
      <c r="R553" s="24"/>
      <c r="S553" s="20"/>
      <c r="T553" s="27"/>
      <c r="U553" s="20"/>
      <c r="V553" s="27">
        <f t="shared" si="89"/>
        <v>7418250</v>
      </c>
      <c r="W553" s="26">
        <f t="shared" si="85"/>
        <v>7418250</v>
      </c>
      <c r="X553" s="27">
        <v>0</v>
      </c>
      <c r="Y553" s="78">
        <f t="shared" si="86"/>
        <v>7418250</v>
      </c>
      <c r="Z553" s="49">
        <v>1E-4</v>
      </c>
    </row>
    <row r="554" spans="1:26" s="29" customFormat="1" ht="90.75" customHeight="1" x14ac:dyDescent="0.25">
      <c r="A554" s="20">
        <v>392</v>
      </c>
      <c r="B554" s="20" t="s">
        <v>0</v>
      </c>
      <c r="C554" s="20">
        <v>7456</v>
      </c>
      <c r="D554" s="21">
        <v>14</v>
      </c>
      <c r="E554" s="21">
        <v>1</v>
      </c>
      <c r="F554" s="22">
        <v>69</v>
      </c>
      <c r="G554" s="22" t="s">
        <v>198</v>
      </c>
      <c r="H554" s="24">
        <f t="shared" si="87"/>
        <v>5769</v>
      </c>
      <c r="I554" s="25" t="s">
        <v>7</v>
      </c>
      <c r="J554" s="24">
        <f t="shared" si="88"/>
        <v>2019150</v>
      </c>
      <c r="K554" s="20"/>
      <c r="L554" s="20"/>
      <c r="M554" s="20"/>
      <c r="N554" s="20"/>
      <c r="O554" s="24"/>
      <c r="P554" s="24"/>
      <c r="Q554" s="25"/>
      <c r="R554" s="24"/>
      <c r="S554" s="20"/>
      <c r="T554" s="27"/>
      <c r="U554" s="20"/>
      <c r="V554" s="27">
        <f t="shared" si="89"/>
        <v>2019150</v>
      </c>
      <c r="W554" s="26">
        <f t="shared" si="85"/>
        <v>2019150</v>
      </c>
      <c r="X554" s="27">
        <v>0</v>
      </c>
      <c r="Y554" s="78">
        <f t="shared" si="86"/>
        <v>2019150</v>
      </c>
      <c r="Z554" s="49">
        <v>1E-4</v>
      </c>
    </row>
    <row r="555" spans="1:26" s="29" customFormat="1" ht="90.75" customHeight="1" x14ac:dyDescent="0.25">
      <c r="A555" s="20">
        <v>393</v>
      </c>
      <c r="B555" s="20" t="s">
        <v>0</v>
      </c>
      <c r="C555" s="20">
        <v>15206</v>
      </c>
      <c r="D555" s="21">
        <v>5</v>
      </c>
      <c r="E555" s="21">
        <v>2</v>
      </c>
      <c r="F555" s="22">
        <v>1</v>
      </c>
      <c r="G555" s="22" t="s">
        <v>198</v>
      </c>
      <c r="H555" s="24">
        <f t="shared" si="87"/>
        <v>2201</v>
      </c>
      <c r="I555" s="25" t="s">
        <v>22</v>
      </c>
      <c r="J555" s="24">
        <f t="shared" si="88"/>
        <v>1155525</v>
      </c>
      <c r="K555" s="20"/>
      <c r="L555" s="20"/>
      <c r="M555" s="20"/>
      <c r="N555" s="20"/>
      <c r="O555" s="24"/>
      <c r="P555" s="24"/>
      <c r="Q555" s="25"/>
      <c r="R555" s="24"/>
      <c r="S555" s="20"/>
      <c r="T555" s="27"/>
      <c r="U555" s="20"/>
      <c r="V555" s="27">
        <f t="shared" si="89"/>
        <v>1155525</v>
      </c>
      <c r="W555" s="26">
        <f t="shared" si="85"/>
        <v>1155525</v>
      </c>
      <c r="X555" s="27">
        <v>0</v>
      </c>
      <c r="Y555" s="78">
        <f t="shared" si="86"/>
        <v>1155525</v>
      </c>
      <c r="Z555" s="49">
        <v>1E-4</v>
      </c>
    </row>
    <row r="556" spans="1:26" s="29" customFormat="1" ht="90.75" customHeight="1" x14ac:dyDescent="0.25">
      <c r="A556" s="20">
        <v>394</v>
      </c>
      <c r="B556" s="20" t="s">
        <v>0</v>
      </c>
      <c r="C556" s="20">
        <v>9842</v>
      </c>
      <c r="D556" s="21">
        <v>38</v>
      </c>
      <c r="E556" s="21">
        <v>0</v>
      </c>
      <c r="F556" s="22">
        <v>81</v>
      </c>
      <c r="G556" s="22" t="s">
        <v>198</v>
      </c>
      <c r="H556" s="24">
        <f t="shared" si="87"/>
        <v>15281</v>
      </c>
      <c r="I556" s="25" t="s">
        <v>7</v>
      </c>
      <c r="J556" s="24">
        <f t="shared" si="88"/>
        <v>5348350</v>
      </c>
      <c r="K556" s="20"/>
      <c r="L556" s="20"/>
      <c r="M556" s="20"/>
      <c r="N556" s="20"/>
      <c r="O556" s="24"/>
      <c r="P556" s="24"/>
      <c r="Q556" s="25"/>
      <c r="R556" s="24"/>
      <c r="S556" s="20"/>
      <c r="T556" s="27"/>
      <c r="U556" s="20"/>
      <c r="V556" s="27">
        <f t="shared" si="89"/>
        <v>5348350</v>
      </c>
      <c r="W556" s="26">
        <f t="shared" si="85"/>
        <v>5348350</v>
      </c>
      <c r="X556" s="27">
        <v>0</v>
      </c>
      <c r="Y556" s="78">
        <f t="shared" si="86"/>
        <v>5348350</v>
      </c>
      <c r="Z556" s="49">
        <v>1E-4</v>
      </c>
    </row>
    <row r="557" spans="1:26" s="29" customFormat="1" ht="90.75" customHeight="1" x14ac:dyDescent="0.25">
      <c r="A557" s="20">
        <v>395</v>
      </c>
      <c r="B557" s="20" t="s">
        <v>0</v>
      </c>
      <c r="C557" s="20">
        <v>15207</v>
      </c>
      <c r="D557" s="21">
        <v>0</v>
      </c>
      <c r="E557" s="21">
        <v>3</v>
      </c>
      <c r="F557" s="22">
        <v>69</v>
      </c>
      <c r="G557" s="22" t="s">
        <v>198</v>
      </c>
      <c r="H557" s="24">
        <f t="shared" si="87"/>
        <v>369</v>
      </c>
      <c r="I557" s="25" t="s">
        <v>32</v>
      </c>
      <c r="J557" s="24">
        <f t="shared" si="88"/>
        <v>73800</v>
      </c>
      <c r="K557" s="20"/>
      <c r="L557" s="20"/>
      <c r="M557" s="20"/>
      <c r="N557" s="20"/>
      <c r="O557" s="24"/>
      <c r="P557" s="24"/>
      <c r="Q557" s="25"/>
      <c r="R557" s="24"/>
      <c r="S557" s="20"/>
      <c r="T557" s="27"/>
      <c r="U557" s="20"/>
      <c r="V557" s="27">
        <f t="shared" si="89"/>
        <v>73800</v>
      </c>
      <c r="W557" s="26">
        <f t="shared" si="85"/>
        <v>73800</v>
      </c>
      <c r="X557" s="27">
        <v>0</v>
      </c>
      <c r="Y557" s="78">
        <f t="shared" si="86"/>
        <v>73800</v>
      </c>
      <c r="Z557" s="49">
        <v>1E-4</v>
      </c>
    </row>
    <row r="558" spans="1:26" s="29" customFormat="1" ht="90.75" customHeight="1" x14ac:dyDescent="0.25">
      <c r="A558" s="20">
        <v>396</v>
      </c>
      <c r="B558" s="20" t="s">
        <v>0</v>
      </c>
      <c r="C558" s="20">
        <v>7779</v>
      </c>
      <c r="D558" s="21">
        <v>28</v>
      </c>
      <c r="E558" s="21">
        <v>0</v>
      </c>
      <c r="F558" s="22">
        <v>24</v>
      </c>
      <c r="G558" s="22" t="s">
        <v>198</v>
      </c>
      <c r="H558" s="24">
        <f t="shared" si="87"/>
        <v>11224</v>
      </c>
      <c r="I558" s="25" t="s">
        <v>32</v>
      </c>
      <c r="J558" s="24">
        <f t="shared" si="88"/>
        <v>2244800</v>
      </c>
      <c r="K558" s="20"/>
      <c r="L558" s="20"/>
      <c r="M558" s="20"/>
      <c r="N558" s="20"/>
      <c r="O558" s="24"/>
      <c r="P558" s="24"/>
      <c r="Q558" s="25"/>
      <c r="R558" s="24"/>
      <c r="S558" s="20"/>
      <c r="T558" s="27"/>
      <c r="U558" s="20"/>
      <c r="V558" s="27">
        <f t="shared" si="89"/>
        <v>2244800</v>
      </c>
      <c r="W558" s="26">
        <f t="shared" si="85"/>
        <v>2244800</v>
      </c>
      <c r="X558" s="27">
        <v>0</v>
      </c>
      <c r="Y558" s="78">
        <f t="shared" si="86"/>
        <v>2244800</v>
      </c>
      <c r="Z558" s="49">
        <v>1E-4</v>
      </c>
    </row>
    <row r="559" spans="1:26" s="29" customFormat="1" ht="90.75" customHeight="1" x14ac:dyDescent="0.25">
      <c r="A559" s="20">
        <v>397</v>
      </c>
      <c r="B559" s="20" t="s">
        <v>0</v>
      </c>
      <c r="C559" s="20">
        <v>32655</v>
      </c>
      <c r="D559" s="21">
        <v>21</v>
      </c>
      <c r="E559" s="21">
        <v>1</v>
      </c>
      <c r="F559" s="22">
        <v>21</v>
      </c>
      <c r="G559" s="22" t="s">
        <v>198</v>
      </c>
      <c r="H559" s="24">
        <f t="shared" si="87"/>
        <v>8521</v>
      </c>
      <c r="I559" s="25" t="s">
        <v>7</v>
      </c>
      <c r="J559" s="24">
        <f t="shared" si="88"/>
        <v>2982350</v>
      </c>
      <c r="K559" s="20"/>
      <c r="L559" s="20"/>
      <c r="M559" s="20"/>
      <c r="N559" s="20"/>
      <c r="O559" s="24"/>
      <c r="P559" s="24"/>
      <c r="Q559" s="25"/>
      <c r="R559" s="24"/>
      <c r="S559" s="20"/>
      <c r="T559" s="27"/>
      <c r="U559" s="20"/>
      <c r="V559" s="27">
        <f t="shared" si="89"/>
        <v>2982350</v>
      </c>
      <c r="W559" s="26">
        <f t="shared" si="85"/>
        <v>2982350</v>
      </c>
      <c r="X559" s="27">
        <v>0</v>
      </c>
      <c r="Y559" s="78">
        <f t="shared" si="86"/>
        <v>2982350</v>
      </c>
      <c r="Z559" s="49">
        <v>1E-4</v>
      </c>
    </row>
    <row r="560" spans="1:26" s="29" customFormat="1" ht="90.75" customHeight="1" x14ac:dyDescent="0.25">
      <c r="A560" s="20">
        <v>398</v>
      </c>
      <c r="B560" s="20" t="s">
        <v>0</v>
      </c>
      <c r="C560" s="20">
        <v>9841</v>
      </c>
      <c r="D560" s="21">
        <v>46</v>
      </c>
      <c r="E560" s="21">
        <v>0</v>
      </c>
      <c r="F560" s="22">
        <v>87</v>
      </c>
      <c r="G560" s="22" t="s">
        <v>198</v>
      </c>
      <c r="H560" s="24">
        <f t="shared" si="87"/>
        <v>18487</v>
      </c>
      <c r="I560" s="25" t="s">
        <v>7</v>
      </c>
      <c r="J560" s="24">
        <f t="shared" si="88"/>
        <v>6470450</v>
      </c>
      <c r="K560" s="20"/>
      <c r="L560" s="20"/>
      <c r="M560" s="20"/>
      <c r="N560" s="20"/>
      <c r="O560" s="24"/>
      <c r="P560" s="24"/>
      <c r="Q560" s="25"/>
      <c r="R560" s="24"/>
      <c r="S560" s="20"/>
      <c r="T560" s="27"/>
      <c r="U560" s="20"/>
      <c r="V560" s="27">
        <f t="shared" si="89"/>
        <v>6470450</v>
      </c>
      <c r="W560" s="26">
        <f t="shared" si="85"/>
        <v>6470450</v>
      </c>
      <c r="X560" s="27">
        <v>0</v>
      </c>
      <c r="Y560" s="78">
        <f t="shared" si="86"/>
        <v>6470450</v>
      </c>
      <c r="Z560" s="49">
        <v>1E-4</v>
      </c>
    </row>
    <row r="561" spans="1:26" s="29" customFormat="1" ht="90.75" customHeight="1" x14ac:dyDescent="0.25">
      <c r="A561" s="20">
        <v>399</v>
      </c>
      <c r="B561" s="20" t="s">
        <v>0</v>
      </c>
      <c r="C561" s="20">
        <v>9893</v>
      </c>
      <c r="D561" s="21">
        <v>11</v>
      </c>
      <c r="E561" s="21">
        <v>2</v>
      </c>
      <c r="F561" s="22">
        <v>72</v>
      </c>
      <c r="G561" s="22" t="s">
        <v>198</v>
      </c>
      <c r="H561" s="24">
        <f t="shared" si="87"/>
        <v>4672</v>
      </c>
      <c r="I561" s="25" t="s">
        <v>7</v>
      </c>
      <c r="J561" s="24">
        <f t="shared" si="88"/>
        <v>1635200</v>
      </c>
      <c r="K561" s="20"/>
      <c r="L561" s="20"/>
      <c r="M561" s="20"/>
      <c r="N561" s="20"/>
      <c r="O561" s="24"/>
      <c r="P561" s="24"/>
      <c r="Q561" s="25"/>
      <c r="R561" s="24"/>
      <c r="S561" s="20"/>
      <c r="T561" s="27"/>
      <c r="U561" s="20"/>
      <c r="V561" s="27">
        <f t="shared" si="89"/>
        <v>1635200</v>
      </c>
      <c r="W561" s="26">
        <f t="shared" si="85"/>
        <v>1635200</v>
      </c>
      <c r="X561" s="27">
        <v>0</v>
      </c>
      <c r="Y561" s="78">
        <f t="shared" si="86"/>
        <v>1635200</v>
      </c>
      <c r="Z561" s="49">
        <v>1E-4</v>
      </c>
    </row>
    <row r="562" spans="1:26" s="29" customFormat="1" ht="90.75" customHeight="1" x14ac:dyDescent="0.25">
      <c r="A562" s="20">
        <v>400</v>
      </c>
      <c r="B562" s="20" t="s">
        <v>0</v>
      </c>
      <c r="C562" s="20">
        <v>7538</v>
      </c>
      <c r="D562" s="21">
        <v>31</v>
      </c>
      <c r="E562" s="21">
        <v>2</v>
      </c>
      <c r="F562" s="22">
        <v>44</v>
      </c>
      <c r="G562" s="22" t="s">
        <v>198</v>
      </c>
      <c r="H562" s="24">
        <f t="shared" si="87"/>
        <v>12644</v>
      </c>
      <c r="I562" s="25" t="s">
        <v>7</v>
      </c>
      <c r="J562" s="24">
        <f t="shared" si="88"/>
        <v>4425400</v>
      </c>
      <c r="K562" s="20"/>
      <c r="L562" s="20"/>
      <c r="M562" s="20"/>
      <c r="N562" s="20"/>
      <c r="O562" s="24"/>
      <c r="P562" s="24"/>
      <c r="Q562" s="25"/>
      <c r="R562" s="24"/>
      <c r="S562" s="20"/>
      <c r="T562" s="27"/>
      <c r="U562" s="20"/>
      <c r="V562" s="27">
        <f t="shared" si="89"/>
        <v>4425400</v>
      </c>
      <c r="W562" s="26">
        <f t="shared" si="85"/>
        <v>4425400</v>
      </c>
      <c r="X562" s="27">
        <v>0</v>
      </c>
      <c r="Y562" s="78">
        <f t="shared" si="86"/>
        <v>4425400</v>
      </c>
      <c r="Z562" s="49">
        <v>1E-4</v>
      </c>
    </row>
    <row r="563" spans="1:26" s="29" customFormat="1" ht="90.75" customHeight="1" x14ac:dyDescent="0.25">
      <c r="A563" s="20">
        <v>401</v>
      </c>
      <c r="B563" s="20" t="s">
        <v>0</v>
      </c>
      <c r="C563" s="20">
        <v>8181</v>
      </c>
      <c r="D563" s="21">
        <v>22</v>
      </c>
      <c r="E563" s="21">
        <v>0</v>
      </c>
      <c r="F563" s="22">
        <v>89</v>
      </c>
      <c r="G563" s="22" t="s">
        <v>198</v>
      </c>
      <c r="H563" s="24">
        <f t="shared" si="87"/>
        <v>8889</v>
      </c>
      <c r="I563" s="25" t="s">
        <v>19</v>
      </c>
      <c r="J563" s="24">
        <f t="shared" si="88"/>
        <v>3333375</v>
      </c>
      <c r="K563" s="20"/>
      <c r="L563" s="20"/>
      <c r="M563" s="20"/>
      <c r="N563" s="20"/>
      <c r="O563" s="24"/>
      <c r="P563" s="24"/>
      <c r="Q563" s="25"/>
      <c r="R563" s="24"/>
      <c r="S563" s="20"/>
      <c r="T563" s="27"/>
      <c r="U563" s="20"/>
      <c r="V563" s="27">
        <f t="shared" si="89"/>
        <v>3333375</v>
      </c>
      <c r="W563" s="26">
        <f t="shared" si="85"/>
        <v>3333375</v>
      </c>
      <c r="X563" s="27">
        <v>0</v>
      </c>
      <c r="Y563" s="78">
        <f t="shared" si="86"/>
        <v>3333375</v>
      </c>
      <c r="Z563" s="49">
        <v>1E-4</v>
      </c>
    </row>
    <row r="564" spans="1:26" s="29" customFormat="1" ht="90.75" customHeight="1" x14ac:dyDescent="0.25">
      <c r="A564" s="20">
        <v>402</v>
      </c>
      <c r="B564" s="20" t="s">
        <v>0</v>
      </c>
      <c r="C564" s="20">
        <v>7467</v>
      </c>
      <c r="D564" s="21">
        <v>0</v>
      </c>
      <c r="E564" s="21">
        <v>2</v>
      </c>
      <c r="F564" s="22">
        <v>2</v>
      </c>
      <c r="G564" s="22" t="s">
        <v>198</v>
      </c>
      <c r="H564" s="24">
        <f t="shared" si="87"/>
        <v>202</v>
      </c>
      <c r="I564" s="25" t="s">
        <v>79</v>
      </c>
      <c r="J564" s="24">
        <f t="shared" si="88"/>
        <v>131300</v>
      </c>
      <c r="K564" s="20"/>
      <c r="L564" s="20"/>
      <c r="M564" s="20"/>
      <c r="N564" s="20"/>
      <c r="O564" s="24"/>
      <c r="P564" s="24"/>
      <c r="Q564" s="25"/>
      <c r="R564" s="24"/>
      <c r="S564" s="20"/>
      <c r="T564" s="27"/>
      <c r="U564" s="20"/>
      <c r="V564" s="27">
        <f t="shared" si="89"/>
        <v>131300</v>
      </c>
      <c r="W564" s="26">
        <f t="shared" si="85"/>
        <v>131300</v>
      </c>
      <c r="X564" s="27">
        <v>0</v>
      </c>
      <c r="Y564" s="78">
        <f t="shared" si="86"/>
        <v>131300</v>
      </c>
      <c r="Z564" s="49">
        <v>1E-4</v>
      </c>
    </row>
    <row r="565" spans="1:26" s="29" customFormat="1" ht="90.75" customHeight="1" x14ac:dyDescent="0.25">
      <c r="A565" s="20">
        <v>403</v>
      </c>
      <c r="B565" s="20" t="s">
        <v>0</v>
      </c>
      <c r="C565" s="20">
        <v>32654</v>
      </c>
      <c r="D565" s="21">
        <v>13</v>
      </c>
      <c r="E565" s="21">
        <v>2</v>
      </c>
      <c r="F565" s="22">
        <v>40</v>
      </c>
      <c r="G565" s="22" t="s">
        <v>198</v>
      </c>
      <c r="H565" s="24">
        <f t="shared" si="87"/>
        <v>5440</v>
      </c>
      <c r="I565" s="25" t="s">
        <v>37</v>
      </c>
      <c r="J565" s="24">
        <f t="shared" si="88"/>
        <v>2312000</v>
      </c>
      <c r="K565" s="20"/>
      <c r="L565" s="20"/>
      <c r="M565" s="20"/>
      <c r="N565" s="20"/>
      <c r="O565" s="24"/>
      <c r="P565" s="24"/>
      <c r="Q565" s="25"/>
      <c r="R565" s="24"/>
      <c r="S565" s="20"/>
      <c r="T565" s="27"/>
      <c r="U565" s="20"/>
      <c r="V565" s="27">
        <f t="shared" si="89"/>
        <v>2312000</v>
      </c>
      <c r="W565" s="26">
        <f t="shared" si="85"/>
        <v>2312000</v>
      </c>
      <c r="X565" s="27">
        <v>0</v>
      </c>
      <c r="Y565" s="78">
        <f t="shared" si="86"/>
        <v>2312000</v>
      </c>
      <c r="Z565" s="49">
        <v>1E-4</v>
      </c>
    </row>
    <row r="566" spans="1:26" s="29" customFormat="1" ht="90.75" customHeight="1" x14ac:dyDescent="0.25">
      <c r="A566" s="20">
        <v>404</v>
      </c>
      <c r="B566" s="20" t="s">
        <v>0</v>
      </c>
      <c r="C566" s="20">
        <v>15952</v>
      </c>
      <c r="D566" s="21">
        <v>7</v>
      </c>
      <c r="E566" s="21">
        <v>3</v>
      </c>
      <c r="F566" s="22">
        <v>44</v>
      </c>
      <c r="G566" s="22" t="s">
        <v>198</v>
      </c>
      <c r="H566" s="24">
        <f t="shared" si="87"/>
        <v>3144</v>
      </c>
      <c r="I566" s="25" t="s">
        <v>32</v>
      </c>
      <c r="J566" s="24">
        <f t="shared" si="88"/>
        <v>628800</v>
      </c>
      <c r="K566" s="20"/>
      <c r="L566" s="20"/>
      <c r="M566" s="20"/>
      <c r="N566" s="20"/>
      <c r="O566" s="24"/>
      <c r="P566" s="24"/>
      <c r="Q566" s="25"/>
      <c r="R566" s="24"/>
      <c r="S566" s="20"/>
      <c r="T566" s="27"/>
      <c r="U566" s="20"/>
      <c r="V566" s="27">
        <f t="shared" si="89"/>
        <v>628800</v>
      </c>
      <c r="W566" s="26">
        <f t="shared" si="85"/>
        <v>628800</v>
      </c>
      <c r="X566" s="27">
        <v>0</v>
      </c>
      <c r="Y566" s="78">
        <f t="shared" si="86"/>
        <v>628800</v>
      </c>
      <c r="Z566" s="49">
        <v>1E-4</v>
      </c>
    </row>
    <row r="567" spans="1:26" s="29" customFormat="1" ht="90.75" customHeight="1" x14ac:dyDescent="0.25">
      <c r="A567" s="20">
        <v>405</v>
      </c>
      <c r="B567" s="20" t="s">
        <v>0</v>
      </c>
      <c r="C567" s="20">
        <v>7783</v>
      </c>
      <c r="D567" s="21">
        <v>6</v>
      </c>
      <c r="E567" s="21">
        <v>2</v>
      </c>
      <c r="F567" s="22">
        <v>35</v>
      </c>
      <c r="G567" s="22" t="s">
        <v>198</v>
      </c>
      <c r="H567" s="24">
        <f t="shared" si="87"/>
        <v>2635</v>
      </c>
      <c r="I567" s="25" t="s">
        <v>79</v>
      </c>
      <c r="J567" s="24">
        <f t="shared" si="88"/>
        <v>1712750</v>
      </c>
      <c r="K567" s="20"/>
      <c r="L567" s="20"/>
      <c r="M567" s="20"/>
      <c r="N567" s="20"/>
      <c r="O567" s="24"/>
      <c r="P567" s="24"/>
      <c r="Q567" s="25"/>
      <c r="R567" s="24"/>
      <c r="S567" s="20"/>
      <c r="T567" s="27"/>
      <c r="U567" s="20"/>
      <c r="V567" s="27">
        <f t="shared" si="89"/>
        <v>1712750</v>
      </c>
      <c r="W567" s="26">
        <f t="shared" si="85"/>
        <v>1712750</v>
      </c>
      <c r="X567" s="27">
        <v>0</v>
      </c>
      <c r="Y567" s="78">
        <f t="shared" si="86"/>
        <v>1712750</v>
      </c>
      <c r="Z567" s="49">
        <v>1E-4</v>
      </c>
    </row>
    <row r="568" spans="1:26" s="29" customFormat="1" ht="90.75" customHeight="1" x14ac:dyDescent="0.25">
      <c r="A568" s="20">
        <v>406</v>
      </c>
      <c r="B568" s="20" t="s">
        <v>0</v>
      </c>
      <c r="C568" s="20">
        <v>9905</v>
      </c>
      <c r="D568" s="21">
        <v>46</v>
      </c>
      <c r="E568" s="21">
        <v>1</v>
      </c>
      <c r="F568" s="22">
        <v>74</v>
      </c>
      <c r="G568" s="22" t="s">
        <v>198</v>
      </c>
      <c r="H568" s="24">
        <f t="shared" si="87"/>
        <v>18574</v>
      </c>
      <c r="I568" s="25" t="s">
        <v>32</v>
      </c>
      <c r="J568" s="24">
        <f t="shared" si="88"/>
        <v>3714800</v>
      </c>
      <c r="K568" s="20"/>
      <c r="L568" s="20"/>
      <c r="M568" s="20"/>
      <c r="N568" s="20"/>
      <c r="O568" s="24"/>
      <c r="P568" s="24"/>
      <c r="Q568" s="25"/>
      <c r="R568" s="24"/>
      <c r="S568" s="20"/>
      <c r="T568" s="27"/>
      <c r="U568" s="20"/>
      <c r="V568" s="27">
        <f t="shared" si="89"/>
        <v>3714800</v>
      </c>
      <c r="W568" s="26">
        <f t="shared" si="85"/>
        <v>3714800</v>
      </c>
      <c r="X568" s="27">
        <v>0</v>
      </c>
      <c r="Y568" s="78">
        <f t="shared" si="86"/>
        <v>3714800</v>
      </c>
      <c r="Z568" s="49">
        <v>1E-4</v>
      </c>
    </row>
    <row r="569" spans="1:26" s="29" customFormat="1" ht="90.75" customHeight="1" x14ac:dyDescent="0.25">
      <c r="A569" s="20">
        <v>407</v>
      </c>
      <c r="B569" s="20" t="s">
        <v>0</v>
      </c>
      <c r="C569" s="20">
        <v>8187</v>
      </c>
      <c r="D569" s="21">
        <v>16</v>
      </c>
      <c r="E569" s="21">
        <v>2</v>
      </c>
      <c r="F569" s="22">
        <v>45</v>
      </c>
      <c r="G569" s="22" t="s">
        <v>198</v>
      </c>
      <c r="H569" s="24">
        <f t="shared" si="87"/>
        <v>6645</v>
      </c>
      <c r="I569" s="25" t="s">
        <v>32</v>
      </c>
      <c r="J569" s="24">
        <f t="shared" si="88"/>
        <v>1329000</v>
      </c>
      <c r="K569" s="20"/>
      <c r="L569" s="20"/>
      <c r="M569" s="20"/>
      <c r="N569" s="20"/>
      <c r="O569" s="24"/>
      <c r="P569" s="24"/>
      <c r="Q569" s="25"/>
      <c r="R569" s="24"/>
      <c r="S569" s="20"/>
      <c r="T569" s="27"/>
      <c r="U569" s="20"/>
      <c r="V569" s="27">
        <f t="shared" si="89"/>
        <v>1329000</v>
      </c>
      <c r="W569" s="26">
        <f t="shared" si="85"/>
        <v>1329000</v>
      </c>
      <c r="X569" s="27">
        <v>0</v>
      </c>
      <c r="Y569" s="78">
        <f t="shared" si="86"/>
        <v>1329000</v>
      </c>
      <c r="Z569" s="49">
        <v>1E-4</v>
      </c>
    </row>
    <row r="570" spans="1:26" s="29" customFormat="1" ht="90.75" customHeight="1" x14ac:dyDescent="0.25">
      <c r="A570" s="20">
        <v>408</v>
      </c>
      <c r="B570" s="20" t="s">
        <v>0</v>
      </c>
      <c r="C570" s="20">
        <v>8254</v>
      </c>
      <c r="D570" s="21">
        <v>20</v>
      </c>
      <c r="E570" s="21">
        <v>2</v>
      </c>
      <c r="F570" s="22">
        <v>44</v>
      </c>
      <c r="G570" s="22" t="s">
        <v>198</v>
      </c>
      <c r="H570" s="24">
        <f t="shared" si="87"/>
        <v>8244</v>
      </c>
      <c r="I570" s="25" t="s">
        <v>11</v>
      </c>
      <c r="J570" s="24">
        <f t="shared" si="88"/>
        <v>2267100</v>
      </c>
      <c r="K570" s="20"/>
      <c r="L570" s="20"/>
      <c r="M570" s="20"/>
      <c r="N570" s="20"/>
      <c r="O570" s="24"/>
      <c r="P570" s="24"/>
      <c r="Q570" s="25"/>
      <c r="R570" s="24"/>
      <c r="S570" s="20"/>
      <c r="T570" s="27"/>
      <c r="U570" s="20"/>
      <c r="V570" s="27">
        <f t="shared" si="89"/>
        <v>2267100</v>
      </c>
      <c r="W570" s="26">
        <f t="shared" si="85"/>
        <v>2267100</v>
      </c>
      <c r="X570" s="27">
        <v>0</v>
      </c>
      <c r="Y570" s="78">
        <f t="shared" si="86"/>
        <v>2267100</v>
      </c>
      <c r="Z570" s="49">
        <v>1E-4</v>
      </c>
    </row>
    <row r="571" spans="1:26" s="29" customFormat="1" ht="90.75" customHeight="1" x14ac:dyDescent="0.25">
      <c r="A571" s="20">
        <v>409</v>
      </c>
      <c r="B571" s="20" t="s">
        <v>0</v>
      </c>
      <c r="C571" s="20">
        <v>9639</v>
      </c>
      <c r="D571" s="21">
        <v>3</v>
      </c>
      <c r="E571" s="21">
        <v>1</v>
      </c>
      <c r="F571" s="22">
        <v>68</v>
      </c>
      <c r="G571" s="22" t="s">
        <v>198</v>
      </c>
      <c r="H571" s="24">
        <f t="shared" si="87"/>
        <v>1368</v>
      </c>
      <c r="I571" s="25" t="s">
        <v>32</v>
      </c>
      <c r="J571" s="24">
        <f t="shared" si="88"/>
        <v>273600</v>
      </c>
      <c r="K571" s="20"/>
      <c r="L571" s="20"/>
      <c r="M571" s="20"/>
      <c r="N571" s="20"/>
      <c r="O571" s="24"/>
      <c r="P571" s="24"/>
      <c r="Q571" s="25"/>
      <c r="R571" s="24"/>
      <c r="S571" s="20"/>
      <c r="T571" s="27"/>
      <c r="U571" s="20"/>
      <c r="V571" s="27">
        <f t="shared" si="89"/>
        <v>273600</v>
      </c>
      <c r="W571" s="26">
        <f t="shared" si="85"/>
        <v>273600</v>
      </c>
      <c r="X571" s="27">
        <v>0</v>
      </c>
      <c r="Y571" s="78">
        <f t="shared" si="86"/>
        <v>273600</v>
      </c>
      <c r="Z571" s="49">
        <v>1E-4</v>
      </c>
    </row>
    <row r="572" spans="1:26" s="29" customFormat="1" ht="90.75" customHeight="1" x14ac:dyDescent="0.25">
      <c r="A572" s="20">
        <v>410</v>
      </c>
      <c r="B572" s="20" t="s">
        <v>0</v>
      </c>
      <c r="C572" s="20">
        <v>6725</v>
      </c>
      <c r="D572" s="21">
        <v>10</v>
      </c>
      <c r="E572" s="21">
        <v>3</v>
      </c>
      <c r="F572" s="22">
        <v>79</v>
      </c>
      <c r="G572" s="22" t="s">
        <v>198</v>
      </c>
      <c r="H572" s="24">
        <f t="shared" si="87"/>
        <v>4379</v>
      </c>
      <c r="I572" s="25" t="s">
        <v>32</v>
      </c>
      <c r="J572" s="24">
        <f t="shared" si="88"/>
        <v>875800</v>
      </c>
      <c r="K572" s="20"/>
      <c r="L572" s="20"/>
      <c r="M572" s="20"/>
      <c r="N572" s="20"/>
      <c r="O572" s="24"/>
      <c r="P572" s="24"/>
      <c r="Q572" s="25"/>
      <c r="R572" s="24"/>
      <c r="S572" s="20"/>
      <c r="T572" s="27"/>
      <c r="U572" s="20"/>
      <c r="V572" s="27">
        <f t="shared" si="89"/>
        <v>875800</v>
      </c>
      <c r="W572" s="26">
        <f t="shared" si="85"/>
        <v>875800</v>
      </c>
      <c r="X572" s="27">
        <v>0</v>
      </c>
      <c r="Y572" s="78">
        <f t="shared" si="86"/>
        <v>875800</v>
      </c>
      <c r="Z572" s="49">
        <v>1E-4</v>
      </c>
    </row>
    <row r="573" spans="1:26" s="29" customFormat="1" ht="90.75" customHeight="1" x14ac:dyDescent="0.25">
      <c r="A573" s="20">
        <v>411</v>
      </c>
      <c r="B573" s="20" t="s">
        <v>0</v>
      </c>
      <c r="C573" s="20">
        <v>6724</v>
      </c>
      <c r="D573" s="21">
        <v>3</v>
      </c>
      <c r="E573" s="21">
        <v>0</v>
      </c>
      <c r="F573" s="22">
        <v>25</v>
      </c>
      <c r="G573" s="22" t="s">
        <v>198</v>
      </c>
      <c r="H573" s="24">
        <f t="shared" si="87"/>
        <v>1225</v>
      </c>
      <c r="I573" s="25" t="s">
        <v>32</v>
      </c>
      <c r="J573" s="24">
        <f t="shared" si="88"/>
        <v>245000</v>
      </c>
      <c r="K573" s="20"/>
      <c r="L573" s="20"/>
      <c r="M573" s="20"/>
      <c r="N573" s="20"/>
      <c r="O573" s="24"/>
      <c r="P573" s="24"/>
      <c r="Q573" s="25"/>
      <c r="R573" s="24"/>
      <c r="S573" s="20"/>
      <c r="T573" s="27"/>
      <c r="U573" s="20"/>
      <c r="V573" s="27">
        <f t="shared" si="89"/>
        <v>245000</v>
      </c>
      <c r="W573" s="26">
        <f t="shared" si="85"/>
        <v>245000</v>
      </c>
      <c r="X573" s="27">
        <v>0</v>
      </c>
      <c r="Y573" s="78">
        <f t="shared" si="86"/>
        <v>245000</v>
      </c>
      <c r="Z573" s="49">
        <v>1E-4</v>
      </c>
    </row>
    <row r="574" spans="1:26" s="29" customFormat="1" ht="90.75" customHeight="1" x14ac:dyDescent="0.25">
      <c r="A574" s="20">
        <v>412</v>
      </c>
      <c r="B574" s="20" t="s">
        <v>0</v>
      </c>
      <c r="C574" s="20">
        <v>6723</v>
      </c>
      <c r="D574" s="21">
        <v>3</v>
      </c>
      <c r="E574" s="21">
        <v>1</v>
      </c>
      <c r="F574" s="22">
        <v>80</v>
      </c>
      <c r="G574" s="22" t="s">
        <v>198</v>
      </c>
      <c r="H574" s="24">
        <f t="shared" si="87"/>
        <v>1380</v>
      </c>
      <c r="I574" s="25" t="s">
        <v>32</v>
      </c>
      <c r="J574" s="24">
        <f t="shared" si="88"/>
        <v>276000</v>
      </c>
      <c r="K574" s="20"/>
      <c r="L574" s="20"/>
      <c r="M574" s="20"/>
      <c r="N574" s="20"/>
      <c r="O574" s="24"/>
      <c r="P574" s="24"/>
      <c r="Q574" s="25"/>
      <c r="R574" s="24"/>
      <c r="S574" s="20"/>
      <c r="T574" s="27"/>
      <c r="U574" s="20"/>
      <c r="V574" s="27">
        <f t="shared" si="89"/>
        <v>276000</v>
      </c>
      <c r="W574" s="26">
        <f t="shared" si="85"/>
        <v>276000</v>
      </c>
      <c r="X574" s="27">
        <v>0</v>
      </c>
      <c r="Y574" s="78">
        <f t="shared" si="86"/>
        <v>276000</v>
      </c>
      <c r="Z574" s="49">
        <v>1E-4</v>
      </c>
    </row>
    <row r="575" spans="1:26" s="29" customFormat="1" ht="90.75" customHeight="1" x14ac:dyDescent="0.25">
      <c r="A575" s="20">
        <v>413</v>
      </c>
      <c r="B575" s="20" t="s">
        <v>0</v>
      </c>
      <c r="C575" s="20">
        <v>6722</v>
      </c>
      <c r="D575" s="21">
        <v>2</v>
      </c>
      <c r="E575" s="21">
        <v>3</v>
      </c>
      <c r="F575" s="22">
        <v>30</v>
      </c>
      <c r="G575" s="22" t="s">
        <v>198</v>
      </c>
      <c r="H575" s="24">
        <f t="shared" si="87"/>
        <v>1130</v>
      </c>
      <c r="I575" s="25" t="s">
        <v>32</v>
      </c>
      <c r="J575" s="24">
        <f t="shared" si="88"/>
        <v>226000</v>
      </c>
      <c r="K575" s="20"/>
      <c r="L575" s="20"/>
      <c r="M575" s="20"/>
      <c r="N575" s="20"/>
      <c r="O575" s="24"/>
      <c r="P575" s="24"/>
      <c r="Q575" s="25"/>
      <c r="R575" s="24"/>
      <c r="S575" s="20"/>
      <c r="T575" s="27"/>
      <c r="U575" s="20"/>
      <c r="V575" s="27">
        <f t="shared" si="89"/>
        <v>226000</v>
      </c>
      <c r="W575" s="26">
        <f t="shared" si="85"/>
        <v>226000</v>
      </c>
      <c r="X575" s="27">
        <v>0</v>
      </c>
      <c r="Y575" s="78">
        <f t="shared" si="86"/>
        <v>226000</v>
      </c>
      <c r="Z575" s="49">
        <v>1E-4</v>
      </c>
    </row>
    <row r="576" spans="1:26" s="29" customFormat="1" ht="90.75" customHeight="1" x14ac:dyDescent="0.25">
      <c r="A576" s="20">
        <v>414</v>
      </c>
      <c r="B576" s="20" t="s">
        <v>0</v>
      </c>
      <c r="C576" s="20">
        <v>6721</v>
      </c>
      <c r="D576" s="21">
        <v>1</v>
      </c>
      <c r="E576" s="21">
        <v>0</v>
      </c>
      <c r="F576" s="22">
        <v>18</v>
      </c>
      <c r="G576" s="22" t="s">
        <v>198</v>
      </c>
      <c r="H576" s="24">
        <f t="shared" si="87"/>
        <v>418</v>
      </c>
      <c r="I576" s="25" t="s">
        <v>32</v>
      </c>
      <c r="J576" s="24">
        <f t="shared" si="88"/>
        <v>83600</v>
      </c>
      <c r="K576" s="20"/>
      <c r="L576" s="20"/>
      <c r="M576" s="20"/>
      <c r="N576" s="20"/>
      <c r="O576" s="24"/>
      <c r="P576" s="24"/>
      <c r="Q576" s="25"/>
      <c r="R576" s="24"/>
      <c r="S576" s="20"/>
      <c r="T576" s="27"/>
      <c r="U576" s="20"/>
      <c r="V576" s="27">
        <f t="shared" si="89"/>
        <v>83600</v>
      </c>
      <c r="W576" s="26">
        <f t="shared" si="85"/>
        <v>83600</v>
      </c>
      <c r="X576" s="27">
        <v>0</v>
      </c>
      <c r="Y576" s="78">
        <f t="shared" si="86"/>
        <v>83600</v>
      </c>
      <c r="Z576" s="49">
        <v>1E-4</v>
      </c>
    </row>
    <row r="577" spans="1:26" s="29" customFormat="1" ht="90.75" customHeight="1" x14ac:dyDescent="0.25">
      <c r="A577" s="20">
        <v>415</v>
      </c>
      <c r="B577" s="20" t="s">
        <v>0</v>
      </c>
      <c r="C577" s="20">
        <v>6720</v>
      </c>
      <c r="D577" s="21">
        <v>5</v>
      </c>
      <c r="E577" s="21">
        <v>0</v>
      </c>
      <c r="F577" s="22">
        <v>67</v>
      </c>
      <c r="G577" s="22" t="s">
        <v>198</v>
      </c>
      <c r="H577" s="24">
        <f t="shared" si="87"/>
        <v>2067</v>
      </c>
      <c r="I577" s="25" t="s">
        <v>32</v>
      </c>
      <c r="J577" s="24">
        <f t="shared" si="88"/>
        <v>413400</v>
      </c>
      <c r="K577" s="20"/>
      <c r="L577" s="20"/>
      <c r="M577" s="20"/>
      <c r="N577" s="20"/>
      <c r="O577" s="24"/>
      <c r="P577" s="24"/>
      <c r="Q577" s="25"/>
      <c r="R577" s="24"/>
      <c r="S577" s="20"/>
      <c r="T577" s="27"/>
      <c r="U577" s="20"/>
      <c r="V577" s="27">
        <f t="shared" si="89"/>
        <v>413400</v>
      </c>
      <c r="W577" s="26">
        <f t="shared" si="85"/>
        <v>413400</v>
      </c>
      <c r="X577" s="27">
        <v>0</v>
      </c>
      <c r="Y577" s="78">
        <f t="shared" si="86"/>
        <v>413400</v>
      </c>
      <c r="Z577" s="49">
        <v>1E-4</v>
      </c>
    </row>
    <row r="578" spans="1:26" s="29" customFormat="1" ht="90.75" customHeight="1" x14ac:dyDescent="0.25">
      <c r="A578" s="20">
        <v>416</v>
      </c>
      <c r="B578" s="20" t="s">
        <v>0</v>
      </c>
      <c r="C578" s="20">
        <v>6776</v>
      </c>
      <c r="D578" s="21">
        <v>6</v>
      </c>
      <c r="E578" s="21">
        <v>2</v>
      </c>
      <c r="F578" s="22">
        <v>66</v>
      </c>
      <c r="G578" s="22" t="s">
        <v>198</v>
      </c>
      <c r="H578" s="24">
        <f t="shared" si="87"/>
        <v>2666</v>
      </c>
      <c r="I578" s="25" t="s">
        <v>53</v>
      </c>
      <c r="J578" s="24">
        <f t="shared" si="88"/>
        <v>1199700</v>
      </c>
      <c r="K578" s="20"/>
      <c r="L578" s="20"/>
      <c r="M578" s="20"/>
      <c r="N578" s="20"/>
      <c r="O578" s="24"/>
      <c r="P578" s="24"/>
      <c r="Q578" s="25"/>
      <c r="R578" s="24"/>
      <c r="S578" s="20"/>
      <c r="T578" s="27"/>
      <c r="U578" s="20"/>
      <c r="V578" s="27">
        <f t="shared" si="89"/>
        <v>1199700</v>
      </c>
      <c r="W578" s="26">
        <f t="shared" ref="W578:W641" si="90">(V578*100/100)</f>
        <v>1199700</v>
      </c>
      <c r="X578" s="27">
        <v>0</v>
      </c>
      <c r="Y578" s="78">
        <f t="shared" ref="Y578:Y641" si="91">(W578-X578)</f>
        <v>1199700</v>
      </c>
      <c r="Z578" s="49">
        <v>1E-4</v>
      </c>
    </row>
    <row r="579" spans="1:26" s="29" customFormat="1" ht="90.75" customHeight="1" x14ac:dyDescent="0.25">
      <c r="A579" s="20">
        <v>417</v>
      </c>
      <c r="B579" s="20" t="s">
        <v>0</v>
      </c>
      <c r="C579" s="20">
        <v>6772</v>
      </c>
      <c r="D579" s="21">
        <v>10</v>
      </c>
      <c r="E579" s="21">
        <v>2</v>
      </c>
      <c r="F579" s="22">
        <v>34</v>
      </c>
      <c r="G579" s="22" t="s">
        <v>198</v>
      </c>
      <c r="H579" s="24">
        <f t="shared" ref="H579:H642" si="92">(D579*400)+(E579*100)+F579</f>
        <v>4234</v>
      </c>
      <c r="I579" s="25" t="s">
        <v>53</v>
      </c>
      <c r="J579" s="24">
        <f t="shared" ref="J579:J642" si="93">(H579*I579)</f>
        <v>1905300</v>
      </c>
      <c r="K579" s="20"/>
      <c r="L579" s="20"/>
      <c r="M579" s="20"/>
      <c r="N579" s="20"/>
      <c r="O579" s="24"/>
      <c r="P579" s="24"/>
      <c r="Q579" s="25"/>
      <c r="R579" s="24"/>
      <c r="S579" s="20"/>
      <c r="T579" s="27"/>
      <c r="U579" s="20"/>
      <c r="V579" s="27">
        <f t="shared" ref="V579:V642" si="94">(J579+U579)</f>
        <v>1905300</v>
      </c>
      <c r="W579" s="26">
        <f t="shared" si="90"/>
        <v>1905300</v>
      </c>
      <c r="X579" s="27">
        <v>0</v>
      </c>
      <c r="Y579" s="78">
        <f t="shared" si="91"/>
        <v>1905300</v>
      </c>
      <c r="Z579" s="49">
        <v>1E-4</v>
      </c>
    </row>
    <row r="580" spans="1:26" s="29" customFormat="1" ht="90.75" customHeight="1" x14ac:dyDescent="0.25">
      <c r="A580" s="20">
        <v>418</v>
      </c>
      <c r="B580" s="20" t="s">
        <v>0</v>
      </c>
      <c r="C580" s="20">
        <v>9640</v>
      </c>
      <c r="D580" s="21">
        <v>7</v>
      </c>
      <c r="E580" s="21">
        <v>2</v>
      </c>
      <c r="F580" s="22">
        <v>66</v>
      </c>
      <c r="G580" s="22" t="s">
        <v>198</v>
      </c>
      <c r="H580" s="24">
        <f t="shared" si="92"/>
        <v>3066</v>
      </c>
      <c r="I580" s="25" t="s">
        <v>32</v>
      </c>
      <c r="J580" s="24">
        <f t="shared" si="93"/>
        <v>613200</v>
      </c>
      <c r="K580" s="20"/>
      <c r="L580" s="20"/>
      <c r="M580" s="20"/>
      <c r="N580" s="20"/>
      <c r="O580" s="24"/>
      <c r="P580" s="24"/>
      <c r="Q580" s="25"/>
      <c r="R580" s="24"/>
      <c r="S580" s="20"/>
      <c r="T580" s="27"/>
      <c r="U580" s="20"/>
      <c r="V580" s="27">
        <f t="shared" si="94"/>
        <v>613200</v>
      </c>
      <c r="W580" s="26">
        <f t="shared" si="90"/>
        <v>613200</v>
      </c>
      <c r="X580" s="27">
        <v>0</v>
      </c>
      <c r="Y580" s="78">
        <f t="shared" si="91"/>
        <v>613200</v>
      </c>
      <c r="Z580" s="49">
        <v>1E-4</v>
      </c>
    </row>
    <row r="581" spans="1:26" s="29" customFormat="1" ht="90.75" customHeight="1" x14ac:dyDescent="0.25">
      <c r="A581" s="20">
        <v>419</v>
      </c>
      <c r="B581" s="20" t="s">
        <v>0</v>
      </c>
      <c r="C581" s="20">
        <v>9643</v>
      </c>
      <c r="D581" s="21">
        <v>16</v>
      </c>
      <c r="E581" s="21">
        <v>3</v>
      </c>
      <c r="F581" s="22">
        <v>85</v>
      </c>
      <c r="G581" s="22" t="s">
        <v>198</v>
      </c>
      <c r="H581" s="24">
        <f t="shared" si="92"/>
        <v>6785</v>
      </c>
      <c r="I581" s="25" t="s">
        <v>32</v>
      </c>
      <c r="J581" s="24">
        <f t="shared" si="93"/>
        <v>1357000</v>
      </c>
      <c r="K581" s="20"/>
      <c r="L581" s="20"/>
      <c r="M581" s="20"/>
      <c r="N581" s="20"/>
      <c r="O581" s="24"/>
      <c r="P581" s="24"/>
      <c r="Q581" s="25"/>
      <c r="R581" s="24"/>
      <c r="S581" s="20"/>
      <c r="T581" s="27"/>
      <c r="U581" s="20"/>
      <c r="V581" s="27">
        <f t="shared" si="94"/>
        <v>1357000</v>
      </c>
      <c r="W581" s="26">
        <f t="shared" si="90"/>
        <v>1357000</v>
      </c>
      <c r="X581" s="27">
        <v>0</v>
      </c>
      <c r="Y581" s="78">
        <f t="shared" si="91"/>
        <v>1357000</v>
      </c>
      <c r="Z581" s="49">
        <v>1E-4</v>
      </c>
    </row>
    <row r="582" spans="1:26" s="29" customFormat="1" ht="90.75" customHeight="1" x14ac:dyDescent="0.25">
      <c r="A582" s="20">
        <v>420</v>
      </c>
      <c r="B582" s="20" t="s">
        <v>0</v>
      </c>
      <c r="C582" s="20">
        <v>9642</v>
      </c>
      <c r="D582" s="21">
        <v>18</v>
      </c>
      <c r="E582" s="21">
        <v>1</v>
      </c>
      <c r="F582" s="22">
        <v>42</v>
      </c>
      <c r="G582" s="22" t="s">
        <v>198</v>
      </c>
      <c r="H582" s="24">
        <f t="shared" si="92"/>
        <v>7342</v>
      </c>
      <c r="I582" s="25" t="s">
        <v>32</v>
      </c>
      <c r="J582" s="24">
        <f t="shared" si="93"/>
        <v>1468400</v>
      </c>
      <c r="K582" s="20"/>
      <c r="L582" s="20"/>
      <c r="M582" s="20"/>
      <c r="N582" s="20"/>
      <c r="O582" s="24"/>
      <c r="P582" s="24"/>
      <c r="Q582" s="25"/>
      <c r="R582" s="24"/>
      <c r="S582" s="20"/>
      <c r="T582" s="27"/>
      <c r="U582" s="20"/>
      <c r="V582" s="27">
        <f t="shared" si="94"/>
        <v>1468400</v>
      </c>
      <c r="W582" s="26">
        <f t="shared" si="90"/>
        <v>1468400</v>
      </c>
      <c r="X582" s="27">
        <v>0</v>
      </c>
      <c r="Y582" s="78">
        <f t="shared" si="91"/>
        <v>1468400</v>
      </c>
      <c r="Z582" s="49">
        <v>1E-4</v>
      </c>
    </row>
    <row r="583" spans="1:26" s="29" customFormat="1" ht="90.75" customHeight="1" x14ac:dyDescent="0.25">
      <c r="A583" s="20">
        <v>421</v>
      </c>
      <c r="B583" s="20" t="s">
        <v>0</v>
      </c>
      <c r="C583" s="20">
        <v>9644</v>
      </c>
      <c r="D583" s="21">
        <v>17</v>
      </c>
      <c r="E583" s="21">
        <v>3</v>
      </c>
      <c r="F583" s="22">
        <v>94</v>
      </c>
      <c r="G583" s="22" t="s">
        <v>198</v>
      </c>
      <c r="H583" s="24">
        <f t="shared" si="92"/>
        <v>7194</v>
      </c>
      <c r="I583" s="25" t="s">
        <v>32</v>
      </c>
      <c r="J583" s="24">
        <f t="shared" si="93"/>
        <v>1438800</v>
      </c>
      <c r="K583" s="20"/>
      <c r="L583" s="20"/>
      <c r="M583" s="20"/>
      <c r="N583" s="20"/>
      <c r="O583" s="24"/>
      <c r="P583" s="24"/>
      <c r="Q583" s="25"/>
      <c r="R583" s="24"/>
      <c r="S583" s="20"/>
      <c r="T583" s="27"/>
      <c r="U583" s="20"/>
      <c r="V583" s="27">
        <f t="shared" si="94"/>
        <v>1438800</v>
      </c>
      <c r="W583" s="26">
        <f t="shared" si="90"/>
        <v>1438800</v>
      </c>
      <c r="X583" s="27">
        <v>0</v>
      </c>
      <c r="Y583" s="78">
        <f t="shared" si="91"/>
        <v>1438800</v>
      </c>
      <c r="Z583" s="49">
        <v>1E-4</v>
      </c>
    </row>
    <row r="584" spans="1:26" s="29" customFormat="1" ht="90.75" customHeight="1" x14ac:dyDescent="0.25">
      <c r="A584" s="20">
        <v>422</v>
      </c>
      <c r="B584" s="20" t="s">
        <v>0</v>
      </c>
      <c r="C584" s="20">
        <v>7176</v>
      </c>
      <c r="D584" s="21">
        <v>52</v>
      </c>
      <c r="E584" s="21">
        <v>1</v>
      </c>
      <c r="F584" s="22">
        <v>55</v>
      </c>
      <c r="G584" s="22" t="s">
        <v>198</v>
      </c>
      <c r="H584" s="24">
        <f t="shared" si="92"/>
        <v>20955</v>
      </c>
      <c r="I584" s="25" t="s">
        <v>19</v>
      </c>
      <c r="J584" s="24">
        <f t="shared" si="93"/>
        <v>7858125</v>
      </c>
      <c r="K584" s="20"/>
      <c r="L584" s="20"/>
      <c r="M584" s="20"/>
      <c r="N584" s="20"/>
      <c r="O584" s="24"/>
      <c r="P584" s="24"/>
      <c r="Q584" s="25"/>
      <c r="R584" s="24"/>
      <c r="S584" s="20"/>
      <c r="T584" s="27"/>
      <c r="U584" s="20"/>
      <c r="V584" s="27">
        <f t="shared" si="94"/>
        <v>7858125</v>
      </c>
      <c r="W584" s="26">
        <f t="shared" si="90"/>
        <v>7858125</v>
      </c>
      <c r="X584" s="27">
        <v>0</v>
      </c>
      <c r="Y584" s="78">
        <f t="shared" si="91"/>
        <v>7858125</v>
      </c>
      <c r="Z584" s="49">
        <v>1E-4</v>
      </c>
    </row>
    <row r="585" spans="1:26" s="29" customFormat="1" ht="90.75" customHeight="1" x14ac:dyDescent="0.25">
      <c r="A585" s="20">
        <v>423</v>
      </c>
      <c r="B585" s="20" t="s">
        <v>0</v>
      </c>
      <c r="C585" s="20">
        <v>8201</v>
      </c>
      <c r="D585" s="21">
        <v>22</v>
      </c>
      <c r="E585" s="21">
        <v>2</v>
      </c>
      <c r="F585" s="22">
        <v>53</v>
      </c>
      <c r="G585" s="22" t="s">
        <v>198</v>
      </c>
      <c r="H585" s="24">
        <f t="shared" si="92"/>
        <v>9053</v>
      </c>
      <c r="I585" s="25" t="s">
        <v>32</v>
      </c>
      <c r="J585" s="24">
        <f t="shared" si="93"/>
        <v>1810600</v>
      </c>
      <c r="K585" s="20"/>
      <c r="L585" s="20"/>
      <c r="M585" s="20"/>
      <c r="N585" s="20"/>
      <c r="O585" s="24"/>
      <c r="P585" s="24"/>
      <c r="Q585" s="25"/>
      <c r="R585" s="24"/>
      <c r="S585" s="20"/>
      <c r="T585" s="27"/>
      <c r="U585" s="20"/>
      <c r="V585" s="27">
        <f t="shared" si="94"/>
        <v>1810600</v>
      </c>
      <c r="W585" s="26">
        <f t="shared" si="90"/>
        <v>1810600</v>
      </c>
      <c r="X585" s="27">
        <v>0</v>
      </c>
      <c r="Y585" s="78">
        <f t="shared" si="91"/>
        <v>1810600</v>
      </c>
      <c r="Z585" s="49">
        <v>1E-4</v>
      </c>
    </row>
    <row r="586" spans="1:26" s="29" customFormat="1" ht="90.75" customHeight="1" x14ac:dyDescent="0.25">
      <c r="A586" s="20">
        <v>424</v>
      </c>
      <c r="B586" s="20" t="s">
        <v>0</v>
      </c>
      <c r="C586" s="20">
        <v>9646</v>
      </c>
      <c r="D586" s="21">
        <v>25</v>
      </c>
      <c r="E586" s="21">
        <v>3</v>
      </c>
      <c r="F586" s="22">
        <v>7</v>
      </c>
      <c r="G586" s="22" t="s">
        <v>198</v>
      </c>
      <c r="H586" s="24">
        <f t="shared" si="92"/>
        <v>10307</v>
      </c>
      <c r="I586" s="25" t="s">
        <v>32</v>
      </c>
      <c r="J586" s="24">
        <f t="shared" si="93"/>
        <v>2061400</v>
      </c>
      <c r="K586" s="20"/>
      <c r="L586" s="20"/>
      <c r="M586" s="20"/>
      <c r="N586" s="20"/>
      <c r="O586" s="24"/>
      <c r="P586" s="24"/>
      <c r="Q586" s="25"/>
      <c r="R586" s="24"/>
      <c r="S586" s="20"/>
      <c r="T586" s="27"/>
      <c r="U586" s="20"/>
      <c r="V586" s="27">
        <f t="shared" si="94"/>
        <v>2061400</v>
      </c>
      <c r="W586" s="26">
        <f t="shared" si="90"/>
        <v>2061400</v>
      </c>
      <c r="X586" s="27">
        <v>0</v>
      </c>
      <c r="Y586" s="78">
        <f t="shared" si="91"/>
        <v>2061400</v>
      </c>
      <c r="Z586" s="49">
        <v>1E-4</v>
      </c>
    </row>
    <row r="587" spans="1:26" s="29" customFormat="1" ht="90.75" customHeight="1" x14ac:dyDescent="0.25">
      <c r="A587" s="20">
        <v>425</v>
      </c>
      <c r="B587" s="20" t="s">
        <v>0</v>
      </c>
      <c r="C587" s="20">
        <v>6761</v>
      </c>
      <c r="D587" s="21">
        <v>12</v>
      </c>
      <c r="E587" s="21">
        <v>2</v>
      </c>
      <c r="F587" s="22">
        <v>48</v>
      </c>
      <c r="G587" s="22" t="s">
        <v>198</v>
      </c>
      <c r="H587" s="24">
        <f t="shared" si="92"/>
        <v>5048</v>
      </c>
      <c r="I587" s="25" t="s">
        <v>32</v>
      </c>
      <c r="J587" s="24">
        <f t="shared" si="93"/>
        <v>1009600</v>
      </c>
      <c r="K587" s="20"/>
      <c r="L587" s="20"/>
      <c r="M587" s="20"/>
      <c r="N587" s="20"/>
      <c r="O587" s="24"/>
      <c r="P587" s="24"/>
      <c r="Q587" s="25"/>
      <c r="R587" s="24"/>
      <c r="S587" s="20"/>
      <c r="T587" s="27"/>
      <c r="U587" s="20"/>
      <c r="V587" s="27">
        <f t="shared" si="94"/>
        <v>1009600</v>
      </c>
      <c r="W587" s="26">
        <f t="shared" si="90"/>
        <v>1009600</v>
      </c>
      <c r="X587" s="27">
        <v>0</v>
      </c>
      <c r="Y587" s="78">
        <f t="shared" si="91"/>
        <v>1009600</v>
      </c>
      <c r="Z587" s="49">
        <v>1E-4</v>
      </c>
    </row>
    <row r="588" spans="1:26" s="29" customFormat="1" ht="90.75" customHeight="1" x14ac:dyDescent="0.25">
      <c r="A588" s="20">
        <v>426</v>
      </c>
      <c r="B588" s="20" t="s">
        <v>0</v>
      </c>
      <c r="C588" s="20">
        <v>6762</v>
      </c>
      <c r="D588" s="21">
        <v>5</v>
      </c>
      <c r="E588" s="21">
        <v>0</v>
      </c>
      <c r="F588" s="22">
        <v>45</v>
      </c>
      <c r="G588" s="22" t="s">
        <v>198</v>
      </c>
      <c r="H588" s="24">
        <f t="shared" si="92"/>
        <v>2045</v>
      </c>
      <c r="I588" s="25" t="s">
        <v>32</v>
      </c>
      <c r="J588" s="24">
        <f t="shared" si="93"/>
        <v>409000</v>
      </c>
      <c r="K588" s="20"/>
      <c r="L588" s="20"/>
      <c r="M588" s="20"/>
      <c r="N588" s="20"/>
      <c r="O588" s="24"/>
      <c r="P588" s="24"/>
      <c r="Q588" s="25"/>
      <c r="R588" s="24"/>
      <c r="S588" s="20"/>
      <c r="T588" s="27"/>
      <c r="U588" s="20"/>
      <c r="V588" s="27">
        <f t="shared" si="94"/>
        <v>409000</v>
      </c>
      <c r="W588" s="26">
        <f t="shared" si="90"/>
        <v>409000</v>
      </c>
      <c r="X588" s="27">
        <v>0</v>
      </c>
      <c r="Y588" s="78">
        <f t="shared" si="91"/>
        <v>409000</v>
      </c>
      <c r="Z588" s="49">
        <v>1E-4</v>
      </c>
    </row>
    <row r="589" spans="1:26" s="29" customFormat="1" ht="90.75" customHeight="1" x14ac:dyDescent="0.25">
      <c r="A589" s="20">
        <v>427</v>
      </c>
      <c r="B589" s="20" t="s">
        <v>0</v>
      </c>
      <c r="C589" s="20">
        <v>6763</v>
      </c>
      <c r="D589" s="21">
        <v>4</v>
      </c>
      <c r="E589" s="21">
        <v>2</v>
      </c>
      <c r="F589" s="22">
        <v>1</v>
      </c>
      <c r="G589" s="22" t="s">
        <v>198</v>
      </c>
      <c r="H589" s="24">
        <f t="shared" si="92"/>
        <v>1801</v>
      </c>
      <c r="I589" s="25" t="s">
        <v>32</v>
      </c>
      <c r="J589" s="24">
        <f t="shared" si="93"/>
        <v>360200</v>
      </c>
      <c r="K589" s="20"/>
      <c r="L589" s="20"/>
      <c r="M589" s="20"/>
      <c r="N589" s="20"/>
      <c r="O589" s="24"/>
      <c r="P589" s="24"/>
      <c r="Q589" s="25"/>
      <c r="R589" s="24"/>
      <c r="S589" s="20"/>
      <c r="T589" s="27"/>
      <c r="U589" s="20"/>
      <c r="V589" s="27">
        <f t="shared" si="94"/>
        <v>360200</v>
      </c>
      <c r="W589" s="26">
        <f t="shared" si="90"/>
        <v>360200</v>
      </c>
      <c r="X589" s="27">
        <v>0</v>
      </c>
      <c r="Y589" s="78">
        <f t="shared" si="91"/>
        <v>360200</v>
      </c>
      <c r="Z589" s="49">
        <v>1E-4</v>
      </c>
    </row>
    <row r="590" spans="1:26" s="29" customFormat="1" ht="90.75" customHeight="1" x14ac:dyDescent="0.25">
      <c r="A590" s="20">
        <v>428</v>
      </c>
      <c r="B590" s="20" t="s">
        <v>0</v>
      </c>
      <c r="C590" s="20">
        <v>6760</v>
      </c>
      <c r="D590" s="21">
        <v>5</v>
      </c>
      <c r="E590" s="21">
        <v>2</v>
      </c>
      <c r="F590" s="22">
        <v>56</v>
      </c>
      <c r="G590" s="22" t="s">
        <v>198</v>
      </c>
      <c r="H590" s="24">
        <f t="shared" si="92"/>
        <v>2256</v>
      </c>
      <c r="I590" s="25" t="s">
        <v>32</v>
      </c>
      <c r="J590" s="24">
        <f t="shared" si="93"/>
        <v>451200</v>
      </c>
      <c r="K590" s="20"/>
      <c r="L590" s="20"/>
      <c r="M590" s="20"/>
      <c r="N590" s="20"/>
      <c r="O590" s="24"/>
      <c r="P590" s="24"/>
      <c r="Q590" s="25"/>
      <c r="R590" s="24"/>
      <c r="S590" s="20"/>
      <c r="T590" s="27"/>
      <c r="U590" s="20"/>
      <c r="V590" s="27">
        <f t="shared" si="94"/>
        <v>451200</v>
      </c>
      <c r="W590" s="26">
        <f t="shared" si="90"/>
        <v>451200</v>
      </c>
      <c r="X590" s="27">
        <v>0</v>
      </c>
      <c r="Y590" s="78">
        <f t="shared" si="91"/>
        <v>451200</v>
      </c>
      <c r="Z590" s="49">
        <v>1E-4</v>
      </c>
    </row>
    <row r="591" spans="1:26" s="29" customFormat="1" ht="90.75" customHeight="1" x14ac:dyDescent="0.25">
      <c r="A591" s="20">
        <v>429</v>
      </c>
      <c r="B591" s="20" t="s">
        <v>0</v>
      </c>
      <c r="C591" s="20">
        <v>9648</v>
      </c>
      <c r="D591" s="21">
        <v>41</v>
      </c>
      <c r="E591" s="21">
        <v>2</v>
      </c>
      <c r="F591" s="22">
        <v>8</v>
      </c>
      <c r="G591" s="22" t="s">
        <v>198</v>
      </c>
      <c r="H591" s="24">
        <f t="shared" si="92"/>
        <v>16608</v>
      </c>
      <c r="I591" s="25" t="s">
        <v>32</v>
      </c>
      <c r="J591" s="24">
        <f t="shared" si="93"/>
        <v>3321600</v>
      </c>
      <c r="K591" s="20"/>
      <c r="L591" s="20"/>
      <c r="M591" s="20"/>
      <c r="N591" s="20"/>
      <c r="O591" s="24"/>
      <c r="P591" s="24"/>
      <c r="Q591" s="25"/>
      <c r="R591" s="24"/>
      <c r="S591" s="20"/>
      <c r="T591" s="27"/>
      <c r="U591" s="20"/>
      <c r="V591" s="27">
        <f t="shared" si="94"/>
        <v>3321600</v>
      </c>
      <c r="W591" s="26">
        <f t="shared" si="90"/>
        <v>3321600</v>
      </c>
      <c r="X591" s="27">
        <v>0</v>
      </c>
      <c r="Y591" s="78">
        <f t="shared" si="91"/>
        <v>3321600</v>
      </c>
      <c r="Z591" s="49">
        <v>1E-4</v>
      </c>
    </row>
    <row r="592" spans="1:26" s="29" customFormat="1" ht="90.75" customHeight="1" x14ac:dyDescent="0.25">
      <c r="A592" s="20">
        <v>430</v>
      </c>
      <c r="B592" s="20" t="s">
        <v>0</v>
      </c>
      <c r="C592" s="20">
        <v>9650</v>
      </c>
      <c r="D592" s="21">
        <v>10</v>
      </c>
      <c r="E592" s="21">
        <v>3</v>
      </c>
      <c r="F592" s="22">
        <v>8</v>
      </c>
      <c r="G592" s="22" t="s">
        <v>198</v>
      </c>
      <c r="H592" s="24">
        <f t="shared" si="92"/>
        <v>4308</v>
      </c>
      <c r="I592" s="25" t="s">
        <v>11</v>
      </c>
      <c r="J592" s="24">
        <f t="shared" si="93"/>
        <v>1184700</v>
      </c>
      <c r="K592" s="20"/>
      <c r="L592" s="20"/>
      <c r="M592" s="20"/>
      <c r="N592" s="20"/>
      <c r="O592" s="24"/>
      <c r="P592" s="24"/>
      <c r="Q592" s="25"/>
      <c r="R592" s="24"/>
      <c r="S592" s="20"/>
      <c r="T592" s="27"/>
      <c r="U592" s="20"/>
      <c r="V592" s="27">
        <f t="shared" si="94"/>
        <v>1184700</v>
      </c>
      <c r="W592" s="26">
        <f t="shared" si="90"/>
        <v>1184700</v>
      </c>
      <c r="X592" s="27">
        <v>0</v>
      </c>
      <c r="Y592" s="78">
        <f t="shared" si="91"/>
        <v>1184700</v>
      </c>
      <c r="Z592" s="49">
        <v>1E-4</v>
      </c>
    </row>
    <row r="593" spans="1:26" s="29" customFormat="1" ht="90.75" customHeight="1" x14ac:dyDescent="0.25">
      <c r="A593" s="20">
        <v>431</v>
      </c>
      <c r="B593" s="20" t="s">
        <v>0</v>
      </c>
      <c r="C593" s="20">
        <v>9649</v>
      </c>
      <c r="D593" s="21">
        <v>10</v>
      </c>
      <c r="E593" s="21">
        <v>0</v>
      </c>
      <c r="F593" s="22">
        <v>6</v>
      </c>
      <c r="G593" s="22" t="s">
        <v>198</v>
      </c>
      <c r="H593" s="24">
        <f t="shared" si="92"/>
        <v>4006</v>
      </c>
      <c r="I593" s="25" t="s">
        <v>32</v>
      </c>
      <c r="J593" s="24">
        <f t="shared" si="93"/>
        <v>801200</v>
      </c>
      <c r="K593" s="20"/>
      <c r="L593" s="20"/>
      <c r="M593" s="20"/>
      <c r="N593" s="20"/>
      <c r="O593" s="24"/>
      <c r="P593" s="24"/>
      <c r="Q593" s="25"/>
      <c r="R593" s="24"/>
      <c r="S593" s="20"/>
      <c r="T593" s="27"/>
      <c r="U593" s="20"/>
      <c r="V593" s="27">
        <f t="shared" si="94"/>
        <v>801200</v>
      </c>
      <c r="W593" s="26">
        <f t="shared" si="90"/>
        <v>801200</v>
      </c>
      <c r="X593" s="27">
        <v>0</v>
      </c>
      <c r="Y593" s="78">
        <f t="shared" si="91"/>
        <v>801200</v>
      </c>
      <c r="Z593" s="49">
        <v>1E-4</v>
      </c>
    </row>
    <row r="594" spans="1:26" s="29" customFormat="1" ht="90.75" customHeight="1" x14ac:dyDescent="0.25">
      <c r="A594" s="20">
        <v>432</v>
      </c>
      <c r="B594" s="20" t="s">
        <v>0</v>
      </c>
      <c r="C594" s="20">
        <v>9828</v>
      </c>
      <c r="D594" s="21">
        <v>42</v>
      </c>
      <c r="E594" s="21">
        <v>0</v>
      </c>
      <c r="F594" s="22">
        <v>0</v>
      </c>
      <c r="G594" s="22" t="s">
        <v>198</v>
      </c>
      <c r="H594" s="24">
        <f t="shared" si="92"/>
        <v>16800</v>
      </c>
      <c r="I594" s="25" t="s">
        <v>32</v>
      </c>
      <c r="J594" s="24">
        <f t="shared" si="93"/>
        <v>3360000</v>
      </c>
      <c r="K594" s="20"/>
      <c r="L594" s="20"/>
      <c r="M594" s="20"/>
      <c r="N594" s="20"/>
      <c r="O594" s="24"/>
      <c r="P594" s="24"/>
      <c r="Q594" s="25"/>
      <c r="R594" s="24"/>
      <c r="S594" s="20"/>
      <c r="T594" s="27"/>
      <c r="U594" s="20"/>
      <c r="V594" s="27">
        <f t="shared" si="94"/>
        <v>3360000</v>
      </c>
      <c r="W594" s="26">
        <f t="shared" si="90"/>
        <v>3360000</v>
      </c>
      <c r="X594" s="27">
        <v>0</v>
      </c>
      <c r="Y594" s="78">
        <f t="shared" si="91"/>
        <v>3360000</v>
      </c>
      <c r="Z594" s="49">
        <v>1E-4</v>
      </c>
    </row>
    <row r="595" spans="1:26" s="29" customFormat="1" ht="90.75" customHeight="1" x14ac:dyDescent="0.25">
      <c r="A595" s="20">
        <v>433</v>
      </c>
      <c r="B595" s="20" t="s">
        <v>0</v>
      </c>
      <c r="C595" s="20">
        <v>6757</v>
      </c>
      <c r="D595" s="21">
        <v>3</v>
      </c>
      <c r="E595" s="21">
        <v>2</v>
      </c>
      <c r="F595" s="22">
        <v>57</v>
      </c>
      <c r="G595" s="22" t="s">
        <v>198</v>
      </c>
      <c r="H595" s="24">
        <f t="shared" si="92"/>
        <v>1457</v>
      </c>
      <c r="I595" s="25" t="s">
        <v>32</v>
      </c>
      <c r="J595" s="24">
        <f t="shared" si="93"/>
        <v>291400</v>
      </c>
      <c r="K595" s="20"/>
      <c r="L595" s="20"/>
      <c r="M595" s="20"/>
      <c r="N595" s="20"/>
      <c r="O595" s="24"/>
      <c r="P595" s="24"/>
      <c r="Q595" s="25"/>
      <c r="R595" s="24"/>
      <c r="S595" s="20"/>
      <c r="T595" s="27"/>
      <c r="U595" s="20"/>
      <c r="V595" s="27">
        <f t="shared" si="94"/>
        <v>291400</v>
      </c>
      <c r="W595" s="26">
        <f t="shared" si="90"/>
        <v>291400</v>
      </c>
      <c r="X595" s="27">
        <v>0</v>
      </c>
      <c r="Y595" s="78">
        <f t="shared" si="91"/>
        <v>291400</v>
      </c>
      <c r="Z595" s="49">
        <v>1E-4</v>
      </c>
    </row>
    <row r="596" spans="1:26" s="29" customFormat="1" ht="90.75" customHeight="1" x14ac:dyDescent="0.25">
      <c r="A596" s="20">
        <v>434</v>
      </c>
      <c r="B596" s="20" t="s">
        <v>0</v>
      </c>
      <c r="C596" s="20">
        <v>6758</v>
      </c>
      <c r="D596" s="21">
        <v>4</v>
      </c>
      <c r="E596" s="21">
        <v>1</v>
      </c>
      <c r="F596" s="22">
        <v>36</v>
      </c>
      <c r="G596" s="22" t="s">
        <v>198</v>
      </c>
      <c r="H596" s="24">
        <f t="shared" si="92"/>
        <v>1736</v>
      </c>
      <c r="I596" s="25" t="s">
        <v>32</v>
      </c>
      <c r="J596" s="24">
        <f t="shared" si="93"/>
        <v>347200</v>
      </c>
      <c r="K596" s="20"/>
      <c r="L596" s="20"/>
      <c r="M596" s="20"/>
      <c r="N596" s="20"/>
      <c r="O596" s="24"/>
      <c r="P596" s="24"/>
      <c r="Q596" s="25"/>
      <c r="R596" s="24"/>
      <c r="S596" s="20"/>
      <c r="T596" s="27"/>
      <c r="U596" s="20"/>
      <c r="V596" s="27">
        <f t="shared" si="94"/>
        <v>347200</v>
      </c>
      <c r="W596" s="26">
        <f t="shared" si="90"/>
        <v>347200</v>
      </c>
      <c r="X596" s="27">
        <v>0</v>
      </c>
      <c r="Y596" s="78">
        <f t="shared" si="91"/>
        <v>347200</v>
      </c>
      <c r="Z596" s="49">
        <v>1E-4</v>
      </c>
    </row>
    <row r="597" spans="1:26" s="29" customFormat="1" ht="90.75" customHeight="1" x14ac:dyDescent="0.25">
      <c r="A597" s="20">
        <v>435</v>
      </c>
      <c r="B597" s="20" t="s">
        <v>0</v>
      </c>
      <c r="C597" s="20">
        <v>6756</v>
      </c>
      <c r="D597" s="21">
        <v>6</v>
      </c>
      <c r="E597" s="21">
        <v>1</v>
      </c>
      <c r="F597" s="22">
        <v>65</v>
      </c>
      <c r="G597" s="22" t="s">
        <v>198</v>
      </c>
      <c r="H597" s="24">
        <f t="shared" si="92"/>
        <v>2565</v>
      </c>
      <c r="I597" s="25" t="s">
        <v>32</v>
      </c>
      <c r="J597" s="24">
        <f t="shared" si="93"/>
        <v>513000</v>
      </c>
      <c r="K597" s="20"/>
      <c r="L597" s="20"/>
      <c r="M597" s="20"/>
      <c r="N597" s="20"/>
      <c r="O597" s="24"/>
      <c r="P597" s="24"/>
      <c r="Q597" s="25"/>
      <c r="R597" s="24"/>
      <c r="S597" s="20"/>
      <c r="T597" s="27"/>
      <c r="U597" s="20"/>
      <c r="V597" s="27">
        <f t="shared" si="94"/>
        <v>513000</v>
      </c>
      <c r="W597" s="26">
        <f t="shared" si="90"/>
        <v>513000</v>
      </c>
      <c r="X597" s="27">
        <v>0</v>
      </c>
      <c r="Y597" s="78">
        <f t="shared" si="91"/>
        <v>513000</v>
      </c>
      <c r="Z597" s="49">
        <v>1E-4</v>
      </c>
    </row>
    <row r="598" spans="1:26" s="29" customFormat="1" ht="90.75" customHeight="1" x14ac:dyDescent="0.25">
      <c r="A598" s="20">
        <v>436</v>
      </c>
      <c r="B598" s="20" t="s">
        <v>0</v>
      </c>
      <c r="C598" s="20">
        <v>6759</v>
      </c>
      <c r="D598" s="21">
        <v>4</v>
      </c>
      <c r="E598" s="21">
        <v>1</v>
      </c>
      <c r="F598" s="22">
        <v>75</v>
      </c>
      <c r="G598" s="22" t="s">
        <v>198</v>
      </c>
      <c r="H598" s="24">
        <f t="shared" si="92"/>
        <v>1775</v>
      </c>
      <c r="I598" s="25" t="s">
        <v>32</v>
      </c>
      <c r="J598" s="24">
        <f t="shared" si="93"/>
        <v>355000</v>
      </c>
      <c r="K598" s="20"/>
      <c r="L598" s="20"/>
      <c r="M598" s="20"/>
      <c r="N598" s="20"/>
      <c r="O598" s="24"/>
      <c r="P598" s="24"/>
      <c r="Q598" s="25"/>
      <c r="R598" s="24"/>
      <c r="S598" s="20"/>
      <c r="T598" s="27"/>
      <c r="U598" s="20"/>
      <c r="V598" s="27">
        <f t="shared" si="94"/>
        <v>355000</v>
      </c>
      <c r="W598" s="26">
        <f t="shared" si="90"/>
        <v>355000</v>
      </c>
      <c r="X598" s="27">
        <v>0</v>
      </c>
      <c r="Y598" s="78">
        <f t="shared" si="91"/>
        <v>355000</v>
      </c>
      <c r="Z598" s="49">
        <v>1E-4</v>
      </c>
    </row>
    <row r="599" spans="1:26" s="29" customFormat="1" ht="90.75" customHeight="1" x14ac:dyDescent="0.25">
      <c r="A599" s="20">
        <v>437</v>
      </c>
      <c r="B599" s="20" t="s">
        <v>0</v>
      </c>
      <c r="C599" s="20">
        <v>9827</v>
      </c>
      <c r="D599" s="21">
        <v>19</v>
      </c>
      <c r="E599" s="21">
        <v>0</v>
      </c>
      <c r="F599" s="22">
        <v>14</v>
      </c>
      <c r="G599" s="22" t="s">
        <v>198</v>
      </c>
      <c r="H599" s="24">
        <f t="shared" si="92"/>
        <v>7614</v>
      </c>
      <c r="I599" s="25" t="s">
        <v>19</v>
      </c>
      <c r="J599" s="24">
        <f t="shared" si="93"/>
        <v>2855250</v>
      </c>
      <c r="K599" s="20"/>
      <c r="L599" s="20"/>
      <c r="M599" s="20"/>
      <c r="N599" s="20"/>
      <c r="O599" s="24"/>
      <c r="P599" s="24"/>
      <c r="Q599" s="25"/>
      <c r="R599" s="24"/>
      <c r="S599" s="20"/>
      <c r="T599" s="27"/>
      <c r="U599" s="20"/>
      <c r="V599" s="27">
        <f t="shared" si="94"/>
        <v>2855250</v>
      </c>
      <c r="W599" s="26">
        <f t="shared" si="90"/>
        <v>2855250</v>
      </c>
      <c r="X599" s="27">
        <v>0</v>
      </c>
      <c r="Y599" s="78">
        <f t="shared" si="91"/>
        <v>2855250</v>
      </c>
      <c r="Z599" s="49">
        <v>1E-4</v>
      </c>
    </row>
    <row r="600" spans="1:26" s="29" customFormat="1" ht="90.75" customHeight="1" x14ac:dyDescent="0.25">
      <c r="A600" s="20">
        <v>438</v>
      </c>
      <c r="B600" s="20" t="s">
        <v>0</v>
      </c>
      <c r="C600" s="20">
        <v>11669</v>
      </c>
      <c r="D600" s="21">
        <v>23</v>
      </c>
      <c r="E600" s="21">
        <v>2</v>
      </c>
      <c r="F600" s="22">
        <v>66</v>
      </c>
      <c r="G600" s="22" t="s">
        <v>198</v>
      </c>
      <c r="H600" s="24">
        <f t="shared" si="92"/>
        <v>9466</v>
      </c>
      <c r="I600" s="25" t="s">
        <v>19</v>
      </c>
      <c r="J600" s="24">
        <f t="shared" si="93"/>
        <v>3549750</v>
      </c>
      <c r="K600" s="20"/>
      <c r="L600" s="20"/>
      <c r="M600" s="20"/>
      <c r="N600" s="20"/>
      <c r="O600" s="24"/>
      <c r="P600" s="24"/>
      <c r="Q600" s="25"/>
      <c r="R600" s="24"/>
      <c r="S600" s="20"/>
      <c r="T600" s="27"/>
      <c r="U600" s="20"/>
      <c r="V600" s="27">
        <f t="shared" si="94"/>
        <v>3549750</v>
      </c>
      <c r="W600" s="26">
        <f t="shared" si="90"/>
        <v>3549750</v>
      </c>
      <c r="X600" s="27">
        <v>0</v>
      </c>
      <c r="Y600" s="78">
        <f t="shared" si="91"/>
        <v>3549750</v>
      </c>
      <c r="Z600" s="49">
        <v>1E-4</v>
      </c>
    </row>
    <row r="601" spans="1:26" s="29" customFormat="1" ht="90.75" customHeight="1" x14ac:dyDescent="0.25">
      <c r="A601" s="20">
        <v>439</v>
      </c>
      <c r="B601" s="20" t="s">
        <v>0</v>
      </c>
      <c r="C601" s="20">
        <v>7935</v>
      </c>
      <c r="D601" s="21">
        <v>2</v>
      </c>
      <c r="E601" s="21">
        <v>3</v>
      </c>
      <c r="F601" s="22">
        <v>19</v>
      </c>
      <c r="G601" s="22" t="s">
        <v>198</v>
      </c>
      <c r="H601" s="24">
        <f t="shared" si="92"/>
        <v>1119</v>
      </c>
      <c r="I601" s="25" t="s">
        <v>32</v>
      </c>
      <c r="J601" s="24">
        <f t="shared" si="93"/>
        <v>223800</v>
      </c>
      <c r="K601" s="20"/>
      <c r="L601" s="20"/>
      <c r="M601" s="20"/>
      <c r="N601" s="20"/>
      <c r="O601" s="24"/>
      <c r="P601" s="24"/>
      <c r="Q601" s="25"/>
      <c r="R601" s="24"/>
      <c r="S601" s="20"/>
      <c r="T601" s="27"/>
      <c r="U601" s="20"/>
      <c r="V601" s="27">
        <f t="shared" si="94"/>
        <v>223800</v>
      </c>
      <c r="W601" s="26">
        <f t="shared" si="90"/>
        <v>223800</v>
      </c>
      <c r="X601" s="27">
        <v>0</v>
      </c>
      <c r="Y601" s="78">
        <f t="shared" si="91"/>
        <v>223800</v>
      </c>
      <c r="Z601" s="49">
        <v>1E-4</v>
      </c>
    </row>
    <row r="602" spans="1:26" s="29" customFormat="1" ht="90.75" customHeight="1" x14ac:dyDescent="0.25">
      <c r="A602" s="20">
        <v>440</v>
      </c>
      <c r="B602" s="20" t="s">
        <v>0</v>
      </c>
      <c r="C602" s="20">
        <v>7936</v>
      </c>
      <c r="D602" s="21">
        <v>2</v>
      </c>
      <c r="E602" s="21">
        <v>3</v>
      </c>
      <c r="F602" s="22">
        <v>19</v>
      </c>
      <c r="G602" s="22" t="s">
        <v>198</v>
      </c>
      <c r="H602" s="24">
        <f t="shared" si="92"/>
        <v>1119</v>
      </c>
      <c r="I602" s="25" t="s">
        <v>32</v>
      </c>
      <c r="J602" s="24">
        <f t="shared" si="93"/>
        <v>223800</v>
      </c>
      <c r="K602" s="20"/>
      <c r="L602" s="20"/>
      <c r="M602" s="20"/>
      <c r="N602" s="20"/>
      <c r="O602" s="24"/>
      <c r="P602" s="24"/>
      <c r="Q602" s="25"/>
      <c r="R602" s="24"/>
      <c r="S602" s="20"/>
      <c r="T602" s="27"/>
      <c r="U602" s="20"/>
      <c r="V602" s="27">
        <f t="shared" si="94"/>
        <v>223800</v>
      </c>
      <c r="W602" s="26">
        <f t="shared" si="90"/>
        <v>223800</v>
      </c>
      <c r="X602" s="27">
        <v>0</v>
      </c>
      <c r="Y602" s="78">
        <f t="shared" si="91"/>
        <v>223800</v>
      </c>
      <c r="Z602" s="49">
        <v>1E-4</v>
      </c>
    </row>
    <row r="603" spans="1:26" s="29" customFormat="1" ht="90.75" customHeight="1" x14ac:dyDescent="0.25">
      <c r="A603" s="20">
        <v>441</v>
      </c>
      <c r="B603" s="20" t="s">
        <v>0</v>
      </c>
      <c r="C603" s="20">
        <v>6896</v>
      </c>
      <c r="D603" s="21">
        <v>14</v>
      </c>
      <c r="E603" s="21">
        <v>2</v>
      </c>
      <c r="F603" s="22">
        <v>92</v>
      </c>
      <c r="G603" s="22" t="s">
        <v>198</v>
      </c>
      <c r="H603" s="24">
        <f t="shared" si="92"/>
        <v>5892</v>
      </c>
      <c r="I603" s="25" t="s">
        <v>32</v>
      </c>
      <c r="J603" s="24">
        <f t="shared" si="93"/>
        <v>1178400</v>
      </c>
      <c r="K603" s="20"/>
      <c r="L603" s="20"/>
      <c r="M603" s="20"/>
      <c r="N603" s="20"/>
      <c r="O603" s="24"/>
      <c r="P603" s="24"/>
      <c r="Q603" s="25"/>
      <c r="R603" s="24"/>
      <c r="S603" s="20"/>
      <c r="T603" s="27"/>
      <c r="U603" s="20"/>
      <c r="V603" s="27">
        <f t="shared" si="94"/>
        <v>1178400</v>
      </c>
      <c r="W603" s="26">
        <f t="shared" si="90"/>
        <v>1178400</v>
      </c>
      <c r="X603" s="27">
        <v>0</v>
      </c>
      <c r="Y603" s="78">
        <f t="shared" si="91"/>
        <v>1178400</v>
      </c>
      <c r="Z603" s="49">
        <v>1E-4</v>
      </c>
    </row>
    <row r="604" spans="1:26" s="29" customFormat="1" ht="90.75" customHeight="1" x14ac:dyDescent="0.25">
      <c r="A604" s="20">
        <v>442</v>
      </c>
      <c r="B604" s="20" t="s">
        <v>0</v>
      </c>
      <c r="C604" s="20">
        <v>6898</v>
      </c>
      <c r="D604" s="21">
        <v>13</v>
      </c>
      <c r="E604" s="21">
        <v>1</v>
      </c>
      <c r="F604" s="22">
        <v>52</v>
      </c>
      <c r="G604" s="22" t="s">
        <v>198</v>
      </c>
      <c r="H604" s="24">
        <f t="shared" si="92"/>
        <v>5352</v>
      </c>
      <c r="I604" s="25" t="s">
        <v>32</v>
      </c>
      <c r="J604" s="24">
        <f t="shared" si="93"/>
        <v>1070400</v>
      </c>
      <c r="K604" s="20"/>
      <c r="L604" s="20"/>
      <c r="M604" s="20"/>
      <c r="N604" s="20"/>
      <c r="O604" s="24"/>
      <c r="P604" s="24"/>
      <c r="Q604" s="25"/>
      <c r="R604" s="24"/>
      <c r="S604" s="20"/>
      <c r="T604" s="27"/>
      <c r="U604" s="20"/>
      <c r="V604" s="27">
        <f t="shared" si="94"/>
        <v>1070400</v>
      </c>
      <c r="W604" s="26">
        <f t="shared" si="90"/>
        <v>1070400</v>
      </c>
      <c r="X604" s="27">
        <v>0</v>
      </c>
      <c r="Y604" s="78">
        <f t="shared" si="91"/>
        <v>1070400</v>
      </c>
      <c r="Z604" s="49">
        <v>1E-4</v>
      </c>
    </row>
    <row r="605" spans="1:26" s="29" customFormat="1" ht="90.75" customHeight="1" x14ac:dyDescent="0.25">
      <c r="A605" s="20">
        <v>443</v>
      </c>
      <c r="B605" s="20" t="s">
        <v>0</v>
      </c>
      <c r="C605" s="20">
        <v>6899</v>
      </c>
      <c r="D605" s="21">
        <v>26</v>
      </c>
      <c r="E605" s="21">
        <v>1</v>
      </c>
      <c r="F605" s="22">
        <v>67</v>
      </c>
      <c r="G605" s="22" t="s">
        <v>198</v>
      </c>
      <c r="H605" s="24">
        <f t="shared" si="92"/>
        <v>10567</v>
      </c>
      <c r="I605" s="25" t="s">
        <v>32</v>
      </c>
      <c r="J605" s="24">
        <f t="shared" si="93"/>
        <v>2113400</v>
      </c>
      <c r="K605" s="20"/>
      <c r="L605" s="20"/>
      <c r="M605" s="20"/>
      <c r="N605" s="20"/>
      <c r="O605" s="24"/>
      <c r="P605" s="24"/>
      <c r="Q605" s="25"/>
      <c r="R605" s="24"/>
      <c r="S605" s="20"/>
      <c r="T605" s="27"/>
      <c r="U605" s="20"/>
      <c r="V605" s="27">
        <f t="shared" si="94"/>
        <v>2113400</v>
      </c>
      <c r="W605" s="26">
        <f t="shared" si="90"/>
        <v>2113400</v>
      </c>
      <c r="X605" s="27">
        <v>0</v>
      </c>
      <c r="Y605" s="78">
        <f t="shared" si="91"/>
        <v>2113400</v>
      </c>
      <c r="Z605" s="49">
        <v>1E-4</v>
      </c>
    </row>
    <row r="606" spans="1:26" s="29" customFormat="1" ht="90.75" customHeight="1" x14ac:dyDescent="0.25">
      <c r="A606" s="20">
        <v>444</v>
      </c>
      <c r="B606" s="20" t="s">
        <v>0</v>
      </c>
      <c r="C606" s="20">
        <v>9901</v>
      </c>
      <c r="D606" s="21">
        <v>33</v>
      </c>
      <c r="E606" s="21">
        <v>3</v>
      </c>
      <c r="F606" s="22">
        <v>98</v>
      </c>
      <c r="G606" s="22" t="s">
        <v>198</v>
      </c>
      <c r="H606" s="24">
        <f t="shared" si="92"/>
        <v>13598</v>
      </c>
      <c r="I606" s="25">
        <v>200</v>
      </c>
      <c r="J606" s="24">
        <f t="shared" si="93"/>
        <v>2719600</v>
      </c>
      <c r="K606" s="20"/>
      <c r="L606" s="20"/>
      <c r="M606" s="20"/>
      <c r="N606" s="20"/>
      <c r="O606" s="24"/>
      <c r="P606" s="24"/>
      <c r="Q606" s="25"/>
      <c r="R606" s="24"/>
      <c r="S606" s="20"/>
      <c r="T606" s="27"/>
      <c r="U606" s="20"/>
      <c r="V606" s="27">
        <f t="shared" si="94"/>
        <v>2719600</v>
      </c>
      <c r="W606" s="26">
        <f t="shared" si="90"/>
        <v>2719600</v>
      </c>
      <c r="X606" s="27">
        <v>0</v>
      </c>
      <c r="Y606" s="78">
        <f t="shared" si="91"/>
        <v>2719600</v>
      </c>
      <c r="Z606" s="49">
        <v>1E-4</v>
      </c>
    </row>
    <row r="607" spans="1:26" s="29" customFormat="1" ht="90.75" customHeight="1" x14ac:dyDescent="0.25">
      <c r="A607" s="20">
        <v>445</v>
      </c>
      <c r="B607" s="20" t="s">
        <v>0</v>
      </c>
      <c r="C607" s="20">
        <v>9902</v>
      </c>
      <c r="D607" s="21">
        <v>22</v>
      </c>
      <c r="E607" s="21">
        <v>0</v>
      </c>
      <c r="F607" s="22">
        <v>95</v>
      </c>
      <c r="G607" s="22" t="s">
        <v>198</v>
      </c>
      <c r="H607" s="24">
        <f t="shared" si="92"/>
        <v>8895</v>
      </c>
      <c r="I607" s="25" t="s">
        <v>32</v>
      </c>
      <c r="J607" s="24">
        <f t="shared" si="93"/>
        <v>1779000</v>
      </c>
      <c r="K607" s="20"/>
      <c r="L607" s="20"/>
      <c r="M607" s="20"/>
      <c r="N607" s="20"/>
      <c r="O607" s="24"/>
      <c r="P607" s="24"/>
      <c r="Q607" s="25"/>
      <c r="R607" s="24"/>
      <c r="S607" s="20"/>
      <c r="T607" s="27"/>
      <c r="U607" s="20"/>
      <c r="V607" s="27">
        <f t="shared" si="94"/>
        <v>1779000</v>
      </c>
      <c r="W607" s="26">
        <f t="shared" si="90"/>
        <v>1779000</v>
      </c>
      <c r="X607" s="27">
        <v>0</v>
      </c>
      <c r="Y607" s="78">
        <f t="shared" si="91"/>
        <v>1779000</v>
      </c>
      <c r="Z607" s="49">
        <v>1E-4</v>
      </c>
    </row>
    <row r="608" spans="1:26" s="29" customFormat="1" ht="90.75" customHeight="1" x14ac:dyDescent="0.25">
      <c r="A608" s="20">
        <v>446</v>
      </c>
      <c r="B608" s="20" t="s">
        <v>0</v>
      </c>
      <c r="C608" s="20">
        <v>7207</v>
      </c>
      <c r="D608" s="21">
        <v>35</v>
      </c>
      <c r="E608" s="21">
        <v>3</v>
      </c>
      <c r="F608" s="22">
        <v>51</v>
      </c>
      <c r="G608" s="22" t="s">
        <v>198</v>
      </c>
      <c r="H608" s="24">
        <f t="shared" si="92"/>
        <v>14351</v>
      </c>
      <c r="I608" s="25" t="s">
        <v>32</v>
      </c>
      <c r="J608" s="24">
        <f t="shared" si="93"/>
        <v>2870200</v>
      </c>
      <c r="K608" s="20"/>
      <c r="L608" s="20"/>
      <c r="M608" s="20"/>
      <c r="N608" s="20"/>
      <c r="O608" s="24"/>
      <c r="P608" s="24"/>
      <c r="Q608" s="25"/>
      <c r="R608" s="24"/>
      <c r="S608" s="20"/>
      <c r="T608" s="27"/>
      <c r="U608" s="20"/>
      <c r="V608" s="27">
        <f t="shared" si="94"/>
        <v>2870200</v>
      </c>
      <c r="W608" s="26">
        <f t="shared" si="90"/>
        <v>2870200</v>
      </c>
      <c r="X608" s="27">
        <v>0</v>
      </c>
      <c r="Y608" s="78">
        <f t="shared" si="91"/>
        <v>2870200</v>
      </c>
      <c r="Z608" s="49">
        <v>1E-4</v>
      </c>
    </row>
    <row r="609" spans="1:26" s="29" customFormat="1" ht="90.75" customHeight="1" x14ac:dyDescent="0.25">
      <c r="A609" s="20">
        <v>447</v>
      </c>
      <c r="B609" s="20" t="s">
        <v>0</v>
      </c>
      <c r="C609" s="20">
        <v>9890</v>
      </c>
      <c r="D609" s="21">
        <v>2</v>
      </c>
      <c r="E609" s="21">
        <v>1</v>
      </c>
      <c r="F609" s="22">
        <v>75</v>
      </c>
      <c r="G609" s="22" t="s">
        <v>198</v>
      </c>
      <c r="H609" s="24">
        <f t="shared" si="92"/>
        <v>975</v>
      </c>
      <c r="I609" s="25" t="s">
        <v>32</v>
      </c>
      <c r="J609" s="24">
        <f t="shared" si="93"/>
        <v>195000</v>
      </c>
      <c r="K609" s="20"/>
      <c r="L609" s="20"/>
      <c r="M609" s="20"/>
      <c r="N609" s="20"/>
      <c r="O609" s="24"/>
      <c r="P609" s="24"/>
      <c r="Q609" s="25"/>
      <c r="R609" s="24"/>
      <c r="S609" s="20"/>
      <c r="T609" s="27"/>
      <c r="U609" s="20"/>
      <c r="V609" s="27">
        <f t="shared" si="94"/>
        <v>195000</v>
      </c>
      <c r="W609" s="26">
        <f t="shared" si="90"/>
        <v>195000</v>
      </c>
      <c r="X609" s="27">
        <v>0</v>
      </c>
      <c r="Y609" s="78">
        <f t="shared" si="91"/>
        <v>195000</v>
      </c>
      <c r="Z609" s="49">
        <v>1E-4</v>
      </c>
    </row>
    <row r="610" spans="1:26" s="29" customFormat="1" ht="90.75" customHeight="1" x14ac:dyDescent="0.25">
      <c r="A610" s="20">
        <v>448</v>
      </c>
      <c r="B610" s="20" t="s">
        <v>0</v>
      </c>
      <c r="C610" s="20">
        <v>7208</v>
      </c>
      <c r="D610" s="21">
        <v>23</v>
      </c>
      <c r="E610" s="21">
        <v>2</v>
      </c>
      <c r="F610" s="22">
        <v>47</v>
      </c>
      <c r="G610" s="22" t="s">
        <v>198</v>
      </c>
      <c r="H610" s="24">
        <f t="shared" si="92"/>
        <v>9447</v>
      </c>
      <c r="I610" s="25" t="s">
        <v>32</v>
      </c>
      <c r="J610" s="24">
        <f t="shared" si="93"/>
        <v>1889400</v>
      </c>
      <c r="K610" s="20"/>
      <c r="L610" s="20"/>
      <c r="M610" s="20"/>
      <c r="N610" s="20"/>
      <c r="O610" s="24"/>
      <c r="P610" s="24"/>
      <c r="Q610" s="25"/>
      <c r="R610" s="24"/>
      <c r="S610" s="20"/>
      <c r="T610" s="27"/>
      <c r="U610" s="20"/>
      <c r="V610" s="27">
        <f t="shared" si="94"/>
        <v>1889400</v>
      </c>
      <c r="W610" s="26">
        <f t="shared" si="90"/>
        <v>1889400</v>
      </c>
      <c r="X610" s="27">
        <v>0</v>
      </c>
      <c r="Y610" s="78">
        <f t="shared" si="91"/>
        <v>1889400</v>
      </c>
      <c r="Z610" s="49">
        <v>1E-4</v>
      </c>
    </row>
    <row r="611" spans="1:26" s="29" customFormat="1" ht="90.75" customHeight="1" x14ac:dyDescent="0.25">
      <c r="A611" s="20">
        <v>449</v>
      </c>
      <c r="B611" s="20" t="s">
        <v>0</v>
      </c>
      <c r="C611" s="20">
        <v>7219</v>
      </c>
      <c r="D611" s="21">
        <v>48</v>
      </c>
      <c r="E611" s="21">
        <v>2</v>
      </c>
      <c r="F611" s="22">
        <v>78</v>
      </c>
      <c r="G611" s="22" t="s">
        <v>198</v>
      </c>
      <c r="H611" s="24">
        <f t="shared" si="92"/>
        <v>19478</v>
      </c>
      <c r="I611" s="25" t="s">
        <v>19</v>
      </c>
      <c r="J611" s="24">
        <f t="shared" si="93"/>
        <v>7304250</v>
      </c>
      <c r="K611" s="20"/>
      <c r="L611" s="20"/>
      <c r="M611" s="20"/>
      <c r="N611" s="20"/>
      <c r="O611" s="24"/>
      <c r="P611" s="24"/>
      <c r="Q611" s="25"/>
      <c r="R611" s="24"/>
      <c r="S611" s="20"/>
      <c r="T611" s="27"/>
      <c r="U611" s="20"/>
      <c r="V611" s="27">
        <f t="shared" si="94"/>
        <v>7304250</v>
      </c>
      <c r="W611" s="26">
        <f t="shared" si="90"/>
        <v>7304250</v>
      </c>
      <c r="X611" s="27">
        <v>0</v>
      </c>
      <c r="Y611" s="78">
        <f t="shared" si="91"/>
        <v>7304250</v>
      </c>
      <c r="Z611" s="49">
        <v>1E-4</v>
      </c>
    </row>
    <row r="612" spans="1:26" s="29" customFormat="1" ht="90.75" customHeight="1" x14ac:dyDescent="0.25">
      <c r="A612" s="20">
        <v>450</v>
      </c>
      <c r="B612" s="20" t="s">
        <v>0</v>
      </c>
      <c r="C612" s="20">
        <v>6901</v>
      </c>
      <c r="D612" s="21">
        <v>3</v>
      </c>
      <c r="E612" s="21">
        <v>1</v>
      </c>
      <c r="F612" s="22">
        <v>94</v>
      </c>
      <c r="G612" s="22" t="s">
        <v>198</v>
      </c>
      <c r="H612" s="24">
        <f t="shared" si="92"/>
        <v>1394</v>
      </c>
      <c r="I612" s="25" t="s">
        <v>32</v>
      </c>
      <c r="J612" s="24">
        <f t="shared" si="93"/>
        <v>278800</v>
      </c>
      <c r="K612" s="20"/>
      <c r="L612" s="20"/>
      <c r="M612" s="20"/>
      <c r="N612" s="20"/>
      <c r="O612" s="24"/>
      <c r="P612" s="24"/>
      <c r="Q612" s="25"/>
      <c r="R612" s="24"/>
      <c r="S612" s="20"/>
      <c r="T612" s="27"/>
      <c r="U612" s="20"/>
      <c r="V612" s="27">
        <f t="shared" si="94"/>
        <v>278800</v>
      </c>
      <c r="W612" s="26">
        <f t="shared" si="90"/>
        <v>278800</v>
      </c>
      <c r="X612" s="27">
        <v>0</v>
      </c>
      <c r="Y612" s="78">
        <f t="shared" si="91"/>
        <v>278800</v>
      </c>
      <c r="Z612" s="49">
        <v>1E-4</v>
      </c>
    </row>
    <row r="613" spans="1:26" s="29" customFormat="1" ht="90.75" customHeight="1" x14ac:dyDescent="0.25">
      <c r="A613" s="20">
        <v>451</v>
      </c>
      <c r="B613" s="20" t="s">
        <v>0</v>
      </c>
      <c r="C613" s="20">
        <v>44586</v>
      </c>
      <c r="D613" s="21">
        <v>0</v>
      </c>
      <c r="E613" s="21">
        <v>1</v>
      </c>
      <c r="F613" s="22">
        <v>91</v>
      </c>
      <c r="G613" s="22" t="s">
        <v>198</v>
      </c>
      <c r="H613" s="24">
        <f t="shared" si="92"/>
        <v>191</v>
      </c>
      <c r="I613" s="25" t="s">
        <v>8</v>
      </c>
      <c r="J613" s="24">
        <f t="shared" si="93"/>
        <v>76400</v>
      </c>
      <c r="K613" s="20"/>
      <c r="L613" s="20"/>
      <c r="M613" s="20"/>
      <c r="N613" s="20"/>
      <c r="O613" s="24"/>
      <c r="P613" s="24"/>
      <c r="Q613" s="25"/>
      <c r="R613" s="24"/>
      <c r="S613" s="20"/>
      <c r="T613" s="27"/>
      <c r="U613" s="20"/>
      <c r="V613" s="27">
        <f t="shared" si="94"/>
        <v>76400</v>
      </c>
      <c r="W613" s="26">
        <f t="shared" si="90"/>
        <v>76400</v>
      </c>
      <c r="X613" s="27">
        <v>0</v>
      </c>
      <c r="Y613" s="78">
        <f t="shared" si="91"/>
        <v>76400</v>
      </c>
      <c r="Z613" s="49">
        <v>1E-4</v>
      </c>
    </row>
    <row r="614" spans="1:26" s="29" customFormat="1" ht="90.75" customHeight="1" x14ac:dyDescent="0.25">
      <c r="A614" s="20">
        <v>452</v>
      </c>
      <c r="B614" s="20" t="s">
        <v>0</v>
      </c>
      <c r="C614" s="20">
        <v>44580</v>
      </c>
      <c r="D614" s="21">
        <v>1</v>
      </c>
      <c r="E614" s="21">
        <v>0</v>
      </c>
      <c r="F614" s="22">
        <v>70</v>
      </c>
      <c r="G614" s="22" t="s">
        <v>198</v>
      </c>
      <c r="H614" s="24">
        <f t="shared" si="92"/>
        <v>470</v>
      </c>
      <c r="I614" s="25" t="s">
        <v>75</v>
      </c>
      <c r="J614" s="24">
        <f t="shared" si="93"/>
        <v>293750</v>
      </c>
      <c r="K614" s="20"/>
      <c r="L614" s="20"/>
      <c r="M614" s="20"/>
      <c r="N614" s="20"/>
      <c r="O614" s="24"/>
      <c r="P614" s="24"/>
      <c r="Q614" s="25"/>
      <c r="R614" s="24"/>
      <c r="S614" s="20"/>
      <c r="T614" s="27"/>
      <c r="U614" s="20"/>
      <c r="V614" s="27">
        <f t="shared" si="94"/>
        <v>293750</v>
      </c>
      <c r="W614" s="26">
        <f t="shared" si="90"/>
        <v>293750</v>
      </c>
      <c r="X614" s="27">
        <v>0</v>
      </c>
      <c r="Y614" s="78">
        <f t="shared" si="91"/>
        <v>293750</v>
      </c>
      <c r="Z614" s="49">
        <v>1E-4</v>
      </c>
    </row>
    <row r="615" spans="1:26" s="29" customFormat="1" ht="90.75" customHeight="1" x14ac:dyDescent="0.25">
      <c r="A615" s="20">
        <v>453</v>
      </c>
      <c r="B615" s="20" t="s">
        <v>0</v>
      </c>
      <c r="C615" s="20">
        <v>44583</v>
      </c>
      <c r="D615" s="21">
        <v>0</v>
      </c>
      <c r="E615" s="21">
        <v>3</v>
      </c>
      <c r="F615" s="22">
        <v>14</v>
      </c>
      <c r="G615" s="22" t="s">
        <v>198</v>
      </c>
      <c r="H615" s="24">
        <f t="shared" si="92"/>
        <v>314</v>
      </c>
      <c r="I615" s="25" t="s">
        <v>8</v>
      </c>
      <c r="J615" s="24">
        <f t="shared" si="93"/>
        <v>125600</v>
      </c>
      <c r="K615" s="20"/>
      <c r="L615" s="20"/>
      <c r="M615" s="20"/>
      <c r="N615" s="20"/>
      <c r="O615" s="24"/>
      <c r="P615" s="24"/>
      <c r="Q615" s="25"/>
      <c r="R615" s="24"/>
      <c r="S615" s="20"/>
      <c r="T615" s="27"/>
      <c r="U615" s="20"/>
      <c r="V615" s="27">
        <f t="shared" si="94"/>
        <v>125600</v>
      </c>
      <c r="W615" s="26">
        <f t="shared" si="90"/>
        <v>125600</v>
      </c>
      <c r="X615" s="27">
        <v>0</v>
      </c>
      <c r="Y615" s="78">
        <f t="shared" si="91"/>
        <v>125600</v>
      </c>
      <c r="Z615" s="49">
        <v>1E-4</v>
      </c>
    </row>
    <row r="616" spans="1:26" s="29" customFormat="1" ht="90.75" customHeight="1" x14ac:dyDescent="0.25">
      <c r="A616" s="20">
        <v>454</v>
      </c>
      <c r="B616" s="20" t="s">
        <v>0</v>
      </c>
      <c r="C616" s="20">
        <v>32589</v>
      </c>
      <c r="D616" s="21">
        <v>47</v>
      </c>
      <c r="E616" s="21">
        <v>3</v>
      </c>
      <c r="F616" s="22">
        <v>78</v>
      </c>
      <c r="G616" s="22" t="s">
        <v>198</v>
      </c>
      <c r="H616" s="24">
        <f t="shared" si="92"/>
        <v>19178</v>
      </c>
      <c r="I616" s="25" t="s">
        <v>7</v>
      </c>
      <c r="J616" s="24">
        <f t="shared" si="93"/>
        <v>6712300</v>
      </c>
      <c r="K616" s="20"/>
      <c r="L616" s="20"/>
      <c r="M616" s="20"/>
      <c r="N616" s="20"/>
      <c r="O616" s="24"/>
      <c r="P616" s="24"/>
      <c r="Q616" s="25"/>
      <c r="R616" s="24"/>
      <c r="S616" s="20"/>
      <c r="T616" s="27"/>
      <c r="U616" s="20"/>
      <c r="V616" s="27">
        <f t="shared" si="94"/>
        <v>6712300</v>
      </c>
      <c r="W616" s="26">
        <f t="shared" si="90"/>
        <v>6712300</v>
      </c>
      <c r="X616" s="27">
        <v>0</v>
      </c>
      <c r="Y616" s="78">
        <f t="shared" si="91"/>
        <v>6712300</v>
      </c>
      <c r="Z616" s="49">
        <v>1E-4</v>
      </c>
    </row>
    <row r="617" spans="1:26" s="29" customFormat="1" ht="90.75" customHeight="1" x14ac:dyDescent="0.25">
      <c r="A617" s="20">
        <v>455</v>
      </c>
      <c r="B617" s="20" t="s">
        <v>0</v>
      </c>
      <c r="C617" s="20">
        <v>32588</v>
      </c>
      <c r="D617" s="21">
        <v>12</v>
      </c>
      <c r="E617" s="21">
        <v>2</v>
      </c>
      <c r="F617" s="22">
        <v>32</v>
      </c>
      <c r="G617" s="22" t="s">
        <v>198</v>
      </c>
      <c r="H617" s="24">
        <f t="shared" si="92"/>
        <v>5032</v>
      </c>
      <c r="I617" s="25" t="s">
        <v>19</v>
      </c>
      <c r="J617" s="24">
        <f t="shared" si="93"/>
        <v>1887000</v>
      </c>
      <c r="K617" s="20"/>
      <c r="L617" s="20"/>
      <c r="M617" s="20"/>
      <c r="N617" s="20"/>
      <c r="O617" s="24"/>
      <c r="P617" s="24"/>
      <c r="Q617" s="25"/>
      <c r="R617" s="24"/>
      <c r="S617" s="20"/>
      <c r="T617" s="27"/>
      <c r="U617" s="20"/>
      <c r="V617" s="27">
        <f t="shared" si="94"/>
        <v>1887000</v>
      </c>
      <c r="W617" s="26">
        <f t="shared" si="90"/>
        <v>1887000</v>
      </c>
      <c r="X617" s="27">
        <v>0</v>
      </c>
      <c r="Y617" s="78">
        <f t="shared" si="91"/>
        <v>1887000</v>
      </c>
      <c r="Z617" s="49">
        <v>1E-4</v>
      </c>
    </row>
    <row r="618" spans="1:26" s="29" customFormat="1" ht="90.75" customHeight="1" x14ac:dyDescent="0.25">
      <c r="A618" s="20">
        <v>456</v>
      </c>
      <c r="B618" s="20" t="s">
        <v>0</v>
      </c>
      <c r="C618" s="20">
        <v>32587</v>
      </c>
      <c r="D618" s="21">
        <v>4</v>
      </c>
      <c r="E618" s="21">
        <v>1</v>
      </c>
      <c r="F618" s="22">
        <v>86</v>
      </c>
      <c r="G618" s="22" t="s">
        <v>198</v>
      </c>
      <c r="H618" s="24">
        <f t="shared" si="92"/>
        <v>1786</v>
      </c>
      <c r="I618" s="25" t="s">
        <v>32</v>
      </c>
      <c r="J618" s="24">
        <f t="shared" si="93"/>
        <v>357200</v>
      </c>
      <c r="K618" s="20"/>
      <c r="L618" s="20"/>
      <c r="M618" s="20"/>
      <c r="N618" s="20"/>
      <c r="O618" s="24"/>
      <c r="P618" s="24"/>
      <c r="Q618" s="25"/>
      <c r="R618" s="24"/>
      <c r="S618" s="20"/>
      <c r="T618" s="27"/>
      <c r="U618" s="20"/>
      <c r="V618" s="27">
        <f t="shared" si="94"/>
        <v>357200</v>
      </c>
      <c r="W618" s="26">
        <f t="shared" si="90"/>
        <v>357200</v>
      </c>
      <c r="X618" s="27">
        <v>0</v>
      </c>
      <c r="Y618" s="78">
        <f t="shared" si="91"/>
        <v>357200</v>
      </c>
      <c r="Z618" s="49">
        <v>1E-4</v>
      </c>
    </row>
    <row r="619" spans="1:26" s="29" customFormat="1" ht="90.75" customHeight="1" x14ac:dyDescent="0.25">
      <c r="A619" s="20">
        <v>457</v>
      </c>
      <c r="B619" s="20" t="s">
        <v>0</v>
      </c>
      <c r="C619" s="20">
        <v>6903</v>
      </c>
      <c r="D619" s="21">
        <v>20</v>
      </c>
      <c r="E619" s="21">
        <v>2</v>
      </c>
      <c r="F619" s="22">
        <v>66</v>
      </c>
      <c r="G619" s="22" t="s">
        <v>198</v>
      </c>
      <c r="H619" s="24">
        <f t="shared" si="92"/>
        <v>8266</v>
      </c>
      <c r="I619" s="25" t="s">
        <v>32</v>
      </c>
      <c r="J619" s="24">
        <f t="shared" si="93"/>
        <v>1653200</v>
      </c>
      <c r="K619" s="20"/>
      <c r="L619" s="20"/>
      <c r="M619" s="20"/>
      <c r="N619" s="20"/>
      <c r="O619" s="24"/>
      <c r="P619" s="24"/>
      <c r="Q619" s="25"/>
      <c r="R619" s="24"/>
      <c r="S619" s="20"/>
      <c r="T619" s="27"/>
      <c r="U619" s="20"/>
      <c r="V619" s="27">
        <f t="shared" si="94"/>
        <v>1653200</v>
      </c>
      <c r="W619" s="26">
        <f t="shared" si="90"/>
        <v>1653200</v>
      </c>
      <c r="X619" s="27">
        <v>0</v>
      </c>
      <c r="Y619" s="78">
        <f t="shared" si="91"/>
        <v>1653200</v>
      </c>
      <c r="Z619" s="49">
        <v>1E-4</v>
      </c>
    </row>
    <row r="620" spans="1:26" s="29" customFormat="1" ht="90.75" customHeight="1" x14ac:dyDescent="0.25">
      <c r="A620" s="20">
        <v>458</v>
      </c>
      <c r="B620" s="20" t="s">
        <v>0</v>
      </c>
      <c r="C620" s="20">
        <v>6902</v>
      </c>
      <c r="D620" s="21">
        <v>19</v>
      </c>
      <c r="E620" s="21">
        <v>3</v>
      </c>
      <c r="F620" s="22">
        <v>9</v>
      </c>
      <c r="G620" s="22" t="s">
        <v>198</v>
      </c>
      <c r="H620" s="24">
        <f t="shared" si="92"/>
        <v>7909</v>
      </c>
      <c r="I620" s="25" t="s">
        <v>32</v>
      </c>
      <c r="J620" s="24">
        <f t="shared" si="93"/>
        <v>1581800</v>
      </c>
      <c r="K620" s="20"/>
      <c r="L620" s="20"/>
      <c r="M620" s="20"/>
      <c r="N620" s="20"/>
      <c r="O620" s="24"/>
      <c r="P620" s="24"/>
      <c r="Q620" s="25"/>
      <c r="R620" s="24"/>
      <c r="S620" s="20"/>
      <c r="T620" s="27"/>
      <c r="U620" s="20"/>
      <c r="V620" s="27">
        <f t="shared" si="94"/>
        <v>1581800</v>
      </c>
      <c r="W620" s="26">
        <f t="shared" si="90"/>
        <v>1581800</v>
      </c>
      <c r="X620" s="27">
        <v>0</v>
      </c>
      <c r="Y620" s="78">
        <f t="shared" si="91"/>
        <v>1581800</v>
      </c>
      <c r="Z620" s="49">
        <v>1E-4</v>
      </c>
    </row>
    <row r="621" spans="1:26" s="29" customFormat="1" ht="90.75" customHeight="1" x14ac:dyDescent="0.25">
      <c r="A621" s="20">
        <v>459</v>
      </c>
      <c r="B621" s="20" t="s">
        <v>0</v>
      </c>
      <c r="C621" s="20">
        <v>10680</v>
      </c>
      <c r="D621" s="21">
        <v>25</v>
      </c>
      <c r="E621" s="21">
        <v>1</v>
      </c>
      <c r="F621" s="22">
        <v>98</v>
      </c>
      <c r="G621" s="22" t="s">
        <v>198</v>
      </c>
      <c r="H621" s="24">
        <f t="shared" si="92"/>
        <v>10198</v>
      </c>
      <c r="I621" s="25" t="s">
        <v>32</v>
      </c>
      <c r="J621" s="24">
        <f t="shared" si="93"/>
        <v>2039600</v>
      </c>
      <c r="K621" s="20"/>
      <c r="L621" s="20"/>
      <c r="M621" s="20"/>
      <c r="N621" s="20"/>
      <c r="O621" s="24"/>
      <c r="P621" s="24"/>
      <c r="Q621" s="25"/>
      <c r="R621" s="24"/>
      <c r="S621" s="20"/>
      <c r="T621" s="27"/>
      <c r="U621" s="20"/>
      <c r="V621" s="27">
        <f t="shared" si="94"/>
        <v>2039600</v>
      </c>
      <c r="W621" s="26">
        <f t="shared" si="90"/>
        <v>2039600</v>
      </c>
      <c r="X621" s="27">
        <v>0</v>
      </c>
      <c r="Y621" s="78">
        <f t="shared" si="91"/>
        <v>2039600</v>
      </c>
      <c r="Z621" s="49">
        <v>1E-4</v>
      </c>
    </row>
    <row r="622" spans="1:26" s="29" customFormat="1" ht="90.75" customHeight="1" x14ac:dyDescent="0.25">
      <c r="A622" s="20">
        <v>460</v>
      </c>
      <c r="B622" s="20" t="s">
        <v>0</v>
      </c>
      <c r="C622" s="20">
        <v>9903</v>
      </c>
      <c r="D622" s="21">
        <v>33</v>
      </c>
      <c r="E622" s="21">
        <v>0</v>
      </c>
      <c r="F622" s="22">
        <v>7</v>
      </c>
      <c r="G622" s="22" t="s">
        <v>198</v>
      </c>
      <c r="H622" s="24">
        <f t="shared" si="92"/>
        <v>13207</v>
      </c>
      <c r="I622" s="25" t="s">
        <v>19</v>
      </c>
      <c r="J622" s="24">
        <f t="shared" si="93"/>
        <v>4952625</v>
      </c>
      <c r="K622" s="20"/>
      <c r="L622" s="20"/>
      <c r="M622" s="20"/>
      <c r="N622" s="20"/>
      <c r="O622" s="24"/>
      <c r="P622" s="24"/>
      <c r="Q622" s="25"/>
      <c r="R622" s="24"/>
      <c r="S622" s="20"/>
      <c r="T622" s="27"/>
      <c r="U622" s="20"/>
      <c r="V622" s="27">
        <f t="shared" si="94"/>
        <v>4952625</v>
      </c>
      <c r="W622" s="26">
        <f t="shared" si="90"/>
        <v>4952625</v>
      </c>
      <c r="X622" s="27">
        <v>0</v>
      </c>
      <c r="Y622" s="78">
        <f t="shared" si="91"/>
        <v>4952625</v>
      </c>
      <c r="Z622" s="49">
        <v>1E-4</v>
      </c>
    </row>
    <row r="623" spans="1:26" s="29" customFormat="1" ht="90.75" customHeight="1" x14ac:dyDescent="0.25">
      <c r="A623" s="20">
        <v>461</v>
      </c>
      <c r="B623" s="20" t="s">
        <v>0</v>
      </c>
      <c r="C623" s="20">
        <v>10669</v>
      </c>
      <c r="D623" s="21">
        <v>23</v>
      </c>
      <c r="E623" s="21">
        <v>3</v>
      </c>
      <c r="F623" s="22">
        <v>36</v>
      </c>
      <c r="G623" s="22" t="s">
        <v>198</v>
      </c>
      <c r="H623" s="24">
        <f t="shared" si="92"/>
        <v>9536</v>
      </c>
      <c r="I623" s="25" t="s">
        <v>7</v>
      </c>
      <c r="J623" s="24">
        <f t="shared" si="93"/>
        <v>3337600</v>
      </c>
      <c r="K623" s="20"/>
      <c r="L623" s="20"/>
      <c r="M623" s="20"/>
      <c r="N623" s="20"/>
      <c r="O623" s="24"/>
      <c r="P623" s="24"/>
      <c r="Q623" s="25"/>
      <c r="R623" s="24"/>
      <c r="S623" s="20"/>
      <c r="T623" s="27"/>
      <c r="U623" s="20"/>
      <c r="V623" s="27">
        <f t="shared" si="94"/>
        <v>3337600</v>
      </c>
      <c r="W623" s="26">
        <f t="shared" si="90"/>
        <v>3337600</v>
      </c>
      <c r="X623" s="27">
        <v>0</v>
      </c>
      <c r="Y623" s="78">
        <f t="shared" si="91"/>
        <v>3337600</v>
      </c>
      <c r="Z623" s="49">
        <v>1E-4</v>
      </c>
    </row>
    <row r="624" spans="1:26" s="29" customFormat="1" ht="90.75" customHeight="1" x14ac:dyDescent="0.25">
      <c r="A624" s="20">
        <v>462</v>
      </c>
      <c r="B624" s="20" t="s">
        <v>0</v>
      </c>
      <c r="C624" s="20">
        <v>9863</v>
      </c>
      <c r="D624" s="21">
        <v>45</v>
      </c>
      <c r="E624" s="21">
        <v>2</v>
      </c>
      <c r="F624" s="22">
        <v>87</v>
      </c>
      <c r="G624" s="22" t="s">
        <v>198</v>
      </c>
      <c r="H624" s="24">
        <f t="shared" si="92"/>
        <v>18287</v>
      </c>
      <c r="I624" s="25" t="s">
        <v>19</v>
      </c>
      <c r="J624" s="24">
        <f t="shared" si="93"/>
        <v>6857625</v>
      </c>
      <c r="K624" s="20"/>
      <c r="L624" s="20"/>
      <c r="M624" s="20"/>
      <c r="N624" s="20"/>
      <c r="O624" s="24"/>
      <c r="P624" s="24"/>
      <c r="Q624" s="25"/>
      <c r="R624" s="24"/>
      <c r="S624" s="20"/>
      <c r="T624" s="27"/>
      <c r="U624" s="20"/>
      <c r="V624" s="27">
        <f t="shared" si="94"/>
        <v>6857625</v>
      </c>
      <c r="W624" s="26">
        <f t="shared" si="90"/>
        <v>6857625</v>
      </c>
      <c r="X624" s="27">
        <v>0</v>
      </c>
      <c r="Y624" s="78">
        <f t="shared" si="91"/>
        <v>6857625</v>
      </c>
      <c r="Z624" s="49">
        <v>1E-4</v>
      </c>
    </row>
    <row r="625" spans="1:26" s="29" customFormat="1" ht="90.75" customHeight="1" x14ac:dyDescent="0.25">
      <c r="A625" s="20">
        <v>463</v>
      </c>
      <c r="B625" s="20" t="s">
        <v>0</v>
      </c>
      <c r="C625" s="20">
        <v>10671</v>
      </c>
      <c r="D625" s="21">
        <v>17</v>
      </c>
      <c r="E625" s="21">
        <v>0</v>
      </c>
      <c r="F625" s="22">
        <v>86</v>
      </c>
      <c r="G625" s="22" t="s">
        <v>198</v>
      </c>
      <c r="H625" s="24">
        <f t="shared" si="92"/>
        <v>6886</v>
      </c>
      <c r="I625" s="25" t="s">
        <v>32</v>
      </c>
      <c r="J625" s="24">
        <f t="shared" si="93"/>
        <v>1377200</v>
      </c>
      <c r="K625" s="20"/>
      <c r="L625" s="20"/>
      <c r="M625" s="20"/>
      <c r="N625" s="20"/>
      <c r="O625" s="24"/>
      <c r="P625" s="24"/>
      <c r="Q625" s="25"/>
      <c r="R625" s="24"/>
      <c r="S625" s="20"/>
      <c r="T625" s="27"/>
      <c r="U625" s="20"/>
      <c r="V625" s="27">
        <f t="shared" si="94"/>
        <v>1377200</v>
      </c>
      <c r="W625" s="26">
        <f t="shared" si="90"/>
        <v>1377200</v>
      </c>
      <c r="X625" s="27">
        <v>0</v>
      </c>
      <c r="Y625" s="78">
        <f t="shared" si="91"/>
        <v>1377200</v>
      </c>
      <c r="Z625" s="49">
        <v>1E-4</v>
      </c>
    </row>
    <row r="626" spans="1:26" s="29" customFormat="1" ht="90.75" customHeight="1" x14ac:dyDescent="0.25">
      <c r="A626" s="20">
        <v>464</v>
      </c>
      <c r="B626" s="20" t="s">
        <v>0</v>
      </c>
      <c r="C626" s="20">
        <v>32586</v>
      </c>
      <c r="D626" s="21">
        <v>9</v>
      </c>
      <c r="E626" s="21">
        <v>3</v>
      </c>
      <c r="F626" s="22">
        <v>6</v>
      </c>
      <c r="G626" s="22" t="s">
        <v>198</v>
      </c>
      <c r="H626" s="24">
        <f t="shared" si="92"/>
        <v>3906</v>
      </c>
      <c r="I626" s="25" t="s">
        <v>19</v>
      </c>
      <c r="J626" s="24">
        <f t="shared" si="93"/>
        <v>1464750</v>
      </c>
      <c r="K626" s="20"/>
      <c r="L626" s="20"/>
      <c r="M626" s="20"/>
      <c r="N626" s="20"/>
      <c r="O626" s="24"/>
      <c r="P626" s="24"/>
      <c r="Q626" s="25"/>
      <c r="R626" s="24"/>
      <c r="S626" s="20"/>
      <c r="T626" s="27"/>
      <c r="U626" s="20"/>
      <c r="V626" s="27">
        <f t="shared" si="94"/>
        <v>1464750</v>
      </c>
      <c r="W626" s="26">
        <f t="shared" si="90"/>
        <v>1464750</v>
      </c>
      <c r="X626" s="27">
        <v>0</v>
      </c>
      <c r="Y626" s="78">
        <f t="shared" si="91"/>
        <v>1464750</v>
      </c>
      <c r="Z626" s="49">
        <v>1E-4</v>
      </c>
    </row>
    <row r="627" spans="1:26" s="29" customFormat="1" ht="90.75" customHeight="1" x14ac:dyDescent="0.25">
      <c r="A627" s="20">
        <v>465</v>
      </c>
      <c r="B627" s="20" t="s">
        <v>0</v>
      </c>
      <c r="C627" s="20">
        <v>7179</v>
      </c>
      <c r="D627" s="21">
        <v>22</v>
      </c>
      <c r="E627" s="21">
        <v>0</v>
      </c>
      <c r="F627" s="22">
        <v>44</v>
      </c>
      <c r="G627" s="22" t="s">
        <v>198</v>
      </c>
      <c r="H627" s="24">
        <f t="shared" si="92"/>
        <v>8844</v>
      </c>
      <c r="I627" s="25" t="s">
        <v>19</v>
      </c>
      <c r="J627" s="24">
        <f t="shared" si="93"/>
        <v>3316500</v>
      </c>
      <c r="K627" s="20"/>
      <c r="L627" s="20"/>
      <c r="M627" s="20"/>
      <c r="N627" s="20"/>
      <c r="O627" s="24"/>
      <c r="P627" s="24"/>
      <c r="Q627" s="25"/>
      <c r="R627" s="24"/>
      <c r="S627" s="20"/>
      <c r="T627" s="27"/>
      <c r="U627" s="20"/>
      <c r="V627" s="27">
        <f t="shared" si="94"/>
        <v>3316500</v>
      </c>
      <c r="W627" s="26">
        <f t="shared" si="90"/>
        <v>3316500</v>
      </c>
      <c r="X627" s="27">
        <v>0</v>
      </c>
      <c r="Y627" s="78">
        <f t="shared" si="91"/>
        <v>3316500</v>
      </c>
      <c r="Z627" s="49">
        <v>1E-4</v>
      </c>
    </row>
    <row r="628" spans="1:26" s="29" customFormat="1" ht="90.75" customHeight="1" x14ac:dyDescent="0.25">
      <c r="A628" s="20">
        <v>466</v>
      </c>
      <c r="B628" s="20" t="s">
        <v>0</v>
      </c>
      <c r="C628" s="20">
        <v>10687</v>
      </c>
      <c r="D628" s="21">
        <v>21</v>
      </c>
      <c r="E628" s="21">
        <v>3</v>
      </c>
      <c r="F628" s="22">
        <v>74</v>
      </c>
      <c r="G628" s="22" t="s">
        <v>198</v>
      </c>
      <c r="H628" s="24">
        <f t="shared" si="92"/>
        <v>8774</v>
      </c>
      <c r="I628" s="25" t="s">
        <v>7</v>
      </c>
      <c r="J628" s="24">
        <f t="shared" si="93"/>
        <v>3070900</v>
      </c>
      <c r="K628" s="20"/>
      <c r="L628" s="20"/>
      <c r="M628" s="20"/>
      <c r="N628" s="20"/>
      <c r="O628" s="24"/>
      <c r="P628" s="24"/>
      <c r="Q628" s="25"/>
      <c r="R628" s="24"/>
      <c r="S628" s="20"/>
      <c r="T628" s="27"/>
      <c r="U628" s="20"/>
      <c r="V628" s="27">
        <f t="shared" si="94"/>
        <v>3070900</v>
      </c>
      <c r="W628" s="26">
        <f t="shared" si="90"/>
        <v>3070900</v>
      </c>
      <c r="X628" s="27">
        <v>0</v>
      </c>
      <c r="Y628" s="78">
        <f t="shared" si="91"/>
        <v>3070900</v>
      </c>
      <c r="Z628" s="49">
        <v>1E-4</v>
      </c>
    </row>
    <row r="629" spans="1:26" s="29" customFormat="1" ht="90.75" customHeight="1" x14ac:dyDescent="0.25">
      <c r="A629" s="20">
        <v>467</v>
      </c>
      <c r="B629" s="20" t="s">
        <v>0</v>
      </c>
      <c r="C629" s="20">
        <v>10682</v>
      </c>
      <c r="D629" s="21">
        <v>6</v>
      </c>
      <c r="E629" s="21">
        <v>0</v>
      </c>
      <c r="F629" s="22">
        <v>41</v>
      </c>
      <c r="G629" s="22" t="s">
        <v>198</v>
      </c>
      <c r="H629" s="24">
        <f t="shared" si="92"/>
        <v>2441</v>
      </c>
      <c r="I629" s="25" t="s">
        <v>32</v>
      </c>
      <c r="J629" s="24">
        <f t="shared" si="93"/>
        <v>488200</v>
      </c>
      <c r="K629" s="20"/>
      <c r="L629" s="20"/>
      <c r="M629" s="20"/>
      <c r="N629" s="20"/>
      <c r="O629" s="24"/>
      <c r="P629" s="24"/>
      <c r="Q629" s="25"/>
      <c r="R629" s="24"/>
      <c r="S629" s="20"/>
      <c r="T629" s="27"/>
      <c r="U629" s="20"/>
      <c r="V629" s="27">
        <f t="shared" si="94"/>
        <v>488200</v>
      </c>
      <c r="W629" s="26">
        <f t="shared" si="90"/>
        <v>488200</v>
      </c>
      <c r="X629" s="27">
        <v>0</v>
      </c>
      <c r="Y629" s="78">
        <f t="shared" si="91"/>
        <v>488200</v>
      </c>
      <c r="Z629" s="49">
        <v>1E-4</v>
      </c>
    </row>
    <row r="630" spans="1:26" s="29" customFormat="1" ht="90.75" customHeight="1" x14ac:dyDescent="0.25">
      <c r="A630" s="20">
        <v>468</v>
      </c>
      <c r="B630" s="20" t="s">
        <v>0</v>
      </c>
      <c r="C630" s="20">
        <v>10681</v>
      </c>
      <c r="D630" s="21">
        <v>24</v>
      </c>
      <c r="E630" s="21">
        <v>0</v>
      </c>
      <c r="F630" s="22">
        <v>5</v>
      </c>
      <c r="G630" s="22" t="s">
        <v>198</v>
      </c>
      <c r="H630" s="24">
        <f t="shared" si="92"/>
        <v>9605</v>
      </c>
      <c r="I630" s="25" t="s">
        <v>32</v>
      </c>
      <c r="J630" s="24">
        <f t="shared" si="93"/>
        <v>1921000</v>
      </c>
      <c r="K630" s="20"/>
      <c r="L630" s="20"/>
      <c r="M630" s="20"/>
      <c r="N630" s="20"/>
      <c r="O630" s="24"/>
      <c r="P630" s="24"/>
      <c r="Q630" s="25"/>
      <c r="R630" s="24"/>
      <c r="S630" s="20"/>
      <c r="T630" s="27"/>
      <c r="U630" s="20"/>
      <c r="V630" s="27">
        <f t="shared" si="94"/>
        <v>1921000</v>
      </c>
      <c r="W630" s="26">
        <f t="shared" si="90"/>
        <v>1921000</v>
      </c>
      <c r="X630" s="27">
        <v>0</v>
      </c>
      <c r="Y630" s="78">
        <f t="shared" si="91"/>
        <v>1921000</v>
      </c>
      <c r="Z630" s="49">
        <v>1E-4</v>
      </c>
    </row>
    <row r="631" spans="1:26" s="29" customFormat="1" ht="90.75" customHeight="1" x14ac:dyDescent="0.25">
      <c r="A631" s="20">
        <v>469</v>
      </c>
      <c r="B631" s="20" t="s">
        <v>0</v>
      </c>
      <c r="C631" s="20">
        <v>9899</v>
      </c>
      <c r="D631" s="21">
        <v>3</v>
      </c>
      <c r="E631" s="21">
        <v>1</v>
      </c>
      <c r="F631" s="22">
        <v>68</v>
      </c>
      <c r="G631" s="22" t="s">
        <v>198</v>
      </c>
      <c r="H631" s="24">
        <f t="shared" si="92"/>
        <v>1368</v>
      </c>
      <c r="I631" s="25" t="s">
        <v>37</v>
      </c>
      <c r="J631" s="24">
        <f t="shared" si="93"/>
        <v>581400</v>
      </c>
      <c r="K631" s="20"/>
      <c r="L631" s="20"/>
      <c r="M631" s="20"/>
      <c r="N631" s="20"/>
      <c r="O631" s="24"/>
      <c r="P631" s="24"/>
      <c r="Q631" s="25"/>
      <c r="R631" s="24"/>
      <c r="S631" s="20"/>
      <c r="T631" s="27"/>
      <c r="U631" s="20"/>
      <c r="V631" s="27">
        <f t="shared" si="94"/>
        <v>581400</v>
      </c>
      <c r="W631" s="26">
        <f t="shared" si="90"/>
        <v>581400</v>
      </c>
      <c r="X631" s="27">
        <v>0</v>
      </c>
      <c r="Y631" s="78">
        <f t="shared" si="91"/>
        <v>581400</v>
      </c>
      <c r="Z631" s="49">
        <v>1E-4</v>
      </c>
    </row>
    <row r="632" spans="1:26" s="29" customFormat="1" ht="90.75" customHeight="1" x14ac:dyDescent="0.25">
      <c r="A632" s="20">
        <v>470</v>
      </c>
      <c r="B632" s="20" t="s">
        <v>0</v>
      </c>
      <c r="C632" s="20">
        <v>10688</v>
      </c>
      <c r="D632" s="21">
        <v>8</v>
      </c>
      <c r="E632" s="21">
        <v>1</v>
      </c>
      <c r="F632" s="22">
        <v>2</v>
      </c>
      <c r="G632" s="22" t="s">
        <v>198</v>
      </c>
      <c r="H632" s="24">
        <f t="shared" si="92"/>
        <v>3302</v>
      </c>
      <c r="I632" s="25" t="s">
        <v>37</v>
      </c>
      <c r="J632" s="24">
        <f t="shared" si="93"/>
        <v>1403350</v>
      </c>
      <c r="K632" s="20"/>
      <c r="L632" s="20"/>
      <c r="M632" s="20"/>
      <c r="N632" s="20"/>
      <c r="O632" s="24"/>
      <c r="P632" s="24"/>
      <c r="Q632" s="25"/>
      <c r="R632" s="24"/>
      <c r="S632" s="20"/>
      <c r="T632" s="27"/>
      <c r="U632" s="20"/>
      <c r="V632" s="27">
        <f t="shared" si="94"/>
        <v>1403350</v>
      </c>
      <c r="W632" s="26">
        <f t="shared" si="90"/>
        <v>1403350</v>
      </c>
      <c r="X632" s="27">
        <v>0</v>
      </c>
      <c r="Y632" s="78">
        <f t="shared" si="91"/>
        <v>1403350</v>
      </c>
      <c r="Z632" s="49">
        <v>1E-4</v>
      </c>
    </row>
    <row r="633" spans="1:26" s="29" customFormat="1" ht="90.75" customHeight="1" x14ac:dyDescent="0.25">
      <c r="A633" s="20">
        <v>471</v>
      </c>
      <c r="B633" s="20" t="s">
        <v>0</v>
      </c>
      <c r="C633" s="20">
        <v>10686</v>
      </c>
      <c r="D633" s="21">
        <v>38</v>
      </c>
      <c r="E633" s="21">
        <v>1</v>
      </c>
      <c r="F633" s="22">
        <v>73</v>
      </c>
      <c r="G633" s="22" t="s">
        <v>198</v>
      </c>
      <c r="H633" s="24">
        <f t="shared" si="92"/>
        <v>15373</v>
      </c>
      <c r="I633" s="25" t="s">
        <v>32</v>
      </c>
      <c r="J633" s="24">
        <f t="shared" si="93"/>
        <v>3074600</v>
      </c>
      <c r="K633" s="20"/>
      <c r="L633" s="20"/>
      <c r="M633" s="20"/>
      <c r="N633" s="20"/>
      <c r="O633" s="24"/>
      <c r="P633" s="24"/>
      <c r="Q633" s="25"/>
      <c r="R633" s="24"/>
      <c r="S633" s="20"/>
      <c r="T633" s="27"/>
      <c r="U633" s="20"/>
      <c r="V633" s="27">
        <f t="shared" si="94"/>
        <v>3074600</v>
      </c>
      <c r="W633" s="26">
        <f t="shared" si="90"/>
        <v>3074600</v>
      </c>
      <c r="X633" s="27">
        <v>0</v>
      </c>
      <c r="Y633" s="78">
        <f t="shared" si="91"/>
        <v>3074600</v>
      </c>
      <c r="Z633" s="49">
        <v>1E-4</v>
      </c>
    </row>
    <row r="634" spans="1:26" s="29" customFormat="1" ht="90.75" customHeight="1" x14ac:dyDescent="0.25">
      <c r="A634" s="20">
        <v>472</v>
      </c>
      <c r="B634" s="20" t="s">
        <v>0</v>
      </c>
      <c r="C634" s="20">
        <v>6904</v>
      </c>
      <c r="D634" s="21">
        <v>20</v>
      </c>
      <c r="E634" s="21">
        <v>1</v>
      </c>
      <c r="F634" s="22">
        <v>90</v>
      </c>
      <c r="G634" s="22" t="s">
        <v>198</v>
      </c>
      <c r="H634" s="24">
        <f t="shared" si="92"/>
        <v>8190</v>
      </c>
      <c r="I634" s="25" t="s">
        <v>7</v>
      </c>
      <c r="J634" s="24">
        <f t="shared" si="93"/>
        <v>2866500</v>
      </c>
      <c r="K634" s="20"/>
      <c r="L634" s="20"/>
      <c r="M634" s="20"/>
      <c r="N634" s="20"/>
      <c r="O634" s="24"/>
      <c r="P634" s="24"/>
      <c r="Q634" s="25"/>
      <c r="R634" s="24"/>
      <c r="S634" s="20"/>
      <c r="T634" s="27"/>
      <c r="U634" s="20"/>
      <c r="V634" s="27">
        <f t="shared" si="94"/>
        <v>2866500</v>
      </c>
      <c r="W634" s="26">
        <f t="shared" si="90"/>
        <v>2866500</v>
      </c>
      <c r="X634" s="27">
        <v>0</v>
      </c>
      <c r="Y634" s="78">
        <f t="shared" si="91"/>
        <v>2866500</v>
      </c>
      <c r="Z634" s="49">
        <v>1E-4</v>
      </c>
    </row>
    <row r="635" spans="1:26" s="29" customFormat="1" ht="90.75" customHeight="1" x14ac:dyDescent="0.25">
      <c r="A635" s="20">
        <v>473</v>
      </c>
      <c r="B635" s="20" t="s">
        <v>0</v>
      </c>
      <c r="C635" s="20">
        <v>10670</v>
      </c>
      <c r="D635" s="21">
        <v>8</v>
      </c>
      <c r="E635" s="21">
        <v>0</v>
      </c>
      <c r="F635" s="22">
        <v>17</v>
      </c>
      <c r="G635" s="22" t="s">
        <v>198</v>
      </c>
      <c r="H635" s="24">
        <f t="shared" si="92"/>
        <v>3217</v>
      </c>
      <c r="I635" s="25" t="s">
        <v>62</v>
      </c>
      <c r="J635" s="24">
        <f t="shared" si="93"/>
        <v>1608500</v>
      </c>
      <c r="K635" s="20"/>
      <c r="L635" s="20"/>
      <c r="M635" s="20"/>
      <c r="N635" s="20"/>
      <c r="O635" s="24"/>
      <c r="P635" s="24"/>
      <c r="Q635" s="25"/>
      <c r="R635" s="24"/>
      <c r="S635" s="20"/>
      <c r="T635" s="27"/>
      <c r="U635" s="20"/>
      <c r="V635" s="27">
        <f t="shared" si="94"/>
        <v>1608500</v>
      </c>
      <c r="W635" s="26">
        <f t="shared" si="90"/>
        <v>1608500</v>
      </c>
      <c r="X635" s="27">
        <v>0</v>
      </c>
      <c r="Y635" s="78">
        <f t="shared" si="91"/>
        <v>1608500</v>
      </c>
      <c r="Z635" s="49">
        <v>1E-4</v>
      </c>
    </row>
    <row r="636" spans="1:26" s="29" customFormat="1" ht="90.75" customHeight="1" x14ac:dyDescent="0.25">
      <c r="A636" s="20">
        <v>474</v>
      </c>
      <c r="B636" s="20" t="s">
        <v>0</v>
      </c>
      <c r="C636" s="20">
        <v>9864</v>
      </c>
      <c r="D636" s="21">
        <v>12</v>
      </c>
      <c r="E636" s="21">
        <v>1</v>
      </c>
      <c r="F636" s="22">
        <v>58</v>
      </c>
      <c r="G636" s="22" t="s">
        <v>198</v>
      </c>
      <c r="H636" s="24">
        <f t="shared" si="92"/>
        <v>4958</v>
      </c>
      <c r="I636" s="25" t="s">
        <v>7</v>
      </c>
      <c r="J636" s="24">
        <f t="shared" si="93"/>
        <v>1735300</v>
      </c>
      <c r="K636" s="20"/>
      <c r="L636" s="20"/>
      <c r="M636" s="20"/>
      <c r="N636" s="20"/>
      <c r="O636" s="24"/>
      <c r="P636" s="24"/>
      <c r="Q636" s="25"/>
      <c r="R636" s="24"/>
      <c r="S636" s="20"/>
      <c r="T636" s="27"/>
      <c r="U636" s="20"/>
      <c r="V636" s="27">
        <f t="shared" si="94"/>
        <v>1735300</v>
      </c>
      <c r="W636" s="26">
        <f t="shared" si="90"/>
        <v>1735300</v>
      </c>
      <c r="X636" s="27">
        <v>0</v>
      </c>
      <c r="Y636" s="78">
        <f t="shared" si="91"/>
        <v>1735300</v>
      </c>
      <c r="Z636" s="49">
        <v>1E-4</v>
      </c>
    </row>
    <row r="637" spans="1:26" s="29" customFormat="1" ht="90.75" customHeight="1" x14ac:dyDescent="0.25">
      <c r="A637" s="20">
        <v>475</v>
      </c>
      <c r="B637" s="20" t="s">
        <v>0</v>
      </c>
      <c r="C637" s="20">
        <v>9865</v>
      </c>
      <c r="D637" s="21">
        <v>8</v>
      </c>
      <c r="E637" s="21">
        <v>3</v>
      </c>
      <c r="F637" s="22">
        <v>18</v>
      </c>
      <c r="G637" s="22" t="s">
        <v>198</v>
      </c>
      <c r="H637" s="24">
        <f t="shared" si="92"/>
        <v>3518</v>
      </c>
      <c r="I637" s="25" t="s">
        <v>22</v>
      </c>
      <c r="J637" s="24">
        <f t="shared" si="93"/>
        <v>1846950</v>
      </c>
      <c r="K637" s="20"/>
      <c r="L637" s="20"/>
      <c r="M637" s="20"/>
      <c r="N637" s="20"/>
      <c r="O637" s="24"/>
      <c r="P637" s="24"/>
      <c r="Q637" s="25"/>
      <c r="R637" s="24"/>
      <c r="S637" s="20"/>
      <c r="T637" s="27"/>
      <c r="U637" s="20"/>
      <c r="V637" s="27">
        <f t="shared" si="94"/>
        <v>1846950</v>
      </c>
      <c r="W637" s="26">
        <f t="shared" si="90"/>
        <v>1846950</v>
      </c>
      <c r="X637" s="27">
        <v>0</v>
      </c>
      <c r="Y637" s="78">
        <f t="shared" si="91"/>
        <v>1846950</v>
      </c>
      <c r="Z637" s="49">
        <v>1E-4</v>
      </c>
    </row>
    <row r="638" spans="1:26" s="29" customFormat="1" ht="90.75" customHeight="1" x14ac:dyDescent="0.25">
      <c r="A638" s="20">
        <v>476</v>
      </c>
      <c r="B638" s="20" t="s">
        <v>0</v>
      </c>
      <c r="C638" s="20">
        <v>6924</v>
      </c>
      <c r="D638" s="21">
        <v>5</v>
      </c>
      <c r="E638" s="21">
        <v>2</v>
      </c>
      <c r="F638" s="22">
        <v>29</v>
      </c>
      <c r="G638" s="22" t="s">
        <v>198</v>
      </c>
      <c r="H638" s="24">
        <f t="shared" si="92"/>
        <v>2229</v>
      </c>
      <c r="I638" s="25" t="s">
        <v>75</v>
      </c>
      <c r="J638" s="24">
        <f t="shared" si="93"/>
        <v>1393125</v>
      </c>
      <c r="K638" s="20"/>
      <c r="L638" s="20"/>
      <c r="M638" s="20"/>
      <c r="N638" s="20"/>
      <c r="O638" s="24"/>
      <c r="P638" s="24"/>
      <c r="Q638" s="25"/>
      <c r="R638" s="24"/>
      <c r="S638" s="20"/>
      <c r="T638" s="27"/>
      <c r="U638" s="20"/>
      <c r="V638" s="27">
        <f t="shared" si="94"/>
        <v>1393125</v>
      </c>
      <c r="W638" s="26">
        <f t="shared" si="90"/>
        <v>1393125</v>
      </c>
      <c r="X638" s="27">
        <v>0</v>
      </c>
      <c r="Y638" s="78">
        <f t="shared" si="91"/>
        <v>1393125</v>
      </c>
      <c r="Z638" s="49">
        <v>1E-4</v>
      </c>
    </row>
    <row r="639" spans="1:26" s="29" customFormat="1" ht="90.75" customHeight="1" x14ac:dyDescent="0.25">
      <c r="A639" s="20">
        <v>477</v>
      </c>
      <c r="B639" s="20" t="s">
        <v>0</v>
      </c>
      <c r="C639" s="20">
        <v>10674</v>
      </c>
      <c r="D639" s="21">
        <v>11</v>
      </c>
      <c r="E639" s="21">
        <v>2</v>
      </c>
      <c r="F639" s="22">
        <v>47</v>
      </c>
      <c r="G639" s="22" t="s">
        <v>198</v>
      </c>
      <c r="H639" s="24">
        <f t="shared" si="92"/>
        <v>4647</v>
      </c>
      <c r="I639" s="25" t="s">
        <v>19</v>
      </c>
      <c r="J639" s="24">
        <f t="shared" si="93"/>
        <v>1742625</v>
      </c>
      <c r="K639" s="20"/>
      <c r="L639" s="20"/>
      <c r="M639" s="20"/>
      <c r="N639" s="20"/>
      <c r="O639" s="24"/>
      <c r="P639" s="24"/>
      <c r="Q639" s="25"/>
      <c r="R639" s="24"/>
      <c r="S639" s="20"/>
      <c r="T639" s="27"/>
      <c r="U639" s="20"/>
      <c r="V639" s="27">
        <f t="shared" si="94"/>
        <v>1742625</v>
      </c>
      <c r="W639" s="26">
        <f t="shared" si="90"/>
        <v>1742625</v>
      </c>
      <c r="X639" s="27">
        <v>0</v>
      </c>
      <c r="Y639" s="78">
        <f t="shared" si="91"/>
        <v>1742625</v>
      </c>
      <c r="Z639" s="49">
        <v>1E-4</v>
      </c>
    </row>
    <row r="640" spans="1:26" s="29" customFormat="1" ht="90.75" customHeight="1" x14ac:dyDescent="0.25">
      <c r="A640" s="20">
        <v>478</v>
      </c>
      <c r="B640" s="20" t="s">
        <v>0</v>
      </c>
      <c r="C640" s="20">
        <v>9904</v>
      </c>
      <c r="D640" s="21">
        <v>19</v>
      </c>
      <c r="E640" s="21">
        <v>1</v>
      </c>
      <c r="F640" s="22">
        <v>44</v>
      </c>
      <c r="G640" s="22" t="s">
        <v>198</v>
      </c>
      <c r="H640" s="24">
        <f t="shared" si="92"/>
        <v>7744</v>
      </c>
      <c r="I640" s="25" t="s">
        <v>32</v>
      </c>
      <c r="J640" s="24">
        <f t="shared" si="93"/>
        <v>1548800</v>
      </c>
      <c r="K640" s="20"/>
      <c r="L640" s="20"/>
      <c r="M640" s="20"/>
      <c r="N640" s="20"/>
      <c r="O640" s="24"/>
      <c r="P640" s="24"/>
      <c r="Q640" s="25"/>
      <c r="R640" s="24"/>
      <c r="S640" s="20"/>
      <c r="T640" s="27"/>
      <c r="U640" s="20"/>
      <c r="V640" s="27">
        <f t="shared" si="94"/>
        <v>1548800</v>
      </c>
      <c r="W640" s="26">
        <f t="shared" si="90"/>
        <v>1548800</v>
      </c>
      <c r="X640" s="27">
        <v>0</v>
      </c>
      <c r="Y640" s="78">
        <f t="shared" si="91"/>
        <v>1548800</v>
      </c>
      <c r="Z640" s="49">
        <v>1E-4</v>
      </c>
    </row>
    <row r="641" spans="1:26" s="29" customFormat="1" ht="90.75" customHeight="1" x14ac:dyDescent="0.25">
      <c r="A641" s="20">
        <v>479</v>
      </c>
      <c r="B641" s="20" t="s">
        <v>0</v>
      </c>
      <c r="C641" s="20">
        <v>9900</v>
      </c>
      <c r="D641" s="21">
        <v>20</v>
      </c>
      <c r="E641" s="21">
        <v>2</v>
      </c>
      <c r="F641" s="22">
        <v>28</v>
      </c>
      <c r="G641" s="22" t="s">
        <v>198</v>
      </c>
      <c r="H641" s="24">
        <f t="shared" si="92"/>
        <v>8228</v>
      </c>
      <c r="I641" s="25" t="s">
        <v>7</v>
      </c>
      <c r="J641" s="24">
        <f t="shared" si="93"/>
        <v>2879800</v>
      </c>
      <c r="K641" s="20"/>
      <c r="L641" s="20"/>
      <c r="M641" s="20"/>
      <c r="N641" s="20"/>
      <c r="O641" s="24"/>
      <c r="P641" s="24"/>
      <c r="Q641" s="25"/>
      <c r="R641" s="24"/>
      <c r="S641" s="20"/>
      <c r="T641" s="27"/>
      <c r="U641" s="20"/>
      <c r="V641" s="27">
        <f t="shared" si="94"/>
        <v>2879800</v>
      </c>
      <c r="W641" s="26">
        <f t="shared" si="90"/>
        <v>2879800</v>
      </c>
      <c r="X641" s="27">
        <v>0</v>
      </c>
      <c r="Y641" s="78">
        <f t="shared" si="91"/>
        <v>2879800</v>
      </c>
      <c r="Z641" s="49">
        <v>1E-4</v>
      </c>
    </row>
    <row r="642" spans="1:26" s="29" customFormat="1" ht="90.75" customHeight="1" x14ac:dyDescent="0.25">
      <c r="A642" s="20">
        <v>480</v>
      </c>
      <c r="B642" s="20" t="s">
        <v>0</v>
      </c>
      <c r="C642" s="20">
        <v>9867</v>
      </c>
      <c r="D642" s="21">
        <v>8</v>
      </c>
      <c r="E642" s="21">
        <v>1</v>
      </c>
      <c r="F642" s="22">
        <v>2</v>
      </c>
      <c r="G642" s="22" t="s">
        <v>198</v>
      </c>
      <c r="H642" s="24">
        <f t="shared" si="92"/>
        <v>3302</v>
      </c>
      <c r="I642" s="25" t="s">
        <v>22</v>
      </c>
      <c r="J642" s="24">
        <f t="shared" si="93"/>
        <v>1733550</v>
      </c>
      <c r="K642" s="20"/>
      <c r="L642" s="20"/>
      <c r="M642" s="20"/>
      <c r="N642" s="20"/>
      <c r="O642" s="24"/>
      <c r="P642" s="24"/>
      <c r="Q642" s="25"/>
      <c r="R642" s="24"/>
      <c r="S642" s="20"/>
      <c r="T642" s="27"/>
      <c r="U642" s="20"/>
      <c r="V642" s="27">
        <f t="shared" si="94"/>
        <v>1733550</v>
      </c>
      <c r="W642" s="26">
        <f t="shared" ref="W642:W705" si="95">(V642*100/100)</f>
        <v>1733550</v>
      </c>
      <c r="X642" s="27">
        <v>0</v>
      </c>
      <c r="Y642" s="78">
        <f t="shared" ref="Y642:Y705" si="96">(W642-X642)</f>
        <v>1733550</v>
      </c>
      <c r="Z642" s="49">
        <v>1E-4</v>
      </c>
    </row>
    <row r="643" spans="1:26" s="29" customFormat="1" ht="90.75" customHeight="1" x14ac:dyDescent="0.25">
      <c r="A643" s="20">
        <v>481</v>
      </c>
      <c r="B643" s="20" t="s">
        <v>0</v>
      </c>
      <c r="C643" s="20">
        <v>6925</v>
      </c>
      <c r="D643" s="21">
        <v>17</v>
      </c>
      <c r="E643" s="21">
        <v>2</v>
      </c>
      <c r="F643" s="22">
        <v>31</v>
      </c>
      <c r="G643" s="22" t="s">
        <v>198</v>
      </c>
      <c r="H643" s="24">
        <f t="shared" ref="H643:H706" si="97">(D643*400)+(E643*100)+F643</f>
        <v>7031</v>
      </c>
      <c r="I643" s="25" t="s">
        <v>19</v>
      </c>
      <c r="J643" s="24">
        <f t="shared" ref="J643:J706" si="98">(H643*I643)</f>
        <v>2636625</v>
      </c>
      <c r="K643" s="20"/>
      <c r="L643" s="20"/>
      <c r="M643" s="20"/>
      <c r="N643" s="20"/>
      <c r="O643" s="24"/>
      <c r="P643" s="24"/>
      <c r="Q643" s="25"/>
      <c r="R643" s="24"/>
      <c r="S643" s="20"/>
      <c r="T643" s="27"/>
      <c r="U643" s="20"/>
      <c r="V643" s="27">
        <f t="shared" ref="V643:V706" si="99">(J643+U643)</f>
        <v>2636625</v>
      </c>
      <c r="W643" s="26">
        <f t="shared" si="95"/>
        <v>2636625</v>
      </c>
      <c r="X643" s="27">
        <v>0</v>
      </c>
      <c r="Y643" s="78">
        <f t="shared" si="96"/>
        <v>2636625</v>
      </c>
      <c r="Z643" s="49">
        <v>1E-4</v>
      </c>
    </row>
    <row r="644" spans="1:26" s="29" customFormat="1" ht="90.75" customHeight="1" x14ac:dyDescent="0.25">
      <c r="A644" s="20">
        <v>482</v>
      </c>
      <c r="B644" s="20" t="s">
        <v>0</v>
      </c>
      <c r="C644" s="20">
        <v>6926</v>
      </c>
      <c r="D644" s="21">
        <v>26</v>
      </c>
      <c r="E644" s="21">
        <v>3</v>
      </c>
      <c r="F644" s="22">
        <v>85</v>
      </c>
      <c r="G644" s="22" t="s">
        <v>198</v>
      </c>
      <c r="H644" s="24">
        <f t="shared" si="97"/>
        <v>10785</v>
      </c>
      <c r="I644" s="25" t="s">
        <v>19</v>
      </c>
      <c r="J644" s="24">
        <f t="shared" si="98"/>
        <v>4044375</v>
      </c>
      <c r="K644" s="20"/>
      <c r="L644" s="20"/>
      <c r="M644" s="20"/>
      <c r="N644" s="20"/>
      <c r="O644" s="24"/>
      <c r="P644" s="24"/>
      <c r="Q644" s="25"/>
      <c r="R644" s="24"/>
      <c r="S644" s="20"/>
      <c r="T644" s="27"/>
      <c r="U644" s="20"/>
      <c r="V644" s="27">
        <f t="shared" si="99"/>
        <v>4044375</v>
      </c>
      <c r="W644" s="26">
        <f t="shared" si="95"/>
        <v>4044375</v>
      </c>
      <c r="X644" s="27">
        <v>0</v>
      </c>
      <c r="Y644" s="78">
        <f t="shared" si="96"/>
        <v>4044375</v>
      </c>
      <c r="Z644" s="49">
        <v>1E-4</v>
      </c>
    </row>
    <row r="645" spans="1:26" s="29" customFormat="1" ht="90.75" customHeight="1" x14ac:dyDescent="0.25">
      <c r="A645" s="20">
        <v>483</v>
      </c>
      <c r="B645" s="20" t="s">
        <v>0</v>
      </c>
      <c r="C645" s="20">
        <v>12215</v>
      </c>
      <c r="D645" s="21">
        <v>9</v>
      </c>
      <c r="E645" s="21">
        <v>1</v>
      </c>
      <c r="F645" s="22">
        <v>75</v>
      </c>
      <c r="G645" s="22" t="s">
        <v>198</v>
      </c>
      <c r="H645" s="24">
        <f t="shared" si="97"/>
        <v>3775</v>
      </c>
      <c r="I645" s="25" t="s">
        <v>7</v>
      </c>
      <c r="J645" s="24">
        <f t="shared" si="98"/>
        <v>1321250</v>
      </c>
      <c r="K645" s="20"/>
      <c r="L645" s="20"/>
      <c r="M645" s="20"/>
      <c r="N645" s="20"/>
      <c r="O645" s="24"/>
      <c r="P645" s="24"/>
      <c r="Q645" s="25"/>
      <c r="R645" s="24"/>
      <c r="S645" s="20"/>
      <c r="T645" s="27"/>
      <c r="U645" s="20"/>
      <c r="V645" s="27">
        <f t="shared" si="99"/>
        <v>1321250</v>
      </c>
      <c r="W645" s="26">
        <f t="shared" si="95"/>
        <v>1321250</v>
      </c>
      <c r="X645" s="27">
        <v>0</v>
      </c>
      <c r="Y645" s="78">
        <f t="shared" si="96"/>
        <v>1321250</v>
      </c>
      <c r="Z645" s="49">
        <v>1E-4</v>
      </c>
    </row>
    <row r="646" spans="1:26" s="29" customFormat="1" ht="90.75" customHeight="1" x14ac:dyDescent="0.25">
      <c r="A646" s="20">
        <v>484</v>
      </c>
      <c r="B646" s="20" t="s">
        <v>0</v>
      </c>
      <c r="C646" s="20">
        <v>9850</v>
      </c>
      <c r="D646" s="21">
        <v>18</v>
      </c>
      <c r="E646" s="21">
        <v>1</v>
      </c>
      <c r="F646" s="22">
        <v>17</v>
      </c>
      <c r="G646" s="22" t="s">
        <v>198</v>
      </c>
      <c r="H646" s="24">
        <f t="shared" si="97"/>
        <v>7317</v>
      </c>
      <c r="I646" s="25" t="s">
        <v>19</v>
      </c>
      <c r="J646" s="24">
        <f t="shared" si="98"/>
        <v>2743875</v>
      </c>
      <c r="K646" s="20"/>
      <c r="L646" s="20"/>
      <c r="M646" s="20"/>
      <c r="N646" s="20"/>
      <c r="O646" s="24"/>
      <c r="P646" s="24"/>
      <c r="Q646" s="25"/>
      <c r="R646" s="24"/>
      <c r="S646" s="20"/>
      <c r="T646" s="27"/>
      <c r="U646" s="20"/>
      <c r="V646" s="27">
        <f t="shared" si="99"/>
        <v>2743875</v>
      </c>
      <c r="W646" s="26">
        <f t="shared" si="95"/>
        <v>2743875</v>
      </c>
      <c r="X646" s="27">
        <v>0</v>
      </c>
      <c r="Y646" s="78">
        <f t="shared" si="96"/>
        <v>2743875</v>
      </c>
      <c r="Z646" s="49">
        <v>1E-4</v>
      </c>
    </row>
    <row r="647" spans="1:26" s="29" customFormat="1" ht="90.75" customHeight="1" x14ac:dyDescent="0.25">
      <c r="A647" s="20">
        <v>485</v>
      </c>
      <c r="B647" s="20" t="s">
        <v>0</v>
      </c>
      <c r="C647" s="20">
        <v>9896</v>
      </c>
      <c r="D647" s="21">
        <v>9</v>
      </c>
      <c r="E647" s="21">
        <v>0</v>
      </c>
      <c r="F647" s="22">
        <v>30</v>
      </c>
      <c r="G647" s="22" t="s">
        <v>198</v>
      </c>
      <c r="H647" s="24">
        <f t="shared" si="97"/>
        <v>3630</v>
      </c>
      <c r="I647" s="25" t="s">
        <v>32</v>
      </c>
      <c r="J647" s="24">
        <f t="shared" si="98"/>
        <v>726000</v>
      </c>
      <c r="K647" s="20"/>
      <c r="L647" s="20"/>
      <c r="M647" s="20"/>
      <c r="N647" s="20"/>
      <c r="O647" s="24"/>
      <c r="P647" s="24"/>
      <c r="Q647" s="25"/>
      <c r="R647" s="24"/>
      <c r="S647" s="20"/>
      <c r="T647" s="27"/>
      <c r="U647" s="20"/>
      <c r="V647" s="27">
        <f t="shared" si="99"/>
        <v>726000</v>
      </c>
      <c r="W647" s="26">
        <f t="shared" si="95"/>
        <v>726000</v>
      </c>
      <c r="X647" s="27">
        <v>0</v>
      </c>
      <c r="Y647" s="78">
        <f t="shared" si="96"/>
        <v>726000</v>
      </c>
      <c r="Z647" s="49">
        <v>1E-4</v>
      </c>
    </row>
    <row r="648" spans="1:26" s="29" customFormat="1" ht="90.75" customHeight="1" x14ac:dyDescent="0.25">
      <c r="A648" s="20">
        <v>486</v>
      </c>
      <c r="B648" s="20" t="s">
        <v>0</v>
      </c>
      <c r="C648" s="20">
        <v>9875</v>
      </c>
      <c r="D648" s="21">
        <v>13</v>
      </c>
      <c r="E648" s="21">
        <v>1</v>
      </c>
      <c r="F648" s="22">
        <v>66</v>
      </c>
      <c r="G648" s="22" t="s">
        <v>198</v>
      </c>
      <c r="H648" s="24">
        <f t="shared" si="97"/>
        <v>5366</v>
      </c>
      <c r="I648" s="25" t="s">
        <v>22</v>
      </c>
      <c r="J648" s="24">
        <f t="shared" si="98"/>
        <v>2817150</v>
      </c>
      <c r="K648" s="20"/>
      <c r="L648" s="20"/>
      <c r="M648" s="20"/>
      <c r="N648" s="20"/>
      <c r="O648" s="24"/>
      <c r="P648" s="24"/>
      <c r="Q648" s="25"/>
      <c r="R648" s="24"/>
      <c r="S648" s="20"/>
      <c r="T648" s="27"/>
      <c r="U648" s="20"/>
      <c r="V648" s="27">
        <f t="shared" si="99"/>
        <v>2817150</v>
      </c>
      <c r="W648" s="26">
        <f t="shared" si="95"/>
        <v>2817150</v>
      </c>
      <c r="X648" s="27">
        <v>0</v>
      </c>
      <c r="Y648" s="78">
        <f t="shared" si="96"/>
        <v>2817150</v>
      </c>
      <c r="Z648" s="49">
        <v>1E-4</v>
      </c>
    </row>
    <row r="649" spans="1:26" s="29" customFormat="1" ht="90.75" customHeight="1" x14ac:dyDescent="0.25">
      <c r="A649" s="20">
        <v>487</v>
      </c>
      <c r="B649" s="20" t="s">
        <v>0</v>
      </c>
      <c r="C649" s="20">
        <v>6768</v>
      </c>
      <c r="D649" s="21">
        <v>9</v>
      </c>
      <c r="E649" s="21">
        <v>1</v>
      </c>
      <c r="F649" s="22">
        <v>23</v>
      </c>
      <c r="G649" s="22" t="s">
        <v>198</v>
      </c>
      <c r="H649" s="24">
        <f t="shared" si="97"/>
        <v>3723</v>
      </c>
      <c r="I649" s="25" t="s">
        <v>19</v>
      </c>
      <c r="J649" s="24">
        <f t="shared" si="98"/>
        <v>1396125</v>
      </c>
      <c r="K649" s="20"/>
      <c r="L649" s="20"/>
      <c r="M649" s="20"/>
      <c r="N649" s="20"/>
      <c r="O649" s="24"/>
      <c r="P649" s="24"/>
      <c r="Q649" s="25"/>
      <c r="R649" s="24"/>
      <c r="S649" s="20"/>
      <c r="T649" s="27"/>
      <c r="U649" s="20"/>
      <c r="V649" s="27">
        <f t="shared" si="99"/>
        <v>1396125</v>
      </c>
      <c r="W649" s="26">
        <f t="shared" si="95"/>
        <v>1396125</v>
      </c>
      <c r="X649" s="27">
        <v>0</v>
      </c>
      <c r="Y649" s="78">
        <f t="shared" si="96"/>
        <v>1396125</v>
      </c>
      <c r="Z649" s="49">
        <v>1E-4</v>
      </c>
    </row>
    <row r="650" spans="1:26" s="29" customFormat="1" ht="90.75" customHeight="1" x14ac:dyDescent="0.25">
      <c r="A650" s="20">
        <v>488</v>
      </c>
      <c r="B650" s="20" t="s">
        <v>0</v>
      </c>
      <c r="C650" s="20">
        <v>6766</v>
      </c>
      <c r="D650" s="21">
        <v>26</v>
      </c>
      <c r="E650" s="21">
        <v>1</v>
      </c>
      <c r="F650" s="22">
        <v>57</v>
      </c>
      <c r="G650" s="22" t="s">
        <v>198</v>
      </c>
      <c r="H650" s="24">
        <f t="shared" si="97"/>
        <v>10557</v>
      </c>
      <c r="I650" s="25" t="s">
        <v>19</v>
      </c>
      <c r="J650" s="24">
        <f t="shared" si="98"/>
        <v>3958875</v>
      </c>
      <c r="K650" s="20"/>
      <c r="L650" s="20"/>
      <c r="M650" s="20"/>
      <c r="N650" s="20"/>
      <c r="O650" s="24"/>
      <c r="P650" s="24"/>
      <c r="Q650" s="25"/>
      <c r="R650" s="24"/>
      <c r="S650" s="20"/>
      <c r="T650" s="27"/>
      <c r="U650" s="20"/>
      <c r="V650" s="27">
        <f t="shared" si="99"/>
        <v>3958875</v>
      </c>
      <c r="W650" s="26">
        <f t="shared" si="95"/>
        <v>3958875</v>
      </c>
      <c r="X650" s="27">
        <v>0</v>
      </c>
      <c r="Y650" s="78">
        <f t="shared" si="96"/>
        <v>3958875</v>
      </c>
      <c r="Z650" s="49">
        <v>1E-4</v>
      </c>
    </row>
    <row r="651" spans="1:26" s="29" customFormat="1" ht="90.75" customHeight="1" x14ac:dyDescent="0.25">
      <c r="A651" s="20">
        <v>489</v>
      </c>
      <c r="B651" s="20" t="s">
        <v>0</v>
      </c>
      <c r="C651" s="20">
        <v>6764</v>
      </c>
      <c r="D651" s="21">
        <v>17</v>
      </c>
      <c r="E651" s="21">
        <v>2</v>
      </c>
      <c r="F651" s="22">
        <v>14</v>
      </c>
      <c r="G651" s="22" t="s">
        <v>198</v>
      </c>
      <c r="H651" s="24">
        <f t="shared" si="97"/>
        <v>7014</v>
      </c>
      <c r="I651" s="25" t="s">
        <v>32</v>
      </c>
      <c r="J651" s="24">
        <f t="shared" si="98"/>
        <v>1402800</v>
      </c>
      <c r="K651" s="20"/>
      <c r="L651" s="20"/>
      <c r="M651" s="20"/>
      <c r="N651" s="20"/>
      <c r="O651" s="24"/>
      <c r="P651" s="24"/>
      <c r="Q651" s="25"/>
      <c r="R651" s="24"/>
      <c r="S651" s="20"/>
      <c r="T651" s="27"/>
      <c r="U651" s="20"/>
      <c r="V651" s="27">
        <f t="shared" si="99"/>
        <v>1402800</v>
      </c>
      <c r="W651" s="26">
        <f t="shared" si="95"/>
        <v>1402800</v>
      </c>
      <c r="X651" s="27">
        <v>0</v>
      </c>
      <c r="Y651" s="78">
        <f t="shared" si="96"/>
        <v>1402800</v>
      </c>
      <c r="Z651" s="49">
        <v>1E-4</v>
      </c>
    </row>
    <row r="652" spans="1:26" s="29" customFormat="1" ht="90.75" customHeight="1" x14ac:dyDescent="0.25">
      <c r="A652" s="20">
        <v>490</v>
      </c>
      <c r="B652" s="20" t="s">
        <v>0</v>
      </c>
      <c r="C652" s="20">
        <v>6765</v>
      </c>
      <c r="D652" s="21">
        <v>1</v>
      </c>
      <c r="E652" s="21">
        <v>3</v>
      </c>
      <c r="F652" s="22">
        <v>31</v>
      </c>
      <c r="G652" s="22" t="s">
        <v>198</v>
      </c>
      <c r="H652" s="24">
        <f t="shared" si="97"/>
        <v>731</v>
      </c>
      <c r="I652" s="25" t="s">
        <v>62</v>
      </c>
      <c r="J652" s="24">
        <f t="shared" si="98"/>
        <v>365500</v>
      </c>
      <c r="K652" s="20"/>
      <c r="L652" s="20"/>
      <c r="M652" s="20"/>
      <c r="N652" s="20"/>
      <c r="O652" s="24"/>
      <c r="P652" s="24"/>
      <c r="Q652" s="25"/>
      <c r="R652" s="24"/>
      <c r="S652" s="20"/>
      <c r="T652" s="27"/>
      <c r="U652" s="20"/>
      <c r="V652" s="27">
        <f t="shared" si="99"/>
        <v>365500</v>
      </c>
      <c r="W652" s="26">
        <f t="shared" si="95"/>
        <v>365500</v>
      </c>
      <c r="X652" s="27">
        <v>0</v>
      </c>
      <c r="Y652" s="78">
        <f t="shared" si="96"/>
        <v>365500</v>
      </c>
      <c r="Z652" s="49">
        <v>1E-4</v>
      </c>
    </row>
    <row r="653" spans="1:26" s="29" customFormat="1" ht="90.75" customHeight="1" x14ac:dyDescent="0.25">
      <c r="A653" s="20">
        <v>491</v>
      </c>
      <c r="B653" s="20" t="s">
        <v>0</v>
      </c>
      <c r="C653" s="20">
        <v>7536</v>
      </c>
      <c r="D653" s="21">
        <v>8</v>
      </c>
      <c r="E653" s="21">
        <v>0</v>
      </c>
      <c r="F653" s="22">
        <v>55</v>
      </c>
      <c r="G653" s="22" t="s">
        <v>198</v>
      </c>
      <c r="H653" s="24">
        <f t="shared" si="97"/>
        <v>3255</v>
      </c>
      <c r="I653" s="25" t="s">
        <v>22</v>
      </c>
      <c r="J653" s="24">
        <f t="shared" si="98"/>
        <v>1708875</v>
      </c>
      <c r="K653" s="20"/>
      <c r="L653" s="20"/>
      <c r="M653" s="20"/>
      <c r="N653" s="20"/>
      <c r="O653" s="24"/>
      <c r="P653" s="24"/>
      <c r="Q653" s="25"/>
      <c r="R653" s="24"/>
      <c r="S653" s="20"/>
      <c r="T653" s="27"/>
      <c r="U653" s="20"/>
      <c r="V653" s="27">
        <f t="shared" si="99"/>
        <v>1708875</v>
      </c>
      <c r="W653" s="26">
        <f t="shared" si="95"/>
        <v>1708875</v>
      </c>
      <c r="X653" s="27">
        <v>0</v>
      </c>
      <c r="Y653" s="78">
        <f t="shared" si="96"/>
        <v>1708875</v>
      </c>
      <c r="Z653" s="49">
        <v>1E-4</v>
      </c>
    </row>
    <row r="654" spans="1:26" s="29" customFormat="1" ht="90.75" customHeight="1" x14ac:dyDescent="0.25">
      <c r="A654" s="20">
        <v>492</v>
      </c>
      <c r="B654" s="20" t="s">
        <v>0</v>
      </c>
      <c r="C654" s="20">
        <v>8202</v>
      </c>
      <c r="D654" s="21">
        <v>6</v>
      </c>
      <c r="E654" s="21">
        <v>3</v>
      </c>
      <c r="F654" s="22">
        <v>0</v>
      </c>
      <c r="G654" s="22" t="s">
        <v>198</v>
      </c>
      <c r="H654" s="24">
        <f t="shared" si="97"/>
        <v>2700</v>
      </c>
      <c r="I654" s="25" t="s">
        <v>53</v>
      </c>
      <c r="J654" s="24">
        <f t="shared" si="98"/>
        <v>1215000</v>
      </c>
      <c r="K654" s="20"/>
      <c r="L654" s="20"/>
      <c r="M654" s="20"/>
      <c r="N654" s="20"/>
      <c r="O654" s="24"/>
      <c r="P654" s="24"/>
      <c r="Q654" s="25"/>
      <c r="R654" s="24"/>
      <c r="S654" s="20"/>
      <c r="T654" s="27"/>
      <c r="U654" s="20"/>
      <c r="V654" s="27">
        <f t="shared" si="99"/>
        <v>1215000</v>
      </c>
      <c r="W654" s="26">
        <f t="shared" si="95"/>
        <v>1215000</v>
      </c>
      <c r="X654" s="27">
        <v>0</v>
      </c>
      <c r="Y654" s="78">
        <f t="shared" si="96"/>
        <v>1215000</v>
      </c>
      <c r="Z654" s="49">
        <v>1E-4</v>
      </c>
    </row>
    <row r="655" spans="1:26" s="29" customFormat="1" ht="90.75" customHeight="1" x14ac:dyDescent="0.25">
      <c r="A655" s="20">
        <v>493</v>
      </c>
      <c r="B655" s="20" t="s">
        <v>0</v>
      </c>
      <c r="C655" s="20">
        <v>7246</v>
      </c>
      <c r="D655" s="21">
        <v>1</v>
      </c>
      <c r="E655" s="21">
        <v>0</v>
      </c>
      <c r="F655" s="22">
        <v>25</v>
      </c>
      <c r="G655" s="22" t="s">
        <v>198</v>
      </c>
      <c r="H655" s="24">
        <f t="shared" si="97"/>
        <v>425</v>
      </c>
      <c r="I655" s="25" t="s">
        <v>8</v>
      </c>
      <c r="J655" s="24">
        <f t="shared" si="98"/>
        <v>170000</v>
      </c>
      <c r="K655" s="20"/>
      <c r="L655" s="20"/>
      <c r="M655" s="20"/>
      <c r="N655" s="20"/>
      <c r="O655" s="24"/>
      <c r="P655" s="24"/>
      <c r="Q655" s="25"/>
      <c r="R655" s="24"/>
      <c r="S655" s="20"/>
      <c r="T655" s="27"/>
      <c r="U655" s="20"/>
      <c r="V655" s="27">
        <f t="shared" si="99"/>
        <v>170000</v>
      </c>
      <c r="W655" s="26">
        <f t="shared" si="95"/>
        <v>170000</v>
      </c>
      <c r="X655" s="27">
        <v>0</v>
      </c>
      <c r="Y655" s="78">
        <f t="shared" si="96"/>
        <v>170000</v>
      </c>
      <c r="Z655" s="49">
        <v>1E-4</v>
      </c>
    </row>
    <row r="656" spans="1:26" s="29" customFormat="1" ht="90.75" customHeight="1" x14ac:dyDescent="0.25">
      <c r="A656" s="20">
        <v>494</v>
      </c>
      <c r="B656" s="20" t="s">
        <v>0</v>
      </c>
      <c r="C656" s="20">
        <v>7625</v>
      </c>
      <c r="D656" s="21">
        <v>20</v>
      </c>
      <c r="E656" s="21">
        <v>3</v>
      </c>
      <c r="F656" s="22">
        <v>7</v>
      </c>
      <c r="G656" s="22" t="s">
        <v>198</v>
      </c>
      <c r="H656" s="24">
        <f t="shared" si="97"/>
        <v>8307</v>
      </c>
      <c r="I656" s="25" t="s">
        <v>53</v>
      </c>
      <c r="J656" s="24">
        <f t="shared" si="98"/>
        <v>3738150</v>
      </c>
      <c r="K656" s="20"/>
      <c r="L656" s="20"/>
      <c r="M656" s="20"/>
      <c r="N656" s="20"/>
      <c r="O656" s="24"/>
      <c r="P656" s="24"/>
      <c r="Q656" s="25"/>
      <c r="R656" s="24"/>
      <c r="S656" s="20"/>
      <c r="T656" s="27"/>
      <c r="U656" s="20"/>
      <c r="V656" s="27">
        <f t="shared" si="99"/>
        <v>3738150</v>
      </c>
      <c r="W656" s="26">
        <f t="shared" si="95"/>
        <v>3738150</v>
      </c>
      <c r="X656" s="27">
        <v>0</v>
      </c>
      <c r="Y656" s="78">
        <f t="shared" si="96"/>
        <v>3738150</v>
      </c>
      <c r="Z656" s="49">
        <v>1E-4</v>
      </c>
    </row>
    <row r="657" spans="1:26" s="29" customFormat="1" ht="90.75" customHeight="1" x14ac:dyDescent="0.25">
      <c r="A657" s="20">
        <v>495</v>
      </c>
      <c r="B657" s="20" t="s">
        <v>0</v>
      </c>
      <c r="C657" s="20">
        <v>10683</v>
      </c>
      <c r="D657" s="21">
        <v>21</v>
      </c>
      <c r="E657" s="21">
        <v>0</v>
      </c>
      <c r="F657" s="22">
        <v>89</v>
      </c>
      <c r="G657" s="22" t="s">
        <v>198</v>
      </c>
      <c r="H657" s="24">
        <f t="shared" si="97"/>
        <v>8489</v>
      </c>
      <c r="I657" s="25" t="s">
        <v>32</v>
      </c>
      <c r="J657" s="24">
        <f t="shared" si="98"/>
        <v>1697800</v>
      </c>
      <c r="K657" s="20"/>
      <c r="L657" s="20"/>
      <c r="M657" s="20"/>
      <c r="N657" s="20"/>
      <c r="O657" s="24"/>
      <c r="P657" s="24"/>
      <c r="Q657" s="25"/>
      <c r="R657" s="24"/>
      <c r="S657" s="20"/>
      <c r="T657" s="27"/>
      <c r="U657" s="20"/>
      <c r="V657" s="27">
        <f t="shared" si="99"/>
        <v>1697800</v>
      </c>
      <c r="W657" s="26">
        <f t="shared" si="95"/>
        <v>1697800</v>
      </c>
      <c r="X657" s="27">
        <v>0</v>
      </c>
      <c r="Y657" s="78">
        <f t="shared" si="96"/>
        <v>1697800</v>
      </c>
      <c r="Z657" s="49">
        <v>1E-4</v>
      </c>
    </row>
    <row r="658" spans="1:26" s="29" customFormat="1" ht="90.75" customHeight="1" x14ac:dyDescent="0.25">
      <c r="A658" s="20">
        <v>496</v>
      </c>
      <c r="B658" s="20" t="s">
        <v>0</v>
      </c>
      <c r="C658" s="20">
        <v>10684</v>
      </c>
      <c r="D658" s="21">
        <v>19</v>
      </c>
      <c r="E658" s="21">
        <v>0</v>
      </c>
      <c r="F658" s="22">
        <v>87</v>
      </c>
      <c r="G658" s="22" t="s">
        <v>198</v>
      </c>
      <c r="H658" s="24">
        <f t="shared" si="97"/>
        <v>7687</v>
      </c>
      <c r="I658" s="25" t="s">
        <v>19</v>
      </c>
      <c r="J658" s="24">
        <f t="shared" si="98"/>
        <v>2882625</v>
      </c>
      <c r="K658" s="20"/>
      <c r="L658" s="20"/>
      <c r="M658" s="20"/>
      <c r="N658" s="20"/>
      <c r="O658" s="24"/>
      <c r="P658" s="24"/>
      <c r="Q658" s="25"/>
      <c r="R658" s="24"/>
      <c r="S658" s="20"/>
      <c r="T658" s="27"/>
      <c r="U658" s="20"/>
      <c r="V658" s="27">
        <f t="shared" si="99"/>
        <v>2882625</v>
      </c>
      <c r="W658" s="26">
        <f t="shared" si="95"/>
        <v>2882625</v>
      </c>
      <c r="X658" s="27">
        <v>0</v>
      </c>
      <c r="Y658" s="78">
        <f t="shared" si="96"/>
        <v>2882625</v>
      </c>
      <c r="Z658" s="49">
        <v>1E-4</v>
      </c>
    </row>
    <row r="659" spans="1:26" s="29" customFormat="1" ht="90.75" customHeight="1" x14ac:dyDescent="0.25">
      <c r="A659" s="20">
        <v>497</v>
      </c>
      <c r="B659" s="20" t="s">
        <v>0</v>
      </c>
      <c r="C659" s="20">
        <v>10685</v>
      </c>
      <c r="D659" s="21">
        <v>15</v>
      </c>
      <c r="E659" s="21">
        <v>3</v>
      </c>
      <c r="F659" s="22">
        <v>87</v>
      </c>
      <c r="G659" s="22" t="s">
        <v>198</v>
      </c>
      <c r="H659" s="24">
        <f t="shared" si="97"/>
        <v>6387</v>
      </c>
      <c r="I659" s="25" t="s">
        <v>7</v>
      </c>
      <c r="J659" s="24">
        <f t="shared" si="98"/>
        <v>2235450</v>
      </c>
      <c r="K659" s="20"/>
      <c r="L659" s="20"/>
      <c r="M659" s="20"/>
      <c r="N659" s="20"/>
      <c r="O659" s="24"/>
      <c r="P659" s="24"/>
      <c r="Q659" s="25"/>
      <c r="R659" s="24"/>
      <c r="S659" s="20"/>
      <c r="T659" s="27"/>
      <c r="U659" s="20"/>
      <c r="V659" s="27">
        <f t="shared" si="99"/>
        <v>2235450</v>
      </c>
      <c r="W659" s="26">
        <f t="shared" si="95"/>
        <v>2235450</v>
      </c>
      <c r="X659" s="27">
        <v>0</v>
      </c>
      <c r="Y659" s="78">
        <f t="shared" si="96"/>
        <v>2235450</v>
      </c>
      <c r="Z659" s="49">
        <v>1E-4</v>
      </c>
    </row>
    <row r="660" spans="1:26" s="29" customFormat="1" ht="90.75" customHeight="1" x14ac:dyDescent="0.25">
      <c r="A660" s="20">
        <v>498</v>
      </c>
      <c r="B660" s="20" t="s">
        <v>0</v>
      </c>
      <c r="C660" s="20">
        <v>10672</v>
      </c>
      <c r="D660" s="21">
        <v>51</v>
      </c>
      <c r="E660" s="21">
        <v>0</v>
      </c>
      <c r="F660" s="22">
        <v>60</v>
      </c>
      <c r="G660" s="22" t="s">
        <v>198</v>
      </c>
      <c r="H660" s="24">
        <f t="shared" si="97"/>
        <v>20460</v>
      </c>
      <c r="I660" s="25" t="s">
        <v>19</v>
      </c>
      <c r="J660" s="24">
        <f t="shared" si="98"/>
        <v>7672500</v>
      </c>
      <c r="K660" s="20"/>
      <c r="L660" s="20"/>
      <c r="M660" s="20"/>
      <c r="N660" s="20"/>
      <c r="O660" s="24"/>
      <c r="P660" s="24"/>
      <c r="Q660" s="25"/>
      <c r="R660" s="24"/>
      <c r="S660" s="20"/>
      <c r="T660" s="27"/>
      <c r="U660" s="20"/>
      <c r="V660" s="27">
        <f t="shared" si="99"/>
        <v>7672500</v>
      </c>
      <c r="W660" s="26">
        <f t="shared" si="95"/>
        <v>7672500</v>
      </c>
      <c r="X660" s="27">
        <v>0</v>
      </c>
      <c r="Y660" s="78">
        <f t="shared" si="96"/>
        <v>7672500</v>
      </c>
      <c r="Z660" s="49">
        <v>1E-4</v>
      </c>
    </row>
    <row r="661" spans="1:26" s="29" customFormat="1" ht="90.75" customHeight="1" x14ac:dyDescent="0.25">
      <c r="A661" s="20">
        <v>499</v>
      </c>
      <c r="B661" s="20" t="s">
        <v>0</v>
      </c>
      <c r="C661" s="20">
        <v>9891</v>
      </c>
      <c r="D661" s="21">
        <v>6</v>
      </c>
      <c r="E661" s="21">
        <v>1</v>
      </c>
      <c r="F661" s="22">
        <v>16</v>
      </c>
      <c r="G661" s="22" t="s">
        <v>198</v>
      </c>
      <c r="H661" s="24">
        <f t="shared" si="97"/>
        <v>2516</v>
      </c>
      <c r="I661" s="25" t="s">
        <v>22</v>
      </c>
      <c r="J661" s="24">
        <f t="shared" si="98"/>
        <v>1320900</v>
      </c>
      <c r="K661" s="20"/>
      <c r="L661" s="20"/>
      <c r="M661" s="20"/>
      <c r="N661" s="20"/>
      <c r="O661" s="24"/>
      <c r="P661" s="24"/>
      <c r="Q661" s="25"/>
      <c r="R661" s="24"/>
      <c r="S661" s="20"/>
      <c r="T661" s="27"/>
      <c r="U661" s="20"/>
      <c r="V661" s="27">
        <f t="shared" si="99"/>
        <v>1320900</v>
      </c>
      <c r="W661" s="26">
        <f t="shared" si="95"/>
        <v>1320900</v>
      </c>
      <c r="X661" s="27">
        <v>0</v>
      </c>
      <c r="Y661" s="78">
        <f t="shared" si="96"/>
        <v>1320900</v>
      </c>
      <c r="Z661" s="49">
        <v>1E-4</v>
      </c>
    </row>
    <row r="662" spans="1:26" s="29" customFormat="1" ht="90.75" customHeight="1" x14ac:dyDescent="0.25">
      <c r="A662" s="20">
        <v>500</v>
      </c>
      <c r="B662" s="20" t="s">
        <v>0</v>
      </c>
      <c r="C662" s="20">
        <v>10673</v>
      </c>
      <c r="D662" s="21">
        <v>17</v>
      </c>
      <c r="E662" s="21">
        <v>1</v>
      </c>
      <c r="F662" s="22">
        <v>79</v>
      </c>
      <c r="G662" s="22" t="s">
        <v>198</v>
      </c>
      <c r="H662" s="24">
        <f t="shared" si="97"/>
        <v>6979</v>
      </c>
      <c r="I662" s="25" t="s">
        <v>19</v>
      </c>
      <c r="J662" s="24">
        <f t="shared" si="98"/>
        <v>2617125</v>
      </c>
      <c r="K662" s="20"/>
      <c r="L662" s="20"/>
      <c r="M662" s="20"/>
      <c r="N662" s="20"/>
      <c r="O662" s="24"/>
      <c r="P662" s="24"/>
      <c r="Q662" s="25"/>
      <c r="R662" s="24"/>
      <c r="S662" s="20"/>
      <c r="T662" s="27"/>
      <c r="U662" s="20"/>
      <c r="V662" s="27">
        <f t="shared" si="99"/>
        <v>2617125</v>
      </c>
      <c r="W662" s="26">
        <f t="shared" si="95"/>
        <v>2617125</v>
      </c>
      <c r="X662" s="27">
        <v>0</v>
      </c>
      <c r="Y662" s="78">
        <f t="shared" si="96"/>
        <v>2617125</v>
      </c>
      <c r="Z662" s="49">
        <v>1E-4</v>
      </c>
    </row>
    <row r="663" spans="1:26" s="29" customFormat="1" ht="90.75" customHeight="1" x14ac:dyDescent="0.25">
      <c r="A663" s="20">
        <v>501</v>
      </c>
      <c r="B663" s="20" t="s">
        <v>0</v>
      </c>
      <c r="C663" s="20">
        <v>8319</v>
      </c>
      <c r="D663" s="21">
        <v>2</v>
      </c>
      <c r="E663" s="21">
        <v>1</v>
      </c>
      <c r="F663" s="22">
        <v>97</v>
      </c>
      <c r="G663" s="22" t="s">
        <v>198</v>
      </c>
      <c r="H663" s="24">
        <f t="shared" si="97"/>
        <v>997</v>
      </c>
      <c r="I663" s="25" t="s">
        <v>7</v>
      </c>
      <c r="J663" s="24">
        <f t="shared" si="98"/>
        <v>348950</v>
      </c>
      <c r="K663" s="20"/>
      <c r="L663" s="20"/>
      <c r="M663" s="20"/>
      <c r="N663" s="20"/>
      <c r="O663" s="24"/>
      <c r="P663" s="24"/>
      <c r="Q663" s="25"/>
      <c r="R663" s="24"/>
      <c r="S663" s="20"/>
      <c r="T663" s="27"/>
      <c r="U663" s="20"/>
      <c r="V663" s="27">
        <f t="shared" si="99"/>
        <v>348950</v>
      </c>
      <c r="W663" s="26">
        <f t="shared" si="95"/>
        <v>348950</v>
      </c>
      <c r="X663" s="27">
        <v>0</v>
      </c>
      <c r="Y663" s="78">
        <f t="shared" si="96"/>
        <v>348950</v>
      </c>
      <c r="Z663" s="49">
        <v>1E-4</v>
      </c>
    </row>
    <row r="664" spans="1:26" s="29" customFormat="1" ht="90.75" customHeight="1" x14ac:dyDescent="0.25">
      <c r="A664" s="20">
        <v>502</v>
      </c>
      <c r="B664" s="20" t="s">
        <v>0</v>
      </c>
      <c r="C664" s="20">
        <v>7118</v>
      </c>
      <c r="D664" s="21">
        <v>20</v>
      </c>
      <c r="E664" s="21">
        <v>3</v>
      </c>
      <c r="F664" s="22">
        <v>44</v>
      </c>
      <c r="G664" s="22" t="s">
        <v>198</v>
      </c>
      <c r="H664" s="24">
        <f t="shared" si="97"/>
        <v>8344</v>
      </c>
      <c r="I664" s="25" t="s">
        <v>19</v>
      </c>
      <c r="J664" s="24">
        <f t="shared" si="98"/>
        <v>3129000</v>
      </c>
      <c r="K664" s="20"/>
      <c r="L664" s="20"/>
      <c r="M664" s="20"/>
      <c r="N664" s="20"/>
      <c r="O664" s="24"/>
      <c r="P664" s="24"/>
      <c r="Q664" s="25"/>
      <c r="R664" s="24"/>
      <c r="S664" s="20"/>
      <c r="T664" s="27"/>
      <c r="U664" s="20"/>
      <c r="V664" s="27">
        <f t="shared" si="99"/>
        <v>3129000</v>
      </c>
      <c r="W664" s="26">
        <f t="shared" si="95"/>
        <v>3129000</v>
      </c>
      <c r="X664" s="27">
        <v>0</v>
      </c>
      <c r="Y664" s="78">
        <f t="shared" si="96"/>
        <v>3129000</v>
      </c>
      <c r="Z664" s="49">
        <v>1E-4</v>
      </c>
    </row>
    <row r="665" spans="1:26" s="29" customFormat="1" ht="90.75" customHeight="1" x14ac:dyDescent="0.25">
      <c r="A665" s="20">
        <v>503</v>
      </c>
      <c r="B665" s="20" t="s">
        <v>0</v>
      </c>
      <c r="C665" s="20">
        <v>7120</v>
      </c>
      <c r="D665" s="21">
        <v>8</v>
      </c>
      <c r="E665" s="21">
        <v>3</v>
      </c>
      <c r="F665" s="22">
        <v>80</v>
      </c>
      <c r="G665" s="22" t="s">
        <v>198</v>
      </c>
      <c r="H665" s="24">
        <f t="shared" si="97"/>
        <v>3580</v>
      </c>
      <c r="I665" s="25" t="s">
        <v>19</v>
      </c>
      <c r="J665" s="24">
        <f t="shared" si="98"/>
        <v>1342500</v>
      </c>
      <c r="K665" s="20"/>
      <c r="L665" s="20"/>
      <c r="M665" s="20"/>
      <c r="N665" s="20"/>
      <c r="O665" s="24"/>
      <c r="P665" s="24"/>
      <c r="Q665" s="25"/>
      <c r="R665" s="24"/>
      <c r="S665" s="20"/>
      <c r="T665" s="27"/>
      <c r="U665" s="20"/>
      <c r="V665" s="27">
        <f t="shared" si="99"/>
        <v>1342500</v>
      </c>
      <c r="W665" s="26">
        <f t="shared" si="95"/>
        <v>1342500</v>
      </c>
      <c r="X665" s="27">
        <v>0</v>
      </c>
      <c r="Y665" s="78">
        <f t="shared" si="96"/>
        <v>1342500</v>
      </c>
      <c r="Z665" s="49">
        <v>1E-4</v>
      </c>
    </row>
    <row r="666" spans="1:26" s="29" customFormat="1" ht="90.75" customHeight="1" x14ac:dyDescent="0.25">
      <c r="A666" s="20">
        <v>504</v>
      </c>
      <c r="B666" s="20" t="s">
        <v>0</v>
      </c>
      <c r="C666" s="20">
        <v>11437</v>
      </c>
      <c r="D666" s="21">
        <v>19</v>
      </c>
      <c r="E666" s="21">
        <v>2</v>
      </c>
      <c r="F666" s="22">
        <v>14</v>
      </c>
      <c r="G666" s="22" t="s">
        <v>198</v>
      </c>
      <c r="H666" s="24">
        <f t="shared" si="97"/>
        <v>7814</v>
      </c>
      <c r="I666" s="25" t="s">
        <v>32</v>
      </c>
      <c r="J666" s="24">
        <f t="shared" si="98"/>
        <v>1562800</v>
      </c>
      <c r="K666" s="20"/>
      <c r="L666" s="20"/>
      <c r="M666" s="20"/>
      <c r="N666" s="20"/>
      <c r="O666" s="24"/>
      <c r="P666" s="24"/>
      <c r="Q666" s="25"/>
      <c r="R666" s="24"/>
      <c r="S666" s="20"/>
      <c r="T666" s="27"/>
      <c r="U666" s="20"/>
      <c r="V666" s="27">
        <f t="shared" si="99"/>
        <v>1562800</v>
      </c>
      <c r="W666" s="26">
        <f t="shared" si="95"/>
        <v>1562800</v>
      </c>
      <c r="X666" s="27">
        <v>0</v>
      </c>
      <c r="Y666" s="78">
        <f t="shared" si="96"/>
        <v>1562800</v>
      </c>
      <c r="Z666" s="49">
        <v>1E-4</v>
      </c>
    </row>
    <row r="667" spans="1:26" s="29" customFormat="1" ht="90.75" customHeight="1" x14ac:dyDescent="0.25">
      <c r="A667" s="20">
        <v>505</v>
      </c>
      <c r="B667" s="20" t="s">
        <v>0</v>
      </c>
      <c r="C667" s="20">
        <v>7125</v>
      </c>
      <c r="D667" s="21">
        <v>29</v>
      </c>
      <c r="E667" s="21">
        <v>2</v>
      </c>
      <c r="F667" s="22">
        <v>21</v>
      </c>
      <c r="G667" s="22" t="s">
        <v>198</v>
      </c>
      <c r="H667" s="24">
        <f t="shared" si="97"/>
        <v>11821</v>
      </c>
      <c r="I667" s="25" t="s">
        <v>22</v>
      </c>
      <c r="J667" s="24">
        <f t="shared" si="98"/>
        <v>6206025</v>
      </c>
      <c r="K667" s="20"/>
      <c r="L667" s="20"/>
      <c r="M667" s="20"/>
      <c r="N667" s="20"/>
      <c r="O667" s="24"/>
      <c r="P667" s="24"/>
      <c r="Q667" s="25"/>
      <c r="R667" s="24"/>
      <c r="S667" s="20"/>
      <c r="T667" s="27"/>
      <c r="U667" s="20"/>
      <c r="V667" s="27">
        <f t="shared" si="99"/>
        <v>6206025</v>
      </c>
      <c r="W667" s="26">
        <f t="shared" si="95"/>
        <v>6206025</v>
      </c>
      <c r="X667" s="27">
        <v>0</v>
      </c>
      <c r="Y667" s="78">
        <f t="shared" si="96"/>
        <v>6206025</v>
      </c>
      <c r="Z667" s="49">
        <v>1E-4</v>
      </c>
    </row>
    <row r="668" spans="1:26" s="29" customFormat="1" ht="90.75" customHeight="1" x14ac:dyDescent="0.25">
      <c r="A668" s="20">
        <v>506</v>
      </c>
      <c r="B668" s="20" t="s">
        <v>0</v>
      </c>
      <c r="C668" s="20">
        <v>11439</v>
      </c>
      <c r="D668" s="21">
        <v>3</v>
      </c>
      <c r="E668" s="21">
        <v>3</v>
      </c>
      <c r="F668" s="22">
        <v>52</v>
      </c>
      <c r="G668" s="22" t="s">
        <v>198</v>
      </c>
      <c r="H668" s="24">
        <f t="shared" si="97"/>
        <v>1552</v>
      </c>
      <c r="I668" s="25" t="s">
        <v>19</v>
      </c>
      <c r="J668" s="24">
        <f t="shared" si="98"/>
        <v>582000</v>
      </c>
      <c r="K668" s="20"/>
      <c r="L668" s="20"/>
      <c r="M668" s="20"/>
      <c r="N668" s="20"/>
      <c r="O668" s="24"/>
      <c r="P668" s="24"/>
      <c r="Q668" s="25"/>
      <c r="R668" s="24"/>
      <c r="S668" s="20"/>
      <c r="T668" s="27"/>
      <c r="U668" s="20"/>
      <c r="V668" s="27">
        <f t="shared" si="99"/>
        <v>582000</v>
      </c>
      <c r="W668" s="26">
        <f t="shared" si="95"/>
        <v>582000</v>
      </c>
      <c r="X668" s="27">
        <v>0</v>
      </c>
      <c r="Y668" s="78">
        <f t="shared" si="96"/>
        <v>582000</v>
      </c>
      <c r="Z668" s="49">
        <v>1E-4</v>
      </c>
    </row>
    <row r="669" spans="1:26" s="29" customFormat="1" ht="90.75" customHeight="1" x14ac:dyDescent="0.25">
      <c r="A669" s="20">
        <v>507</v>
      </c>
      <c r="B669" s="20" t="s">
        <v>0</v>
      </c>
      <c r="C669" s="20">
        <v>11438</v>
      </c>
      <c r="D669" s="21">
        <v>10</v>
      </c>
      <c r="E669" s="21">
        <v>0</v>
      </c>
      <c r="F669" s="22">
        <v>87</v>
      </c>
      <c r="G669" s="22" t="s">
        <v>198</v>
      </c>
      <c r="H669" s="24">
        <f t="shared" si="97"/>
        <v>4087</v>
      </c>
      <c r="I669" s="25" t="s">
        <v>32</v>
      </c>
      <c r="J669" s="24">
        <f t="shared" si="98"/>
        <v>817400</v>
      </c>
      <c r="K669" s="20"/>
      <c r="L669" s="20"/>
      <c r="M669" s="20"/>
      <c r="N669" s="20"/>
      <c r="O669" s="24"/>
      <c r="P669" s="24"/>
      <c r="Q669" s="25"/>
      <c r="R669" s="24"/>
      <c r="S669" s="20"/>
      <c r="T669" s="27"/>
      <c r="U669" s="20"/>
      <c r="V669" s="27">
        <f t="shared" si="99"/>
        <v>817400</v>
      </c>
      <c r="W669" s="26">
        <f t="shared" si="95"/>
        <v>817400</v>
      </c>
      <c r="X669" s="27">
        <v>0</v>
      </c>
      <c r="Y669" s="78">
        <f t="shared" si="96"/>
        <v>817400</v>
      </c>
      <c r="Z669" s="49">
        <v>1E-4</v>
      </c>
    </row>
    <row r="670" spans="1:26" s="29" customFormat="1" ht="90.75" customHeight="1" x14ac:dyDescent="0.25">
      <c r="A670" s="20">
        <v>508</v>
      </c>
      <c r="B670" s="20" t="s">
        <v>0</v>
      </c>
      <c r="C670" s="20">
        <v>11342</v>
      </c>
      <c r="D670" s="21">
        <v>9</v>
      </c>
      <c r="E670" s="21">
        <v>0</v>
      </c>
      <c r="F670" s="22">
        <v>34</v>
      </c>
      <c r="G670" s="22" t="s">
        <v>198</v>
      </c>
      <c r="H670" s="24">
        <f t="shared" si="97"/>
        <v>3634</v>
      </c>
      <c r="I670" s="25" t="s">
        <v>32</v>
      </c>
      <c r="J670" s="24">
        <f t="shared" si="98"/>
        <v>726800</v>
      </c>
      <c r="K670" s="20"/>
      <c r="L670" s="20"/>
      <c r="M670" s="20"/>
      <c r="N670" s="20"/>
      <c r="O670" s="24"/>
      <c r="P670" s="24"/>
      <c r="Q670" s="25"/>
      <c r="R670" s="24"/>
      <c r="S670" s="20"/>
      <c r="T670" s="27"/>
      <c r="U670" s="20"/>
      <c r="V670" s="27">
        <f t="shared" si="99"/>
        <v>726800</v>
      </c>
      <c r="W670" s="26">
        <f t="shared" si="95"/>
        <v>726800</v>
      </c>
      <c r="X670" s="27">
        <v>0</v>
      </c>
      <c r="Y670" s="78">
        <f t="shared" si="96"/>
        <v>726800</v>
      </c>
      <c r="Z670" s="49">
        <v>1E-4</v>
      </c>
    </row>
    <row r="671" spans="1:26" s="29" customFormat="1" ht="90.75" customHeight="1" x14ac:dyDescent="0.25">
      <c r="A671" s="20">
        <v>509</v>
      </c>
      <c r="B671" s="20" t="s">
        <v>0</v>
      </c>
      <c r="C671" s="20">
        <v>32642</v>
      </c>
      <c r="D671" s="21">
        <v>21</v>
      </c>
      <c r="E671" s="21">
        <v>2</v>
      </c>
      <c r="F671" s="22">
        <v>10</v>
      </c>
      <c r="G671" s="22" t="s">
        <v>198</v>
      </c>
      <c r="H671" s="24">
        <f t="shared" si="97"/>
        <v>8610</v>
      </c>
      <c r="I671" s="25" t="s">
        <v>22</v>
      </c>
      <c r="J671" s="24">
        <f t="shared" si="98"/>
        <v>4520250</v>
      </c>
      <c r="K671" s="20"/>
      <c r="L671" s="20"/>
      <c r="M671" s="20"/>
      <c r="N671" s="20"/>
      <c r="O671" s="24"/>
      <c r="P671" s="24"/>
      <c r="Q671" s="25"/>
      <c r="R671" s="24"/>
      <c r="S671" s="20"/>
      <c r="T671" s="27"/>
      <c r="U671" s="20"/>
      <c r="V671" s="27">
        <f t="shared" si="99"/>
        <v>4520250</v>
      </c>
      <c r="W671" s="26">
        <f t="shared" si="95"/>
        <v>4520250</v>
      </c>
      <c r="X671" s="27">
        <v>0</v>
      </c>
      <c r="Y671" s="78">
        <f t="shared" si="96"/>
        <v>4520250</v>
      </c>
      <c r="Z671" s="49">
        <v>1E-4</v>
      </c>
    </row>
    <row r="672" spans="1:26" s="29" customFormat="1" ht="90.75" customHeight="1" x14ac:dyDescent="0.25">
      <c r="A672" s="20">
        <v>510</v>
      </c>
      <c r="B672" s="20" t="s">
        <v>0</v>
      </c>
      <c r="C672" s="20">
        <v>6754</v>
      </c>
      <c r="D672" s="21">
        <v>18</v>
      </c>
      <c r="E672" s="21">
        <v>3</v>
      </c>
      <c r="F672" s="22">
        <v>33</v>
      </c>
      <c r="G672" s="22" t="s">
        <v>198</v>
      </c>
      <c r="H672" s="24">
        <f t="shared" si="97"/>
        <v>7533</v>
      </c>
      <c r="I672" s="25" t="s">
        <v>19</v>
      </c>
      <c r="J672" s="24">
        <f t="shared" si="98"/>
        <v>2824875</v>
      </c>
      <c r="K672" s="20"/>
      <c r="L672" s="20"/>
      <c r="M672" s="20"/>
      <c r="N672" s="20"/>
      <c r="O672" s="24"/>
      <c r="P672" s="24"/>
      <c r="Q672" s="25"/>
      <c r="R672" s="24"/>
      <c r="S672" s="20"/>
      <c r="T672" s="27"/>
      <c r="U672" s="20"/>
      <c r="V672" s="27">
        <f t="shared" si="99"/>
        <v>2824875</v>
      </c>
      <c r="W672" s="26">
        <f t="shared" si="95"/>
        <v>2824875</v>
      </c>
      <c r="X672" s="27">
        <v>0</v>
      </c>
      <c r="Y672" s="78">
        <f t="shared" si="96"/>
        <v>2824875</v>
      </c>
      <c r="Z672" s="49">
        <v>1E-4</v>
      </c>
    </row>
    <row r="673" spans="1:26" s="29" customFormat="1" ht="90.75" customHeight="1" x14ac:dyDescent="0.25">
      <c r="A673" s="20">
        <v>511</v>
      </c>
      <c r="B673" s="20" t="s">
        <v>0</v>
      </c>
      <c r="C673" s="20">
        <v>6919</v>
      </c>
      <c r="D673" s="21">
        <v>6</v>
      </c>
      <c r="E673" s="21">
        <v>0</v>
      </c>
      <c r="F673" s="22">
        <v>62</v>
      </c>
      <c r="G673" s="22" t="s">
        <v>198</v>
      </c>
      <c r="H673" s="24">
        <f t="shared" si="97"/>
        <v>2462</v>
      </c>
      <c r="I673" s="25" t="s">
        <v>19</v>
      </c>
      <c r="J673" s="24">
        <f t="shared" si="98"/>
        <v>923250</v>
      </c>
      <c r="K673" s="20"/>
      <c r="L673" s="20"/>
      <c r="M673" s="20"/>
      <c r="N673" s="20"/>
      <c r="O673" s="24"/>
      <c r="P673" s="24"/>
      <c r="Q673" s="25"/>
      <c r="R673" s="24"/>
      <c r="S673" s="20"/>
      <c r="T673" s="27"/>
      <c r="U673" s="20"/>
      <c r="V673" s="27">
        <f t="shared" si="99"/>
        <v>923250</v>
      </c>
      <c r="W673" s="26">
        <f t="shared" si="95"/>
        <v>923250</v>
      </c>
      <c r="X673" s="27">
        <v>0</v>
      </c>
      <c r="Y673" s="78">
        <f t="shared" si="96"/>
        <v>923250</v>
      </c>
      <c r="Z673" s="49">
        <v>1E-4</v>
      </c>
    </row>
    <row r="674" spans="1:26" s="29" customFormat="1" ht="90.75" customHeight="1" x14ac:dyDescent="0.25">
      <c r="A674" s="20">
        <v>512</v>
      </c>
      <c r="B674" s="20" t="s">
        <v>0</v>
      </c>
      <c r="C674" s="20">
        <v>6918</v>
      </c>
      <c r="D674" s="21">
        <v>10</v>
      </c>
      <c r="E674" s="21">
        <v>2</v>
      </c>
      <c r="F674" s="22">
        <v>90</v>
      </c>
      <c r="G674" s="22" t="s">
        <v>198</v>
      </c>
      <c r="H674" s="24">
        <f t="shared" si="97"/>
        <v>4290</v>
      </c>
      <c r="I674" s="25" t="s">
        <v>19</v>
      </c>
      <c r="J674" s="24">
        <f t="shared" si="98"/>
        <v>1608750</v>
      </c>
      <c r="K674" s="20"/>
      <c r="L674" s="20"/>
      <c r="M674" s="20"/>
      <c r="N674" s="20"/>
      <c r="O674" s="24"/>
      <c r="P674" s="24"/>
      <c r="Q674" s="25"/>
      <c r="R674" s="24"/>
      <c r="S674" s="20"/>
      <c r="T674" s="27"/>
      <c r="U674" s="20"/>
      <c r="V674" s="27">
        <f t="shared" si="99"/>
        <v>1608750</v>
      </c>
      <c r="W674" s="26">
        <f t="shared" si="95"/>
        <v>1608750</v>
      </c>
      <c r="X674" s="27">
        <v>0</v>
      </c>
      <c r="Y674" s="78">
        <f t="shared" si="96"/>
        <v>1608750</v>
      </c>
      <c r="Z674" s="49">
        <v>1E-4</v>
      </c>
    </row>
    <row r="675" spans="1:26" s="29" customFormat="1" ht="90.75" customHeight="1" x14ac:dyDescent="0.25">
      <c r="A675" s="20">
        <v>513</v>
      </c>
      <c r="B675" s="20" t="s">
        <v>0</v>
      </c>
      <c r="C675" s="20">
        <v>6917</v>
      </c>
      <c r="D675" s="21">
        <v>10</v>
      </c>
      <c r="E675" s="21">
        <v>0</v>
      </c>
      <c r="F675" s="22">
        <v>66</v>
      </c>
      <c r="G675" s="22" t="s">
        <v>198</v>
      </c>
      <c r="H675" s="24">
        <f t="shared" si="97"/>
        <v>4066</v>
      </c>
      <c r="I675" s="25" t="s">
        <v>19</v>
      </c>
      <c r="J675" s="24">
        <f t="shared" si="98"/>
        <v>1524750</v>
      </c>
      <c r="K675" s="20"/>
      <c r="L675" s="20"/>
      <c r="M675" s="20"/>
      <c r="N675" s="20"/>
      <c r="O675" s="24"/>
      <c r="P675" s="24"/>
      <c r="Q675" s="25"/>
      <c r="R675" s="24"/>
      <c r="S675" s="20"/>
      <c r="T675" s="27"/>
      <c r="U675" s="20"/>
      <c r="V675" s="27">
        <f t="shared" si="99"/>
        <v>1524750</v>
      </c>
      <c r="W675" s="26">
        <f t="shared" si="95"/>
        <v>1524750</v>
      </c>
      <c r="X675" s="27">
        <v>0</v>
      </c>
      <c r="Y675" s="78">
        <f t="shared" si="96"/>
        <v>1524750</v>
      </c>
      <c r="Z675" s="49">
        <v>1E-4</v>
      </c>
    </row>
    <row r="676" spans="1:26" s="29" customFormat="1" ht="90.75" customHeight="1" x14ac:dyDescent="0.25">
      <c r="A676" s="20">
        <v>514</v>
      </c>
      <c r="B676" s="20" t="s">
        <v>0</v>
      </c>
      <c r="C676" s="20">
        <v>6755</v>
      </c>
      <c r="D676" s="21">
        <v>6</v>
      </c>
      <c r="E676" s="21">
        <v>1</v>
      </c>
      <c r="F676" s="22">
        <v>16</v>
      </c>
      <c r="G676" s="22" t="s">
        <v>198</v>
      </c>
      <c r="H676" s="24">
        <f t="shared" si="97"/>
        <v>2516</v>
      </c>
      <c r="I676" s="25" t="s">
        <v>32</v>
      </c>
      <c r="J676" s="24">
        <f t="shared" si="98"/>
        <v>503200</v>
      </c>
      <c r="K676" s="20"/>
      <c r="L676" s="20"/>
      <c r="M676" s="20"/>
      <c r="N676" s="20"/>
      <c r="O676" s="24"/>
      <c r="P676" s="24"/>
      <c r="Q676" s="25"/>
      <c r="R676" s="24"/>
      <c r="S676" s="20"/>
      <c r="T676" s="27"/>
      <c r="U676" s="20"/>
      <c r="V676" s="27">
        <f t="shared" si="99"/>
        <v>503200</v>
      </c>
      <c r="W676" s="26">
        <f t="shared" si="95"/>
        <v>503200</v>
      </c>
      <c r="X676" s="27">
        <v>0</v>
      </c>
      <c r="Y676" s="78">
        <f t="shared" si="96"/>
        <v>503200</v>
      </c>
      <c r="Z676" s="49">
        <v>1E-4</v>
      </c>
    </row>
    <row r="677" spans="1:26" s="29" customFormat="1" ht="90.75" customHeight="1" x14ac:dyDescent="0.25">
      <c r="A677" s="20">
        <v>515</v>
      </c>
      <c r="B677" s="20" t="s">
        <v>0</v>
      </c>
      <c r="C677" s="20">
        <v>8258</v>
      </c>
      <c r="D677" s="21">
        <v>30</v>
      </c>
      <c r="E677" s="21">
        <v>2</v>
      </c>
      <c r="F677" s="22">
        <v>47</v>
      </c>
      <c r="G677" s="22" t="s">
        <v>198</v>
      </c>
      <c r="H677" s="24">
        <f t="shared" si="97"/>
        <v>12247</v>
      </c>
      <c r="I677" s="25" t="s">
        <v>32</v>
      </c>
      <c r="J677" s="24">
        <f t="shared" si="98"/>
        <v>2449400</v>
      </c>
      <c r="K677" s="20"/>
      <c r="L677" s="20"/>
      <c r="M677" s="20"/>
      <c r="N677" s="20"/>
      <c r="O677" s="24"/>
      <c r="P677" s="24"/>
      <c r="Q677" s="25"/>
      <c r="R677" s="24"/>
      <c r="S677" s="20"/>
      <c r="T677" s="27"/>
      <c r="U677" s="20"/>
      <c r="V677" s="27">
        <f t="shared" si="99"/>
        <v>2449400</v>
      </c>
      <c r="W677" s="26">
        <f t="shared" si="95"/>
        <v>2449400</v>
      </c>
      <c r="X677" s="27">
        <v>0</v>
      </c>
      <c r="Y677" s="78">
        <f t="shared" si="96"/>
        <v>2449400</v>
      </c>
      <c r="Z677" s="49">
        <v>1E-4</v>
      </c>
    </row>
    <row r="678" spans="1:26" s="29" customFormat="1" ht="90.75" customHeight="1" x14ac:dyDescent="0.25">
      <c r="A678" s="20">
        <v>516</v>
      </c>
      <c r="B678" s="20" t="s">
        <v>0</v>
      </c>
      <c r="C678" s="20">
        <v>9834</v>
      </c>
      <c r="D678" s="21">
        <v>21</v>
      </c>
      <c r="E678" s="21">
        <v>3</v>
      </c>
      <c r="F678" s="22">
        <v>78</v>
      </c>
      <c r="G678" s="22" t="s">
        <v>198</v>
      </c>
      <c r="H678" s="24">
        <f t="shared" si="97"/>
        <v>8778</v>
      </c>
      <c r="I678" s="25" t="s">
        <v>19</v>
      </c>
      <c r="J678" s="24">
        <f t="shared" si="98"/>
        <v>3291750</v>
      </c>
      <c r="K678" s="20"/>
      <c r="L678" s="20"/>
      <c r="M678" s="20"/>
      <c r="N678" s="20"/>
      <c r="O678" s="24"/>
      <c r="P678" s="24"/>
      <c r="Q678" s="25"/>
      <c r="R678" s="24"/>
      <c r="S678" s="20"/>
      <c r="T678" s="27"/>
      <c r="U678" s="20"/>
      <c r="V678" s="27">
        <f t="shared" si="99"/>
        <v>3291750</v>
      </c>
      <c r="W678" s="26">
        <f t="shared" si="95"/>
        <v>3291750</v>
      </c>
      <c r="X678" s="27">
        <v>0</v>
      </c>
      <c r="Y678" s="78">
        <f t="shared" si="96"/>
        <v>3291750</v>
      </c>
      <c r="Z678" s="49">
        <v>1E-4</v>
      </c>
    </row>
    <row r="679" spans="1:26" s="29" customFormat="1" ht="90.75" customHeight="1" x14ac:dyDescent="0.25">
      <c r="A679" s="20">
        <v>517</v>
      </c>
      <c r="B679" s="20" t="s">
        <v>0</v>
      </c>
      <c r="C679" s="20">
        <v>9836</v>
      </c>
      <c r="D679" s="21">
        <v>16</v>
      </c>
      <c r="E679" s="21">
        <v>0</v>
      </c>
      <c r="F679" s="22">
        <v>45</v>
      </c>
      <c r="G679" s="22" t="s">
        <v>198</v>
      </c>
      <c r="H679" s="24">
        <f t="shared" si="97"/>
        <v>6445</v>
      </c>
      <c r="I679" s="25" t="s">
        <v>19</v>
      </c>
      <c r="J679" s="24">
        <f t="shared" si="98"/>
        <v>2416875</v>
      </c>
      <c r="K679" s="20"/>
      <c r="L679" s="20"/>
      <c r="M679" s="20"/>
      <c r="N679" s="20"/>
      <c r="O679" s="24"/>
      <c r="P679" s="24"/>
      <c r="Q679" s="25"/>
      <c r="R679" s="24"/>
      <c r="S679" s="20"/>
      <c r="T679" s="27"/>
      <c r="U679" s="20"/>
      <c r="V679" s="27">
        <f t="shared" si="99"/>
        <v>2416875</v>
      </c>
      <c r="W679" s="26">
        <f t="shared" si="95"/>
        <v>2416875</v>
      </c>
      <c r="X679" s="27">
        <v>0</v>
      </c>
      <c r="Y679" s="78">
        <f t="shared" si="96"/>
        <v>2416875</v>
      </c>
      <c r="Z679" s="49">
        <v>1E-4</v>
      </c>
    </row>
    <row r="680" spans="1:26" s="29" customFormat="1" ht="90.75" customHeight="1" x14ac:dyDescent="0.25">
      <c r="A680" s="20">
        <v>518</v>
      </c>
      <c r="B680" s="20" t="s">
        <v>0</v>
      </c>
      <c r="C680" s="20">
        <v>8257</v>
      </c>
      <c r="D680" s="21">
        <v>20</v>
      </c>
      <c r="E680" s="21">
        <v>0</v>
      </c>
      <c r="F680" s="22">
        <v>81</v>
      </c>
      <c r="G680" s="22" t="s">
        <v>198</v>
      </c>
      <c r="H680" s="24">
        <f t="shared" si="97"/>
        <v>8081</v>
      </c>
      <c r="I680" s="25" t="s">
        <v>32</v>
      </c>
      <c r="J680" s="24">
        <f t="shared" si="98"/>
        <v>1616200</v>
      </c>
      <c r="K680" s="20"/>
      <c r="L680" s="20"/>
      <c r="M680" s="20"/>
      <c r="N680" s="20"/>
      <c r="O680" s="24"/>
      <c r="P680" s="24"/>
      <c r="Q680" s="25"/>
      <c r="R680" s="24"/>
      <c r="S680" s="20"/>
      <c r="T680" s="27"/>
      <c r="U680" s="20"/>
      <c r="V680" s="27">
        <f t="shared" si="99"/>
        <v>1616200</v>
      </c>
      <c r="W680" s="26">
        <f t="shared" si="95"/>
        <v>1616200</v>
      </c>
      <c r="X680" s="27">
        <v>0</v>
      </c>
      <c r="Y680" s="78">
        <f t="shared" si="96"/>
        <v>1616200</v>
      </c>
      <c r="Z680" s="49">
        <v>1E-4</v>
      </c>
    </row>
    <row r="681" spans="1:26" s="29" customFormat="1" ht="90.75" customHeight="1" x14ac:dyDescent="0.25">
      <c r="A681" s="20">
        <v>519</v>
      </c>
      <c r="B681" s="20" t="s">
        <v>0</v>
      </c>
      <c r="C681" s="20">
        <v>8314</v>
      </c>
      <c r="D681" s="21">
        <v>2</v>
      </c>
      <c r="E681" s="21">
        <v>0</v>
      </c>
      <c r="F681" s="22">
        <v>14</v>
      </c>
      <c r="G681" s="22" t="s">
        <v>198</v>
      </c>
      <c r="H681" s="24">
        <f t="shared" si="97"/>
        <v>814</v>
      </c>
      <c r="I681" s="25" t="s">
        <v>32</v>
      </c>
      <c r="J681" s="24">
        <f t="shared" si="98"/>
        <v>162800</v>
      </c>
      <c r="K681" s="20"/>
      <c r="L681" s="20"/>
      <c r="M681" s="20"/>
      <c r="N681" s="20"/>
      <c r="O681" s="24"/>
      <c r="P681" s="24"/>
      <c r="Q681" s="25"/>
      <c r="R681" s="24"/>
      <c r="S681" s="20"/>
      <c r="T681" s="27"/>
      <c r="U681" s="20"/>
      <c r="V681" s="27">
        <f t="shared" si="99"/>
        <v>162800</v>
      </c>
      <c r="W681" s="26">
        <f t="shared" si="95"/>
        <v>162800</v>
      </c>
      <c r="X681" s="27">
        <v>0</v>
      </c>
      <c r="Y681" s="78">
        <f t="shared" si="96"/>
        <v>162800</v>
      </c>
      <c r="Z681" s="49">
        <v>1E-4</v>
      </c>
    </row>
    <row r="682" spans="1:26" s="29" customFormat="1" ht="90.75" customHeight="1" x14ac:dyDescent="0.25">
      <c r="A682" s="20">
        <v>520</v>
      </c>
      <c r="B682" s="20" t="s">
        <v>0</v>
      </c>
      <c r="C682" s="20">
        <v>8315</v>
      </c>
      <c r="D682" s="21">
        <v>2</v>
      </c>
      <c r="E682" s="21">
        <v>0</v>
      </c>
      <c r="F682" s="22">
        <v>2</v>
      </c>
      <c r="G682" s="22" t="s">
        <v>198</v>
      </c>
      <c r="H682" s="24">
        <f t="shared" si="97"/>
        <v>802</v>
      </c>
      <c r="I682" s="25" t="s">
        <v>32</v>
      </c>
      <c r="J682" s="24">
        <f t="shared" si="98"/>
        <v>160400</v>
      </c>
      <c r="K682" s="20"/>
      <c r="L682" s="20"/>
      <c r="M682" s="20"/>
      <c r="N682" s="20"/>
      <c r="O682" s="24"/>
      <c r="P682" s="24"/>
      <c r="Q682" s="25"/>
      <c r="R682" s="24"/>
      <c r="S682" s="20"/>
      <c r="T682" s="27"/>
      <c r="U682" s="20"/>
      <c r="V682" s="27">
        <f t="shared" si="99"/>
        <v>160400</v>
      </c>
      <c r="W682" s="26">
        <f t="shared" si="95"/>
        <v>160400</v>
      </c>
      <c r="X682" s="27">
        <v>0</v>
      </c>
      <c r="Y682" s="78">
        <f t="shared" si="96"/>
        <v>160400</v>
      </c>
      <c r="Z682" s="49">
        <v>1E-4</v>
      </c>
    </row>
    <row r="683" spans="1:26" s="29" customFormat="1" ht="90.75" customHeight="1" x14ac:dyDescent="0.25">
      <c r="A683" s="20">
        <v>521</v>
      </c>
      <c r="B683" s="20" t="s">
        <v>0</v>
      </c>
      <c r="C683" s="20">
        <v>7540</v>
      </c>
      <c r="D683" s="21">
        <v>3</v>
      </c>
      <c r="E683" s="21">
        <v>3</v>
      </c>
      <c r="F683" s="22">
        <v>75</v>
      </c>
      <c r="G683" s="22" t="s">
        <v>198</v>
      </c>
      <c r="H683" s="24">
        <f t="shared" si="97"/>
        <v>1575</v>
      </c>
      <c r="I683" s="25" t="s">
        <v>32</v>
      </c>
      <c r="J683" s="24">
        <f t="shared" si="98"/>
        <v>315000</v>
      </c>
      <c r="K683" s="20"/>
      <c r="L683" s="20"/>
      <c r="M683" s="20"/>
      <c r="N683" s="20"/>
      <c r="O683" s="24"/>
      <c r="P683" s="24"/>
      <c r="Q683" s="25"/>
      <c r="R683" s="24"/>
      <c r="S683" s="20"/>
      <c r="T683" s="27"/>
      <c r="U683" s="20"/>
      <c r="V683" s="27">
        <f t="shared" si="99"/>
        <v>315000</v>
      </c>
      <c r="W683" s="26">
        <f t="shared" si="95"/>
        <v>315000</v>
      </c>
      <c r="X683" s="27">
        <v>0</v>
      </c>
      <c r="Y683" s="78">
        <f t="shared" si="96"/>
        <v>315000</v>
      </c>
      <c r="Z683" s="49">
        <v>1E-4</v>
      </c>
    </row>
    <row r="684" spans="1:26" s="29" customFormat="1" ht="90.75" customHeight="1" x14ac:dyDescent="0.25">
      <c r="A684" s="20">
        <v>522</v>
      </c>
      <c r="B684" s="20" t="s">
        <v>0</v>
      </c>
      <c r="C684" s="20">
        <v>9670</v>
      </c>
      <c r="D684" s="21">
        <v>3</v>
      </c>
      <c r="E684" s="21">
        <v>3</v>
      </c>
      <c r="F684" s="22">
        <v>98</v>
      </c>
      <c r="G684" s="22" t="s">
        <v>198</v>
      </c>
      <c r="H684" s="24">
        <f t="shared" si="97"/>
        <v>1598</v>
      </c>
      <c r="I684" s="25" t="s">
        <v>62</v>
      </c>
      <c r="J684" s="24">
        <f t="shared" si="98"/>
        <v>799000</v>
      </c>
      <c r="K684" s="20"/>
      <c r="L684" s="20"/>
      <c r="M684" s="20"/>
      <c r="N684" s="20"/>
      <c r="O684" s="24"/>
      <c r="P684" s="24"/>
      <c r="Q684" s="25"/>
      <c r="R684" s="24"/>
      <c r="S684" s="20"/>
      <c r="T684" s="27"/>
      <c r="U684" s="20"/>
      <c r="V684" s="27">
        <f t="shared" si="99"/>
        <v>799000</v>
      </c>
      <c r="W684" s="26">
        <f t="shared" si="95"/>
        <v>799000</v>
      </c>
      <c r="X684" s="27">
        <v>0</v>
      </c>
      <c r="Y684" s="78">
        <f t="shared" si="96"/>
        <v>799000</v>
      </c>
      <c r="Z684" s="49">
        <v>1E-4</v>
      </c>
    </row>
    <row r="685" spans="1:26" s="29" customFormat="1" ht="90.75" customHeight="1" x14ac:dyDescent="0.25">
      <c r="A685" s="20">
        <v>523</v>
      </c>
      <c r="B685" s="20" t="s">
        <v>0</v>
      </c>
      <c r="C685" s="20">
        <v>6794</v>
      </c>
      <c r="D685" s="21">
        <v>22</v>
      </c>
      <c r="E685" s="21">
        <v>0</v>
      </c>
      <c r="F685" s="22">
        <v>27</v>
      </c>
      <c r="G685" s="22" t="s">
        <v>198</v>
      </c>
      <c r="H685" s="24">
        <f t="shared" si="97"/>
        <v>8827</v>
      </c>
      <c r="I685" s="25" t="s">
        <v>32</v>
      </c>
      <c r="J685" s="24">
        <f t="shared" si="98"/>
        <v>1765400</v>
      </c>
      <c r="K685" s="20"/>
      <c r="L685" s="20"/>
      <c r="M685" s="20"/>
      <c r="N685" s="20"/>
      <c r="O685" s="24"/>
      <c r="P685" s="24"/>
      <c r="Q685" s="25"/>
      <c r="R685" s="24"/>
      <c r="S685" s="20"/>
      <c r="T685" s="27"/>
      <c r="U685" s="20"/>
      <c r="V685" s="27">
        <f t="shared" si="99"/>
        <v>1765400</v>
      </c>
      <c r="W685" s="26">
        <f t="shared" si="95"/>
        <v>1765400</v>
      </c>
      <c r="X685" s="27">
        <v>0</v>
      </c>
      <c r="Y685" s="78">
        <f t="shared" si="96"/>
        <v>1765400</v>
      </c>
      <c r="Z685" s="49">
        <v>1E-4</v>
      </c>
    </row>
    <row r="686" spans="1:26" s="29" customFormat="1" ht="90.75" customHeight="1" x14ac:dyDescent="0.25">
      <c r="A686" s="20">
        <v>524</v>
      </c>
      <c r="B686" s="20" t="s">
        <v>0</v>
      </c>
      <c r="C686" s="20">
        <v>12590</v>
      </c>
      <c r="D686" s="21">
        <v>3</v>
      </c>
      <c r="E686" s="21">
        <v>1</v>
      </c>
      <c r="F686" s="22">
        <v>7</v>
      </c>
      <c r="G686" s="22" t="s">
        <v>198</v>
      </c>
      <c r="H686" s="24">
        <f t="shared" si="97"/>
        <v>1307</v>
      </c>
      <c r="I686" s="25" t="s">
        <v>32</v>
      </c>
      <c r="J686" s="24">
        <f t="shared" si="98"/>
        <v>261400</v>
      </c>
      <c r="K686" s="20"/>
      <c r="L686" s="20"/>
      <c r="M686" s="20"/>
      <c r="N686" s="20"/>
      <c r="O686" s="24"/>
      <c r="P686" s="24"/>
      <c r="Q686" s="25"/>
      <c r="R686" s="24"/>
      <c r="S686" s="20"/>
      <c r="T686" s="27"/>
      <c r="U686" s="20"/>
      <c r="V686" s="27">
        <f t="shared" si="99"/>
        <v>261400</v>
      </c>
      <c r="W686" s="26">
        <f t="shared" si="95"/>
        <v>261400</v>
      </c>
      <c r="X686" s="27">
        <v>0</v>
      </c>
      <c r="Y686" s="78">
        <f t="shared" si="96"/>
        <v>261400</v>
      </c>
      <c r="Z686" s="49">
        <v>1E-4</v>
      </c>
    </row>
    <row r="687" spans="1:26" s="29" customFormat="1" ht="90.75" customHeight="1" x14ac:dyDescent="0.25">
      <c r="A687" s="20">
        <v>525</v>
      </c>
      <c r="B687" s="20" t="s">
        <v>0</v>
      </c>
      <c r="C687" s="20">
        <v>12592</v>
      </c>
      <c r="D687" s="21">
        <v>0</v>
      </c>
      <c r="E687" s="21">
        <v>2</v>
      </c>
      <c r="F687" s="22">
        <v>93</v>
      </c>
      <c r="G687" s="22" t="s">
        <v>198</v>
      </c>
      <c r="H687" s="24">
        <f t="shared" si="97"/>
        <v>293</v>
      </c>
      <c r="I687" s="25" t="s">
        <v>32</v>
      </c>
      <c r="J687" s="24">
        <f t="shared" si="98"/>
        <v>58600</v>
      </c>
      <c r="K687" s="20"/>
      <c r="L687" s="20"/>
      <c r="M687" s="20"/>
      <c r="N687" s="20"/>
      <c r="O687" s="24"/>
      <c r="P687" s="24"/>
      <c r="Q687" s="25"/>
      <c r="R687" s="24"/>
      <c r="S687" s="20"/>
      <c r="T687" s="27"/>
      <c r="U687" s="20"/>
      <c r="V687" s="27">
        <f t="shared" si="99"/>
        <v>58600</v>
      </c>
      <c r="W687" s="26">
        <f t="shared" si="95"/>
        <v>58600</v>
      </c>
      <c r="X687" s="27">
        <v>0</v>
      </c>
      <c r="Y687" s="78">
        <f t="shared" si="96"/>
        <v>58600</v>
      </c>
      <c r="Z687" s="49">
        <v>1E-4</v>
      </c>
    </row>
    <row r="688" spans="1:26" s="29" customFormat="1" ht="90.75" customHeight="1" x14ac:dyDescent="0.25">
      <c r="A688" s="20">
        <v>526</v>
      </c>
      <c r="B688" s="20" t="s">
        <v>0</v>
      </c>
      <c r="C688" s="20">
        <v>12593</v>
      </c>
      <c r="D688" s="21">
        <v>1</v>
      </c>
      <c r="E688" s="21">
        <v>0</v>
      </c>
      <c r="F688" s="22">
        <v>99</v>
      </c>
      <c r="G688" s="22" t="s">
        <v>198</v>
      </c>
      <c r="H688" s="24">
        <f t="shared" si="97"/>
        <v>499</v>
      </c>
      <c r="I688" s="25" t="s">
        <v>32</v>
      </c>
      <c r="J688" s="24">
        <f t="shared" si="98"/>
        <v>99800</v>
      </c>
      <c r="K688" s="20"/>
      <c r="L688" s="20"/>
      <c r="M688" s="20"/>
      <c r="N688" s="20"/>
      <c r="O688" s="24"/>
      <c r="P688" s="24"/>
      <c r="Q688" s="25"/>
      <c r="R688" s="24"/>
      <c r="S688" s="20"/>
      <c r="T688" s="27"/>
      <c r="U688" s="20"/>
      <c r="V688" s="27">
        <f t="shared" si="99"/>
        <v>99800</v>
      </c>
      <c r="W688" s="26">
        <f t="shared" si="95"/>
        <v>99800</v>
      </c>
      <c r="X688" s="27">
        <v>0</v>
      </c>
      <c r="Y688" s="78">
        <f t="shared" si="96"/>
        <v>99800</v>
      </c>
      <c r="Z688" s="49">
        <v>1E-4</v>
      </c>
    </row>
    <row r="689" spans="1:26" s="29" customFormat="1" ht="90.75" customHeight="1" x14ac:dyDescent="0.25">
      <c r="A689" s="20">
        <v>527</v>
      </c>
      <c r="B689" s="20" t="s">
        <v>0</v>
      </c>
      <c r="C689" s="20">
        <v>10632</v>
      </c>
      <c r="D689" s="21">
        <v>4</v>
      </c>
      <c r="E689" s="21">
        <v>3</v>
      </c>
      <c r="F689" s="22">
        <v>43</v>
      </c>
      <c r="G689" s="22" t="s">
        <v>198</v>
      </c>
      <c r="H689" s="24">
        <f t="shared" si="97"/>
        <v>1943</v>
      </c>
      <c r="I689" s="25" t="s">
        <v>75</v>
      </c>
      <c r="J689" s="24">
        <f t="shared" si="98"/>
        <v>1214375</v>
      </c>
      <c r="K689" s="20"/>
      <c r="L689" s="20"/>
      <c r="M689" s="20"/>
      <c r="N689" s="20"/>
      <c r="O689" s="24"/>
      <c r="P689" s="24"/>
      <c r="Q689" s="25"/>
      <c r="R689" s="24"/>
      <c r="S689" s="20"/>
      <c r="T689" s="27"/>
      <c r="U689" s="20"/>
      <c r="V689" s="27">
        <f t="shared" si="99"/>
        <v>1214375</v>
      </c>
      <c r="W689" s="26">
        <f t="shared" si="95"/>
        <v>1214375</v>
      </c>
      <c r="X689" s="27">
        <v>0</v>
      </c>
      <c r="Y689" s="78">
        <f t="shared" si="96"/>
        <v>1214375</v>
      </c>
      <c r="Z689" s="49">
        <v>1E-4</v>
      </c>
    </row>
    <row r="690" spans="1:26" s="29" customFormat="1" ht="90.75" customHeight="1" x14ac:dyDescent="0.25">
      <c r="A690" s="20">
        <v>528</v>
      </c>
      <c r="B690" s="20" t="s">
        <v>0</v>
      </c>
      <c r="C690" s="20">
        <v>10678</v>
      </c>
      <c r="D690" s="21">
        <v>5</v>
      </c>
      <c r="E690" s="21">
        <v>1</v>
      </c>
      <c r="F690" s="22">
        <v>44</v>
      </c>
      <c r="G690" s="22" t="s">
        <v>198</v>
      </c>
      <c r="H690" s="24">
        <f t="shared" si="97"/>
        <v>2144</v>
      </c>
      <c r="I690" s="25" t="s">
        <v>19</v>
      </c>
      <c r="J690" s="24">
        <f t="shared" si="98"/>
        <v>804000</v>
      </c>
      <c r="K690" s="20"/>
      <c r="L690" s="20"/>
      <c r="M690" s="20"/>
      <c r="N690" s="20"/>
      <c r="O690" s="24"/>
      <c r="P690" s="24"/>
      <c r="Q690" s="25"/>
      <c r="R690" s="24"/>
      <c r="S690" s="20"/>
      <c r="T690" s="27"/>
      <c r="U690" s="20"/>
      <c r="V690" s="27">
        <f t="shared" si="99"/>
        <v>804000</v>
      </c>
      <c r="W690" s="26">
        <f t="shared" si="95"/>
        <v>804000</v>
      </c>
      <c r="X690" s="27">
        <v>0</v>
      </c>
      <c r="Y690" s="78">
        <f t="shared" si="96"/>
        <v>804000</v>
      </c>
      <c r="Z690" s="49">
        <v>1E-4</v>
      </c>
    </row>
    <row r="691" spans="1:26" s="29" customFormat="1" ht="90.75" customHeight="1" x14ac:dyDescent="0.25">
      <c r="A691" s="20">
        <v>529</v>
      </c>
      <c r="B691" s="20" t="s">
        <v>0</v>
      </c>
      <c r="C691" s="20">
        <v>10620</v>
      </c>
      <c r="D691" s="21">
        <v>25</v>
      </c>
      <c r="E691" s="21">
        <v>2</v>
      </c>
      <c r="F691" s="22">
        <v>77</v>
      </c>
      <c r="G691" s="22" t="s">
        <v>198</v>
      </c>
      <c r="H691" s="24">
        <f t="shared" si="97"/>
        <v>10277</v>
      </c>
      <c r="I691" s="25" t="s">
        <v>19</v>
      </c>
      <c r="J691" s="24">
        <f t="shared" si="98"/>
        <v>3853875</v>
      </c>
      <c r="K691" s="20"/>
      <c r="L691" s="20"/>
      <c r="M691" s="20"/>
      <c r="N691" s="20"/>
      <c r="O691" s="24"/>
      <c r="P691" s="24"/>
      <c r="Q691" s="25"/>
      <c r="R691" s="24"/>
      <c r="S691" s="20"/>
      <c r="T691" s="27"/>
      <c r="U691" s="20"/>
      <c r="V691" s="27">
        <f t="shared" si="99"/>
        <v>3853875</v>
      </c>
      <c r="W691" s="26">
        <f t="shared" si="95"/>
        <v>3853875</v>
      </c>
      <c r="X691" s="27">
        <v>0</v>
      </c>
      <c r="Y691" s="78">
        <f t="shared" si="96"/>
        <v>3853875</v>
      </c>
      <c r="Z691" s="49">
        <v>1E-4</v>
      </c>
    </row>
    <row r="692" spans="1:26" s="29" customFormat="1" ht="90.75" customHeight="1" x14ac:dyDescent="0.25">
      <c r="A692" s="20">
        <v>530</v>
      </c>
      <c r="B692" s="20" t="s">
        <v>0</v>
      </c>
      <c r="C692" s="20">
        <v>9884</v>
      </c>
      <c r="D692" s="21">
        <v>14</v>
      </c>
      <c r="E692" s="21">
        <v>0</v>
      </c>
      <c r="F692" s="22">
        <v>71</v>
      </c>
      <c r="G692" s="22" t="s">
        <v>198</v>
      </c>
      <c r="H692" s="24">
        <f t="shared" si="97"/>
        <v>5671</v>
      </c>
      <c r="I692" s="25" t="s">
        <v>62</v>
      </c>
      <c r="J692" s="24">
        <f t="shared" si="98"/>
        <v>2835500</v>
      </c>
      <c r="K692" s="20"/>
      <c r="L692" s="20"/>
      <c r="M692" s="20"/>
      <c r="N692" s="20"/>
      <c r="O692" s="24"/>
      <c r="P692" s="24"/>
      <c r="Q692" s="25"/>
      <c r="R692" s="24"/>
      <c r="S692" s="20"/>
      <c r="T692" s="27"/>
      <c r="U692" s="20"/>
      <c r="V692" s="27">
        <f t="shared" si="99"/>
        <v>2835500</v>
      </c>
      <c r="W692" s="26">
        <f t="shared" si="95"/>
        <v>2835500</v>
      </c>
      <c r="X692" s="27">
        <v>0</v>
      </c>
      <c r="Y692" s="78">
        <f t="shared" si="96"/>
        <v>2835500</v>
      </c>
      <c r="Z692" s="49">
        <v>1E-4</v>
      </c>
    </row>
    <row r="693" spans="1:26" s="29" customFormat="1" ht="90.75" customHeight="1" x14ac:dyDescent="0.25">
      <c r="A693" s="20">
        <v>531</v>
      </c>
      <c r="B693" s="20" t="s">
        <v>0</v>
      </c>
      <c r="C693" s="20">
        <v>9871</v>
      </c>
      <c r="D693" s="21">
        <v>14</v>
      </c>
      <c r="E693" s="21">
        <v>2</v>
      </c>
      <c r="F693" s="22">
        <v>32</v>
      </c>
      <c r="G693" s="22" t="s">
        <v>198</v>
      </c>
      <c r="H693" s="24">
        <f t="shared" si="97"/>
        <v>5832</v>
      </c>
      <c r="I693" s="25" t="s">
        <v>19</v>
      </c>
      <c r="J693" s="24">
        <f t="shared" si="98"/>
        <v>2187000</v>
      </c>
      <c r="K693" s="20"/>
      <c r="L693" s="20"/>
      <c r="M693" s="20"/>
      <c r="N693" s="20"/>
      <c r="O693" s="24"/>
      <c r="P693" s="24"/>
      <c r="Q693" s="25"/>
      <c r="R693" s="24"/>
      <c r="S693" s="20"/>
      <c r="T693" s="27"/>
      <c r="U693" s="20"/>
      <c r="V693" s="27">
        <f t="shared" si="99"/>
        <v>2187000</v>
      </c>
      <c r="W693" s="26">
        <f t="shared" si="95"/>
        <v>2187000</v>
      </c>
      <c r="X693" s="27">
        <v>0</v>
      </c>
      <c r="Y693" s="78">
        <f t="shared" si="96"/>
        <v>2187000</v>
      </c>
      <c r="Z693" s="49">
        <v>1E-4</v>
      </c>
    </row>
    <row r="694" spans="1:26" s="29" customFormat="1" ht="90.75" customHeight="1" x14ac:dyDescent="0.25">
      <c r="A694" s="20">
        <v>532</v>
      </c>
      <c r="B694" s="20" t="s">
        <v>0</v>
      </c>
      <c r="C694" s="20">
        <v>9880</v>
      </c>
      <c r="D694" s="21">
        <v>14</v>
      </c>
      <c r="E694" s="21">
        <v>3</v>
      </c>
      <c r="F694" s="22">
        <v>33</v>
      </c>
      <c r="G694" s="22" t="s">
        <v>198</v>
      </c>
      <c r="H694" s="24">
        <f t="shared" si="97"/>
        <v>5933</v>
      </c>
      <c r="I694" s="25" t="s">
        <v>32</v>
      </c>
      <c r="J694" s="24">
        <f t="shared" si="98"/>
        <v>1186600</v>
      </c>
      <c r="K694" s="20"/>
      <c r="L694" s="20"/>
      <c r="M694" s="20"/>
      <c r="N694" s="20"/>
      <c r="O694" s="24"/>
      <c r="P694" s="24"/>
      <c r="Q694" s="25"/>
      <c r="R694" s="24"/>
      <c r="S694" s="20"/>
      <c r="T694" s="27"/>
      <c r="U694" s="20"/>
      <c r="V694" s="27">
        <f t="shared" si="99"/>
        <v>1186600</v>
      </c>
      <c r="W694" s="26">
        <f t="shared" si="95"/>
        <v>1186600</v>
      </c>
      <c r="X694" s="27">
        <v>0</v>
      </c>
      <c r="Y694" s="78">
        <f t="shared" si="96"/>
        <v>1186600</v>
      </c>
      <c r="Z694" s="49">
        <v>1E-4</v>
      </c>
    </row>
    <row r="695" spans="1:26" s="29" customFormat="1" ht="90.75" customHeight="1" x14ac:dyDescent="0.25">
      <c r="A695" s="20">
        <v>533</v>
      </c>
      <c r="B695" s="20" t="s">
        <v>0</v>
      </c>
      <c r="C695" s="20">
        <v>9882</v>
      </c>
      <c r="D695" s="21">
        <v>7</v>
      </c>
      <c r="E695" s="21">
        <v>1</v>
      </c>
      <c r="F695" s="22">
        <v>36</v>
      </c>
      <c r="G695" s="22" t="s">
        <v>198</v>
      </c>
      <c r="H695" s="24">
        <f t="shared" si="97"/>
        <v>2936</v>
      </c>
      <c r="I695" s="25" t="s">
        <v>19</v>
      </c>
      <c r="J695" s="24">
        <f t="shared" si="98"/>
        <v>1101000</v>
      </c>
      <c r="K695" s="20"/>
      <c r="L695" s="20"/>
      <c r="M695" s="20"/>
      <c r="N695" s="20"/>
      <c r="O695" s="24"/>
      <c r="P695" s="24"/>
      <c r="Q695" s="25"/>
      <c r="R695" s="24"/>
      <c r="S695" s="20"/>
      <c r="T695" s="27"/>
      <c r="U695" s="20"/>
      <c r="V695" s="27">
        <f t="shared" si="99"/>
        <v>1101000</v>
      </c>
      <c r="W695" s="26">
        <f t="shared" si="95"/>
        <v>1101000</v>
      </c>
      <c r="X695" s="27">
        <v>0</v>
      </c>
      <c r="Y695" s="78">
        <f t="shared" si="96"/>
        <v>1101000</v>
      </c>
      <c r="Z695" s="49">
        <v>1E-4</v>
      </c>
    </row>
    <row r="696" spans="1:26" s="29" customFormat="1" ht="90.75" customHeight="1" x14ac:dyDescent="0.25">
      <c r="A696" s="20">
        <v>534</v>
      </c>
      <c r="B696" s="20" t="s">
        <v>0</v>
      </c>
      <c r="C696" s="20">
        <v>9881</v>
      </c>
      <c r="D696" s="21">
        <v>15</v>
      </c>
      <c r="E696" s="21">
        <v>0</v>
      </c>
      <c r="F696" s="22">
        <v>56</v>
      </c>
      <c r="G696" s="22" t="s">
        <v>198</v>
      </c>
      <c r="H696" s="24">
        <f t="shared" si="97"/>
        <v>6056</v>
      </c>
      <c r="I696" s="25">
        <v>375</v>
      </c>
      <c r="J696" s="24">
        <f t="shared" si="98"/>
        <v>2271000</v>
      </c>
      <c r="K696" s="20"/>
      <c r="L696" s="20"/>
      <c r="M696" s="20"/>
      <c r="N696" s="20"/>
      <c r="O696" s="24"/>
      <c r="P696" s="24"/>
      <c r="Q696" s="25"/>
      <c r="R696" s="24"/>
      <c r="S696" s="20"/>
      <c r="T696" s="27"/>
      <c r="U696" s="20"/>
      <c r="V696" s="27">
        <f t="shared" si="99"/>
        <v>2271000</v>
      </c>
      <c r="W696" s="26">
        <f t="shared" si="95"/>
        <v>2271000</v>
      </c>
      <c r="X696" s="27">
        <v>0</v>
      </c>
      <c r="Y696" s="78">
        <f t="shared" si="96"/>
        <v>2271000</v>
      </c>
      <c r="Z696" s="49">
        <v>1E-4</v>
      </c>
    </row>
    <row r="697" spans="1:26" s="29" customFormat="1" ht="90.75" customHeight="1" x14ac:dyDescent="0.25">
      <c r="A697" s="20">
        <v>535</v>
      </c>
      <c r="B697" s="20" t="s">
        <v>0</v>
      </c>
      <c r="C697" s="20">
        <v>11574</v>
      </c>
      <c r="D697" s="21">
        <v>13</v>
      </c>
      <c r="E697" s="21">
        <v>3</v>
      </c>
      <c r="F697" s="22">
        <v>7</v>
      </c>
      <c r="G697" s="22" t="s">
        <v>198</v>
      </c>
      <c r="H697" s="24">
        <f t="shared" si="97"/>
        <v>5507</v>
      </c>
      <c r="I697" s="25" t="s">
        <v>32</v>
      </c>
      <c r="J697" s="24">
        <f t="shared" si="98"/>
        <v>1101400</v>
      </c>
      <c r="K697" s="20"/>
      <c r="L697" s="20"/>
      <c r="M697" s="20"/>
      <c r="N697" s="20"/>
      <c r="O697" s="24"/>
      <c r="P697" s="24"/>
      <c r="Q697" s="25"/>
      <c r="R697" s="24"/>
      <c r="S697" s="20"/>
      <c r="T697" s="27"/>
      <c r="U697" s="20"/>
      <c r="V697" s="27">
        <f t="shared" si="99"/>
        <v>1101400</v>
      </c>
      <c r="W697" s="26">
        <f t="shared" si="95"/>
        <v>1101400</v>
      </c>
      <c r="X697" s="27">
        <v>0</v>
      </c>
      <c r="Y697" s="78">
        <f t="shared" si="96"/>
        <v>1101400</v>
      </c>
      <c r="Z697" s="49">
        <v>1E-4</v>
      </c>
    </row>
    <row r="698" spans="1:26" s="29" customFormat="1" ht="90.75" customHeight="1" x14ac:dyDescent="0.25">
      <c r="A698" s="20">
        <v>536</v>
      </c>
      <c r="B698" s="20" t="s">
        <v>0</v>
      </c>
      <c r="C698" s="20">
        <v>7916</v>
      </c>
      <c r="D698" s="21">
        <v>21</v>
      </c>
      <c r="E698" s="21">
        <v>3</v>
      </c>
      <c r="F698" s="22">
        <v>30</v>
      </c>
      <c r="G698" s="22" t="s">
        <v>198</v>
      </c>
      <c r="H698" s="24">
        <f t="shared" si="97"/>
        <v>8730</v>
      </c>
      <c r="I698" s="25">
        <v>200</v>
      </c>
      <c r="J698" s="24">
        <f t="shared" si="98"/>
        <v>1746000</v>
      </c>
      <c r="K698" s="20"/>
      <c r="L698" s="20"/>
      <c r="M698" s="20"/>
      <c r="N698" s="20"/>
      <c r="O698" s="24"/>
      <c r="P698" s="24"/>
      <c r="Q698" s="25"/>
      <c r="R698" s="24"/>
      <c r="S698" s="20"/>
      <c r="T698" s="27"/>
      <c r="U698" s="20"/>
      <c r="V698" s="27">
        <f t="shared" si="99"/>
        <v>1746000</v>
      </c>
      <c r="W698" s="26">
        <f t="shared" si="95"/>
        <v>1746000</v>
      </c>
      <c r="X698" s="27">
        <v>0</v>
      </c>
      <c r="Y698" s="78">
        <f t="shared" si="96"/>
        <v>1746000</v>
      </c>
      <c r="Z698" s="49">
        <v>1E-4</v>
      </c>
    </row>
    <row r="699" spans="1:26" s="29" customFormat="1" ht="90.75" customHeight="1" x14ac:dyDescent="0.25">
      <c r="A699" s="20">
        <v>537</v>
      </c>
      <c r="B699" s="20" t="s">
        <v>0</v>
      </c>
      <c r="C699" s="20">
        <v>11719</v>
      </c>
      <c r="D699" s="21">
        <v>6</v>
      </c>
      <c r="E699" s="21">
        <v>2</v>
      </c>
      <c r="F699" s="22">
        <v>18</v>
      </c>
      <c r="G699" s="22" t="s">
        <v>198</v>
      </c>
      <c r="H699" s="24">
        <f t="shared" si="97"/>
        <v>2618</v>
      </c>
      <c r="I699" s="25" t="s">
        <v>32</v>
      </c>
      <c r="J699" s="24">
        <f t="shared" si="98"/>
        <v>523600</v>
      </c>
      <c r="K699" s="20"/>
      <c r="L699" s="20"/>
      <c r="M699" s="20"/>
      <c r="N699" s="20"/>
      <c r="O699" s="24"/>
      <c r="P699" s="24"/>
      <c r="Q699" s="25"/>
      <c r="R699" s="24"/>
      <c r="S699" s="20"/>
      <c r="T699" s="27"/>
      <c r="U699" s="20"/>
      <c r="V699" s="27">
        <f t="shared" si="99"/>
        <v>523600</v>
      </c>
      <c r="W699" s="26">
        <f t="shared" si="95"/>
        <v>523600</v>
      </c>
      <c r="X699" s="27">
        <v>0</v>
      </c>
      <c r="Y699" s="78">
        <f t="shared" si="96"/>
        <v>523600</v>
      </c>
      <c r="Z699" s="49">
        <v>1E-4</v>
      </c>
    </row>
    <row r="700" spans="1:26" s="29" customFormat="1" ht="90.75" customHeight="1" x14ac:dyDescent="0.25">
      <c r="A700" s="20">
        <v>538</v>
      </c>
      <c r="B700" s="20" t="s">
        <v>0</v>
      </c>
      <c r="C700" s="20">
        <v>11720</v>
      </c>
      <c r="D700" s="21">
        <v>8</v>
      </c>
      <c r="E700" s="21">
        <v>0</v>
      </c>
      <c r="F700" s="22">
        <v>70</v>
      </c>
      <c r="G700" s="22" t="s">
        <v>198</v>
      </c>
      <c r="H700" s="24">
        <f t="shared" si="97"/>
        <v>3270</v>
      </c>
      <c r="I700" s="25" t="s">
        <v>32</v>
      </c>
      <c r="J700" s="24">
        <f t="shared" si="98"/>
        <v>654000</v>
      </c>
      <c r="K700" s="20"/>
      <c r="L700" s="20"/>
      <c r="M700" s="20"/>
      <c r="N700" s="20"/>
      <c r="O700" s="24"/>
      <c r="P700" s="24"/>
      <c r="Q700" s="25"/>
      <c r="R700" s="24"/>
      <c r="S700" s="20"/>
      <c r="T700" s="27"/>
      <c r="U700" s="20"/>
      <c r="V700" s="27">
        <f t="shared" si="99"/>
        <v>654000</v>
      </c>
      <c r="W700" s="26">
        <f t="shared" si="95"/>
        <v>654000</v>
      </c>
      <c r="X700" s="27">
        <v>0</v>
      </c>
      <c r="Y700" s="78">
        <f t="shared" si="96"/>
        <v>654000</v>
      </c>
      <c r="Z700" s="49">
        <v>1E-4</v>
      </c>
    </row>
    <row r="701" spans="1:26" s="29" customFormat="1" ht="90.75" customHeight="1" x14ac:dyDescent="0.25">
      <c r="A701" s="20">
        <v>539</v>
      </c>
      <c r="B701" s="20" t="s">
        <v>0</v>
      </c>
      <c r="C701" s="20">
        <v>8308</v>
      </c>
      <c r="D701" s="21">
        <v>52</v>
      </c>
      <c r="E701" s="21">
        <v>3</v>
      </c>
      <c r="F701" s="22">
        <v>27</v>
      </c>
      <c r="G701" s="22" t="s">
        <v>198</v>
      </c>
      <c r="H701" s="24">
        <f t="shared" si="97"/>
        <v>21127</v>
      </c>
      <c r="I701" s="25" t="s">
        <v>32</v>
      </c>
      <c r="J701" s="24">
        <f t="shared" si="98"/>
        <v>4225400</v>
      </c>
      <c r="K701" s="20"/>
      <c r="L701" s="20"/>
      <c r="M701" s="20"/>
      <c r="N701" s="20"/>
      <c r="O701" s="24"/>
      <c r="P701" s="24"/>
      <c r="Q701" s="25"/>
      <c r="R701" s="24"/>
      <c r="S701" s="20"/>
      <c r="T701" s="27"/>
      <c r="U701" s="20"/>
      <c r="V701" s="27">
        <f t="shared" si="99"/>
        <v>4225400</v>
      </c>
      <c r="W701" s="26">
        <f t="shared" si="95"/>
        <v>4225400</v>
      </c>
      <c r="X701" s="27">
        <v>0</v>
      </c>
      <c r="Y701" s="78">
        <f t="shared" si="96"/>
        <v>4225400</v>
      </c>
      <c r="Z701" s="49">
        <v>1E-4</v>
      </c>
    </row>
    <row r="702" spans="1:26" s="29" customFormat="1" ht="90.75" customHeight="1" x14ac:dyDescent="0.25">
      <c r="A702" s="20">
        <v>540</v>
      </c>
      <c r="B702" s="20" t="s">
        <v>0</v>
      </c>
      <c r="C702" s="20">
        <v>7915</v>
      </c>
      <c r="D702" s="21">
        <v>0</v>
      </c>
      <c r="E702" s="21">
        <v>3</v>
      </c>
      <c r="F702" s="22">
        <v>68</v>
      </c>
      <c r="G702" s="22" t="s">
        <v>198</v>
      </c>
      <c r="H702" s="24">
        <f t="shared" si="97"/>
        <v>368</v>
      </c>
      <c r="I702" s="25">
        <v>200</v>
      </c>
      <c r="J702" s="24">
        <f t="shared" si="98"/>
        <v>73600</v>
      </c>
      <c r="K702" s="20"/>
      <c r="L702" s="20"/>
      <c r="M702" s="20"/>
      <c r="N702" s="20"/>
      <c r="O702" s="24"/>
      <c r="P702" s="24"/>
      <c r="Q702" s="25"/>
      <c r="R702" s="24"/>
      <c r="S702" s="20"/>
      <c r="T702" s="27"/>
      <c r="U702" s="20"/>
      <c r="V702" s="27">
        <f t="shared" si="99"/>
        <v>73600</v>
      </c>
      <c r="W702" s="26">
        <f t="shared" si="95"/>
        <v>73600</v>
      </c>
      <c r="X702" s="27">
        <v>0</v>
      </c>
      <c r="Y702" s="78">
        <f t="shared" si="96"/>
        <v>73600</v>
      </c>
      <c r="Z702" s="49">
        <v>1E-4</v>
      </c>
    </row>
    <row r="703" spans="1:26" s="29" customFormat="1" ht="90.75" customHeight="1" x14ac:dyDescent="0.25">
      <c r="A703" s="20">
        <v>541</v>
      </c>
      <c r="B703" s="20" t="s">
        <v>0</v>
      </c>
      <c r="C703" s="20">
        <v>7183</v>
      </c>
      <c r="D703" s="21">
        <v>432</v>
      </c>
      <c r="E703" s="21">
        <v>3</v>
      </c>
      <c r="F703" s="22">
        <v>50</v>
      </c>
      <c r="G703" s="22" t="s">
        <v>198</v>
      </c>
      <c r="H703" s="24">
        <f t="shared" si="97"/>
        <v>173150</v>
      </c>
      <c r="I703" s="25">
        <v>200</v>
      </c>
      <c r="J703" s="24">
        <f t="shared" si="98"/>
        <v>34630000</v>
      </c>
      <c r="K703" s="20"/>
      <c r="L703" s="20"/>
      <c r="M703" s="20"/>
      <c r="N703" s="20"/>
      <c r="O703" s="24"/>
      <c r="P703" s="24"/>
      <c r="Q703" s="25"/>
      <c r="R703" s="24"/>
      <c r="S703" s="20"/>
      <c r="T703" s="27"/>
      <c r="U703" s="20"/>
      <c r="V703" s="27">
        <f t="shared" si="99"/>
        <v>34630000</v>
      </c>
      <c r="W703" s="26">
        <f t="shared" si="95"/>
        <v>34630000</v>
      </c>
      <c r="X703" s="27">
        <v>0</v>
      </c>
      <c r="Y703" s="78">
        <f t="shared" si="96"/>
        <v>34630000</v>
      </c>
      <c r="Z703" s="49">
        <v>1E-4</v>
      </c>
    </row>
    <row r="704" spans="1:26" s="29" customFormat="1" ht="90.75" customHeight="1" x14ac:dyDescent="0.25">
      <c r="A704" s="20">
        <v>542</v>
      </c>
      <c r="B704" s="20" t="s">
        <v>0</v>
      </c>
      <c r="C704" s="20">
        <v>12557</v>
      </c>
      <c r="D704" s="21">
        <v>4</v>
      </c>
      <c r="E704" s="21">
        <v>3</v>
      </c>
      <c r="F704" s="22">
        <v>95</v>
      </c>
      <c r="G704" s="22" t="s">
        <v>198</v>
      </c>
      <c r="H704" s="24">
        <f t="shared" si="97"/>
        <v>1995</v>
      </c>
      <c r="I704" s="25">
        <v>200</v>
      </c>
      <c r="J704" s="24">
        <f t="shared" si="98"/>
        <v>399000</v>
      </c>
      <c r="K704" s="20"/>
      <c r="L704" s="20"/>
      <c r="M704" s="20"/>
      <c r="N704" s="20"/>
      <c r="O704" s="24"/>
      <c r="P704" s="24"/>
      <c r="Q704" s="25"/>
      <c r="R704" s="24"/>
      <c r="S704" s="20"/>
      <c r="T704" s="27"/>
      <c r="U704" s="20"/>
      <c r="V704" s="27">
        <f t="shared" si="99"/>
        <v>399000</v>
      </c>
      <c r="W704" s="26">
        <f t="shared" si="95"/>
        <v>399000</v>
      </c>
      <c r="X704" s="27">
        <v>0</v>
      </c>
      <c r="Y704" s="78">
        <f t="shared" si="96"/>
        <v>399000</v>
      </c>
      <c r="Z704" s="49">
        <v>1E-4</v>
      </c>
    </row>
    <row r="705" spans="1:26" s="29" customFormat="1" ht="90.75" customHeight="1" x14ac:dyDescent="0.25">
      <c r="A705" s="20">
        <v>543</v>
      </c>
      <c r="B705" s="20" t="s">
        <v>0</v>
      </c>
      <c r="C705" s="20">
        <v>7183</v>
      </c>
      <c r="D705" s="21">
        <v>432</v>
      </c>
      <c r="E705" s="21">
        <v>3</v>
      </c>
      <c r="F705" s="22">
        <v>50</v>
      </c>
      <c r="G705" s="22" t="s">
        <v>198</v>
      </c>
      <c r="H705" s="24">
        <f t="shared" si="97"/>
        <v>173150</v>
      </c>
      <c r="I705" s="25">
        <v>200</v>
      </c>
      <c r="J705" s="24">
        <f t="shared" si="98"/>
        <v>34630000</v>
      </c>
      <c r="K705" s="20"/>
      <c r="L705" s="20"/>
      <c r="M705" s="20"/>
      <c r="N705" s="20"/>
      <c r="O705" s="24"/>
      <c r="P705" s="24"/>
      <c r="Q705" s="25"/>
      <c r="R705" s="24"/>
      <c r="S705" s="20"/>
      <c r="T705" s="27"/>
      <c r="U705" s="20"/>
      <c r="V705" s="27">
        <f t="shared" si="99"/>
        <v>34630000</v>
      </c>
      <c r="W705" s="26">
        <f t="shared" si="95"/>
        <v>34630000</v>
      </c>
      <c r="X705" s="27">
        <v>0</v>
      </c>
      <c r="Y705" s="78">
        <f t="shared" si="96"/>
        <v>34630000</v>
      </c>
      <c r="Z705" s="49">
        <v>1E-4</v>
      </c>
    </row>
    <row r="706" spans="1:26" s="29" customFormat="1" ht="90.75" customHeight="1" x14ac:dyDescent="0.25">
      <c r="A706" s="20">
        <v>544</v>
      </c>
      <c r="B706" s="20" t="s">
        <v>0</v>
      </c>
      <c r="C706" s="20">
        <v>12556</v>
      </c>
      <c r="D706" s="21">
        <v>4</v>
      </c>
      <c r="E706" s="21">
        <v>2</v>
      </c>
      <c r="F706" s="22">
        <v>49</v>
      </c>
      <c r="G706" s="22" t="s">
        <v>198</v>
      </c>
      <c r="H706" s="24">
        <f t="shared" si="97"/>
        <v>1849</v>
      </c>
      <c r="I706" s="25" t="s">
        <v>32</v>
      </c>
      <c r="J706" s="24">
        <f t="shared" si="98"/>
        <v>369800</v>
      </c>
      <c r="K706" s="20"/>
      <c r="L706" s="20"/>
      <c r="M706" s="20"/>
      <c r="N706" s="20"/>
      <c r="O706" s="24"/>
      <c r="P706" s="24"/>
      <c r="Q706" s="25"/>
      <c r="R706" s="24"/>
      <c r="S706" s="20"/>
      <c r="T706" s="27"/>
      <c r="U706" s="20"/>
      <c r="V706" s="27">
        <f t="shared" si="99"/>
        <v>369800</v>
      </c>
      <c r="W706" s="26">
        <f t="shared" ref="W706:W769" si="100">(V706*100/100)</f>
        <v>369800</v>
      </c>
      <c r="X706" s="27">
        <v>0</v>
      </c>
      <c r="Y706" s="78">
        <f t="shared" ref="Y706:Y769" si="101">(W706-X706)</f>
        <v>369800</v>
      </c>
      <c r="Z706" s="49">
        <v>1E-4</v>
      </c>
    </row>
    <row r="707" spans="1:26" s="29" customFormat="1" ht="90.75" customHeight="1" x14ac:dyDescent="0.25">
      <c r="A707" s="20">
        <v>545</v>
      </c>
      <c r="B707" s="20" t="s">
        <v>0</v>
      </c>
      <c r="C707" s="20">
        <v>12555</v>
      </c>
      <c r="D707" s="21">
        <v>7</v>
      </c>
      <c r="E707" s="21">
        <v>0</v>
      </c>
      <c r="F707" s="22">
        <v>7</v>
      </c>
      <c r="G707" s="22" t="s">
        <v>198</v>
      </c>
      <c r="H707" s="24">
        <f t="shared" ref="H707:H770" si="102">(D707*400)+(E707*100)+F707</f>
        <v>2807</v>
      </c>
      <c r="I707" s="25" t="s">
        <v>32</v>
      </c>
      <c r="J707" s="24">
        <f t="shared" ref="J707:J770" si="103">(H707*I707)</f>
        <v>561400</v>
      </c>
      <c r="K707" s="20"/>
      <c r="L707" s="20"/>
      <c r="M707" s="20"/>
      <c r="N707" s="20"/>
      <c r="O707" s="24"/>
      <c r="P707" s="24"/>
      <c r="Q707" s="25"/>
      <c r="R707" s="24"/>
      <c r="S707" s="20"/>
      <c r="T707" s="27"/>
      <c r="U707" s="20"/>
      <c r="V707" s="27">
        <f t="shared" ref="V707:V770" si="104">(J707+U707)</f>
        <v>561400</v>
      </c>
      <c r="W707" s="26">
        <f t="shared" si="100"/>
        <v>561400</v>
      </c>
      <c r="X707" s="27">
        <v>0</v>
      </c>
      <c r="Y707" s="78">
        <f t="shared" si="101"/>
        <v>561400</v>
      </c>
      <c r="Z707" s="49">
        <v>1E-4</v>
      </c>
    </row>
    <row r="708" spans="1:26" s="29" customFormat="1" ht="90.75" customHeight="1" x14ac:dyDescent="0.25">
      <c r="A708" s="20">
        <v>546</v>
      </c>
      <c r="B708" s="20" t="s">
        <v>0</v>
      </c>
      <c r="C708" s="20">
        <v>11294</v>
      </c>
      <c r="D708" s="21">
        <v>5</v>
      </c>
      <c r="E708" s="21">
        <v>1</v>
      </c>
      <c r="F708" s="22">
        <v>62</v>
      </c>
      <c r="G708" s="22" t="s">
        <v>198</v>
      </c>
      <c r="H708" s="24">
        <f t="shared" si="102"/>
        <v>2162</v>
      </c>
      <c r="I708" s="25">
        <v>200</v>
      </c>
      <c r="J708" s="24">
        <f t="shared" si="103"/>
        <v>432400</v>
      </c>
      <c r="K708" s="20"/>
      <c r="L708" s="20"/>
      <c r="M708" s="20"/>
      <c r="N708" s="20"/>
      <c r="O708" s="24"/>
      <c r="P708" s="24"/>
      <c r="Q708" s="25"/>
      <c r="R708" s="24"/>
      <c r="S708" s="20"/>
      <c r="T708" s="27"/>
      <c r="U708" s="20"/>
      <c r="V708" s="27">
        <f t="shared" si="104"/>
        <v>432400</v>
      </c>
      <c r="W708" s="26">
        <f t="shared" si="100"/>
        <v>432400</v>
      </c>
      <c r="X708" s="27">
        <v>0</v>
      </c>
      <c r="Y708" s="78">
        <f t="shared" si="101"/>
        <v>432400</v>
      </c>
      <c r="Z708" s="49">
        <v>1E-4</v>
      </c>
    </row>
    <row r="709" spans="1:26" s="29" customFormat="1" ht="90.75" customHeight="1" x14ac:dyDescent="0.25">
      <c r="A709" s="20">
        <v>547</v>
      </c>
      <c r="B709" s="20" t="s">
        <v>0</v>
      </c>
      <c r="C709" s="20">
        <v>9881</v>
      </c>
      <c r="D709" s="21">
        <v>15</v>
      </c>
      <c r="E709" s="21">
        <v>0</v>
      </c>
      <c r="F709" s="22">
        <v>56</v>
      </c>
      <c r="G709" s="22" t="s">
        <v>198</v>
      </c>
      <c r="H709" s="24">
        <f t="shared" si="102"/>
        <v>6056</v>
      </c>
      <c r="I709" s="25">
        <v>350</v>
      </c>
      <c r="J709" s="24">
        <f t="shared" si="103"/>
        <v>2119600</v>
      </c>
      <c r="K709" s="20"/>
      <c r="L709" s="20"/>
      <c r="M709" s="20"/>
      <c r="N709" s="20"/>
      <c r="O709" s="24"/>
      <c r="P709" s="24"/>
      <c r="Q709" s="25"/>
      <c r="R709" s="24"/>
      <c r="S709" s="20"/>
      <c r="T709" s="27"/>
      <c r="U709" s="20"/>
      <c r="V709" s="27">
        <f t="shared" si="104"/>
        <v>2119600</v>
      </c>
      <c r="W709" s="26">
        <f t="shared" si="100"/>
        <v>2119600</v>
      </c>
      <c r="X709" s="27">
        <v>0</v>
      </c>
      <c r="Y709" s="78">
        <f t="shared" si="101"/>
        <v>2119600</v>
      </c>
      <c r="Z709" s="49">
        <v>1E-4</v>
      </c>
    </row>
    <row r="710" spans="1:26" s="29" customFormat="1" ht="90.75" customHeight="1" x14ac:dyDescent="0.25">
      <c r="A710" s="20">
        <v>548</v>
      </c>
      <c r="B710" s="20" t="s">
        <v>0</v>
      </c>
      <c r="C710" s="20">
        <v>7916</v>
      </c>
      <c r="D710" s="21">
        <v>21</v>
      </c>
      <c r="E710" s="21">
        <v>3</v>
      </c>
      <c r="F710" s="22">
        <v>30</v>
      </c>
      <c r="G710" s="22" t="s">
        <v>198</v>
      </c>
      <c r="H710" s="24">
        <f t="shared" si="102"/>
        <v>8730</v>
      </c>
      <c r="I710" s="25">
        <v>350</v>
      </c>
      <c r="J710" s="24">
        <f t="shared" si="103"/>
        <v>3055500</v>
      </c>
      <c r="K710" s="20"/>
      <c r="L710" s="20"/>
      <c r="M710" s="20"/>
      <c r="N710" s="20"/>
      <c r="O710" s="24"/>
      <c r="P710" s="24"/>
      <c r="Q710" s="25"/>
      <c r="R710" s="24"/>
      <c r="S710" s="20"/>
      <c r="T710" s="27"/>
      <c r="U710" s="20"/>
      <c r="V710" s="27">
        <f t="shared" si="104"/>
        <v>3055500</v>
      </c>
      <c r="W710" s="26">
        <f t="shared" si="100"/>
        <v>3055500</v>
      </c>
      <c r="X710" s="27">
        <v>0</v>
      </c>
      <c r="Y710" s="78">
        <f t="shared" si="101"/>
        <v>3055500</v>
      </c>
      <c r="Z710" s="49">
        <v>1E-4</v>
      </c>
    </row>
    <row r="711" spans="1:26" s="29" customFormat="1" ht="90.75" customHeight="1" x14ac:dyDescent="0.25">
      <c r="A711" s="20">
        <v>549</v>
      </c>
      <c r="B711" s="20" t="s">
        <v>0</v>
      </c>
      <c r="C711" s="20">
        <v>7915</v>
      </c>
      <c r="D711" s="21">
        <v>0</v>
      </c>
      <c r="E711" s="21">
        <v>3</v>
      </c>
      <c r="F711" s="22">
        <v>68</v>
      </c>
      <c r="G711" s="22" t="s">
        <v>198</v>
      </c>
      <c r="H711" s="24">
        <f t="shared" si="102"/>
        <v>368</v>
      </c>
      <c r="I711" s="25">
        <v>200</v>
      </c>
      <c r="J711" s="24">
        <f t="shared" si="103"/>
        <v>73600</v>
      </c>
      <c r="K711" s="20"/>
      <c r="L711" s="20"/>
      <c r="M711" s="20"/>
      <c r="N711" s="20"/>
      <c r="O711" s="24"/>
      <c r="P711" s="24"/>
      <c r="Q711" s="25"/>
      <c r="R711" s="24"/>
      <c r="S711" s="20"/>
      <c r="T711" s="27"/>
      <c r="U711" s="20"/>
      <c r="V711" s="27">
        <f t="shared" si="104"/>
        <v>73600</v>
      </c>
      <c r="W711" s="26">
        <f t="shared" si="100"/>
        <v>73600</v>
      </c>
      <c r="X711" s="27">
        <v>0</v>
      </c>
      <c r="Y711" s="78">
        <f t="shared" si="101"/>
        <v>73600</v>
      </c>
      <c r="Z711" s="49">
        <v>1E-4</v>
      </c>
    </row>
    <row r="712" spans="1:26" s="29" customFormat="1" ht="90.75" customHeight="1" x14ac:dyDescent="0.25">
      <c r="A712" s="20">
        <v>550</v>
      </c>
      <c r="B712" s="20" t="s">
        <v>0</v>
      </c>
      <c r="C712" s="20">
        <v>7914</v>
      </c>
      <c r="D712" s="21">
        <v>23</v>
      </c>
      <c r="E712" s="21">
        <v>1</v>
      </c>
      <c r="F712" s="22">
        <v>50</v>
      </c>
      <c r="G712" s="22" t="s">
        <v>198</v>
      </c>
      <c r="H712" s="24">
        <f t="shared" si="102"/>
        <v>9350</v>
      </c>
      <c r="I712" s="25">
        <v>200</v>
      </c>
      <c r="J712" s="24">
        <f t="shared" si="103"/>
        <v>1870000</v>
      </c>
      <c r="K712" s="20"/>
      <c r="L712" s="20"/>
      <c r="M712" s="20"/>
      <c r="N712" s="20"/>
      <c r="O712" s="24"/>
      <c r="P712" s="24"/>
      <c r="Q712" s="25"/>
      <c r="R712" s="24"/>
      <c r="S712" s="20"/>
      <c r="T712" s="27"/>
      <c r="U712" s="20"/>
      <c r="V712" s="27">
        <f t="shared" si="104"/>
        <v>1870000</v>
      </c>
      <c r="W712" s="26">
        <f t="shared" si="100"/>
        <v>1870000</v>
      </c>
      <c r="X712" s="27">
        <v>0</v>
      </c>
      <c r="Y712" s="78">
        <f t="shared" si="101"/>
        <v>1870000</v>
      </c>
      <c r="Z712" s="49">
        <v>1E-4</v>
      </c>
    </row>
    <row r="713" spans="1:26" s="29" customFormat="1" ht="90.75" customHeight="1" x14ac:dyDescent="0.25">
      <c r="A713" s="20">
        <v>551</v>
      </c>
      <c r="B713" s="20" t="s">
        <v>0</v>
      </c>
      <c r="C713" s="20">
        <v>7204</v>
      </c>
      <c r="D713" s="21">
        <v>4</v>
      </c>
      <c r="E713" s="21">
        <v>3</v>
      </c>
      <c r="F713" s="22">
        <v>9</v>
      </c>
      <c r="G713" s="22" t="s">
        <v>198</v>
      </c>
      <c r="H713" s="24">
        <f t="shared" si="102"/>
        <v>1909</v>
      </c>
      <c r="I713" s="25">
        <v>200</v>
      </c>
      <c r="J713" s="24">
        <f t="shared" si="103"/>
        <v>381800</v>
      </c>
      <c r="K713" s="20"/>
      <c r="L713" s="20"/>
      <c r="M713" s="20"/>
      <c r="N713" s="20"/>
      <c r="O713" s="24"/>
      <c r="P713" s="24"/>
      <c r="Q713" s="25"/>
      <c r="R713" s="24"/>
      <c r="S713" s="20"/>
      <c r="T713" s="27"/>
      <c r="U713" s="20"/>
      <c r="V713" s="27">
        <f t="shared" si="104"/>
        <v>381800</v>
      </c>
      <c r="W713" s="26">
        <f t="shared" si="100"/>
        <v>381800</v>
      </c>
      <c r="X713" s="27">
        <v>0</v>
      </c>
      <c r="Y713" s="78">
        <f t="shared" si="101"/>
        <v>381800</v>
      </c>
      <c r="Z713" s="49">
        <v>1E-4</v>
      </c>
    </row>
    <row r="714" spans="1:26" s="29" customFormat="1" ht="90.75" customHeight="1" x14ac:dyDescent="0.25">
      <c r="A714" s="20">
        <v>552</v>
      </c>
      <c r="B714" s="20" t="s">
        <v>0</v>
      </c>
      <c r="C714" s="20">
        <v>11705</v>
      </c>
      <c r="D714" s="21">
        <v>30</v>
      </c>
      <c r="E714" s="21">
        <v>3</v>
      </c>
      <c r="F714" s="22">
        <v>37</v>
      </c>
      <c r="G714" s="22" t="s">
        <v>198</v>
      </c>
      <c r="H714" s="24">
        <f t="shared" si="102"/>
        <v>12337</v>
      </c>
      <c r="I714" s="25" t="s">
        <v>19</v>
      </c>
      <c r="J714" s="24">
        <f t="shared" si="103"/>
        <v>4626375</v>
      </c>
      <c r="K714" s="20"/>
      <c r="L714" s="20"/>
      <c r="M714" s="20"/>
      <c r="N714" s="20"/>
      <c r="O714" s="24"/>
      <c r="P714" s="24"/>
      <c r="Q714" s="25"/>
      <c r="R714" s="24"/>
      <c r="S714" s="20"/>
      <c r="T714" s="27"/>
      <c r="U714" s="20"/>
      <c r="V714" s="27">
        <f t="shared" si="104"/>
        <v>4626375</v>
      </c>
      <c r="W714" s="26">
        <f t="shared" si="100"/>
        <v>4626375</v>
      </c>
      <c r="X714" s="27">
        <v>0</v>
      </c>
      <c r="Y714" s="78">
        <f t="shared" si="101"/>
        <v>4626375</v>
      </c>
      <c r="Z714" s="49">
        <v>1E-4</v>
      </c>
    </row>
    <row r="715" spans="1:26" s="29" customFormat="1" ht="90.75" customHeight="1" x14ac:dyDescent="0.25">
      <c r="A715" s="20">
        <v>553</v>
      </c>
      <c r="B715" s="20" t="s">
        <v>0</v>
      </c>
      <c r="C715" s="20">
        <v>46103</v>
      </c>
      <c r="D715" s="21">
        <v>15</v>
      </c>
      <c r="E715" s="21">
        <v>3</v>
      </c>
      <c r="F715" s="22">
        <v>63</v>
      </c>
      <c r="G715" s="22" t="s">
        <v>198</v>
      </c>
      <c r="H715" s="24">
        <f t="shared" si="102"/>
        <v>6363</v>
      </c>
      <c r="I715" s="25" t="s">
        <v>7</v>
      </c>
      <c r="J715" s="24">
        <f t="shared" si="103"/>
        <v>2227050</v>
      </c>
      <c r="K715" s="20"/>
      <c r="L715" s="20"/>
      <c r="M715" s="20"/>
      <c r="N715" s="20"/>
      <c r="O715" s="24"/>
      <c r="P715" s="24"/>
      <c r="Q715" s="25"/>
      <c r="R715" s="24"/>
      <c r="S715" s="20"/>
      <c r="T715" s="27"/>
      <c r="U715" s="20"/>
      <c r="V715" s="27">
        <f t="shared" si="104"/>
        <v>2227050</v>
      </c>
      <c r="W715" s="26">
        <f t="shared" si="100"/>
        <v>2227050</v>
      </c>
      <c r="X715" s="27">
        <v>0</v>
      </c>
      <c r="Y715" s="78">
        <f t="shared" si="101"/>
        <v>2227050</v>
      </c>
      <c r="Z715" s="49">
        <v>1E-4</v>
      </c>
    </row>
    <row r="716" spans="1:26" s="29" customFormat="1" ht="90.75" customHeight="1" x14ac:dyDescent="0.25">
      <c r="A716" s="20">
        <v>554</v>
      </c>
      <c r="B716" s="20" t="s">
        <v>0</v>
      </c>
      <c r="C716" s="20">
        <v>7554</v>
      </c>
      <c r="D716" s="21">
        <v>27</v>
      </c>
      <c r="E716" s="21">
        <v>2</v>
      </c>
      <c r="F716" s="22">
        <v>38</v>
      </c>
      <c r="G716" s="22" t="s">
        <v>198</v>
      </c>
      <c r="H716" s="24">
        <f t="shared" si="102"/>
        <v>11038</v>
      </c>
      <c r="I716" s="25" t="s">
        <v>32</v>
      </c>
      <c r="J716" s="24">
        <f t="shared" si="103"/>
        <v>2207600</v>
      </c>
      <c r="K716" s="20"/>
      <c r="L716" s="20"/>
      <c r="M716" s="20"/>
      <c r="N716" s="20"/>
      <c r="O716" s="24"/>
      <c r="P716" s="24"/>
      <c r="Q716" s="25"/>
      <c r="R716" s="24"/>
      <c r="S716" s="20"/>
      <c r="T716" s="27"/>
      <c r="U716" s="20"/>
      <c r="V716" s="27">
        <f t="shared" si="104"/>
        <v>2207600</v>
      </c>
      <c r="W716" s="26">
        <f t="shared" si="100"/>
        <v>2207600</v>
      </c>
      <c r="X716" s="27">
        <v>0</v>
      </c>
      <c r="Y716" s="78">
        <f t="shared" si="101"/>
        <v>2207600</v>
      </c>
      <c r="Z716" s="49">
        <v>1E-4</v>
      </c>
    </row>
    <row r="717" spans="1:26" s="29" customFormat="1" ht="90.75" customHeight="1" x14ac:dyDescent="0.25">
      <c r="A717" s="20">
        <v>555</v>
      </c>
      <c r="B717" s="20" t="s">
        <v>0</v>
      </c>
      <c r="C717" s="20">
        <v>44892</v>
      </c>
      <c r="D717" s="21">
        <v>1</v>
      </c>
      <c r="E717" s="21">
        <v>0</v>
      </c>
      <c r="F717" s="22">
        <v>79</v>
      </c>
      <c r="G717" s="22" t="s">
        <v>198</v>
      </c>
      <c r="H717" s="24">
        <f t="shared" si="102"/>
        <v>479</v>
      </c>
      <c r="I717" s="25" t="s">
        <v>75</v>
      </c>
      <c r="J717" s="24">
        <f t="shared" si="103"/>
        <v>299375</v>
      </c>
      <c r="K717" s="20"/>
      <c r="L717" s="20"/>
      <c r="M717" s="20"/>
      <c r="N717" s="20"/>
      <c r="O717" s="24"/>
      <c r="P717" s="24"/>
      <c r="Q717" s="25"/>
      <c r="R717" s="24"/>
      <c r="S717" s="20"/>
      <c r="T717" s="27"/>
      <c r="U717" s="20"/>
      <c r="V717" s="27">
        <f t="shared" si="104"/>
        <v>299375</v>
      </c>
      <c r="W717" s="26">
        <f t="shared" si="100"/>
        <v>299375</v>
      </c>
      <c r="X717" s="27">
        <v>0</v>
      </c>
      <c r="Y717" s="78">
        <f t="shared" si="101"/>
        <v>299375</v>
      </c>
      <c r="Z717" s="49">
        <v>1E-4</v>
      </c>
    </row>
    <row r="718" spans="1:26" s="29" customFormat="1" ht="90.75" customHeight="1" x14ac:dyDescent="0.25">
      <c r="A718" s="20">
        <v>556</v>
      </c>
      <c r="B718" s="20" t="s">
        <v>0</v>
      </c>
      <c r="C718" s="20">
        <v>7199</v>
      </c>
      <c r="D718" s="21">
        <v>16</v>
      </c>
      <c r="E718" s="21">
        <v>1</v>
      </c>
      <c r="F718" s="22">
        <v>81</v>
      </c>
      <c r="G718" s="22" t="s">
        <v>198</v>
      </c>
      <c r="H718" s="24">
        <f t="shared" si="102"/>
        <v>6581</v>
      </c>
      <c r="I718" s="25" t="s">
        <v>32</v>
      </c>
      <c r="J718" s="24">
        <f t="shared" si="103"/>
        <v>1316200</v>
      </c>
      <c r="K718" s="20"/>
      <c r="L718" s="20"/>
      <c r="M718" s="20"/>
      <c r="N718" s="20"/>
      <c r="O718" s="24"/>
      <c r="P718" s="24"/>
      <c r="Q718" s="25"/>
      <c r="R718" s="24"/>
      <c r="S718" s="20"/>
      <c r="T718" s="27"/>
      <c r="U718" s="20"/>
      <c r="V718" s="27">
        <f t="shared" si="104"/>
        <v>1316200</v>
      </c>
      <c r="W718" s="26">
        <f t="shared" si="100"/>
        <v>1316200</v>
      </c>
      <c r="X718" s="27">
        <v>0</v>
      </c>
      <c r="Y718" s="78">
        <f t="shared" si="101"/>
        <v>1316200</v>
      </c>
      <c r="Z718" s="49">
        <v>1E-4</v>
      </c>
    </row>
    <row r="719" spans="1:26" s="29" customFormat="1" ht="90.75" customHeight="1" x14ac:dyDescent="0.25">
      <c r="A719" s="20">
        <v>557</v>
      </c>
      <c r="B719" s="20" t="s">
        <v>0</v>
      </c>
      <c r="C719" s="20">
        <v>7218</v>
      </c>
      <c r="D719" s="21">
        <v>11</v>
      </c>
      <c r="E719" s="21">
        <v>0</v>
      </c>
      <c r="F719" s="22">
        <v>3</v>
      </c>
      <c r="G719" s="22" t="s">
        <v>198</v>
      </c>
      <c r="H719" s="24">
        <f t="shared" si="102"/>
        <v>4403</v>
      </c>
      <c r="I719" s="25">
        <v>200</v>
      </c>
      <c r="J719" s="24">
        <f t="shared" si="103"/>
        <v>880600</v>
      </c>
      <c r="K719" s="20"/>
      <c r="L719" s="20"/>
      <c r="M719" s="20"/>
      <c r="N719" s="20"/>
      <c r="O719" s="24"/>
      <c r="P719" s="24"/>
      <c r="Q719" s="25"/>
      <c r="R719" s="24"/>
      <c r="S719" s="20"/>
      <c r="T719" s="27"/>
      <c r="U719" s="20"/>
      <c r="V719" s="27">
        <f t="shared" si="104"/>
        <v>880600</v>
      </c>
      <c r="W719" s="26">
        <f t="shared" si="100"/>
        <v>880600</v>
      </c>
      <c r="X719" s="27">
        <v>0</v>
      </c>
      <c r="Y719" s="78">
        <f t="shared" si="101"/>
        <v>880600</v>
      </c>
      <c r="Z719" s="49">
        <v>1E-4</v>
      </c>
    </row>
    <row r="720" spans="1:26" s="29" customFormat="1" ht="90.75" customHeight="1" x14ac:dyDescent="0.25">
      <c r="A720" s="20">
        <v>558</v>
      </c>
      <c r="B720" s="20" t="s">
        <v>0</v>
      </c>
      <c r="C720" s="20">
        <v>7200</v>
      </c>
      <c r="D720" s="21">
        <v>14</v>
      </c>
      <c r="E720" s="21">
        <v>1</v>
      </c>
      <c r="F720" s="22">
        <v>4</v>
      </c>
      <c r="G720" s="22" t="s">
        <v>198</v>
      </c>
      <c r="H720" s="24">
        <f t="shared" si="102"/>
        <v>5704</v>
      </c>
      <c r="I720" s="25">
        <v>200</v>
      </c>
      <c r="J720" s="24">
        <f t="shared" si="103"/>
        <v>1140800</v>
      </c>
      <c r="K720" s="20"/>
      <c r="L720" s="20"/>
      <c r="M720" s="20"/>
      <c r="N720" s="20"/>
      <c r="O720" s="24"/>
      <c r="P720" s="24"/>
      <c r="Q720" s="25"/>
      <c r="R720" s="24"/>
      <c r="S720" s="20"/>
      <c r="T720" s="27"/>
      <c r="U720" s="20"/>
      <c r="V720" s="27">
        <f t="shared" si="104"/>
        <v>1140800</v>
      </c>
      <c r="W720" s="26">
        <f t="shared" si="100"/>
        <v>1140800</v>
      </c>
      <c r="X720" s="27">
        <v>0</v>
      </c>
      <c r="Y720" s="78">
        <f t="shared" si="101"/>
        <v>1140800</v>
      </c>
      <c r="Z720" s="49">
        <v>1E-4</v>
      </c>
    </row>
    <row r="721" spans="1:26" s="29" customFormat="1" ht="90.75" customHeight="1" x14ac:dyDescent="0.25">
      <c r="A721" s="20">
        <v>559</v>
      </c>
      <c r="B721" s="20" t="s">
        <v>0</v>
      </c>
      <c r="C721" s="20">
        <v>32678</v>
      </c>
      <c r="D721" s="21">
        <v>31</v>
      </c>
      <c r="E721" s="21">
        <v>0</v>
      </c>
      <c r="F721" s="22">
        <v>52</v>
      </c>
      <c r="G721" s="22" t="s">
        <v>198</v>
      </c>
      <c r="H721" s="24">
        <f t="shared" si="102"/>
        <v>12452</v>
      </c>
      <c r="I721" s="25">
        <v>200</v>
      </c>
      <c r="J721" s="24">
        <f t="shared" si="103"/>
        <v>2490400</v>
      </c>
      <c r="K721" s="20"/>
      <c r="L721" s="20"/>
      <c r="M721" s="20"/>
      <c r="N721" s="20"/>
      <c r="O721" s="24"/>
      <c r="P721" s="24"/>
      <c r="Q721" s="25"/>
      <c r="R721" s="24"/>
      <c r="S721" s="20"/>
      <c r="T721" s="27"/>
      <c r="U721" s="20"/>
      <c r="V721" s="27">
        <f t="shared" si="104"/>
        <v>2490400</v>
      </c>
      <c r="W721" s="26">
        <f t="shared" si="100"/>
        <v>2490400</v>
      </c>
      <c r="X721" s="27">
        <v>0</v>
      </c>
      <c r="Y721" s="78">
        <f t="shared" si="101"/>
        <v>2490400</v>
      </c>
      <c r="Z721" s="49">
        <v>1E-4</v>
      </c>
    </row>
    <row r="722" spans="1:26" s="29" customFormat="1" ht="90.75" customHeight="1" x14ac:dyDescent="0.25">
      <c r="A722" s="20">
        <v>560</v>
      </c>
      <c r="B722" s="20" t="s">
        <v>0</v>
      </c>
      <c r="C722" s="20">
        <v>7201</v>
      </c>
      <c r="D722" s="21">
        <v>14</v>
      </c>
      <c r="E722" s="21">
        <v>3</v>
      </c>
      <c r="F722" s="22">
        <v>36</v>
      </c>
      <c r="G722" s="22" t="s">
        <v>198</v>
      </c>
      <c r="H722" s="24">
        <f t="shared" si="102"/>
        <v>5936</v>
      </c>
      <c r="I722" s="25" t="s">
        <v>32</v>
      </c>
      <c r="J722" s="24">
        <f t="shared" si="103"/>
        <v>1187200</v>
      </c>
      <c r="K722" s="20"/>
      <c r="L722" s="20"/>
      <c r="M722" s="20"/>
      <c r="N722" s="20"/>
      <c r="O722" s="24"/>
      <c r="P722" s="24"/>
      <c r="Q722" s="25"/>
      <c r="R722" s="24"/>
      <c r="S722" s="20"/>
      <c r="T722" s="27"/>
      <c r="U722" s="20"/>
      <c r="V722" s="27">
        <f t="shared" si="104"/>
        <v>1187200</v>
      </c>
      <c r="W722" s="26">
        <f t="shared" si="100"/>
        <v>1187200</v>
      </c>
      <c r="X722" s="27">
        <v>0</v>
      </c>
      <c r="Y722" s="78">
        <f t="shared" si="101"/>
        <v>1187200</v>
      </c>
      <c r="Z722" s="49">
        <v>1E-4</v>
      </c>
    </row>
    <row r="723" spans="1:26" s="29" customFormat="1" ht="90.75" customHeight="1" x14ac:dyDescent="0.25">
      <c r="A723" s="20">
        <v>561</v>
      </c>
      <c r="B723" s="20" t="s">
        <v>0</v>
      </c>
      <c r="C723" s="20">
        <v>9876</v>
      </c>
      <c r="D723" s="21">
        <v>13</v>
      </c>
      <c r="E723" s="21">
        <v>0</v>
      </c>
      <c r="F723" s="22">
        <v>46</v>
      </c>
      <c r="G723" s="22" t="s">
        <v>198</v>
      </c>
      <c r="H723" s="24">
        <f t="shared" si="102"/>
        <v>5246</v>
      </c>
      <c r="I723" s="25" t="s">
        <v>37</v>
      </c>
      <c r="J723" s="24">
        <f t="shared" si="103"/>
        <v>2229550</v>
      </c>
      <c r="K723" s="20"/>
      <c r="L723" s="20"/>
      <c r="M723" s="20"/>
      <c r="N723" s="20"/>
      <c r="O723" s="24"/>
      <c r="P723" s="24"/>
      <c r="Q723" s="25"/>
      <c r="R723" s="24"/>
      <c r="S723" s="20"/>
      <c r="T723" s="27"/>
      <c r="U723" s="20"/>
      <c r="V723" s="27">
        <f t="shared" si="104"/>
        <v>2229550</v>
      </c>
      <c r="W723" s="26">
        <f t="shared" si="100"/>
        <v>2229550</v>
      </c>
      <c r="X723" s="27">
        <v>0</v>
      </c>
      <c r="Y723" s="78">
        <f t="shared" si="101"/>
        <v>2229550</v>
      </c>
      <c r="Z723" s="49">
        <v>1E-4</v>
      </c>
    </row>
    <row r="724" spans="1:26" s="29" customFormat="1" ht="90.75" customHeight="1" x14ac:dyDescent="0.25">
      <c r="A724" s="20">
        <v>562</v>
      </c>
      <c r="B724" s="20" t="s">
        <v>0</v>
      </c>
      <c r="C724" s="20">
        <v>7553</v>
      </c>
      <c r="D724" s="21">
        <v>24</v>
      </c>
      <c r="E724" s="21">
        <v>1</v>
      </c>
      <c r="F724" s="22">
        <v>85</v>
      </c>
      <c r="G724" s="22" t="s">
        <v>198</v>
      </c>
      <c r="H724" s="24">
        <f t="shared" si="102"/>
        <v>9785</v>
      </c>
      <c r="I724" s="25">
        <v>200</v>
      </c>
      <c r="J724" s="24">
        <f t="shared" si="103"/>
        <v>1957000</v>
      </c>
      <c r="K724" s="20"/>
      <c r="L724" s="20"/>
      <c r="M724" s="20"/>
      <c r="N724" s="20"/>
      <c r="O724" s="24"/>
      <c r="P724" s="24"/>
      <c r="Q724" s="25"/>
      <c r="R724" s="24"/>
      <c r="S724" s="20"/>
      <c r="T724" s="27"/>
      <c r="U724" s="20"/>
      <c r="V724" s="27">
        <f t="shared" si="104"/>
        <v>1957000</v>
      </c>
      <c r="W724" s="26">
        <f t="shared" si="100"/>
        <v>1957000</v>
      </c>
      <c r="X724" s="27">
        <v>0</v>
      </c>
      <c r="Y724" s="78">
        <f t="shared" si="101"/>
        <v>1957000</v>
      </c>
      <c r="Z724" s="49">
        <v>1E-4</v>
      </c>
    </row>
    <row r="725" spans="1:26" s="29" customFormat="1" ht="90.75" customHeight="1" x14ac:dyDescent="0.25">
      <c r="A725" s="20">
        <v>563</v>
      </c>
      <c r="B725" s="20" t="s">
        <v>0</v>
      </c>
      <c r="C725" s="20">
        <v>9831</v>
      </c>
      <c r="D725" s="21">
        <v>31</v>
      </c>
      <c r="E725" s="21">
        <v>2</v>
      </c>
      <c r="F725" s="22">
        <v>95</v>
      </c>
      <c r="G725" s="22" t="s">
        <v>198</v>
      </c>
      <c r="H725" s="24">
        <f t="shared" si="102"/>
        <v>12695</v>
      </c>
      <c r="I725" s="25" t="s">
        <v>32</v>
      </c>
      <c r="J725" s="24">
        <f t="shared" si="103"/>
        <v>2539000</v>
      </c>
      <c r="K725" s="20"/>
      <c r="L725" s="20"/>
      <c r="M725" s="20"/>
      <c r="N725" s="20"/>
      <c r="O725" s="24"/>
      <c r="P725" s="24"/>
      <c r="Q725" s="25"/>
      <c r="R725" s="24"/>
      <c r="S725" s="20"/>
      <c r="T725" s="27"/>
      <c r="U725" s="20"/>
      <c r="V725" s="27">
        <f t="shared" si="104"/>
        <v>2539000</v>
      </c>
      <c r="W725" s="26">
        <f t="shared" si="100"/>
        <v>2539000</v>
      </c>
      <c r="X725" s="27">
        <v>0</v>
      </c>
      <c r="Y725" s="78">
        <f t="shared" si="101"/>
        <v>2539000</v>
      </c>
      <c r="Z725" s="49">
        <v>1E-4</v>
      </c>
    </row>
    <row r="726" spans="1:26" s="29" customFormat="1" ht="90.75" customHeight="1" x14ac:dyDescent="0.25">
      <c r="A726" s="20">
        <v>564</v>
      </c>
      <c r="B726" s="20" t="s">
        <v>0</v>
      </c>
      <c r="C726" s="20">
        <v>33196</v>
      </c>
      <c r="D726" s="21">
        <v>44</v>
      </c>
      <c r="E726" s="21">
        <v>3</v>
      </c>
      <c r="F726" s="22">
        <v>61</v>
      </c>
      <c r="G726" s="22" t="s">
        <v>198</v>
      </c>
      <c r="H726" s="24">
        <f t="shared" si="102"/>
        <v>17961</v>
      </c>
      <c r="I726" s="25" t="s">
        <v>22</v>
      </c>
      <c r="J726" s="24">
        <f t="shared" si="103"/>
        <v>9429525</v>
      </c>
      <c r="K726" s="20"/>
      <c r="L726" s="20"/>
      <c r="M726" s="20"/>
      <c r="N726" s="20"/>
      <c r="O726" s="24"/>
      <c r="P726" s="24"/>
      <c r="Q726" s="25"/>
      <c r="R726" s="24"/>
      <c r="S726" s="20"/>
      <c r="T726" s="27"/>
      <c r="U726" s="20"/>
      <c r="V726" s="27">
        <f t="shared" si="104"/>
        <v>9429525</v>
      </c>
      <c r="W726" s="26">
        <f t="shared" si="100"/>
        <v>9429525</v>
      </c>
      <c r="X726" s="27">
        <v>0</v>
      </c>
      <c r="Y726" s="78">
        <f t="shared" si="101"/>
        <v>9429525</v>
      </c>
      <c r="Z726" s="49">
        <v>1E-4</v>
      </c>
    </row>
    <row r="727" spans="1:26" s="29" customFormat="1" ht="90.75" customHeight="1" x14ac:dyDescent="0.25">
      <c r="A727" s="20">
        <v>565</v>
      </c>
      <c r="B727" s="20" t="s">
        <v>0</v>
      </c>
      <c r="C727" s="20">
        <v>33197</v>
      </c>
      <c r="D727" s="21">
        <v>21</v>
      </c>
      <c r="E727" s="21">
        <v>0</v>
      </c>
      <c r="F727" s="22">
        <v>41</v>
      </c>
      <c r="G727" s="22" t="s">
        <v>198</v>
      </c>
      <c r="H727" s="24">
        <f t="shared" si="102"/>
        <v>8441</v>
      </c>
      <c r="I727" s="25" t="s">
        <v>22</v>
      </c>
      <c r="J727" s="24">
        <f t="shared" si="103"/>
        <v>4431525</v>
      </c>
      <c r="K727" s="20"/>
      <c r="L727" s="20"/>
      <c r="M727" s="20"/>
      <c r="N727" s="20"/>
      <c r="O727" s="24"/>
      <c r="P727" s="24"/>
      <c r="Q727" s="25"/>
      <c r="R727" s="24"/>
      <c r="S727" s="20"/>
      <c r="T727" s="27"/>
      <c r="U727" s="20"/>
      <c r="V727" s="27">
        <f t="shared" si="104"/>
        <v>4431525</v>
      </c>
      <c r="W727" s="26">
        <f t="shared" si="100"/>
        <v>4431525</v>
      </c>
      <c r="X727" s="27">
        <v>0</v>
      </c>
      <c r="Y727" s="78">
        <f t="shared" si="101"/>
        <v>4431525</v>
      </c>
      <c r="Z727" s="49">
        <v>1E-4</v>
      </c>
    </row>
    <row r="728" spans="1:26" s="29" customFormat="1" ht="90.75" customHeight="1" x14ac:dyDescent="0.25">
      <c r="A728" s="20">
        <v>566</v>
      </c>
      <c r="B728" s="20" t="s">
        <v>0</v>
      </c>
      <c r="C728" s="20">
        <v>33198</v>
      </c>
      <c r="D728" s="21">
        <v>9</v>
      </c>
      <c r="E728" s="21">
        <v>1</v>
      </c>
      <c r="F728" s="22">
        <v>25</v>
      </c>
      <c r="G728" s="22" t="s">
        <v>198</v>
      </c>
      <c r="H728" s="24">
        <f t="shared" si="102"/>
        <v>3725</v>
      </c>
      <c r="I728" s="25" t="s">
        <v>22</v>
      </c>
      <c r="J728" s="24">
        <f t="shared" si="103"/>
        <v>1955625</v>
      </c>
      <c r="K728" s="20"/>
      <c r="L728" s="20"/>
      <c r="M728" s="20"/>
      <c r="N728" s="20"/>
      <c r="O728" s="24"/>
      <c r="P728" s="24"/>
      <c r="Q728" s="25"/>
      <c r="R728" s="24"/>
      <c r="S728" s="20"/>
      <c r="T728" s="27"/>
      <c r="U728" s="20"/>
      <c r="V728" s="27">
        <f t="shared" si="104"/>
        <v>1955625</v>
      </c>
      <c r="W728" s="26">
        <f t="shared" si="100"/>
        <v>1955625</v>
      </c>
      <c r="X728" s="27">
        <v>0</v>
      </c>
      <c r="Y728" s="78">
        <f t="shared" si="101"/>
        <v>1955625</v>
      </c>
      <c r="Z728" s="49">
        <v>1E-4</v>
      </c>
    </row>
    <row r="729" spans="1:26" s="29" customFormat="1" ht="90.75" customHeight="1" x14ac:dyDescent="0.25">
      <c r="A729" s="20">
        <v>567</v>
      </c>
      <c r="B729" s="20" t="s">
        <v>0</v>
      </c>
      <c r="C729" s="20">
        <v>7210</v>
      </c>
      <c r="D729" s="21">
        <v>12</v>
      </c>
      <c r="E729" s="21">
        <v>0</v>
      </c>
      <c r="F729" s="22">
        <v>3</v>
      </c>
      <c r="G729" s="22" t="s">
        <v>198</v>
      </c>
      <c r="H729" s="24">
        <f t="shared" si="102"/>
        <v>4803</v>
      </c>
      <c r="I729" s="25" t="s">
        <v>22</v>
      </c>
      <c r="J729" s="24">
        <f t="shared" si="103"/>
        <v>2521575</v>
      </c>
      <c r="K729" s="20"/>
      <c r="L729" s="20"/>
      <c r="M729" s="20"/>
      <c r="N729" s="20"/>
      <c r="O729" s="24"/>
      <c r="P729" s="24"/>
      <c r="Q729" s="25"/>
      <c r="R729" s="24"/>
      <c r="S729" s="20"/>
      <c r="T729" s="27"/>
      <c r="U729" s="20"/>
      <c r="V729" s="27">
        <f t="shared" si="104"/>
        <v>2521575</v>
      </c>
      <c r="W729" s="26">
        <f t="shared" si="100"/>
        <v>2521575</v>
      </c>
      <c r="X729" s="27">
        <v>0</v>
      </c>
      <c r="Y729" s="78">
        <f t="shared" si="101"/>
        <v>2521575</v>
      </c>
      <c r="Z729" s="49">
        <v>1E-4</v>
      </c>
    </row>
    <row r="730" spans="1:26" s="29" customFormat="1" ht="90.75" customHeight="1" x14ac:dyDescent="0.25">
      <c r="A730" s="20">
        <v>568</v>
      </c>
      <c r="B730" s="20" t="s">
        <v>0</v>
      </c>
      <c r="C730" s="20">
        <v>9822</v>
      </c>
      <c r="D730" s="21">
        <v>41</v>
      </c>
      <c r="E730" s="21">
        <v>3</v>
      </c>
      <c r="F730" s="22">
        <v>76</v>
      </c>
      <c r="G730" s="22" t="s">
        <v>198</v>
      </c>
      <c r="H730" s="24">
        <f t="shared" si="102"/>
        <v>16776</v>
      </c>
      <c r="I730" s="25" t="s">
        <v>32</v>
      </c>
      <c r="J730" s="24">
        <f t="shared" si="103"/>
        <v>3355200</v>
      </c>
      <c r="K730" s="20"/>
      <c r="L730" s="20"/>
      <c r="M730" s="20"/>
      <c r="N730" s="20"/>
      <c r="O730" s="24"/>
      <c r="P730" s="24"/>
      <c r="Q730" s="25"/>
      <c r="R730" s="24"/>
      <c r="S730" s="20"/>
      <c r="T730" s="27"/>
      <c r="U730" s="20"/>
      <c r="V730" s="27">
        <f t="shared" si="104"/>
        <v>3355200</v>
      </c>
      <c r="W730" s="26">
        <f t="shared" si="100"/>
        <v>3355200</v>
      </c>
      <c r="X730" s="27">
        <v>0</v>
      </c>
      <c r="Y730" s="78">
        <f t="shared" si="101"/>
        <v>3355200</v>
      </c>
      <c r="Z730" s="49">
        <v>1E-4</v>
      </c>
    </row>
    <row r="731" spans="1:26" s="29" customFormat="1" ht="90.75" customHeight="1" x14ac:dyDescent="0.25">
      <c r="A731" s="20">
        <v>569</v>
      </c>
      <c r="B731" s="20" t="s">
        <v>0</v>
      </c>
      <c r="C731" s="20">
        <v>6911</v>
      </c>
      <c r="D731" s="21">
        <v>6</v>
      </c>
      <c r="E731" s="21">
        <v>3</v>
      </c>
      <c r="F731" s="22">
        <v>70</v>
      </c>
      <c r="G731" s="22" t="s">
        <v>198</v>
      </c>
      <c r="H731" s="24">
        <f t="shared" si="102"/>
        <v>2770</v>
      </c>
      <c r="I731" s="25" t="s">
        <v>62</v>
      </c>
      <c r="J731" s="24">
        <f t="shared" si="103"/>
        <v>1385000</v>
      </c>
      <c r="K731" s="20"/>
      <c r="L731" s="20"/>
      <c r="M731" s="20"/>
      <c r="N731" s="20"/>
      <c r="O731" s="24"/>
      <c r="P731" s="24"/>
      <c r="Q731" s="25"/>
      <c r="R731" s="24"/>
      <c r="S731" s="20"/>
      <c r="T731" s="27"/>
      <c r="U731" s="20"/>
      <c r="V731" s="27">
        <f t="shared" si="104"/>
        <v>1385000</v>
      </c>
      <c r="W731" s="26">
        <f t="shared" si="100"/>
        <v>1385000</v>
      </c>
      <c r="X731" s="27">
        <v>0</v>
      </c>
      <c r="Y731" s="78">
        <f t="shared" si="101"/>
        <v>1385000</v>
      </c>
      <c r="Z731" s="49">
        <v>1E-4</v>
      </c>
    </row>
    <row r="732" spans="1:26" s="29" customFormat="1" ht="90.75" customHeight="1" x14ac:dyDescent="0.25">
      <c r="A732" s="20">
        <v>570</v>
      </c>
      <c r="B732" s="20" t="s">
        <v>0</v>
      </c>
      <c r="C732" s="20">
        <v>6912</v>
      </c>
      <c r="D732" s="21">
        <v>5</v>
      </c>
      <c r="E732" s="21">
        <v>1</v>
      </c>
      <c r="F732" s="22">
        <v>87</v>
      </c>
      <c r="G732" s="22" t="s">
        <v>198</v>
      </c>
      <c r="H732" s="24">
        <f t="shared" si="102"/>
        <v>2187</v>
      </c>
      <c r="I732" s="25" t="s">
        <v>22</v>
      </c>
      <c r="J732" s="24">
        <f t="shared" si="103"/>
        <v>1148175</v>
      </c>
      <c r="K732" s="20"/>
      <c r="L732" s="20"/>
      <c r="M732" s="20"/>
      <c r="N732" s="20"/>
      <c r="O732" s="24"/>
      <c r="P732" s="24"/>
      <c r="Q732" s="25"/>
      <c r="R732" s="24"/>
      <c r="S732" s="20"/>
      <c r="T732" s="27"/>
      <c r="U732" s="20"/>
      <c r="V732" s="27">
        <f t="shared" si="104"/>
        <v>1148175</v>
      </c>
      <c r="W732" s="26">
        <f t="shared" si="100"/>
        <v>1148175</v>
      </c>
      <c r="X732" s="27">
        <v>0</v>
      </c>
      <c r="Y732" s="78">
        <f t="shared" si="101"/>
        <v>1148175</v>
      </c>
      <c r="Z732" s="49">
        <v>1E-4</v>
      </c>
    </row>
    <row r="733" spans="1:26" s="29" customFormat="1" ht="90.75" customHeight="1" x14ac:dyDescent="0.25">
      <c r="A733" s="20">
        <v>571</v>
      </c>
      <c r="B733" s="20" t="s">
        <v>0</v>
      </c>
      <c r="C733" s="20">
        <v>6910</v>
      </c>
      <c r="D733" s="21">
        <v>34</v>
      </c>
      <c r="E733" s="21">
        <v>2</v>
      </c>
      <c r="F733" s="22">
        <v>42</v>
      </c>
      <c r="G733" s="22" t="s">
        <v>198</v>
      </c>
      <c r="H733" s="24">
        <f t="shared" si="102"/>
        <v>13842</v>
      </c>
      <c r="I733" s="25" t="s">
        <v>11</v>
      </c>
      <c r="J733" s="24">
        <f t="shared" si="103"/>
        <v>3806550</v>
      </c>
      <c r="K733" s="20"/>
      <c r="L733" s="20"/>
      <c r="M733" s="20"/>
      <c r="N733" s="20"/>
      <c r="O733" s="24"/>
      <c r="P733" s="24"/>
      <c r="Q733" s="25"/>
      <c r="R733" s="24"/>
      <c r="S733" s="20"/>
      <c r="T733" s="27"/>
      <c r="U733" s="20"/>
      <c r="V733" s="27">
        <f t="shared" si="104"/>
        <v>3806550</v>
      </c>
      <c r="W733" s="26">
        <f t="shared" si="100"/>
        <v>3806550</v>
      </c>
      <c r="X733" s="27">
        <v>0</v>
      </c>
      <c r="Y733" s="78">
        <f t="shared" si="101"/>
        <v>3806550</v>
      </c>
      <c r="Z733" s="49">
        <v>1E-4</v>
      </c>
    </row>
    <row r="734" spans="1:26" s="29" customFormat="1" ht="90.75" customHeight="1" x14ac:dyDescent="0.25">
      <c r="A734" s="20">
        <v>572</v>
      </c>
      <c r="B734" s="20" t="s">
        <v>0</v>
      </c>
      <c r="C734" s="20">
        <v>6921</v>
      </c>
      <c r="D734" s="21">
        <v>5</v>
      </c>
      <c r="E734" s="21">
        <v>3</v>
      </c>
      <c r="F734" s="22">
        <v>90</v>
      </c>
      <c r="G734" s="22" t="s">
        <v>198</v>
      </c>
      <c r="H734" s="24">
        <f t="shared" si="102"/>
        <v>2390</v>
      </c>
      <c r="I734" s="25" t="s">
        <v>32</v>
      </c>
      <c r="J734" s="24">
        <f t="shared" si="103"/>
        <v>478000</v>
      </c>
      <c r="K734" s="20"/>
      <c r="L734" s="20"/>
      <c r="M734" s="20"/>
      <c r="N734" s="20"/>
      <c r="O734" s="24"/>
      <c r="P734" s="24"/>
      <c r="Q734" s="25"/>
      <c r="R734" s="24"/>
      <c r="S734" s="20"/>
      <c r="T734" s="27"/>
      <c r="U734" s="20"/>
      <c r="V734" s="27">
        <f t="shared" si="104"/>
        <v>478000</v>
      </c>
      <c r="W734" s="26">
        <f t="shared" si="100"/>
        <v>478000</v>
      </c>
      <c r="X734" s="27">
        <v>0</v>
      </c>
      <c r="Y734" s="78">
        <f t="shared" si="101"/>
        <v>478000</v>
      </c>
      <c r="Z734" s="49">
        <v>1E-4</v>
      </c>
    </row>
    <row r="735" spans="1:26" s="29" customFormat="1" ht="90.75" customHeight="1" x14ac:dyDescent="0.25">
      <c r="A735" s="20">
        <v>573</v>
      </c>
      <c r="B735" s="20" t="s">
        <v>0</v>
      </c>
      <c r="C735" s="20">
        <v>8271</v>
      </c>
      <c r="D735" s="21">
        <v>56</v>
      </c>
      <c r="E735" s="21">
        <v>1</v>
      </c>
      <c r="F735" s="22">
        <v>60</v>
      </c>
      <c r="G735" s="22" t="s">
        <v>198</v>
      </c>
      <c r="H735" s="24">
        <f t="shared" si="102"/>
        <v>22560</v>
      </c>
      <c r="I735" s="25" t="s">
        <v>19</v>
      </c>
      <c r="J735" s="24">
        <f t="shared" si="103"/>
        <v>8460000</v>
      </c>
      <c r="K735" s="20"/>
      <c r="L735" s="20"/>
      <c r="M735" s="20"/>
      <c r="N735" s="20"/>
      <c r="O735" s="24"/>
      <c r="P735" s="24"/>
      <c r="Q735" s="25"/>
      <c r="R735" s="24"/>
      <c r="S735" s="20"/>
      <c r="T735" s="27"/>
      <c r="U735" s="20"/>
      <c r="V735" s="27">
        <f t="shared" si="104"/>
        <v>8460000</v>
      </c>
      <c r="W735" s="26">
        <f t="shared" si="100"/>
        <v>8460000</v>
      </c>
      <c r="X735" s="27">
        <v>0</v>
      </c>
      <c r="Y735" s="78">
        <f t="shared" si="101"/>
        <v>8460000</v>
      </c>
      <c r="Z735" s="49">
        <v>1E-4</v>
      </c>
    </row>
    <row r="736" spans="1:26" s="29" customFormat="1" ht="90.75" customHeight="1" x14ac:dyDescent="0.25">
      <c r="A736" s="20">
        <v>574</v>
      </c>
      <c r="B736" s="20" t="s">
        <v>0</v>
      </c>
      <c r="C736" s="20">
        <v>6909</v>
      </c>
      <c r="D736" s="21">
        <v>24</v>
      </c>
      <c r="E736" s="21">
        <v>0</v>
      </c>
      <c r="F736" s="22">
        <v>26</v>
      </c>
      <c r="G736" s="22" t="s">
        <v>198</v>
      </c>
      <c r="H736" s="24">
        <f t="shared" si="102"/>
        <v>9626</v>
      </c>
      <c r="I736" s="25" t="s">
        <v>19</v>
      </c>
      <c r="J736" s="24">
        <f t="shared" si="103"/>
        <v>3609750</v>
      </c>
      <c r="K736" s="20"/>
      <c r="L736" s="20"/>
      <c r="M736" s="20"/>
      <c r="N736" s="20"/>
      <c r="O736" s="24"/>
      <c r="P736" s="24"/>
      <c r="Q736" s="25"/>
      <c r="R736" s="24"/>
      <c r="S736" s="20"/>
      <c r="T736" s="27"/>
      <c r="U736" s="20"/>
      <c r="V736" s="27">
        <f t="shared" si="104"/>
        <v>3609750</v>
      </c>
      <c r="W736" s="26">
        <f t="shared" si="100"/>
        <v>3609750</v>
      </c>
      <c r="X736" s="27">
        <v>0</v>
      </c>
      <c r="Y736" s="78">
        <f t="shared" si="101"/>
        <v>3609750</v>
      </c>
      <c r="Z736" s="49">
        <v>1E-4</v>
      </c>
    </row>
    <row r="737" spans="1:26" s="29" customFormat="1" ht="90.75" customHeight="1" x14ac:dyDescent="0.25">
      <c r="A737" s="20">
        <v>575</v>
      </c>
      <c r="B737" s="20" t="s">
        <v>0</v>
      </c>
      <c r="C737" s="20">
        <v>6908</v>
      </c>
      <c r="D737" s="21">
        <v>18</v>
      </c>
      <c r="E737" s="21">
        <v>3</v>
      </c>
      <c r="F737" s="22">
        <v>17</v>
      </c>
      <c r="G737" s="22" t="s">
        <v>198</v>
      </c>
      <c r="H737" s="24">
        <f t="shared" si="102"/>
        <v>7517</v>
      </c>
      <c r="I737" s="25" t="s">
        <v>19</v>
      </c>
      <c r="J737" s="24">
        <f t="shared" si="103"/>
        <v>2818875</v>
      </c>
      <c r="K737" s="20"/>
      <c r="L737" s="20"/>
      <c r="M737" s="20"/>
      <c r="N737" s="20"/>
      <c r="O737" s="24"/>
      <c r="P737" s="24"/>
      <c r="Q737" s="25"/>
      <c r="R737" s="24"/>
      <c r="S737" s="20"/>
      <c r="T737" s="27"/>
      <c r="U737" s="20"/>
      <c r="V737" s="27">
        <f t="shared" si="104"/>
        <v>2818875</v>
      </c>
      <c r="W737" s="26">
        <f t="shared" si="100"/>
        <v>2818875</v>
      </c>
      <c r="X737" s="27">
        <v>0</v>
      </c>
      <c r="Y737" s="78">
        <f t="shared" si="101"/>
        <v>2818875</v>
      </c>
      <c r="Z737" s="49">
        <v>1E-4</v>
      </c>
    </row>
    <row r="738" spans="1:26" s="29" customFormat="1" ht="90.75" customHeight="1" x14ac:dyDescent="0.25">
      <c r="A738" s="20">
        <v>576</v>
      </c>
      <c r="B738" s="20" t="s">
        <v>0</v>
      </c>
      <c r="C738" s="20">
        <v>6907</v>
      </c>
      <c r="D738" s="21">
        <v>17</v>
      </c>
      <c r="E738" s="21">
        <v>1</v>
      </c>
      <c r="F738" s="22">
        <v>85</v>
      </c>
      <c r="G738" s="22" t="s">
        <v>198</v>
      </c>
      <c r="H738" s="24">
        <f t="shared" si="102"/>
        <v>6985</v>
      </c>
      <c r="I738" s="25" t="s">
        <v>19</v>
      </c>
      <c r="J738" s="24">
        <f t="shared" si="103"/>
        <v>2619375</v>
      </c>
      <c r="K738" s="20"/>
      <c r="L738" s="20"/>
      <c r="M738" s="20"/>
      <c r="N738" s="20"/>
      <c r="O738" s="24"/>
      <c r="P738" s="24"/>
      <c r="Q738" s="25"/>
      <c r="R738" s="24"/>
      <c r="S738" s="20"/>
      <c r="T738" s="27"/>
      <c r="U738" s="20"/>
      <c r="V738" s="27">
        <f t="shared" si="104"/>
        <v>2619375</v>
      </c>
      <c r="W738" s="26">
        <f t="shared" si="100"/>
        <v>2619375</v>
      </c>
      <c r="X738" s="27">
        <v>0</v>
      </c>
      <c r="Y738" s="78">
        <f t="shared" si="101"/>
        <v>2619375</v>
      </c>
      <c r="Z738" s="49">
        <v>1E-4</v>
      </c>
    </row>
    <row r="739" spans="1:26" s="29" customFormat="1" ht="90.75" customHeight="1" x14ac:dyDescent="0.25">
      <c r="A739" s="20">
        <v>577</v>
      </c>
      <c r="B739" s="20" t="s">
        <v>0</v>
      </c>
      <c r="C739" s="20">
        <v>44585</v>
      </c>
      <c r="D739" s="21">
        <v>5</v>
      </c>
      <c r="E739" s="21">
        <v>3</v>
      </c>
      <c r="F739" s="22">
        <v>76</v>
      </c>
      <c r="G739" s="22" t="s">
        <v>198</v>
      </c>
      <c r="H739" s="24">
        <f t="shared" si="102"/>
        <v>2376</v>
      </c>
      <c r="I739" s="25" t="s">
        <v>22</v>
      </c>
      <c r="J739" s="24">
        <f t="shared" si="103"/>
        <v>1247400</v>
      </c>
      <c r="K739" s="20"/>
      <c r="L739" s="20"/>
      <c r="M739" s="20"/>
      <c r="N739" s="20"/>
      <c r="O739" s="24"/>
      <c r="P739" s="24"/>
      <c r="Q739" s="25"/>
      <c r="R739" s="24"/>
      <c r="S739" s="20"/>
      <c r="T739" s="27"/>
      <c r="U739" s="20"/>
      <c r="V739" s="27">
        <f t="shared" si="104"/>
        <v>1247400</v>
      </c>
      <c r="W739" s="26">
        <f t="shared" si="100"/>
        <v>1247400</v>
      </c>
      <c r="X739" s="27">
        <v>0</v>
      </c>
      <c r="Y739" s="78">
        <f t="shared" si="101"/>
        <v>1247400</v>
      </c>
      <c r="Z739" s="49">
        <v>1E-4</v>
      </c>
    </row>
    <row r="740" spans="1:26" s="29" customFormat="1" ht="90.75" customHeight="1" x14ac:dyDescent="0.25">
      <c r="A740" s="20">
        <v>578</v>
      </c>
      <c r="B740" s="20" t="s">
        <v>0</v>
      </c>
      <c r="C740" s="20">
        <v>6906</v>
      </c>
      <c r="D740" s="21">
        <v>9</v>
      </c>
      <c r="E740" s="21">
        <v>0</v>
      </c>
      <c r="F740" s="22">
        <v>55</v>
      </c>
      <c r="G740" s="22" t="s">
        <v>198</v>
      </c>
      <c r="H740" s="24">
        <f t="shared" si="102"/>
        <v>3655</v>
      </c>
      <c r="I740" s="25" t="s">
        <v>32</v>
      </c>
      <c r="J740" s="24">
        <f t="shared" si="103"/>
        <v>731000</v>
      </c>
      <c r="K740" s="20"/>
      <c r="L740" s="20"/>
      <c r="M740" s="20"/>
      <c r="N740" s="20"/>
      <c r="O740" s="24"/>
      <c r="P740" s="24"/>
      <c r="Q740" s="25"/>
      <c r="R740" s="24"/>
      <c r="S740" s="20"/>
      <c r="T740" s="27"/>
      <c r="U740" s="20"/>
      <c r="V740" s="27">
        <f t="shared" si="104"/>
        <v>731000</v>
      </c>
      <c r="W740" s="26">
        <f t="shared" si="100"/>
        <v>731000</v>
      </c>
      <c r="X740" s="27">
        <v>0</v>
      </c>
      <c r="Y740" s="78">
        <f t="shared" si="101"/>
        <v>731000</v>
      </c>
      <c r="Z740" s="49">
        <v>1E-4</v>
      </c>
    </row>
    <row r="741" spans="1:26" s="29" customFormat="1" ht="90.75" customHeight="1" x14ac:dyDescent="0.25">
      <c r="A741" s="20">
        <v>579</v>
      </c>
      <c r="B741" s="20" t="s">
        <v>0</v>
      </c>
      <c r="C741" s="20">
        <v>7535</v>
      </c>
      <c r="D741" s="21">
        <v>26</v>
      </c>
      <c r="E741" s="21">
        <v>2</v>
      </c>
      <c r="F741" s="22">
        <v>15</v>
      </c>
      <c r="G741" s="22" t="s">
        <v>198</v>
      </c>
      <c r="H741" s="24">
        <f t="shared" si="102"/>
        <v>10615</v>
      </c>
      <c r="I741" s="25" t="s">
        <v>19</v>
      </c>
      <c r="J741" s="24">
        <f t="shared" si="103"/>
        <v>3980625</v>
      </c>
      <c r="K741" s="20"/>
      <c r="L741" s="20"/>
      <c r="M741" s="20"/>
      <c r="N741" s="20"/>
      <c r="O741" s="24"/>
      <c r="P741" s="24"/>
      <c r="Q741" s="25"/>
      <c r="R741" s="24"/>
      <c r="S741" s="20"/>
      <c r="T741" s="27"/>
      <c r="U741" s="20"/>
      <c r="V741" s="27">
        <f t="shared" si="104"/>
        <v>3980625</v>
      </c>
      <c r="W741" s="26">
        <f t="shared" si="100"/>
        <v>3980625</v>
      </c>
      <c r="X741" s="27">
        <v>0</v>
      </c>
      <c r="Y741" s="78">
        <f t="shared" si="101"/>
        <v>3980625</v>
      </c>
      <c r="Z741" s="49">
        <v>1E-4</v>
      </c>
    </row>
    <row r="742" spans="1:26" s="29" customFormat="1" ht="90.75" customHeight="1" x14ac:dyDescent="0.25">
      <c r="A742" s="20">
        <v>580</v>
      </c>
      <c r="B742" s="20" t="s">
        <v>0</v>
      </c>
      <c r="C742" s="20">
        <v>9857</v>
      </c>
      <c r="D742" s="21">
        <v>20</v>
      </c>
      <c r="E742" s="21">
        <v>3</v>
      </c>
      <c r="F742" s="22">
        <v>96</v>
      </c>
      <c r="G742" s="22" t="s">
        <v>198</v>
      </c>
      <c r="H742" s="24">
        <f t="shared" si="102"/>
        <v>8396</v>
      </c>
      <c r="I742" s="25" t="s">
        <v>80</v>
      </c>
      <c r="J742" s="24">
        <f t="shared" si="103"/>
        <v>4827700</v>
      </c>
      <c r="K742" s="20"/>
      <c r="L742" s="20"/>
      <c r="M742" s="20"/>
      <c r="N742" s="20"/>
      <c r="O742" s="24"/>
      <c r="P742" s="24"/>
      <c r="Q742" s="25"/>
      <c r="R742" s="24"/>
      <c r="S742" s="20"/>
      <c r="T742" s="27"/>
      <c r="U742" s="20"/>
      <c r="V742" s="27">
        <f t="shared" si="104"/>
        <v>4827700</v>
      </c>
      <c r="W742" s="26">
        <f t="shared" si="100"/>
        <v>4827700</v>
      </c>
      <c r="X742" s="27">
        <v>0</v>
      </c>
      <c r="Y742" s="78">
        <f t="shared" si="101"/>
        <v>4827700</v>
      </c>
      <c r="Z742" s="49">
        <v>1E-4</v>
      </c>
    </row>
    <row r="743" spans="1:26" s="29" customFormat="1" ht="90.75" customHeight="1" x14ac:dyDescent="0.25">
      <c r="A743" s="20">
        <v>581</v>
      </c>
      <c r="B743" s="20" t="s">
        <v>0</v>
      </c>
      <c r="C743" s="20">
        <v>7470</v>
      </c>
      <c r="D743" s="21">
        <v>5</v>
      </c>
      <c r="E743" s="21">
        <v>2</v>
      </c>
      <c r="F743" s="22">
        <v>1</v>
      </c>
      <c r="G743" s="22" t="s">
        <v>198</v>
      </c>
      <c r="H743" s="24">
        <f t="shared" si="102"/>
        <v>2201</v>
      </c>
      <c r="I743" s="25" t="s">
        <v>22</v>
      </c>
      <c r="J743" s="24">
        <f t="shared" si="103"/>
        <v>1155525</v>
      </c>
      <c r="K743" s="20"/>
      <c r="L743" s="20"/>
      <c r="M743" s="20"/>
      <c r="N743" s="20"/>
      <c r="O743" s="24"/>
      <c r="P743" s="24"/>
      <c r="Q743" s="25"/>
      <c r="R743" s="24"/>
      <c r="S743" s="20"/>
      <c r="T743" s="27"/>
      <c r="U743" s="20"/>
      <c r="V743" s="27">
        <f t="shared" si="104"/>
        <v>1155525</v>
      </c>
      <c r="W743" s="26">
        <f t="shared" si="100"/>
        <v>1155525</v>
      </c>
      <c r="X743" s="27">
        <v>0</v>
      </c>
      <c r="Y743" s="78">
        <f t="shared" si="101"/>
        <v>1155525</v>
      </c>
      <c r="Z743" s="49">
        <v>1E-4</v>
      </c>
    </row>
    <row r="744" spans="1:26" s="29" customFormat="1" ht="90.75" customHeight="1" x14ac:dyDescent="0.25">
      <c r="A744" s="20">
        <v>582</v>
      </c>
      <c r="B744" s="20" t="s">
        <v>0</v>
      </c>
      <c r="C744" s="20">
        <v>7541</v>
      </c>
      <c r="D744" s="21">
        <v>4</v>
      </c>
      <c r="E744" s="21">
        <v>0</v>
      </c>
      <c r="F744" s="22">
        <v>19</v>
      </c>
      <c r="G744" s="22" t="s">
        <v>198</v>
      </c>
      <c r="H744" s="24">
        <f t="shared" si="102"/>
        <v>1619</v>
      </c>
      <c r="I744" s="25" t="s">
        <v>32</v>
      </c>
      <c r="J744" s="24">
        <f t="shared" si="103"/>
        <v>323800</v>
      </c>
      <c r="K744" s="20"/>
      <c r="L744" s="20"/>
      <c r="M744" s="20"/>
      <c r="N744" s="20"/>
      <c r="O744" s="24"/>
      <c r="P744" s="24"/>
      <c r="Q744" s="25"/>
      <c r="R744" s="24"/>
      <c r="S744" s="20"/>
      <c r="T744" s="27"/>
      <c r="U744" s="20"/>
      <c r="V744" s="27">
        <f t="shared" si="104"/>
        <v>323800</v>
      </c>
      <c r="W744" s="26">
        <f t="shared" si="100"/>
        <v>323800</v>
      </c>
      <c r="X744" s="27">
        <v>0</v>
      </c>
      <c r="Y744" s="78">
        <f t="shared" si="101"/>
        <v>323800</v>
      </c>
      <c r="Z744" s="49">
        <v>1E-4</v>
      </c>
    </row>
    <row r="745" spans="1:26" s="29" customFormat="1" ht="90.75" customHeight="1" x14ac:dyDescent="0.25">
      <c r="A745" s="20">
        <v>583</v>
      </c>
      <c r="B745" s="20" t="s">
        <v>0</v>
      </c>
      <c r="C745" s="20">
        <v>32663</v>
      </c>
      <c r="D745" s="21">
        <v>13</v>
      </c>
      <c r="E745" s="21">
        <v>2</v>
      </c>
      <c r="F745" s="22">
        <v>25</v>
      </c>
      <c r="G745" s="22" t="s">
        <v>198</v>
      </c>
      <c r="H745" s="24">
        <f t="shared" si="102"/>
        <v>5425</v>
      </c>
      <c r="I745" s="25">
        <v>200</v>
      </c>
      <c r="J745" s="24">
        <f t="shared" si="103"/>
        <v>1085000</v>
      </c>
      <c r="K745" s="20"/>
      <c r="L745" s="20"/>
      <c r="M745" s="20"/>
      <c r="N745" s="20"/>
      <c r="O745" s="24"/>
      <c r="P745" s="24"/>
      <c r="Q745" s="25"/>
      <c r="R745" s="24"/>
      <c r="S745" s="20"/>
      <c r="T745" s="27"/>
      <c r="U745" s="20"/>
      <c r="V745" s="27">
        <f t="shared" si="104"/>
        <v>1085000</v>
      </c>
      <c r="W745" s="26">
        <f t="shared" si="100"/>
        <v>1085000</v>
      </c>
      <c r="X745" s="27">
        <v>0</v>
      </c>
      <c r="Y745" s="78">
        <f t="shared" si="101"/>
        <v>1085000</v>
      </c>
      <c r="Z745" s="49">
        <v>1E-4</v>
      </c>
    </row>
    <row r="746" spans="1:26" s="29" customFormat="1" ht="90.75" customHeight="1" x14ac:dyDescent="0.25">
      <c r="A746" s="20">
        <v>584</v>
      </c>
      <c r="B746" s="20" t="s">
        <v>0</v>
      </c>
      <c r="C746" s="20">
        <v>7457</v>
      </c>
      <c r="D746" s="21">
        <v>9</v>
      </c>
      <c r="E746" s="21">
        <v>1</v>
      </c>
      <c r="F746" s="22">
        <v>83</v>
      </c>
      <c r="G746" s="22" t="s">
        <v>198</v>
      </c>
      <c r="H746" s="24">
        <f t="shared" si="102"/>
        <v>3783</v>
      </c>
      <c r="I746" s="25" t="s">
        <v>32</v>
      </c>
      <c r="J746" s="24">
        <f t="shared" si="103"/>
        <v>756600</v>
      </c>
      <c r="K746" s="20"/>
      <c r="L746" s="20"/>
      <c r="M746" s="20"/>
      <c r="N746" s="20"/>
      <c r="O746" s="24"/>
      <c r="P746" s="24"/>
      <c r="Q746" s="25"/>
      <c r="R746" s="24"/>
      <c r="S746" s="20"/>
      <c r="T746" s="27"/>
      <c r="U746" s="20"/>
      <c r="V746" s="27">
        <f t="shared" si="104"/>
        <v>756600</v>
      </c>
      <c r="W746" s="26">
        <f t="shared" si="100"/>
        <v>756600</v>
      </c>
      <c r="X746" s="27">
        <v>0</v>
      </c>
      <c r="Y746" s="78">
        <f t="shared" si="101"/>
        <v>756600</v>
      </c>
      <c r="Z746" s="49">
        <v>1E-4</v>
      </c>
    </row>
    <row r="747" spans="1:26" s="29" customFormat="1" ht="90.75" customHeight="1" x14ac:dyDescent="0.25">
      <c r="A747" s="20">
        <v>585</v>
      </c>
      <c r="B747" s="20" t="s">
        <v>0</v>
      </c>
      <c r="C747" s="20">
        <v>7458</v>
      </c>
      <c r="D747" s="21">
        <v>9</v>
      </c>
      <c r="E747" s="21">
        <v>1</v>
      </c>
      <c r="F747" s="22">
        <v>43</v>
      </c>
      <c r="G747" s="22" t="s">
        <v>198</v>
      </c>
      <c r="H747" s="24">
        <f t="shared" si="102"/>
        <v>3743</v>
      </c>
      <c r="I747" s="25" t="s">
        <v>32</v>
      </c>
      <c r="J747" s="24">
        <f t="shared" si="103"/>
        <v>748600</v>
      </c>
      <c r="K747" s="20"/>
      <c r="L747" s="20"/>
      <c r="M747" s="20"/>
      <c r="N747" s="20"/>
      <c r="O747" s="24"/>
      <c r="P747" s="24"/>
      <c r="Q747" s="25"/>
      <c r="R747" s="24"/>
      <c r="S747" s="20"/>
      <c r="T747" s="27"/>
      <c r="U747" s="20"/>
      <c r="V747" s="27">
        <f t="shared" si="104"/>
        <v>748600</v>
      </c>
      <c r="W747" s="26">
        <f t="shared" si="100"/>
        <v>748600</v>
      </c>
      <c r="X747" s="27">
        <v>0</v>
      </c>
      <c r="Y747" s="78">
        <f t="shared" si="101"/>
        <v>748600</v>
      </c>
      <c r="Z747" s="49">
        <v>1E-4</v>
      </c>
    </row>
    <row r="748" spans="1:26" s="29" customFormat="1" ht="90.75" customHeight="1" x14ac:dyDescent="0.25">
      <c r="A748" s="20">
        <v>586</v>
      </c>
      <c r="B748" s="20" t="s">
        <v>0</v>
      </c>
      <c r="C748" s="20">
        <v>7459</v>
      </c>
      <c r="D748" s="21">
        <v>11</v>
      </c>
      <c r="E748" s="21">
        <v>1</v>
      </c>
      <c r="F748" s="22">
        <v>25</v>
      </c>
      <c r="G748" s="22" t="s">
        <v>198</v>
      </c>
      <c r="H748" s="24">
        <f t="shared" si="102"/>
        <v>4525</v>
      </c>
      <c r="I748" s="25" t="s">
        <v>32</v>
      </c>
      <c r="J748" s="24">
        <f t="shared" si="103"/>
        <v>905000</v>
      </c>
      <c r="K748" s="20"/>
      <c r="L748" s="20"/>
      <c r="M748" s="20"/>
      <c r="N748" s="20"/>
      <c r="O748" s="24"/>
      <c r="P748" s="24"/>
      <c r="Q748" s="25"/>
      <c r="R748" s="24"/>
      <c r="S748" s="20"/>
      <c r="T748" s="27"/>
      <c r="U748" s="20"/>
      <c r="V748" s="27">
        <f t="shared" si="104"/>
        <v>905000</v>
      </c>
      <c r="W748" s="26">
        <f t="shared" si="100"/>
        <v>905000</v>
      </c>
      <c r="X748" s="27">
        <v>0</v>
      </c>
      <c r="Y748" s="78">
        <f t="shared" si="101"/>
        <v>905000</v>
      </c>
      <c r="Z748" s="49">
        <v>1E-4</v>
      </c>
    </row>
    <row r="749" spans="1:26" s="29" customFormat="1" ht="90.75" customHeight="1" x14ac:dyDescent="0.25">
      <c r="A749" s="20">
        <v>587</v>
      </c>
      <c r="B749" s="20" t="s">
        <v>0</v>
      </c>
      <c r="C749" s="20">
        <v>7460</v>
      </c>
      <c r="D749" s="21">
        <v>6</v>
      </c>
      <c r="E749" s="21">
        <v>1</v>
      </c>
      <c r="F749" s="22">
        <v>68</v>
      </c>
      <c r="G749" s="22" t="s">
        <v>198</v>
      </c>
      <c r="H749" s="24">
        <f t="shared" si="102"/>
        <v>2568</v>
      </c>
      <c r="I749" s="25" t="s">
        <v>75</v>
      </c>
      <c r="J749" s="24">
        <f t="shared" si="103"/>
        <v>1605000</v>
      </c>
      <c r="K749" s="20"/>
      <c r="L749" s="20"/>
      <c r="M749" s="20"/>
      <c r="N749" s="20"/>
      <c r="O749" s="24"/>
      <c r="P749" s="24"/>
      <c r="Q749" s="25"/>
      <c r="R749" s="24"/>
      <c r="S749" s="20"/>
      <c r="T749" s="27"/>
      <c r="U749" s="20"/>
      <c r="V749" s="27">
        <f t="shared" si="104"/>
        <v>1605000</v>
      </c>
      <c r="W749" s="26">
        <f t="shared" si="100"/>
        <v>1605000</v>
      </c>
      <c r="X749" s="27">
        <v>0</v>
      </c>
      <c r="Y749" s="78">
        <f t="shared" si="101"/>
        <v>1605000</v>
      </c>
      <c r="Z749" s="49">
        <v>1E-4</v>
      </c>
    </row>
    <row r="750" spans="1:26" s="29" customFormat="1" ht="90.75" customHeight="1" x14ac:dyDescent="0.25">
      <c r="A750" s="20">
        <v>588</v>
      </c>
      <c r="B750" s="20" t="s">
        <v>0</v>
      </c>
      <c r="C750" s="20">
        <v>7527</v>
      </c>
      <c r="D750" s="21">
        <v>7</v>
      </c>
      <c r="E750" s="21">
        <v>3</v>
      </c>
      <c r="F750" s="22">
        <v>40</v>
      </c>
      <c r="G750" s="22" t="s">
        <v>198</v>
      </c>
      <c r="H750" s="24">
        <f t="shared" si="102"/>
        <v>3140</v>
      </c>
      <c r="I750" s="25" t="s">
        <v>7</v>
      </c>
      <c r="J750" s="24">
        <f t="shared" si="103"/>
        <v>1099000</v>
      </c>
      <c r="K750" s="20"/>
      <c r="L750" s="20"/>
      <c r="M750" s="20"/>
      <c r="N750" s="20"/>
      <c r="O750" s="24"/>
      <c r="P750" s="24"/>
      <c r="Q750" s="25"/>
      <c r="R750" s="24"/>
      <c r="S750" s="20"/>
      <c r="T750" s="27"/>
      <c r="U750" s="20"/>
      <c r="V750" s="27">
        <f t="shared" si="104"/>
        <v>1099000</v>
      </c>
      <c r="W750" s="26">
        <f t="shared" si="100"/>
        <v>1099000</v>
      </c>
      <c r="X750" s="27">
        <v>0</v>
      </c>
      <c r="Y750" s="78">
        <f t="shared" si="101"/>
        <v>1099000</v>
      </c>
      <c r="Z750" s="49">
        <v>1E-4</v>
      </c>
    </row>
    <row r="751" spans="1:26" s="29" customFormat="1" ht="90.75" customHeight="1" x14ac:dyDescent="0.25">
      <c r="A751" s="20">
        <v>589</v>
      </c>
      <c r="B751" s="20" t="s">
        <v>0</v>
      </c>
      <c r="C751" s="20">
        <v>7528</v>
      </c>
      <c r="D751" s="21">
        <v>5</v>
      </c>
      <c r="E751" s="21">
        <v>2</v>
      </c>
      <c r="F751" s="22">
        <v>79</v>
      </c>
      <c r="G751" s="22" t="s">
        <v>198</v>
      </c>
      <c r="H751" s="24">
        <f t="shared" si="102"/>
        <v>2279</v>
      </c>
      <c r="I751" s="25" t="s">
        <v>75</v>
      </c>
      <c r="J751" s="24">
        <f t="shared" si="103"/>
        <v>1424375</v>
      </c>
      <c r="K751" s="20"/>
      <c r="L751" s="20"/>
      <c r="M751" s="20"/>
      <c r="N751" s="20"/>
      <c r="O751" s="24"/>
      <c r="P751" s="24"/>
      <c r="Q751" s="25"/>
      <c r="R751" s="24"/>
      <c r="S751" s="20"/>
      <c r="T751" s="27"/>
      <c r="U751" s="20"/>
      <c r="V751" s="27">
        <f t="shared" si="104"/>
        <v>1424375</v>
      </c>
      <c r="W751" s="26">
        <f t="shared" si="100"/>
        <v>1424375</v>
      </c>
      <c r="X751" s="27">
        <v>0</v>
      </c>
      <c r="Y751" s="78">
        <f t="shared" si="101"/>
        <v>1424375</v>
      </c>
      <c r="Z751" s="49">
        <v>1E-4</v>
      </c>
    </row>
    <row r="752" spans="1:26" s="29" customFormat="1" ht="90.75" customHeight="1" x14ac:dyDescent="0.25">
      <c r="A752" s="20">
        <v>590</v>
      </c>
      <c r="B752" s="20" t="s">
        <v>0</v>
      </c>
      <c r="C752" s="20">
        <v>9862</v>
      </c>
      <c r="D752" s="21">
        <v>15</v>
      </c>
      <c r="E752" s="21">
        <v>1</v>
      </c>
      <c r="F752" s="22">
        <v>87</v>
      </c>
      <c r="G752" s="22" t="s">
        <v>198</v>
      </c>
      <c r="H752" s="24">
        <f t="shared" si="102"/>
        <v>6187</v>
      </c>
      <c r="I752" s="25" t="s">
        <v>37</v>
      </c>
      <c r="J752" s="24">
        <f t="shared" si="103"/>
        <v>2629475</v>
      </c>
      <c r="K752" s="20"/>
      <c r="L752" s="20"/>
      <c r="M752" s="20"/>
      <c r="N752" s="20"/>
      <c r="O752" s="24"/>
      <c r="P752" s="24"/>
      <c r="Q752" s="25"/>
      <c r="R752" s="24"/>
      <c r="S752" s="20"/>
      <c r="T752" s="27"/>
      <c r="U752" s="20"/>
      <c r="V752" s="27">
        <f t="shared" si="104"/>
        <v>2629475</v>
      </c>
      <c r="W752" s="26">
        <f t="shared" si="100"/>
        <v>2629475</v>
      </c>
      <c r="X752" s="27">
        <v>0</v>
      </c>
      <c r="Y752" s="78">
        <f t="shared" si="101"/>
        <v>2629475</v>
      </c>
      <c r="Z752" s="49">
        <v>1E-4</v>
      </c>
    </row>
    <row r="753" spans="1:26" s="29" customFormat="1" ht="90.75" customHeight="1" x14ac:dyDescent="0.25">
      <c r="A753" s="20">
        <v>591</v>
      </c>
      <c r="B753" s="20" t="s">
        <v>0</v>
      </c>
      <c r="C753" s="20">
        <v>6927</v>
      </c>
      <c r="D753" s="21">
        <v>27</v>
      </c>
      <c r="E753" s="21">
        <v>2</v>
      </c>
      <c r="F753" s="22">
        <v>85</v>
      </c>
      <c r="G753" s="22" t="s">
        <v>198</v>
      </c>
      <c r="H753" s="24">
        <f t="shared" si="102"/>
        <v>11085</v>
      </c>
      <c r="I753" s="25" t="s">
        <v>19</v>
      </c>
      <c r="J753" s="24">
        <f t="shared" si="103"/>
        <v>4156875</v>
      </c>
      <c r="K753" s="20"/>
      <c r="L753" s="20"/>
      <c r="M753" s="20"/>
      <c r="N753" s="20"/>
      <c r="O753" s="24"/>
      <c r="P753" s="24"/>
      <c r="Q753" s="25"/>
      <c r="R753" s="24"/>
      <c r="S753" s="20"/>
      <c r="T753" s="27"/>
      <c r="U753" s="20"/>
      <c r="V753" s="27">
        <f t="shared" si="104"/>
        <v>4156875</v>
      </c>
      <c r="W753" s="26">
        <f t="shared" si="100"/>
        <v>4156875</v>
      </c>
      <c r="X753" s="27">
        <v>0</v>
      </c>
      <c r="Y753" s="78">
        <f t="shared" si="101"/>
        <v>4156875</v>
      </c>
      <c r="Z753" s="49">
        <v>1E-4</v>
      </c>
    </row>
    <row r="754" spans="1:26" s="29" customFormat="1" ht="90.75" customHeight="1" x14ac:dyDescent="0.25">
      <c r="A754" s="20">
        <v>592</v>
      </c>
      <c r="B754" s="20" t="s">
        <v>0</v>
      </c>
      <c r="C754" s="20">
        <v>6920</v>
      </c>
      <c r="D754" s="21">
        <v>15</v>
      </c>
      <c r="E754" s="21">
        <v>2</v>
      </c>
      <c r="F754" s="22">
        <v>84</v>
      </c>
      <c r="G754" s="22" t="s">
        <v>198</v>
      </c>
      <c r="H754" s="24">
        <f t="shared" si="102"/>
        <v>6284</v>
      </c>
      <c r="I754" s="25" t="s">
        <v>19</v>
      </c>
      <c r="J754" s="24">
        <f t="shared" si="103"/>
        <v>2356500</v>
      </c>
      <c r="K754" s="20"/>
      <c r="L754" s="20"/>
      <c r="M754" s="20"/>
      <c r="N754" s="20"/>
      <c r="O754" s="24"/>
      <c r="P754" s="24"/>
      <c r="Q754" s="25"/>
      <c r="R754" s="24"/>
      <c r="S754" s="20"/>
      <c r="T754" s="27"/>
      <c r="U754" s="20"/>
      <c r="V754" s="27">
        <f t="shared" si="104"/>
        <v>2356500</v>
      </c>
      <c r="W754" s="26">
        <f t="shared" si="100"/>
        <v>2356500</v>
      </c>
      <c r="X754" s="27">
        <v>0</v>
      </c>
      <c r="Y754" s="78">
        <f t="shared" si="101"/>
        <v>2356500</v>
      </c>
      <c r="Z754" s="49">
        <v>1E-4</v>
      </c>
    </row>
    <row r="755" spans="1:26" s="29" customFormat="1" ht="90.75" customHeight="1" x14ac:dyDescent="0.25">
      <c r="A755" s="20">
        <v>593</v>
      </c>
      <c r="B755" s="20" t="s">
        <v>0</v>
      </c>
      <c r="C755" s="20">
        <v>7534</v>
      </c>
      <c r="D755" s="21">
        <v>28</v>
      </c>
      <c r="E755" s="21">
        <v>2</v>
      </c>
      <c r="F755" s="22">
        <v>98</v>
      </c>
      <c r="G755" s="22" t="s">
        <v>198</v>
      </c>
      <c r="H755" s="24">
        <f t="shared" si="102"/>
        <v>11498</v>
      </c>
      <c r="I755" s="25" t="s">
        <v>19</v>
      </c>
      <c r="J755" s="24">
        <f t="shared" si="103"/>
        <v>4311750</v>
      </c>
      <c r="K755" s="20"/>
      <c r="L755" s="20"/>
      <c r="M755" s="20"/>
      <c r="N755" s="20"/>
      <c r="O755" s="24"/>
      <c r="P755" s="24"/>
      <c r="Q755" s="25"/>
      <c r="R755" s="24"/>
      <c r="S755" s="20"/>
      <c r="T755" s="27"/>
      <c r="U755" s="20"/>
      <c r="V755" s="27">
        <f t="shared" si="104"/>
        <v>4311750</v>
      </c>
      <c r="W755" s="26">
        <f t="shared" si="100"/>
        <v>4311750</v>
      </c>
      <c r="X755" s="27">
        <v>0</v>
      </c>
      <c r="Y755" s="78">
        <f t="shared" si="101"/>
        <v>4311750</v>
      </c>
      <c r="Z755" s="49">
        <v>1E-4</v>
      </c>
    </row>
    <row r="756" spans="1:26" s="29" customFormat="1" ht="90.75" customHeight="1" x14ac:dyDescent="0.25">
      <c r="A756" s="20">
        <v>594</v>
      </c>
      <c r="B756" s="20" t="s">
        <v>0</v>
      </c>
      <c r="C756" s="20">
        <v>44581</v>
      </c>
      <c r="D756" s="21">
        <v>8</v>
      </c>
      <c r="E756" s="21">
        <v>3</v>
      </c>
      <c r="F756" s="22">
        <v>69</v>
      </c>
      <c r="G756" s="22" t="s">
        <v>198</v>
      </c>
      <c r="H756" s="24">
        <f t="shared" si="102"/>
        <v>3569</v>
      </c>
      <c r="I756" s="25" t="s">
        <v>75</v>
      </c>
      <c r="J756" s="24">
        <f t="shared" si="103"/>
        <v>2230625</v>
      </c>
      <c r="K756" s="20"/>
      <c r="L756" s="20"/>
      <c r="M756" s="20"/>
      <c r="N756" s="20"/>
      <c r="O756" s="24"/>
      <c r="P756" s="24"/>
      <c r="Q756" s="25"/>
      <c r="R756" s="24"/>
      <c r="S756" s="20"/>
      <c r="T756" s="27"/>
      <c r="U756" s="20"/>
      <c r="V756" s="27">
        <f t="shared" si="104"/>
        <v>2230625</v>
      </c>
      <c r="W756" s="26">
        <f t="shared" si="100"/>
        <v>2230625</v>
      </c>
      <c r="X756" s="27">
        <v>0</v>
      </c>
      <c r="Y756" s="78">
        <f t="shared" si="101"/>
        <v>2230625</v>
      </c>
      <c r="Z756" s="49">
        <v>1E-4</v>
      </c>
    </row>
    <row r="757" spans="1:26" s="29" customFormat="1" ht="90.75" customHeight="1" x14ac:dyDescent="0.25">
      <c r="A757" s="20">
        <v>595</v>
      </c>
      <c r="B757" s="20" t="s">
        <v>0</v>
      </c>
      <c r="C757" s="20">
        <v>6905</v>
      </c>
      <c r="D757" s="21">
        <v>30</v>
      </c>
      <c r="E757" s="21">
        <v>1</v>
      </c>
      <c r="F757" s="22">
        <v>92</v>
      </c>
      <c r="G757" s="22" t="s">
        <v>198</v>
      </c>
      <c r="H757" s="24">
        <f t="shared" si="102"/>
        <v>12192</v>
      </c>
      <c r="I757" s="25" t="s">
        <v>19</v>
      </c>
      <c r="J757" s="24">
        <f t="shared" si="103"/>
        <v>4572000</v>
      </c>
      <c r="K757" s="20"/>
      <c r="L757" s="20"/>
      <c r="M757" s="20"/>
      <c r="N757" s="20"/>
      <c r="O757" s="24"/>
      <c r="P757" s="24"/>
      <c r="Q757" s="25"/>
      <c r="R757" s="24"/>
      <c r="S757" s="20"/>
      <c r="T757" s="27"/>
      <c r="U757" s="20"/>
      <c r="V757" s="27">
        <f t="shared" si="104"/>
        <v>4572000</v>
      </c>
      <c r="W757" s="26">
        <f t="shared" si="100"/>
        <v>4572000</v>
      </c>
      <c r="X757" s="27">
        <v>0</v>
      </c>
      <c r="Y757" s="78">
        <f t="shared" si="101"/>
        <v>4572000</v>
      </c>
      <c r="Z757" s="49">
        <v>1E-4</v>
      </c>
    </row>
    <row r="758" spans="1:26" s="29" customFormat="1" ht="90.75" customHeight="1" x14ac:dyDescent="0.25">
      <c r="A758" s="20">
        <v>596</v>
      </c>
      <c r="B758" s="20" t="s">
        <v>0</v>
      </c>
      <c r="C758" s="20">
        <v>7209</v>
      </c>
      <c r="D758" s="21">
        <v>26</v>
      </c>
      <c r="E758" s="21">
        <v>0</v>
      </c>
      <c r="F758" s="22">
        <v>97</v>
      </c>
      <c r="G758" s="22" t="s">
        <v>198</v>
      </c>
      <c r="H758" s="24">
        <f t="shared" si="102"/>
        <v>10497</v>
      </c>
      <c r="I758" s="25" t="s">
        <v>19</v>
      </c>
      <c r="J758" s="24">
        <f t="shared" si="103"/>
        <v>3936375</v>
      </c>
      <c r="K758" s="20"/>
      <c r="L758" s="20"/>
      <c r="M758" s="20"/>
      <c r="N758" s="20"/>
      <c r="O758" s="24"/>
      <c r="P758" s="24"/>
      <c r="Q758" s="25"/>
      <c r="R758" s="24"/>
      <c r="S758" s="20"/>
      <c r="T758" s="27"/>
      <c r="U758" s="20"/>
      <c r="V758" s="27">
        <f t="shared" si="104"/>
        <v>3936375</v>
      </c>
      <c r="W758" s="26">
        <f t="shared" si="100"/>
        <v>3936375</v>
      </c>
      <c r="X758" s="27">
        <v>0</v>
      </c>
      <c r="Y758" s="78">
        <f t="shared" si="101"/>
        <v>3936375</v>
      </c>
      <c r="Z758" s="49">
        <v>1E-4</v>
      </c>
    </row>
    <row r="759" spans="1:26" s="29" customFormat="1" ht="90.75" customHeight="1" x14ac:dyDescent="0.25">
      <c r="A759" s="20">
        <v>597</v>
      </c>
      <c r="B759" s="20" t="s">
        <v>0</v>
      </c>
      <c r="C759" s="20">
        <v>8270</v>
      </c>
      <c r="D759" s="21">
        <v>21</v>
      </c>
      <c r="E759" s="21">
        <v>1</v>
      </c>
      <c r="F759" s="22">
        <v>56</v>
      </c>
      <c r="G759" s="22" t="s">
        <v>198</v>
      </c>
      <c r="H759" s="24">
        <f t="shared" si="102"/>
        <v>8556</v>
      </c>
      <c r="I759" s="25" t="s">
        <v>11</v>
      </c>
      <c r="J759" s="24">
        <f t="shared" si="103"/>
        <v>2352900</v>
      </c>
      <c r="K759" s="20"/>
      <c r="L759" s="20"/>
      <c r="M759" s="20"/>
      <c r="N759" s="20"/>
      <c r="O759" s="24"/>
      <c r="P759" s="24"/>
      <c r="Q759" s="25"/>
      <c r="R759" s="24"/>
      <c r="S759" s="20"/>
      <c r="T759" s="27"/>
      <c r="U759" s="20"/>
      <c r="V759" s="27">
        <f t="shared" si="104"/>
        <v>2352900</v>
      </c>
      <c r="W759" s="26">
        <f t="shared" si="100"/>
        <v>2352900</v>
      </c>
      <c r="X759" s="27">
        <v>0</v>
      </c>
      <c r="Y759" s="78">
        <f t="shared" si="101"/>
        <v>2352900</v>
      </c>
      <c r="Z759" s="49">
        <v>1E-4</v>
      </c>
    </row>
    <row r="760" spans="1:26" s="29" customFormat="1" ht="90.75" customHeight="1" x14ac:dyDescent="0.25">
      <c r="A760" s="20">
        <v>598</v>
      </c>
      <c r="B760" s="20" t="s">
        <v>0</v>
      </c>
      <c r="C760" s="20">
        <v>8213</v>
      </c>
      <c r="D760" s="21">
        <v>13</v>
      </c>
      <c r="E760" s="21">
        <v>1</v>
      </c>
      <c r="F760" s="22">
        <v>40</v>
      </c>
      <c r="G760" s="22" t="s">
        <v>198</v>
      </c>
      <c r="H760" s="24">
        <f t="shared" si="102"/>
        <v>5340</v>
      </c>
      <c r="I760" s="25" t="s">
        <v>32</v>
      </c>
      <c r="J760" s="24">
        <f t="shared" si="103"/>
        <v>1068000</v>
      </c>
      <c r="K760" s="20"/>
      <c r="L760" s="20"/>
      <c r="M760" s="20"/>
      <c r="N760" s="20"/>
      <c r="O760" s="24"/>
      <c r="P760" s="24"/>
      <c r="Q760" s="25"/>
      <c r="R760" s="24"/>
      <c r="S760" s="20"/>
      <c r="T760" s="27"/>
      <c r="U760" s="20"/>
      <c r="V760" s="27">
        <f t="shared" si="104"/>
        <v>1068000</v>
      </c>
      <c r="W760" s="26">
        <f t="shared" si="100"/>
        <v>1068000</v>
      </c>
      <c r="X760" s="27">
        <v>0</v>
      </c>
      <c r="Y760" s="78">
        <f t="shared" si="101"/>
        <v>1068000</v>
      </c>
      <c r="Z760" s="49">
        <v>1E-4</v>
      </c>
    </row>
    <row r="761" spans="1:26" s="29" customFormat="1" ht="90.75" customHeight="1" x14ac:dyDescent="0.25">
      <c r="A761" s="20">
        <v>599</v>
      </c>
      <c r="B761" s="20" t="s">
        <v>0</v>
      </c>
      <c r="C761" s="20">
        <v>44584</v>
      </c>
      <c r="D761" s="21">
        <v>3</v>
      </c>
      <c r="E761" s="21">
        <v>3</v>
      </c>
      <c r="F761" s="22">
        <v>4</v>
      </c>
      <c r="G761" s="22" t="s">
        <v>198</v>
      </c>
      <c r="H761" s="24">
        <f t="shared" si="102"/>
        <v>1504</v>
      </c>
      <c r="I761" s="25" t="s">
        <v>80</v>
      </c>
      <c r="J761" s="24">
        <f t="shared" si="103"/>
        <v>864800</v>
      </c>
      <c r="K761" s="20"/>
      <c r="L761" s="20"/>
      <c r="M761" s="20"/>
      <c r="N761" s="20"/>
      <c r="O761" s="24"/>
      <c r="P761" s="24"/>
      <c r="Q761" s="25"/>
      <c r="R761" s="24"/>
      <c r="S761" s="20"/>
      <c r="T761" s="27"/>
      <c r="U761" s="20"/>
      <c r="V761" s="27">
        <f t="shared" si="104"/>
        <v>864800</v>
      </c>
      <c r="W761" s="26">
        <f t="shared" si="100"/>
        <v>864800</v>
      </c>
      <c r="X761" s="27">
        <v>0</v>
      </c>
      <c r="Y761" s="78">
        <f t="shared" si="101"/>
        <v>864800</v>
      </c>
      <c r="Z761" s="49">
        <v>1E-4</v>
      </c>
    </row>
    <row r="762" spans="1:26" s="29" customFormat="1" ht="90.75" customHeight="1" x14ac:dyDescent="0.25">
      <c r="A762" s="20">
        <v>600</v>
      </c>
      <c r="B762" s="20" t="s">
        <v>0</v>
      </c>
      <c r="C762" s="20">
        <v>7204</v>
      </c>
      <c r="D762" s="21">
        <v>4</v>
      </c>
      <c r="E762" s="21">
        <v>3</v>
      </c>
      <c r="F762" s="22">
        <v>9</v>
      </c>
      <c r="G762" s="22" t="s">
        <v>198</v>
      </c>
      <c r="H762" s="24">
        <f t="shared" si="102"/>
        <v>1909</v>
      </c>
      <c r="I762" s="25">
        <v>350</v>
      </c>
      <c r="J762" s="24">
        <f t="shared" si="103"/>
        <v>668150</v>
      </c>
      <c r="K762" s="20"/>
      <c r="L762" s="20"/>
      <c r="M762" s="20"/>
      <c r="N762" s="20"/>
      <c r="O762" s="24"/>
      <c r="P762" s="24"/>
      <c r="Q762" s="25"/>
      <c r="R762" s="24"/>
      <c r="S762" s="20"/>
      <c r="T762" s="27"/>
      <c r="U762" s="20"/>
      <c r="V762" s="27">
        <f t="shared" si="104"/>
        <v>668150</v>
      </c>
      <c r="W762" s="26">
        <f t="shared" si="100"/>
        <v>668150</v>
      </c>
      <c r="X762" s="27">
        <v>0</v>
      </c>
      <c r="Y762" s="78">
        <f t="shared" si="101"/>
        <v>668150</v>
      </c>
      <c r="Z762" s="49">
        <v>1E-4</v>
      </c>
    </row>
    <row r="763" spans="1:26" s="29" customFormat="1" ht="90.75" customHeight="1" x14ac:dyDescent="0.25">
      <c r="A763" s="20">
        <v>601</v>
      </c>
      <c r="B763" s="20" t="s">
        <v>0</v>
      </c>
      <c r="C763" s="20">
        <v>7205</v>
      </c>
      <c r="D763" s="21">
        <v>15</v>
      </c>
      <c r="E763" s="21">
        <v>3</v>
      </c>
      <c r="F763" s="22">
        <v>23</v>
      </c>
      <c r="G763" s="22" t="s">
        <v>198</v>
      </c>
      <c r="H763" s="24">
        <f t="shared" si="102"/>
        <v>6323</v>
      </c>
      <c r="I763" s="25" t="s">
        <v>7</v>
      </c>
      <c r="J763" s="24">
        <f t="shared" si="103"/>
        <v>2213050</v>
      </c>
      <c r="K763" s="20"/>
      <c r="L763" s="20"/>
      <c r="M763" s="20"/>
      <c r="N763" s="20"/>
      <c r="O763" s="24"/>
      <c r="P763" s="24"/>
      <c r="Q763" s="25"/>
      <c r="R763" s="24"/>
      <c r="S763" s="20"/>
      <c r="T763" s="27"/>
      <c r="U763" s="20"/>
      <c r="V763" s="27">
        <f t="shared" si="104"/>
        <v>2213050</v>
      </c>
      <c r="W763" s="26">
        <f t="shared" si="100"/>
        <v>2213050</v>
      </c>
      <c r="X763" s="27">
        <v>0</v>
      </c>
      <c r="Y763" s="78">
        <f t="shared" si="101"/>
        <v>2213050</v>
      </c>
      <c r="Z763" s="49">
        <v>1E-4</v>
      </c>
    </row>
    <row r="764" spans="1:26" s="29" customFormat="1" ht="90.75" customHeight="1" x14ac:dyDescent="0.25">
      <c r="A764" s="20">
        <v>602</v>
      </c>
      <c r="B764" s="20" t="s">
        <v>0</v>
      </c>
      <c r="C764" s="20">
        <v>44582</v>
      </c>
      <c r="D764" s="21">
        <v>5</v>
      </c>
      <c r="E764" s="21">
        <v>0</v>
      </c>
      <c r="F764" s="22">
        <v>4</v>
      </c>
      <c r="G764" s="22" t="s">
        <v>198</v>
      </c>
      <c r="H764" s="24">
        <f t="shared" si="102"/>
        <v>2004</v>
      </c>
      <c r="I764" s="25" t="s">
        <v>37</v>
      </c>
      <c r="J764" s="24">
        <f t="shared" si="103"/>
        <v>851700</v>
      </c>
      <c r="K764" s="20"/>
      <c r="L764" s="20"/>
      <c r="M764" s="20"/>
      <c r="N764" s="20"/>
      <c r="O764" s="24"/>
      <c r="P764" s="24"/>
      <c r="Q764" s="25"/>
      <c r="R764" s="24"/>
      <c r="S764" s="20"/>
      <c r="T764" s="27"/>
      <c r="U764" s="20"/>
      <c r="V764" s="27">
        <f t="shared" si="104"/>
        <v>851700</v>
      </c>
      <c r="W764" s="26">
        <f t="shared" si="100"/>
        <v>851700</v>
      </c>
      <c r="X764" s="27">
        <v>0</v>
      </c>
      <c r="Y764" s="78">
        <f t="shared" si="101"/>
        <v>851700</v>
      </c>
      <c r="Z764" s="49">
        <v>1E-4</v>
      </c>
    </row>
    <row r="765" spans="1:26" s="29" customFormat="1" ht="90.75" customHeight="1" x14ac:dyDescent="0.25">
      <c r="A765" s="20">
        <v>603</v>
      </c>
      <c r="B765" s="20" t="s">
        <v>0</v>
      </c>
      <c r="C765" s="20">
        <v>9816</v>
      </c>
      <c r="D765" s="21">
        <v>23</v>
      </c>
      <c r="E765" s="21">
        <v>3</v>
      </c>
      <c r="F765" s="22">
        <v>33</v>
      </c>
      <c r="G765" s="22" t="s">
        <v>198</v>
      </c>
      <c r="H765" s="24">
        <f t="shared" si="102"/>
        <v>9533</v>
      </c>
      <c r="I765" s="25" t="s">
        <v>32</v>
      </c>
      <c r="J765" s="24">
        <f t="shared" si="103"/>
        <v>1906600</v>
      </c>
      <c r="K765" s="20"/>
      <c r="L765" s="20"/>
      <c r="M765" s="20"/>
      <c r="N765" s="20"/>
      <c r="O765" s="24"/>
      <c r="P765" s="24"/>
      <c r="Q765" s="25"/>
      <c r="R765" s="24"/>
      <c r="S765" s="20"/>
      <c r="T765" s="27"/>
      <c r="U765" s="20"/>
      <c r="V765" s="27">
        <f t="shared" si="104"/>
        <v>1906600</v>
      </c>
      <c r="W765" s="26">
        <f t="shared" si="100"/>
        <v>1906600</v>
      </c>
      <c r="X765" s="27">
        <v>0</v>
      </c>
      <c r="Y765" s="78">
        <f t="shared" si="101"/>
        <v>1906600</v>
      </c>
      <c r="Z765" s="49">
        <v>1E-4</v>
      </c>
    </row>
    <row r="766" spans="1:26" s="29" customFormat="1" ht="90.75" customHeight="1" x14ac:dyDescent="0.25">
      <c r="A766" s="20">
        <v>604</v>
      </c>
      <c r="B766" s="20" t="s">
        <v>0</v>
      </c>
      <c r="C766" s="20">
        <v>7203</v>
      </c>
      <c r="D766" s="21">
        <v>5</v>
      </c>
      <c r="E766" s="21">
        <v>0</v>
      </c>
      <c r="F766" s="22">
        <v>9</v>
      </c>
      <c r="G766" s="22" t="s">
        <v>198</v>
      </c>
      <c r="H766" s="24">
        <f t="shared" si="102"/>
        <v>2009</v>
      </c>
      <c r="I766" s="25" t="s">
        <v>32</v>
      </c>
      <c r="J766" s="24">
        <f t="shared" si="103"/>
        <v>401800</v>
      </c>
      <c r="K766" s="20"/>
      <c r="L766" s="20"/>
      <c r="M766" s="20"/>
      <c r="N766" s="20"/>
      <c r="O766" s="24"/>
      <c r="P766" s="24"/>
      <c r="Q766" s="25"/>
      <c r="R766" s="24"/>
      <c r="S766" s="20"/>
      <c r="T766" s="27"/>
      <c r="U766" s="20"/>
      <c r="V766" s="27">
        <f t="shared" si="104"/>
        <v>401800</v>
      </c>
      <c r="W766" s="26">
        <f t="shared" si="100"/>
        <v>401800</v>
      </c>
      <c r="X766" s="27">
        <v>0</v>
      </c>
      <c r="Y766" s="78">
        <f t="shared" si="101"/>
        <v>401800</v>
      </c>
      <c r="Z766" s="49">
        <v>1E-4</v>
      </c>
    </row>
    <row r="767" spans="1:26" s="29" customFormat="1" ht="90.75" customHeight="1" x14ac:dyDescent="0.25">
      <c r="A767" s="20">
        <v>605</v>
      </c>
      <c r="B767" s="20" t="s">
        <v>0</v>
      </c>
      <c r="C767" s="20">
        <v>8263</v>
      </c>
      <c r="D767" s="21">
        <v>13</v>
      </c>
      <c r="E767" s="21">
        <v>0</v>
      </c>
      <c r="F767" s="22">
        <v>22</v>
      </c>
      <c r="G767" s="22" t="s">
        <v>198</v>
      </c>
      <c r="H767" s="24">
        <f t="shared" si="102"/>
        <v>5222</v>
      </c>
      <c r="I767" s="25" t="s">
        <v>7</v>
      </c>
      <c r="J767" s="24">
        <f t="shared" si="103"/>
        <v>1827700</v>
      </c>
      <c r="K767" s="20"/>
      <c r="L767" s="20"/>
      <c r="M767" s="20"/>
      <c r="N767" s="20"/>
      <c r="O767" s="24"/>
      <c r="P767" s="24"/>
      <c r="Q767" s="25"/>
      <c r="R767" s="24"/>
      <c r="S767" s="20"/>
      <c r="T767" s="27"/>
      <c r="U767" s="20"/>
      <c r="V767" s="27">
        <f t="shared" si="104"/>
        <v>1827700</v>
      </c>
      <c r="W767" s="26">
        <f t="shared" si="100"/>
        <v>1827700</v>
      </c>
      <c r="X767" s="27">
        <v>0</v>
      </c>
      <c r="Y767" s="78">
        <f t="shared" si="101"/>
        <v>1827700</v>
      </c>
      <c r="Z767" s="49">
        <v>1E-4</v>
      </c>
    </row>
    <row r="768" spans="1:26" s="29" customFormat="1" ht="90.75" customHeight="1" x14ac:dyDescent="0.25">
      <c r="A768" s="20">
        <v>606</v>
      </c>
      <c r="B768" s="20" t="s">
        <v>0</v>
      </c>
      <c r="C768" s="20">
        <v>8310</v>
      </c>
      <c r="D768" s="21">
        <v>49</v>
      </c>
      <c r="E768" s="21">
        <v>0</v>
      </c>
      <c r="F768" s="22">
        <v>30</v>
      </c>
      <c r="G768" s="22" t="s">
        <v>198</v>
      </c>
      <c r="H768" s="24">
        <f t="shared" si="102"/>
        <v>19630</v>
      </c>
      <c r="I768" s="25" t="s">
        <v>7</v>
      </c>
      <c r="J768" s="24">
        <f t="shared" si="103"/>
        <v>6870500</v>
      </c>
      <c r="K768" s="20"/>
      <c r="L768" s="20"/>
      <c r="M768" s="20"/>
      <c r="N768" s="20"/>
      <c r="O768" s="24"/>
      <c r="P768" s="24"/>
      <c r="Q768" s="25"/>
      <c r="R768" s="24"/>
      <c r="S768" s="20"/>
      <c r="T768" s="27"/>
      <c r="U768" s="20"/>
      <c r="V768" s="27">
        <f t="shared" si="104"/>
        <v>6870500</v>
      </c>
      <c r="W768" s="26">
        <f t="shared" si="100"/>
        <v>6870500</v>
      </c>
      <c r="X768" s="27">
        <v>0</v>
      </c>
      <c r="Y768" s="78">
        <f t="shared" si="101"/>
        <v>6870500</v>
      </c>
      <c r="Z768" s="49">
        <v>1E-4</v>
      </c>
    </row>
    <row r="769" spans="1:26" s="29" customFormat="1" ht="90.75" customHeight="1" x14ac:dyDescent="0.25">
      <c r="A769" s="20">
        <v>607</v>
      </c>
      <c r="B769" s="20" t="s">
        <v>0</v>
      </c>
      <c r="C769" s="20">
        <v>7914</v>
      </c>
      <c r="D769" s="21">
        <v>23</v>
      </c>
      <c r="E769" s="21">
        <v>1</v>
      </c>
      <c r="F769" s="22">
        <v>50</v>
      </c>
      <c r="G769" s="22" t="s">
        <v>198</v>
      </c>
      <c r="H769" s="24">
        <f t="shared" si="102"/>
        <v>9350</v>
      </c>
      <c r="I769" s="25">
        <v>350</v>
      </c>
      <c r="J769" s="24">
        <f t="shared" si="103"/>
        <v>3272500</v>
      </c>
      <c r="K769" s="20"/>
      <c r="L769" s="20"/>
      <c r="M769" s="20"/>
      <c r="N769" s="20"/>
      <c r="O769" s="24"/>
      <c r="P769" s="24"/>
      <c r="Q769" s="25"/>
      <c r="R769" s="24"/>
      <c r="S769" s="20"/>
      <c r="T769" s="27"/>
      <c r="U769" s="20"/>
      <c r="V769" s="27">
        <f t="shared" si="104"/>
        <v>3272500</v>
      </c>
      <c r="W769" s="26">
        <f t="shared" si="100"/>
        <v>3272500</v>
      </c>
      <c r="X769" s="27">
        <v>0</v>
      </c>
      <c r="Y769" s="78">
        <f t="shared" si="101"/>
        <v>3272500</v>
      </c>
      <c r="Z769" s="49">
        <v>1E-4</v>
      </c>
    </row>
    <row r="770" spans="1:26" s="29" customFormat="1" ht="90.75" customHeight="1" x14ac:dyDescent="0.25">
      <c r="A770" s="20">
        <v>608</v>
      </c>
      <c r="B770" s="20" t="s">
        <v>0</v>
      </c>
      <c r="C770" s="20">
        <v>7555</v>
      </c>
      <c r="D770" s="21">
        <v>14</v>
      </c>
      <c r="E770" s="21">
        <v>2</v>
      </c>
      <c r="F770" s="22">
        <v>53</v>
      </c>
      <c r="G770" s="22" t="s">
        <v>198</v>
      </c>
      <c r="H770" s="24">
        <f t="shared" si="102"/>
        <v>5853</v>
      </c>
      <c r="I770" s="25">
        <v>375</v>
      </c>
      <c r="J770" s="24">
        <f t="shared" si="103"/>
        <v>2194875</v>
      </c>
      <c r="K770" s="20"/>
      <c r="L770" s="20"/>
      <c r="M770" s="20"/>
      <c r="N770" s="20"/>
      <c r="O770" s="24"/>
      <c r="P770" s="24"/>
      <c r="Q770" s="25"/>
      <c r="R770" s="24"/>
      <c r="S770" s="20"/>
      <c r="T770" s="27"/>
      <c r="U770" s="20"/>
      <c r="V770" s="27">
        <f t="shared" si="104"/>
        <v>2194875</v>
      </c>
      <c r="W770" s="26">
        <f t="shared" ref="W770:W833" si="105">(V770*100/100)</f>
        <v>2194875</v>
      </c>
      <c r="X770" s="27">
        <v>0</v>
      </c>
      <c r="Y770" s="78">
        <f t="shared" ref="Y770:Y833" si="106">(W770-X770)</f>
        <v>2194875</v>
      </c>
      <c r="Z770" s="49">
        <v>1E-4</v>
      </c>
    </row>
    <row r="771" spans="1:26" s="29" customFormat="1" ht="90.75" customHeight="1" x14ac:dyDescent="0.25">
      <c r="A771" s="20">
        <v>609</v>
      </c>
      <c r="B771" s="20" t="s">
        <v>0</v>
      </c>
      <c r="C771" s="20">
        <v>11710</v>
      </c>
      <c r="D771" s="21">
        <v>0</v>
      </c>
      <c r="E771" s="21">
        <v>2</v>
      </c>
      <c r="F771" s="22">
        <v>71</v>
      </c>
      <c r="G771" s="22" t="s">
        <v>198</v>
      </c>
      <c r="H771" s="24">
        <f t="shared" ref="H771:H834" si="107">(D771*400)+(E771*100)+F771</f>
        <v>271</v>
      </c>
      <c r="I771" s="25" t="s">
        <v>80</v>
      </c>
      <c r="J771" s="24">
        <f t="shared" ref="J771:J834" si="108">(H771*I771)</f>
        <v>155825</v>
      </c>
      <c r="K771" s="20"/>
      <c r="L771" s="20"/>
      <c r="M771" s="20"/>
      <c r="N771" s="20"/>
      <c r="O771" s="24"/>
      <c r="P771" s="24"/>
      <c r="Q771" s="25"/>
      <c r="R771" s="24"/>
      <c r="S771" s="20"/>
      <c r="T771" s="27"/>
      <c r="U771" s="20"/>
      <c r="V771" s="27">
        <f t="shared" ref="V771:V834" si="109">(J771+U771)</f>
        <v>155825</v>
      </c>
      <c r="W771" s="26">
        <f t="shared" si="105"/>
        <v>155825</v>
      </c>
      <c r="X771" s="27">
        <v>0</v>
      </c>
      <c r="Y771" s="78">
        <f t="shared" si="106"/>
        <v>155825</v>
      </c>
      <c r="Z771" s="49">
        <v>1E-4</v>
      </c>
    </row>
    <row r="772" spans="1:26" s="29" customFormat="1" ht="90.75" customHeight="1" x14ac:dyDescent="0.25">
      <c r="A772" s="20">
        <v>610</v>
      </c>
      <c r="B772" s="20" t="s">
        <v>0</v>
      </c>
      <c r="C772" s="20">
        <v>7912</v>
      </c>
      <c r="D772" s="21">
        <v>31</v>
      </c>
      <c r="E772" s="21">
        <v>3</v>
      </c>
      <c r="F772" s="22">
        <v>32</v>
      </c>
      <c r="G772" s="22" t="s">
        <v>198</v>
      </c>
      <c r="H772" s="24">
        <f t="shared" si="107"/>
        <v>12732</v>
      </c>
      <c r="I772" s="25" t="s">
        <v>7</v>
      </c>
      <c r="J772" s="24">
        <f t="shared" si="108"/>
        <v>4456200</v>
      </c>
      <c r="K772" s="20"/>
      <c r="L772" s="20"/>
      <c r="M772" s="20"/>
      <c r="N772" s="20"/>
      <c r="O772" s="24"/>
      <c r="P772" s="24"/>
      <c r="Q772" s="25"/>
      <c r="R772" s="24"/>
      <c r="S772" s="20"/>
      <c r="T772" s="27"/>
      <c r="U772" s="20"/>
      <c r="V772" s="27">
        <f t="shared" si="109"/>
        <v>4456200</v>
      </c>
      <c r="W772" s="26">
        <f t="shared" si="105"/>
        <v>4456200</v>
      </c>
      <c r="X772" s="27">
        <v>0</v>
      </c>
      <c r="Y772" s="78">
        <f t="shared" si="106"/>
        <v>4456200</v>
      </c>
      <c r="Z772" s="49">
        <v>1E-4</v>
      </c>
    </row>
    <row r="773" spans="1:26" s="29" customFormat="1" ht="90.75" customHeight="1" x14ac:dyDescent="0.25">
      <c r="A773" s="20">
        <v>611</v>
      </c>
      <c r="B773" s="20" t="s">
        <v>0</v>
      </c>
      <c r="C773" s="20">
        <v>7557</v>
      </c>
      <c r="D773" s="21">
        <v>20</v>
      </c>
      <c r="E773" s="21">
        <v>1</v>
      </c>
      <c r="F773" s="22">
        <v>66</v>
      </c>
      <c r="G773" s="22" t="s">
        <v>198</v>
      </c>
      <c r="H773" s="24">
        <f t="shared" si="107"/>
        <v>8166</v>
      </c>
      <c r="I773" s="25">
        <v>450</v>
      </c>
      <c r="J773" s="24">
        <f t="shared" si="108"/>
        <v>3674700</v>
      </c>
      <c r="K773" s="20"/>
      <c r="L773" s="20"/>
      <c r="M773" s="20"/>
      <c r="N773" s="20"/>
      <c r="O773" s="24"/>
      <c r="P773" s="24"/>
      <c r="Q773" s="25"/>
      <c r="R773" s="24"/>
      <c r="S773" s="20"/>
      <c r="T773" s="27"/>
      <c r="U773" s="20"/>
      <c r="V773" s="27">
        <f t="shared" si="109"/>
        <v>3674700</v>
      </c>
      <c r="W773" s="26">
        <f t="shared" si="105"/>
        <v>3674700</v>
      </c>
      <c r="X773" s="27">
        <v>0</v>
      </c>
      <c r="Y773" s="78">
        <f t="shared" si="106"/>
        <v>3674700</v>
      </c>
      <c r="Z773" s="49">
        <v>1E-4</v>
      </c>
    </row>
    <row r="774" spans="1:26" s="29" customFormat="1" ht="90.75" customHeight="1" x14ac:dyDescent="0.25">
      <c r="A774" s="20">
        <v>612</v>
      </c>
      <c r="B774" s="20" t="s">
        <v>0</v>
      </c>
      <c r="C774" s="20">
        <v>7623</v>
      </c>
      <c r="D774" s="21">
        <v>4</v>
      </c>
      <c r="E774" s="21">
        <v>3</v>
      </c>
      <c r="F774" s="22">
        <v>53</v>
      </c>
      <c r="G774" s="22" t="s">
        <v>198</v>
      </c>
      <c r="H774" s="24">
        <f t="shared" si="107"/>
        <v>1953</v>
      </c>
      <c r="I774" s="25" t="s">
        <v>77</v>
      </c>
      <c r="J774" s="24">
        <f t="shared" si="108"/>
        <v>1464750</v>
      </c>
      <c r="K774" s="20"/>
      <c r="L774" s="20"/>
      <c r="M774" s="20"/>
      <c r="N774" s="20"/>
      <c r="O774" s="24"/>
      <c r="P774" s="24"/>
      <c r="Q774" s="25"/>
      <c r="R774" s="24"/>
      <c r="S774" s="20"/>
      <c r="T774" s="27"/>
      <c r="U774" s="20"/>
      <c r="V774" s="27">
        <f t="shared" si="109"/>
        <v>1464750</v>
      </c>
      <c r="W774" s="26">
        <f t="shared" si="105"/>
        <v>1464750</v>
      </c>
      <c r="X774" s="27">
        <v>0</v>
      </c>
      <c r="Y774" s="78">
        <f t="shared" si="106"/>
        <v>1464750</v>
      </c>
      <c r="Z774" s="49">
        <v>1E-4</v>
      </c>
    </row>
    <row r="775" spans="1:26" s="29" customFormat="1" ht="90.75" customHeight="1" x14ac:dyDescent="0.25">
      <c r="A775" s="20">
        <v>613</v>
      </c>
      <c r="B775" s="20" t="s">
        <v>0</v>
      </c>
      <c r="C775" s="20">
        <v>7831</v>
      </c>
      <c r="D775" s="21">
        <v>10</v>
      </c>
      <c r="E775" s="21">
        <v>3</v>
      </c>
      <c r="F775" s="22">
        <v>26</v>
      </c>
      <c r="G775" s="22" t="s">
        <v>198</v>
      </c>
      <c r="H775" s="24">
        <f t="shared" si="107"/>
        <v>4326</v>
      </c>
      <c r="I775" s="25" t="s">
        <v>53</v>
      </c>
      <c r="J775" s="24">
        <f t="shared" si="108"/>
        <v>1946700</v>
      </c>
      <c r="K775" s="20"/>
      <c r="L775" s="20"/>
      <c r="M775" s="20"/>
      <c r="N775" s="20"/>
      <c r="O775" s="24"/>
      <c r="P775" s="24"/>
      <c r="Q775" s="25"/>
      <c r="R775" s="24"/>
      <c r="S775" s="20"/>
      <c r="T775" s="27"/>
      <c r="U775" s="20"/>
      <c r="V775" s="27">
        <f t="shared" si="109"/>
        <v>1946700</v>
      </c>
      <c r="W775" s="26">
        <f t="shared" si="105"/>
        <v>1946700</v>
      </c>
      <c r="X775" s="27">
        <v>0</v>
      </c>
      <c r="Y775" s="78">
        <f t="shared" si="106"/>
        <v>1946700</v>
      </c>
      <c r="Z775" s="49">
        <v>1E-4</v>
      </c>
    </row>
    <row r="776" spans="1:26" s="29" customFormat="1" ht="90.75" customHeight="1" x14ac:dyDescent="0.25">
      <c r="A776" s="20">
        <v>614</v>
      </c>
      <c r="B776" s="20" t="s">
        <v>0</v>
      </c>
      <c r="C776" s="20">
        <v>32658</v>
      </c>
      <c r="D776" s="21">
        <v>11</v>
      </c>
      <c r="E776" s="21">
        <v>0</v>
      </c>
      <c r="F776" s="22">
        <v>62</v>
      </c>
      <c r="G776" s="22" t="s">
        <v>198</v>
      </c>
      <c r="H776" s="24">
        <f t="shared" si="107"/>
        <v>4462</v>
      </c>
      <c r="I776" s="25">
        <v>625</v>
      </c>
      <c r="J776" s="24">
        <f t="shared" si="108"/>
        <v>2788750</v>
      </c>
      <c r="K776" s="20"/>
      <c r="L776" s="20"/>
      <c r="M776" s="20"/>
      <c r="N776" s="20"/>
      <c r="O776" s="24"/>
      <c r="P776" s="24"/>
      <c r="Q776" s="25"/>
      <c r="R776" s="24"/>
      <c r="S776" s="20"/>
      <c r="T776" s="27"/>
      <c r="U776" s="20"/>
      <c r="V776" s="27">
        <f t="shared" si="109"/>
        <v>2788750</v>
      </c>
      <c r="W776" s="26">
        <f t="shared" si="105"/>
        <v>2788750</v>
      </c>
      <c r="X776" s="27">
        <v>0</v>
      </c>
      <c r="Y776" s="78">
        <f t="shared" si="106"/>
        <v>2788750</v>
      </c>
      <c r="Z776" s="49">
        <v>1E-4</v>
      </c>
    </row>
    <row r="777" spans="1:26" s="29" customFormat="1" ht="90.75" customHeight="1" x14ac:dyDescent="0.25">
      <c r="A777" s="20">
        <v>615</v>
      </c>
      <c r="B777" s="20" t="s">
        <v>0</v>
      </c>
      <c r="C777" s="20">
        <v>32659</v>
      </c>
      <c r="D777" s="21">
        <v>11</v>
      </c>
      <c r="E777" s="21">
        <v>1</v>
      </c>
      <c r="F777" s="22">
        <v>77</v>
      </c>
      <c r="G777" s="22" t="s">
        <v>198</v>
      </c>
      <c r="H777" s="24">
        <f t="shared" si="107"/>
        <v>4577</v>
      </c>
      <c r="I777" s="25">
        <v>625</v>
      </c>
      <c r="J777" s="24">
        <f t="shared" si="108"/>
        <v>2860625</v>
      </c>
      <c r="K777" s="20"/>
      <c r="L777" s="20"/>
      <c r="M777" s="20"/>
      <c r="N777" s="20"/>
      <c r="O777" s="24"/>
      <c r="P777" s="24"/>
      <c r="Q777" s="25"/>
      <c r="R777" s="24"/>
      <c r="S777" s="20"/>
      <c r="T777" s="27"/>
      <c r="U777" s="20"/>
      <c r="V777" s="27">
        <f t="shared" si="109"/>
        <v>2860625</v>
      </c>
      <c r="W777" s="26">
        <f t="shared" si="105"/>
        <v>2860625</v>
      </c>
      <c r="X777" s="27">
        <v>0</v>
      </c>
      <c r="Y777" s="78">
        <f t="shared" si="106"/>
        <v>2860625</v>
      </c>
      <c r="Z777" s="49">
        <v>1E-4</v>
      </c>
    </row>
    <row r="778" spans="1:26" s="29" customFormat="1" ht="90.75" customHeight="1" x14ac:dyDescent="0.25">
      <c r="A778" s="20">
        <v>616</v>
      </c>
      <c r="B778" s="20" t="s">
        <v>0</v>
      </c>
      <c r="C778" s="20">
        <v>7597</v>
      </c>
      <c r="D778" s="21">
        <v>20</v>
      </c>
      <c r="E778" s="21">
        <v>2</v>
      </c>
      <c r="F778" s="22">
        <v>88</v>
      </c>
      <c r="G778" s="22" t="s">
        <v>198</v>
      </c>
      <c r="H778" s="24">
        <f t="shared" si="107"/>
        <v>8288</v>
      </c>
      <c r="I778" s="25" t="s">
        <v>75</v>
      </c>
      <c r="J778" s="24">
        <f t="shared" si="108"/>
        <v>5180000</v>
      </c>
      <c r="K778" s="20"/>
      <c r="L778" s="20"/>
      <c r="M778" s="20"/>
      <c r="N778" s="20"/>
      <c r="O778" s="24"/>
      <c r="P778" s="24"/>
      <c r="Q778" s="25"/>
      <c r="R778" s="24"/>
      <c r="S778" s="20"/>
      <c r="T778" s="27"/>
      <c r="U778" s="20"/>
      <c r="V778" s="27">
        <f t="shared" si="109"/>
        <v>5180000</v>
      </c>
      <c r="W778" s="26">
        <f t="shared" si="105"/>
        <v>5180000</v>
      </c>
      <c r="X778" s="27">
        <v>0</v>
      </c>
      <c r="Y778" s="78">
        <f t="shared" si="106"/>
        <v>5180000</v>
      </c>
      <c r="Z778" s="49">
        <v>1E-4</v>
      </c>
    </row>
    <row r="779" spans="1:26" s="29" customFormat="1" ht="90.75" customHeight="1" x14ac:dyDescent="0.25">
      <c r="A779" s="20">
        <v>617</v>
      </c>
      <c r="B779" s="20" t="s">
        <v>0</v>
      </c>
      <c r="C779" s="20">
        <v>8198</v>
      </c>
      <c r="D779" s="21">
        <v>5</v>
      </c>
      <c r="E779" s="21">
        <v>3</v>
      </c>
      <c r="F779" s="22">
        <v>73</v>
      </c>
      <c r="G779" s="22" t="s">
        <v>198</v>
      </c>
      <c r="H779" s="24">
        <f t="shared" si="107"/>
        <v>2373</v>
      </c>
      <c r="I779" s="25">
        <v>300</v>
      </c>
      <c r="J779" s="24">
        <f t="shared" si="108"/>
        <v>711900</v>
      </c>
      <c r="K779" s="20"/>
      <c r="L779" s="20"/>
      <c r="M779" s="20"/>
      <c r="N779" s="20"/>
      <c r="O779" s="24"/>
      <c r="P779" s="24"/>
      <c r="Q779" s="25"/>
      <c r="R779" s="24"/>
      <c r="S779" s="20"/>
      <c r="T779" s="27"/>
      <c r="U779" s="20"/>
      <c r="V779" s="27">
        <f t="shared" si="109"/>
        <v>711900</v>
      </c>
      <c r="W779" s="26">
        <f t="shared" si="105"/>
        <v>711900</v>
      </c>
      <c r="X779" s="27">
        <v>0</v>
      </c>
      <c r="Y779" s="78">
        <f t="shared" si="106"/>
        <v>711900</v>
      </c>
      <c r="Z779" s="49">
        <v>1E-4</v>
      </c>
    </row>
    <row r="780" spans="1:26" s="29" customFormat="1" ht="90.75" customHeight="1" x14ac:dyDescent="0.25">
      <c r="A780" s="20">
        <v>618</v>
      </c>
      <c r="B780" s="20" t="s">
        <v>0</v>
      </c>
      <c r="C780" s="20">
        <v>44570</v>
      </c>
      <c r="D780" s="21">
        <v>6</v>
      </c>
      <c r="E780" s="21">
        <v>0</v>
      </c>
      <c r="F780" s="22">
        <v>15</v>
      </c>
      <c r="G780" s="22" t="s">
        <v>198</v>
      </c>
      <c r="H780" s="24">
        <f t="shared" si="107"/>
        <v>2415</v>
      </c>
      <c r="I780" s="25" t="s">
        <v>80</v>
      </c>
      <c r="J780" s="24">
        <f t="shared" si="108"/>
        <v>1388625</v>
      </c>
      <c r="K780" s="20"/>
      <c r="L780" s="20"/>
      <c r="M780" s="20"/>
      <c r="N780" s="20"/>
      <c r="O780" s="24"/>
      <c r="P780" s="24"/>
      <c r="Q780" s="25"/>
      <c r="R780" s="24"/>
      <c r="S780" s="20"/>
      <c r="T780" s="27"/>
      <c r="U780" s="20"/>
      <c r="V780" s="27">
        <f t="shared" si="109"/>
        <v>1388625</v>
      </c>
      <c r="W780" s="26">
        <f t="shared" si="105"/>
        <v>1388625</v>
      </c>
      <c r="X780" s="27">
        <v>0</v>
      </c>
      <c r="Y780" s="78">
        <f t="shared" si="106"/>
        <v>1388625</v>
      </c>
      <c r="Z780" s="49">
        <v>1E-4</v>
      </c>
    </row>
    <row r="781" spans="1:26" s="29" customFormat="1" ht="90.75" customHeight="1" x14ac:dyDescent="0.25">
      <c r="A781" s="20">
        <v>619</v>
      </c>
      <c r="B781" s="20" t="s">
        <v>0</v>
      </c>
      <c r="C781" s="20">
        <v>8210</v>
      </c>
      <c r="D781" s="21">
        <v>2</v>
      </c>
      <c r="E781" s="21">
        <v>3</v>
      </c>
      <c r="F781" s="22">
        <v>75</v>
      </c>
      <c r="G781" s="22" t="s">
        <v>198</v>
      </c>
      <c r="H781" s="24">
        <f t="shared" si="107"/>
        <v>1175</v>
      </c>
      <c r="I781" s="25" t="s">
        <v>62</v>
      </c>
      <c r="J781" s="24">
        <f t="shared" si="108"/>
        <v>587500</v>
      </c>
      <c r="K781" s="20"/>
      <c r="L781" s="20"/>
      <c r="M781" s="20"/>
      <c r="N781" s="20"/>
      <c r="O781" s="24"/>
      <c r="P781" s="24"/>
      <c r="Q781" s="25"/>
      <c r="R781" s="24"/>
      <c r="S781" s="20"/>
      <c r="T781" s="27"/>
      <c r="U781" s="20"/>
      <c r="V781" s="27">
        <f t="shared" si="109"/>
        <v>587500</v>
      </c>
      <c r="W781" s="26">
        <f t="shared" si="105"/>
        <v>587500</v>
      </c>
      <c r="X781" s="27">
        <v>0</v>
      </c>
      <c r="Y781" s="78">
        <f t="shared" si="106"/>
        <v>587500</v>
      </c>
      <c r="Z781" s="49">
        <v>1E-4</v>
      </c>
    </row>
    <row r="782" spans="1:26" s="29" customFormat="1" ht="90.75" customHeight="1" x14ac:dyDescent="0.25">
      <c r="A782" s="20">
        <v>620</v>
      </c>
      <c r="B782" s="20" t="s">
        <v>0</v>
      </c>
      <c r="C782" s="20">
        <v>8209</v>
      </c>
      <c r="D782" s="21">
        <v>6</v>
      </c>
      <c r="E782" s="21">
        <v>1</v>
      </c>
      <c r="F782" s="22">
        <v>76</v>
      </c>
      <c r="G782" s="22" t="s">
        <v>198</v>
      </c>
      <c r="H782" s="24">
        <f t="shared" si="107"/>
        <v>2576</v>
      </c>
      <c r="I782" s="25" t="s">
        <v>62</v>
      </c>
      <c r="J782" s="24">
        <f t="shared" si="108"/>
        <v>1288000</v>
      </c>
      <c r="K782" s="20"/>
      <c r="L782" s="20"/>
      <c r="M782" s="20"/>
      <c r="N782" s="20"/>
      <c r="O782" s="24"/>
      <c r="P782" s="24"/>
      <c r="Q782" s="25"/>
      <c r="R782" s="24"/>
      <c r="S782" s="20"/>
      <c r="T782" s="27"/>
      <c r="U782" s="20"/>
      <c r="V782" s="27">
        <f t="shared" si="109"/>
        <v>1288000</v>
      </c>
      <c r="W782" s="26">
        <f t="shared" si="105"/>
        <v>1288000</v>
      </c>
      <c r="X782" s="27">
        <v>0</v>
      </c>
      <c r="Y782" s="78">
        <f t="shared" si="106"/>
        <v>1288000</v>
      </c>
      <c r="Z782" s="49">
        <v>1E-4</v>
      </c>
    </row>
    <row r="783" spans="1:26" s="29" customFormat="1" ht="90.75" customHeight="1" x14ac:dyDescent="0.25">
      <c r="A783" s="20">
        <v>621</v>
      </c>
      <c r="B783" s="20" t="s">
        <v>0</v>
      </c>
      <c r="C783" s="20">
        <v>44569</v>
      </c>
      <c r="D783" s="21">
        <v>2</v>
      </c>
      <c r="E783" s="21">
        <v>1</v>
      </c>
      <c r="F783" s="22">
        <v>83</v>
      </c>
      <c r="G783" s="22" t="s">
        <v>198</v>
      </c>
      <c r="H783" s="24">
        <f t="shared" si="107"/>
        <v>983</v>
      </c>
      <c r="I783" s="25" t="s">
        <v>80</v>
      </c>
      <c r="J783" s="24">
        <f t="shared" si="108"/>
        <v>565225</v>
      </c>
      <c r="K783" s="20"/>
      <c r="L783" s="20"/>
      <c r="M783" s="20"/>
      <c r="N783" s="20"/>
      <c r="O783" s="24"/>
      <c r="P783" s="24"/>
      <c r="Q783" s="25"/>
      <c r="R783" s="24"/>
      <c r="S783" s="20"/>
      <c r="T783" s="27"/>
      <c r="U783" s="20"/>
      <c r="V783" s="27">
        <f t="shared" si="109"/>
        <v>565225</v>
      </c>
      <c r="W783" s="26">
        <f t="shared" si="105"/>
        <v>565225</v>
      </c>
      <c r="X783" s="27">
        <v>0</v>
      </c>
      <c r="Y783" s="78">
        <f t="shared" si="106"/>
        <v>565225</v>
      </c>
      <c r="Z783" s="49">
        <v>1E-4</v>
      </c>
    </row>
    <row r="784" spans="1:26" s="29" customFormat="1" ht="90.75" customHeight="1" x14ac:dyDescent="0.25">
      <c r="A784" s="20">
        <v>622</v>
      </c>
      <c r="B784" s="20" t="s">
        <v>0</v>
      </c>
      <c r="C784" s="20">
        <v>7566</v>
      </c>
      <c r="D784" s="21">
        <v>15</v>
      </c>
      <c r="E784" s="21">
        <v>0</v>
      </c>
      <c r="F784" s="22">
        <v>64</v>
      </c>
      <c r="G784" s="22" t="s">
        <v>198</v>
      </c>
      <c r="H784" s="24">
        <f t="shared" si="107"/>
        <v>6064</v>
      </c>
      <c r="I784" s="25" t="s">
        <v>32</v>
      </c>
      <c r="J784" s="24">
        <f t="shared" si="108"/>
        <v>1212800</v>
      </c>
      <c r="K784" s="20"/>
      <c r="L784" s="20"/>
      <c r="M784" s="20"/>
      <c r="N784" s="20"/>
      <c r="O784" s="24"/>
      <c r="P784" s="24"/>
      <c r="Q784" s="25"/>
      <c r="R784" s="24"/>
      <c r="S784" s="20"/>
      <c r="T784" s="27"/>
      <c r="U784" s="20"/>
      <c r="V784" s="27">
        <f t="shared" si="109"/>
        <v>1212800</v>
      </c>
      <c r="W784" s="26">
        <f t="shared" si="105"/>
        <v>1212800</v>
      </c>
      <c r="X784" s="27">
        <v>0</v>
      </c>
      <c r="Y784" s="78">
        <f t="shared" si="106"/>
        <v>1212800</v>
      </c>
      <c r="Z784" s="49">
        <v>1E-4</v>
      </c>
    </row>
    <row r="785" spans="1:26" s="29" customFormat="1" ht="90.75" customHeight="1" x14ac:dyDescent="0.25">
      <c r="A785" s="20">
        <v>623</v>
      </c>
      <c r="B785" s="20" t="s">
        <v>0</v>
      </c>
      <c r="C785" s="20">
        <v>7918</v>
      </c>
      <c r="D785" s="21">
        <v>34</v>
      </c>
      <c r="E785" s="21">
        <v>2</v>
      </c>
      <c r="F785" s="22">
        <v>39</v>
      </c>
      <c r="G785" s="22" t="s">
        <v>198</v>
      </c>
      <c r="H785" s="24">
        <f t="shared" si="107"/>
        <v>13839</v>
      </c>
      <c r="I785" s="25" t="s">
        <v>32</v>
      </c>
      <c r="J785" s="24">
        <f t="shared" si="108"/>
        <v>2767800</v>
      </c>
      <c r="K785" s="20"/>
      <c r="L785" s="20"/>
      <c r="M785" s="20"/>
      <c r="N785" s="20"/>
      <c r="O785" s="24"/>
      <c r="P785" s="24"/>
      <c r="Q785" s="25"/>
      <c r="R785" s="24"/>
      <c r="S785" s="20"/>
      <c r="T785" s="27"/>
      <c r="U785" s="20"/>
      <c r="V785" s="27">
        <f t="shared" si="109"/>
        <v>2767800</v>
      </c>
      <c r="W785" s="26">
        <f t="shared" si="105"/>
        <v>2767800</v>
      </c>
      <c r="X785" s="27">
        <v>0</v>
      </c>
      <c r="Y785" s="78">
        <f t="shared" si="106"/>
        <v>2767800</v>
      </c>
      <c r="Z785" s="49">
        <v>1E-4</v>
      </c>
    </row>
    <row r="786" spans="1:26" s="29" customFormat="1" ht="90.75" customHeight="1" x14ac:dyDescent="0.25">
      <c r="A786" s="20">
        <v>624</v>
      </c>
      <c r="B786" s="20" t="s">
        <v>0</v>
      </c>
      <c r="C786" s="20">
        <v>44893</v>
      </c>
      <c r="D786" s="21">
        <v>1</v>
      </c>
      <c r="E786" s="21">
        <v>0</v>
      </c>
      <c r="F786" s="22">
        <v>71</v>
      </c>
      <c r="G786" s="22" t="s">
        <v>198</v>
      </c>
      <c r="H786" s="24">
        <f t="shared" si="107"/>
        <v>471</v>
      </c>
      <c r="I786" s="25" t="s">
        <v>80</v>
      </c>
      <c r="J786" s="24">
        <f t="shared" si="108"/>
        <v>270825</v>
      </c>
      <c r="K786" s="20"/>
      <c r="L786" s="20"/>
      <c r="M786" s="20"/>
      <c r="N786" s="20"/>
      <c r="O786" s="24"/>
      <c r="P786" s="24"/>
      <c r="Q786" s="25"/>
      <c r="R786" s="24"/>
      <c r="S786" s="20"/>
      <c r="T786" s="27"/>
      <c r="U786" s="20"/>
      <c r="V786" s="27">
        <f t="shared" si="109"/>
        <v>270825</v>
      </c>
      <c r="W786" s="26">
        <f t="shared" si="105"/>
        <v>270825</v>
      </c>
      <c r="X786" s="27">
        <v>0</v>
      </c>
      <c r="Y786" s="78">
        <f t="shared" si="106"/>
        <v>270825</v>
      </c>
      <c r="Z786" s="49">
        <v>1E-4</v>
      </c>
    </row>
    <row r="787" spans="1:26" s="29" customFormat="1" ht="90.75" customHeight="1" x14ac:dyDescent="0.25">
      <c r="A787" s="20">
        <v>625</v>
      </c>
      <c r="B787" s="20" t="s">
        <v>0</v>
      </c>
      <c r="C787" s="20">
        <v>44894</v>
      </c>
      <c r="D787" s="21">
        <v>0</v>
      </c>
      <c r="E787" s="21">
        <v>0</v>
      </c>
      <c r="F787" s="22">
        <v>42</v>
      </c>
      <c r="G787" s="22" t="s">
        <v>198</v>
      </c>
      <c r="H787" s="24">
        <f t="shared" si="107"/>
        <v>42</v>
      </c>
      <c r="I787" s="25" t="s">
        <v>75</v>
      </c>
      <c r="J787" s="24">
        <f t="shared" si="108"/>
        <v>26250</v>
      </c>
      <c r="K787" s="20"/>
      <c r="L787" s="20"/>
      <c r="M787" s="20"/>
      <c r="N787" s="20"/>
      <c r="O787" s="24"/>
      <c r="P787" s="24"/>
      <c r="Q787" s="25"/>
      <c r="R787" s="24"/>
      <c r="S787" s="20"/>
      <c r="T787" s="27"/>
      <c r="U787" s="20"/>
      <c r="V787" s="27">
        <f t="shared" si="109"/>
        <v>26250</v>
      </c>
      <c r="W787" s="26">
        <f t="shared" si="105"/>
        <v>26250</v>
      </c>
      <c r="X787" s="27">
        <v>0</v>
      </c>
      <c r="Y787" s="78">
        <f t="shared" si="106"/>
        <v>26250</v>
      </c>
      <c r="Z787" s="49">
        <v>1E-4</v>
      </c>
    </row>
    <row r="788" spans="1:26" s="29" customFormat="1" ht="90.75" customHeight="1" x14ac:dyDescent="0.25">
      <c r="A788" s="20">
        <v>626</v>
      </c>
      <c r="B788" s="20" t="s">
        <v>0</v>
      </c>
      <c r="C788" s="20">
        <v>44895</v>
      </c>
      <c r="D788" s="21">
        <v>1</v>
      </c>
      <c r="E788" s="21">
        <v>0</v>
      </c>
      <c r="F788" s="22">
        <v>22</v>
      </c>
      <c r="G788" s="22" t="s">
        <v>198</v>
      </c>
      <c r="H788" s="24">
        <f t="shared" si="107"/>
        <v>422</v>
      </c>
      <c r="I788" s="25" t="s">
        <v>75</v>
      </c>
      <c r="J788" s="24">
        <f t="shared" si="108"/>
        <v>263750</v>
      </c>
      <c r="K788" s="20"/>
      <c r="L788" s="20"/>
      <c r="M788" s="20"/>
      <c r="N788" s="20"/>
      <c r="O788" s="24"/>
      <c r="P788" s="24"/>
      <c r="Q788" s="25"/>
      <c r="R788" s="24"/>
      <c r="S788" s="20"/>
      <c r="T788" s="27"/>
      <c r="U788" s="20"/>
      <c r="V788" s="27">
        <f t="shared" si="109"/>
        <v>263750</v>
      </c>
      <c r="W788" s="26">
        <f t="shared" si="105"/>
        <v>263750</v>
      </c>
      <c r="X788" s="27">
        <v>0</v>
      </c>
      <c r="Y788" s="78">
        <f t="shared" si="106"/>
        <v>263750</v>
      </c>
      <c r="Z788" s="49">
        <v>1E-4</v>
      </c>
    </row>
    <row r="789" spans="1:26" s="29" customFormat="1" ht="90.75" customHeight="1" x14ac:dyDescent="0.25">
      <c r="A789" s="20">
        <v>627</v>
      </c>
      <c r="B789" s="20" t="s">
        <v>0</v>
      </c>
      <c r="C789" s="20">
        <v>7570</v>
      </c>
      <c r="D789" s="21">
        <v>20</v>
      </c>
      <c r="E789" s="21">
        <v>1</v>
      </c>
      <c r="F789" s="22">
        <v>43</v>
      </c>
      <c r="G789" s="22" t="s">
        <v>198</v>
      </c>
      <c r="H789" s="24">
        <f t="shared" si="107"/>
        <v>8143</v>
      </c>
      <c r="I789" s="25" t="s">
        <v>32</v>
      </c>
      <c r="J789" s="24">
        <f t="shared" si="108"/>
        <v>1628600</v>
      </c>
      <c r="K789" s="20"/>
      <c r="L789" s="20"/>
      <c r="M789" s="20"/>
      <c r="N789" s="20"/>
      <c r="O789" s="24"/>
      <c r="P789" s="24"/>
      <c r="Q789" s="25"/>
      <c r="R789" s="24"/>
      <c r="S789" s="20"/>
      <c r="T789" s="27"/>
      <c r="U789" s="20"/>
      <c r="V789" s="27">
        <f t="shared" si="109"/>
        <v>1628600</v>
      </c>
      <c r="W789" s="26">
        <f t="shared" si="105"/>
        <v>1628600</v>
      </c>
      <c r="X789" s="27">
        <v>0</v>
      </c>
      <c r="Y789" s="78">
        <f t="shared" si="106"/>
        <v>1628600</v>
      </c>
      <c r="Z789" s="49">
        <v>1E-4</v>
      </c>
    </row>
    <row r="790" spans="1:26" s="29" customFormat="1" ht="90.75" customHeight="1" x14ac:dyDescent="0.25">
      <c r="A790" s="20">
        <v>628</v>
      </c>
      <c r="B790" s="20" t="s">
        <v>0</v>
      </c>
      <c r="C790" s="20">
        <v>8212</v>
      </c>
      <c r="D790" s="21">
        <v>40</v>
      </c>
      <c r="E790" s="21">
        <v>1</v>
      </c>
      <c r="F790" s="22">
        <v>67</v>
      </c>
      <c r="G790" s="22" t="s">
        <v>198</v>
      </c>
      <c r="H790" s="24">
        <f t="shared" si="107"/>
        <v>16167</v>
      </c>
      <c r="I790" s="25" t="s">
        <v>7</v>
      </c>
      <c r="J790" s="24">
        <f t="shared" si="108"/>
        <v>5658450</v>
      </c>
      <c r="K790" s="20"/>
      <c r="L790" s="20"/>
      <c r="M790" s="20"/>
      <c r="N790" s="20"/>
      <c r="O790" s="24"/>
      <c r="P790" s="24"/>
      <c r="Q790" s="25"/>
      <c r="R790" s="24"/>
      <c r="S790" s="20"/>
      <c r="T790" s="27"/>
      <c r="U790" s="20"/>
      <c r="V790" s="27">
        <f t="shared" si="109"/>
        <v>5658450</v>
      </c>
      <c r="W790" s="26">
        <f t="shared" si="105"/>
        <v>5658450</v>
      </c>
      <c r="X790" s="27">
        <v>0</v>
      </c>
      <c r="Y790" s="78">
        <f t="shared" si="106"/>
        <v>5658450</v>
      </c>
      <c r="Z790" s="49">
        <v>1E-4</v>
      </c>
    </row>
    <row r="791" spans="1:26" s="29" customFormat="1" ht="90.75" customHeight="1" x14ac:dyDescent="0.25">
      <c r="A791" s="20">
        <v>629</v>
      </c>
      <c r="B791" s="20" t="s">
        <v>0</v>
      </c>
      <c r="C791" s="20">
        <v>45971</v>
      </c>
      <c r="D791" s="21">
        <v>1</v>
      </c>
      <c r="E791" s="21">
        <v>2</v>
      </c>
      <c r="F791" s="22">
        <v>14</v>
      </c>
      <c r="G791" s="22" t="s">
        <v>198</v>
      </c>
      <c r="H791" s="24">
        <f t="shared" si="107"/>
        <v>614</v>
      </c>
      <c r="I791" s="25" t="s">
        <v>75</v>
      </c>
      <c r="J791" s="24">
        <f t="shared" si="108"/>
        <v>383750</v>
      </c>
      <c r="K791" s="20"/>
      <c r="L791" s="20"/>
      <c r="M791" s="20"/>
      <c r="N791" s="20"/>
      <c r="O791" s="24"/>
      <c r="P791" s="24"/>
      <c r="Q791" s="25"/>
      <c r="R791" s="24"/>
      <c r="S791" s="20"/>
      <c r="T791" s="27"/>
      <c r="U791" s="20"/>
      <c r="V791" s="27">
        <f t="shared" si="109"/>
        <v>383750</v>
      </c>
      <c r="W791" s="26">
        <f t="shared" si="105"/>
        <v>383750</v>
      </c>
      <c r="X791" s="27">
        <v>0</v>
      </c>
      <c r="Y791" s="78">
        <f t="shared" si="106"/>
        <v>383750</v>
      </c>
      <c r="Z791" s="49">
        <v>1E-4</v>
      </c>
    </row>
    <row r="792" spans="1:26" s="29" customFormat="1" ht="90.75" customHeight="1" x14ac:dyDescent="0.25">
      <c r="A792" s="20">
        <v>630</v>
      </c>
      <c r="B792" s="20" t="s">
        <v>0</v>
      </c>
      <c r="C792" s="20">
        <v>46104</v>
      </c>
      <c r="D792" s="21">
        <v>2</v>
      </c>
      <c r="E792" s="21">
        <v>3</v>
      </c>
      <c r="F792" s="22">
        <v>6</v>
      </c>
      <c r="G792" s="22" t="s">
        <v>198</v>
      </c>
      <c r="H792" s="24">
        <f t="shared" si="107"/>
        <v>1106</v>
      </c>
      <c r="I792" s="25" t="s">
        <v>75</v>
      </c>
      <c r="J792" s="24">
        <f t="shared" si="108"/>
        <v>691250</v>
      </c>
      <c r="K792" s="20"/>
      <c r="L792" s="20"/>
      <c r="M792" s="20"/>
      <c r="N792" s="20"/>
      <c r="O792" s="24"/>
      <c r="P792" s="24"/>
      <c r="Q792" s="25"/>
      <c r="R792" s="24"/>
      <c r="S792" s="20"/>
      <c r="T792" s="27"/>
      <c r="U792" s="20"/>
      <c r="V792" s="27">
        <f t="shared" si="109"/>
        <v>691250</v>
      </c>
      <c r="W792" s="26">
        <f t="shared" si="105"/>
        <v>691250</v>
      </c>
      <c r="X792" s="27">
        <v>0</v>
      </c>
      <c r="Y792" s="78">
        <f t="shared" si="106"/>
        <v>691250</v>
      </c>
      <c r="Z792" s="49">
        <v>1E-4</v>
      </c>
    </row>
    <row r="793" spans="1:26" s="29" customFormat="1" ht="90.75" customHeight="1" x14ac:dyDescent="0.25">
      <c r="A793" s="20">
        <v>631</v>
      </c>
      <c r="B793" s="20" t="s">
        <v>0</v>
      </c>
      <c r="C793" s="20">
        <v>44567</v>
      </c>
      <c r="D793" s="21">
        <v>2</v>
      </c>
      <c r="E793" s="21">
        <v>1</v>
      </c>
      <c r="F793" s="22">
        <v>59</v>
      </c>
      <c r="G793" s="22" t="s">
        <v>198</v>
      </c>
      <c r="H793" s="24">
        <f t="shared" si="107"/>
        <v>959</v>
      </c>
      <c r="I793" s="25" t="s">
        <v>75</v>
      </c>
      <c r="J793" s="24">
        <f t="shared" si="108"/>
        <v>599375</v>
      </c>
      <c r="K793" s="20"/>
      <c r="L793" s="20"/>
      <c r="M793" s="20"/>
      <c r="N793" s="20"/>
      <c r="O793" s="24"/>
      <c r="P793" s="24"/>
      <c r="Q793" s="25"/>
      <c r="R793" s="24"/>
      <c r="S793" s="20"/>
      <c r="T793" s="27"/>
      <c r="U793" s="20"/>
      <c r="V793" s="27">
        <f t="shared" si="109"/>
        <v>599375</v>
      </c>
      <c r="W793" s="26">
        <f t="shared" si="105"/>
        <v>599375</v>
      </c>
      <c r="X793" s="27">
        <v>0</v>
      </c>
      <c r="Y793" s="78">
        <f t="shared" si="106"/>
        <v>599375</v>
      </c>
      <c r="Z793" s="49">
        <v>1E-4</v>
      </c>
    </row>
    <row r="794" spans="1:26" s="29" customFormat="1" ht="90.75" customHeight="1" x14ac:dyDescent="0.25">
      <c r="A794" s="20">
        <v>632</v>
      </c>
      <c r="B794" s="20" t="s">
        <v>0</v>
      </c>
      <c r="C794" s="20">
        <v>7579</v>
      </c>
      <c r="D794" s="21">
        <v>28</v>
      </c>
      <c r="E794" s="21">
        <v>3</v>
      </c>
      <c r="F794" s="22">
        <v>44</v>
      </c>
      <c r="G794" s="22" t="s">
        <v>198</v>
      </c>
      <c r="H794" s="24">
        <f t="shared" si="107"/>
        <v>11544</v>
      </c>
      <c r="I794" s="25" t="s">
        <v>19</v>
      </c>
      <c r="J794" s="24">
        <f t="shared" si="108"/>
        <v>4329000</v>
      </c>
      <c r="K794" s="20"/>
      <c r="L794" s="20"/>
      <c r="M794" s="20"/>
      <c r="N794" s="20"/>
      <c r="O794" s="24"/>
      <c r="P794" s="24"/>
      <c r="Q794" s="25"/>
      <c r="R794" s="24"/>
      <c r="S794" s="20"/>
      <c r="T794" s="27"/>
      <c r="U794" s="20"/>
      <c r="V794" s="27">
        <f t="shared" si="109"/>
        <v>4329000</v>
      </c>
      <c r="W794" s="26">
        <f t="shared" si="105"/>
        <v>4329000</v>
      </c>
      <c r="X794" s="27">
        <v>0</v>
      </c>
      <c r="Y794" s="78">
        <f t="shared" si="106"/>
        <v>4329000</v>
      </c>
      <c r="Z794" s="49">
        <v>1E-4</v>
      </c>
    </row>
    <row r="795" spans="1:26" s="29" customFormat="1" ht="90.75" customHeight="1" x14ac:dyDescent="0.25">
      <c r="A795" s="20">
        <v>633</v>
      </c>
      <c r="B795" s="20" t="s">
        <v>0</v>
      </c>
      <c r="C795" s="20">
        <v>44568</v>
      </c>
      <c r="D795" s="21">
        <v>6</v>
      </c>
      <c r="E795" s="21">
        <v>2</v>
      </c>
      <c r="F795" s="22">
        <v>72</v>
      </c>
      <c r="G795" s="22" t="s">
        <v>198</v>
      </c>
      <c r="H795" s="24">
        <f t="shared" si="107"/>
        <v>2672</v>
      </c>
      <c r="I795" s="25" t="s">
        <v>62</v>
      </c>
      <c r="J795" s="24">
        <f t="shared" si="108"/>
        <v>1336000</v>
      </c>
      <c r="K795" s="20"/>
      <c r="L795" s="20"/>
      <c r="M795" s="20"/>
      <c r="N795" s="20"/>
      <c r="O795" s="24"/>
      <c r="P795" s="24"/>
      <c r="Q795" s="25"/>
      <c r="R795" s="24"/>
      <c r="S795" s="20"/>
      <c r="T795" s="27"/>
      <c r="U795" s="20"/>
      <c r="V795" s="27">
        <f t="shared" si="109"/>
        <v>1336000</v>
      </c>
      <c r="W795" s="26">
        <f t="shared" si="105"/>
        <v>1336000</v>
      </c>
      <c r="X795" s="27">
        <v>0</v>
      </c>
      <c r="Y795" s="78">
        <f t="shared" si="106"/>
        <v>1336000</v>
      </c>
      <c r="Z795" s="49">
        <v>1E-4</v>
      </c>
    </row>
    <row r="796" spans="1:26" s="29" customFormat="1" ht="90.75" customHeight="1" x14ac:dyDescent="0.25">
      <c r="A796" s="20">
        <v>634</v>
      </c>
      <c r="B796" s="20" t="s">
        <v>0</v>
      </c>
      <c r="C796" s="20">
        <v>18147</v>
      </c>
      <c r="D796" s="21">
        <v>1</v>
      </c>
      <c r="E796" s="21">
        <v>0</v>
      </c>
      <c r="F796" s="22">
        <v>15</v>
      </c>
      <c r="G796" s="22" t="s">
        <v>198</v>
      </c>
      <c r="H796" s="24">
        <f t="shared" si="107"/>
        <v>415</v>
      </c>
      <c r="I796" s="25" t="s">
        <v>75</v>
      </c>
      <c r="J796" s="24">
        <f t="shared" si="108"/>
        <v>259375</v>
      </c>
      <c r="K796" s="20"/>
      <c r="L796" s="20"/>
      <c r="M796" s="20"/>
      <c r="N796" s="20"/>
      <c r="O796" s="24"/>
      <c r="P796" s="24"/>
      <c r="Q796" s="25"/>
      <c r="R796" s="24"/>
      <c r="S796" s="20"/>
      <c r="T796" s="27"/>
      <c r="U796" s="20"/>
      <c r="V796" s="27">
        <f t="shared" si="109"/>
        <v>259375</v>
      </c>
      <c r="W796" s="26">
        <f t="shared" si="105"/>
        <v>259375</v>
      </c>
      <c r="X796" s="27">
        <v>0</v>
      </c>
      <c r="Y796" s="78">
        <f t="shared" si="106"/>
        <v>259375</v>
      </c>
      <c r="Z796" s="49">
        <v>1E-4</v>
      </c>
    </row>
    <row r="797" spans="1:26" s="29" customFormat="1" ht="90.75" customHeight="1" x14ac:dyDescent="0.25">
      <c r="A797" s="20">
        <v>635</v>
      </c>
      <c r="B797" s="20" t="s">
        <v>0</v>
      </c>
      <c r="C797" s="20">
        <v>44571</v>
      </c>
      <c r="D797" s="21">
        <v>1</v>
      </c>
      <c r="E797" s="21">
        <v>1</v>
      </c>
      <c r="F797" s="22">
        <v>64</v>
      </c>
      <c r="G797" s="22" t="s">
        <v>198</v>
      </c>
      <c r="H797" s="24">
        <f t="shared" si="107"/>
        <v>564</v>
      </c>
      <c r="I797" s="25" t="s">
        <v>75</v>
      </c>
      <c r="J797" s="24">
        <f t="shared" si="108"/>
        <v>352500</v>
      </c>
      <c r="K797" s="20"/>
      <c r="L797" s="20"/>
      <c r="M797" s="20"/>
      <c r="N797" s="20"/>
      <c r="O797" s="24"/>
      <c r="P797" s="24"/>
      <c r="Q797" s="25"/>
      <c r="R797" s="24"/>
      <c r="S797" s="20"/>
      <c r="T797" s="27"/>
      <c r="U797" s="20"/>
      <c r="V797" s="27">
        <f t="shared" si="109"/>
        <v>352500</v>
      </c>
      <c r="W797" s="26">
        <f t="shared" si="105"/>
        <v>352500</v>
      </c>
      <c r="X797" s="27">
        <v>0</v>
      </c>
      <c r="Y797" s="78">
        <f t="shared" si="106"/>
        <v>352500</v>
      </c>
      <c r="Z797" s="49">
        <v>1E-4</v>
      </c>
    </row>
    <row r="798" spans="1:26" s="29" customFormat="1" ht="90.75" customHeight="1" x14ac:dyDescent="0.25">
      <c r="A798" s="20">
        <v>636</v>
      </c>
      <c r="B798" s="20" t="s">
        <v>0</v>
      </c>
      <c r="C798" s="20">
        <v>7589</v>
      </c>
      <c r="D798" s="21">
        <v>7</v>
      </c>
      <c r="E798" s="21">
        <v>0</v>
      </c>
      <c r="F798" s="22">
        <v>37</v>
      </c>
      <c r="G798" s="22" t="s">
        <v>198</v>
      </c>
      <c r="H798" s="24">
        <f t="shared" si="107"/>
        <v>2837</v>
      </c>
      <c r="I798" s="25" t="s">
        <v>78</v>
      </c>
      <c r="J798" s="24">
        <f t="shared" si="108"/>
        <v>2482375</v>
      </c>
      <c r="K798" s="20"/>
      <c r="L798" s="20"/>
      <c r="M798" s="20"/>
      <c r="N798" s="20"/>
      <c r="O798" s="24"/>
      <c r="P798" s="24"/>
      <c r="Q798" s="25"/>
      <c r="R798" s="24"/>
      <c r="S798" s="20"/>
      <c r="T798" s="27"/>
      <c r="U798" s="20"/>
      <c r="V798" s="27">
        <f t="shared" si="109"/>
        <v>2482375</v>
      </c>
      <c r="W798" s="26">
        <f t="shared" si="105"/>
        <v>2482375</v>
      </c>
      <c r="X798" s="27">
        <v>0</v>
      </c>
      <c r="Y798" s="78">
        <f t="shared" si="106"/>
        <v>2482375</v>
      </c>
      <c r="Z798" s="49">
        <v>1E-4</v>
      </c>
    </row>
    <row r="799" spans="1:26" s="29" customFormat="1" ht="90.75" customHeight="1" x14ac:dyDescent="0.25">
      <c r="A799" s="20">
        <v>637</v>
      </c>
      <c r="B799" s="20" t="s">
        <v>0</v>
      </c>
      <c r="C799" s="20">
        <v>7588</v>
      </c>
      <c r="D799" s="21">
        <v>6</v>
      </c>
      <c r="E799" s="21">
        <v>2</v>
      </c>
      <c r="F799" s="22">
        <v>23</v>
      </c>
      <c r="G799" s="22" t="s">
        <v>198</v>
      </c>
      <c r="H799" s="24">
        <f t="shared" si="107"/>
        <v>2623</v>
      </c>
      <c r="I799" s="25" t="s">
        <v>66</v>
      </c>
      <c r="J799" s="24">
        <f t="shared" si="108"/>
        <v>2491850</v>
      </c>
      <c r="K799" s="20"/>
      <c r="L799" s="20"/>
      <c r="M799" s="20"/>
      <c r="N799" s="20"/>
      <c r="O799" s="24"/>
      <c r="P799" s="24"/>
      <c r="Q799" s="25"/>
      <c r="R799" s="24"/>
      <c r="S799" s="20"/>
      <c r="T799" s="27"/>
      <c r="U799" s="20"/>
      <c r="V799" s="27">
        <f t="shared" si="109"/>
        <v>2491850</v>
      </c>
      <c r="W799" s="26">
        <f t="shared" si="105"/>
        <v>2491850</v>
      </c>
      <c r="X799" s="27">
        <v>0</v>
      </c>
      <c r="Y799" s="78">
        <f t="shared" si="106"/>
        <v>2491850</v>
      </c>
      <c r="Z799" s="49">
        <v>1E-4</v>
      </c>
    </row>
    <row r="800" spans="1:26" s="29" customFormat="1" ht="90.75" customHeight="1" x14ac:dyDescent="0.25">
      <c r="A800" s="20">
        <v>638</v>
      </c>
      <c r="B800" s="20" t="s">
        <v>0</v>
      </c>
      <c r="C800" s="20">
        <v>7583</v>
      </c>
      <c r="D800" s="21">
        <v>7</v>
      </c>
      <c r="E800" s="21">
        <v>3</v>
      </c>
      <c r="F800" s="22">
        <v>82</v>
      </c>
      <c r="G800" s="22" t="s">
        <v>198</v>
      </c>
      <c r="H800" s="24">
        <f t="shared" si="107"/>
        <v>3182</v>
      </c>
      <c r="I800" s="25" t="s">
        <v>75</v>
      </c>
      <c r="J800" s="24">
        <f t="shared" si="108"/>
        <v>1988750</v>
      </c>
      <c r="K800" s="20"/>
      <c r="L800" s="20"/>
      <c r="M800" s="20"/>
      <c r="N800" s="20"/>
      <c r="O800" s="24"/>
      <c r="P800" s="24"/>
      <c r="Q800" s="25"/>
      <c r="R800" s="24"/>
      <c r="S800" s="20"/>
      <c r="T800" s="27"/>
      <c r="U800" s="20"/>
      <c r="V800" s="27">
        <f t="shared" si="109"/>
        <v>1988750</v>
      </c>
      <c r="W800" s="26">
        <f t="shared" si="105"/>
        <v>1988750</v>
      </c>
      <c r="X800" s="27">
        <v>0</v>
      </c>
      <c r="Y800" s="78">
        <f t="shared" si="106"/>
        <v>1988750</v>
      </c>
      <c r="Z800" s="49">
        <v>1E-4</v>
      </c>
    </row>
    <row r="801" spans="1:26" s="29" customFormat="1" ht="90.75" customHeight="1" x14ac:dyDescent="0.25">
      <c r="A801" s="20">
        <v>639</v>
      </c>
      <c r="B801" s="20" t="s">
        <v>0</v>
      </c>
      <c r="C801" s="20">
        <v>7923</v>
      </c>
      <c r="D801" s="21">
        <v>20</v>
      </c>
      <c r="E801" s="21">
        <v>2</v>
      </c>
      <c r="F801" s="22">
        <v>76</v>
      </c>
      <c r="G801" s="22" t="s">
        <v>198</v>
      </c>
      <c r="H801" s="24">
        <f t="shared" si="107"/>
        <v>8276</v>
      </c>
      <c r="I801" s="25">
        <v>1000</v>
      </c>
      <c r="J801" s="24">
        <f t="shared" si="108"/>
        <v>8276000</v>
      </c>
      <c r="K801" s="20"/>
      <c r="L801" s="20"/>
      <c r="M801" s="20"/>
      <c r="N801" s="20"/>
      <c r="O801" s="24"/>
      <c r="P801" s="24"/>
      <c r="Q801" s="25"/>
      <c r="R801" s="24"/>
      <c r="S801" s="20"/>
      <c r="T801" s="27"/>
      <c r="U801" s="20"/>
      <c r="V801" s="27">
        <f t="shared" si="109"/>
        <v>8276000</v>
      </c>
      <c r="W801" s="26">
        <f t="shared" si="105"/>
        <v>8276000</v>
      </c>
      <c r="X801" s="27">
        <v>0</v>
      </c>
      <c r="Y801" s="78">
        <f t="shared" si="106"/>
        <v>8276000</v>
      </c>
      <c r="Z801" s="49">
        <v>1E-4</v>
      </c>
    </row>
    <row r="802" spans="1:26" s="29" customFormat="1" ht="90.75" customHeight="1" x14ac:dyDescent="0.25">
      <c r="A802" s="20">
        <v>640</v>
      </c>
      <c r="B802" s="20" t="s">
        <v>0</v>
      </c>
      <c r="C802" s="20">
        <v>17839</v>
      </c>
      <c r="D802" s="21">
        <v>2</v>
      </c>
      <c r="E802" s="21">
        <v>2</v>
      </c>
      <c r="F802" s="22">
        <v>0</v>
      </c>
      <c r="G802" s="22" t="s">
        <v>198</v>
      </c>
      <c r="H802" s="24">
        <f t="shared" si="107"/>
        <v>1000</v>
      </c>
      <c r="I802" s="25">
        <v>750</v>
      </c>
      <c r="J802" s="24">
        <f t="shared" si="108"/>
        <v>750000</v>
      </c>
      <c r="K802" s="20"/>
      <c r="L802" s="20"/>
      <c r="M802" s="20"/>
      <c r="N802" s="20"/>
      <c r="O802" s="24"/>
      <c r="P802" s="24"/>
      <c r="Q802" s="25"/>
      <c r="R802" s="24"/>
      <c r="S802" s="20"/>
      <c r="T802" s="27"/>
      <c r="U802" s="20"/>
      <c r="V802" s="27">
        <f t="shared" si="109"/>
        <v>750000</v>
      </c>
      <c r="W802" s="26">
        <f t="shared" si="105"/>
        <v>750000</v>
      </c>
      <c r="X802" s="27">
        <v>0</v>
      </c>
      <c r="Y802" s="78">
        <f t="shared" si="106"/>
        <v>750000</v>
      </c>
      <c r="Z802" s="49">
        <v>1E-4</v>
      </c>
    </row>
    <row r="803" spans="1:26" s="29" customFormat="1" ht="90.75" customHeight="1" x14ac:dyDescent="0.25">
      <c r="A803" s="20">
        <v>641</v>
      </c>
      <c r="B803" s="20" t="s">
        <v>0</v>
      </c>
      <c r="C803" s="20">
        <v>15217</v>
      </c>
      <c r="D803" s="21">
        <v>3</v>
      </c>
      <c r="E803" s="21">
        <v>1</v>
      </c>
      <c r="F803" s="22">
        <v>39</v>
      </c>
      <c r="G803" s="22" t="s">
        <v>198</v>
      </c>
      <c r="H803" s="24">
        <f t="shared" si="107"/>
        <v>1339</v>
      </c>
      <c r="I803" s="25" t="s">
        <v>77</v>
      </c>
      <c r="J803" s="24">
        <f t="shared" si="108"/>
        <v>1004250</v>
      </c>
      <c r="K803" s="20"/>
      <c r="L803" s="20"/>
      <c r="M803" s="20"/>
      <c r="N803" s="20"/>
      <c r="O803" s="24"/>
      <c r="P803" s="24"/>
      <c r="Q803" s="25"/>
      <c r="R803" s="24"/>
      <c r="S803" s="20"/>
      <c r="T803" s="27"/>
      <c r="U803" s="20"/>
      <c r="V803" s="27">
        <f t="shared" si="109"/>
        <v>1004250</v>
      </c>
      <c r="W803" s="26">
        <f t="shared" si="105"/>
        <v>1004250</v>
      </c>
      <c r="X803" s="27">
        <v>0</v>
      </c>
      <c r="Y803" s="78">
        <f t="shared" si="106"/>
        <v>1004250</v>
      </c>
      <c r="Z803" s="49">
        <v>1E-4</v>
      </c>
    </row>
    <row r="804" spans="1:26" s="29" customFormat="1" ht="90.75" customHeight="1" x14ac:dyDescent="0.25">
      <c r="A804" s="20">
        <v>642</v>
      </c>
      <c r="B804" s="20" t="s">
        <v>0</v>
      </c>
      <c r="C804" s="20">
        <v>7585</v>
      </c>
      <c r="D804" s="21">
        <v>9</v>
      </c>
      <c r="E804" s="21">
        <v>2</v>
      </c>
      <c r="F804" s="22">
        <v>93</v>
      </c>
      <c r="G804" s="22" t="s">
        <v>198</v>
      </c>
      <c r="H804" s="24">
        <f t="shared" si="107"/>
        <v>3893</v>
      </c>
      <c r="I804" s="25" t="s">
        <v>77</v>
      </c>
      <c r="J804" s="24">
        <f t="shared" si="108"/>
        <v>2919750</v>
      </c>
      <c r="K804" s="20"/>
      <c r="L804" s="20"/>
      <c r="M804" s="20"/>
      <c r="N804" s="20"/>
      <c r="O804" s="24"/>
      <c r="P804" s="24"/>
      <c r="Q804" s="25"/>
      <c r="R804" s="24"/>
      <c r="S804" s="20"/>
      <c r="T804" s="27"/>
      <c r="U804" s="20"/>
      <c r="V804" s="27">
        <f t="shared" si="109"/>
        <v>2919750</v>
      </c>
      <c r="W804" s="26">
        <f t="shared" si="105"/>
        <v>2919750</v>
      </c>
      <c r="X804" s="27">
        <v>0</v>
      </c>
      <c r="Y804" s="78">
        <f t="shared" si="106"/>
        <v>2919750</v>
      </c>
      <c r="Z804" s="49">
        <v>1E-4</v>
      </c>
    </row>
    <row r="805" spans="1:26" s="29" customFormat="1" ht="90.75" customHeight="1" x14ac:dyDescent="0.25">
      <c r="A805" s="20">
        <v>643</v>
      </c>
      <c r="B805" s="20" t="s">
        <v>0</v>
      </c>
      <c r="C805" s="20">
        <v>7582</v>
      </c>
      <c r="D805" s="21">
        <v>28</v>
      </c>
      <c r="E805" s="21">
        <v>0</v>
      </c>
      <c r="F805" s="22">
        <v>88</v>
      </c>
      <c r="G805" s="22" t="s">
        <v>198</v>
      </c>
      <c r="H805" s="24">
        <f t="shared" si="107"/>
        <v>11288</v>
      </c>
      <c r="I805" s="25" t="s">
        <v>75</v>
      </c>
      <c r="J805" s="24">
        <f t="shared" si="108"/>
        <v>7055000</v>
      </c>
      <c r="K805" s="20"/>
      <c r="L805" s="20"/>
      <c r="M805" s="20"/>
      <c r="N805" s="20"/>
      <c r="O805" s="24"/>
      <c r="P805" s="24"/>
      <c r="Q805" s="25"/>
      <c r="R805" s="24"/>
      <c r="S805" s="20"/>
      <c r="T805" s="27"/>
      <c r="U805" s="20"/>
      <c r="V805" s="27">
        <f t="shared" si="109"/>
        <v>7055000</v>
      </c>
      <c r="W805" s="26">
        <f t="shared" si="105"/>
        <v>7055000</v>
      </c>
      <c r="X805" s="27">
        <v>0</v>
      </c>
      <c r="Y805" s="78">
        <f t="shared" si="106"/>
        <v>7055000</v>
      </c>
      <c r="Z805" s="49">
        <v>1E-4</v>
      </c>
    </row>
    <row r="806" spans="1:26" s="29" customFormat="1" ht="90.75" customHeight="1" x14ac:dyDescent="0.25">
      <c r="A806" s="20">
        <v>644</v>
      </c>
      <c r="B806" s="20" t="s">
        <v>0</v>
      </c>
      <c r="C806" s="20">
        <v>7922</v>
      </c>
      <c r="D806" s="21">
        <v>29</v>
      </c>
      <c r="E806" s="21">
        <v>1</v>
      </c>
      <c r="F806" s="22">
        <v>20</v>
      </c>
      <c r="G806" s="22" t="s">
        <v>198</v>
      </c>
      <c r="H806" s="24">
        <f t="shared" si="107"/>
        <v>11720</v>
      </c>
      <c r="I806" s="25" t="s">
        <v>80</v>
      </c>
      <c r="J806" s="24">
        <f t="shared" si="108"/>
        <v>6739000</v>
      </c>
      <c r="K806" s="20"/>
      <c r="L806" s="20"/>
      <c r="M806" s="20"/>
      <c r="N806" s="20"/>
      <c r="O806" s="24"/>
      <c r="P806" s="24"/>
      <c r="Q806" s="25"/>
      <c r="R806" s="24"/>
      <c r="S806" s="20"/>
      <c r="T806" s="27"/>
      <c r="U806" s="20"/>
      <c r="V806" s="27">
        <f t="shared" si="109"/>
        <v>6739000</v>
      </c>
      <c r="W806" s="26">
        <f t="shared" si="105"/>
        <v>6739000</v>
      </c>
      <c r="X806" s="27">
        <v>0</v>
      </c>
      <c r="Y806" s="78">
        <f t="shared" si="106"/>
        <v>6739000</v>
      </c>
      <c r="Z806" s="49">
        <v>1E-4</v>
      </c>
    </row>
    <row r="807" spans="1:26" s="29" customFormat="1" ht="90.75" customHeight="1" x14ac:dyDescent="0.25">
      <c r="A807" s="20">
        <v>645</v>
      </c>
      <c r="B807" s="20" t="s">
        <v>0</v>
      </c>
      <c r="C807" s="20">
        <v>11580</v>
      </c>
      <c r="D807" s="21">
        <v>57</v>
      </c>
      <c r="E807" s="21">
        <v>3</v>
      </c>
      <c r="F807" s="22">
        <v>20</v>
      </c>
      <c r="G807" s="22" t="s">
        <v>198</v>
      </c>
      <c r="H807" s="24">
        <f t="shared" si="107"/>
        <v>23120</v>
      </c>
      <c r="I807" s="25">
        <v>200</v>
      </c>
      <c r="J807" s="24">
        <f t="shared" si="108"/>
        <v>4624000</v>
      </c>
      <c r="K807" s="20"/>
      <c r="L807" s="20"/>
      <c r="M807" s="20"/>
      <c r="N807" s="20"/>
      <c r="O807" s="24"/>
      <c r="P807" s="24"/>
      <c r="Q807" s="25"/>
      <c r="R807" s="24"/>
      <c r="S807" s="20"/>
      <c r="T807" s="27"/>
      <c r="U807" s="20"/>
      <c r="V807" s="27">
        <f t="shared" si="109"/>
        <v>4624000</v>
      </c>
      <c r="W807" s="26">
        <f t="shared" si="105"/>
        <v>4624000</v>
      </c>
      <c r="X807" s="27">
        <v>0</v>
      </c>
      <c r="Y807" s="78">
        <f t="shared" si="106"/>
        <v>4624000</v>
      </c>
      <c r="Z807" s="49">
        <v>1E-4</v>
      </c>
    </row>
    <row r="808" spans="1:26" s="29" customFormat="1" ht="90.75" customHeight="1" x14ac:dyDescent="0.25">
      <c r="A808" s="20">
        <v>646</v>
      </c>
      <c r="B808" s="20" t="s">
        <v>0</v>
      </c>
      <c r="C808" s="20">
        <v>46105</v>
      </c>
      <c r="D808" s="21">
        <v>3</v>
      </c>
      <c r="E808" s="21">
        <v>2</v>
      </c>
      <c r="F808" s="22">
        <v>11</v>
      </c>
      <c r="G808" s="22" t="s">
        <v>198</v>
      </c>
      <c r="H808" s="24">
        <f t="shared" si="107"/>
        <v>1411</v>
      </c>
      <c r="I808" s="25" t="s">
        <v>75</v>
      </c>
      <c r="J808" s="24">
        <f t="shared" si="108"/>
        <v>881875</v>
      </c>
      <c r="K808" s="20"/>
      <c r="L808" s="20"/>
      <c r="M808" s="20"/>
      <c r="N808" s="20"/>
      <c r="O808" s="24"/>
      <c r="P808" s="24"/>
      <c r="Q808" s="25"/>
      <c r="R808" s="24"/>
      <c r="S808" s="20"/>
      <c r="T808" s="27"/>
      <c r="U808" s="20"/>
      <c r="V808" s="27">
        <f t="shared" si="109"/>
        <v>881875</v>
      </c>
      <c r="W808" s="26">
        <f t="shared" si="105"/>
        <v>881875</v>
      </c>
      <c r="X808" s="27">
        <v>0</v>
      </c>
      <c r="Y808" s="78">
        <f t="shared" si="106"/>
        <v>881875</v>
      </c>
      <c r="Z808" s="49">
        <v>1E-4</v>
      </c>
    </row>
    <row r="809" spans="1:26" s="29" customFormat="1" ht="90.75" customHeight="1" x14ac:dyDescent="0.25">
      <c r="A809" s="20">
        <v>647</v>
      </c>
      <c r="B809" s="20" t="s">
        <v>0</v>
      </c>
      <c r="C809" s="20">
        <v>10591</v>
      </c>
      <c r="D809" s="21">
        <v>12</v>
      </c>
      <c r="E809" s="21">
        <v>0</v>
      </c>
      <c r="F809" s="22">
        <v>97</v>
      </c>
      <c r="G809" s="22" t="s">
        <v>198</v>
      </c>
      <c r="H809" s="24">
        <f t="shared" si="107"/>
        <v>4897</v>
      </c>
      <c r="I809" s="25" t="s">
        <v>19</v>
      </c>
      <c r="J809" s="24">
        <f t="shared" si="108"/>
        <v>1836375</v>
      </c>
      <c r="K809" s="20"/>
      <c r="L809" s="20"/>
      <c r="M809" s="20"/>
      <c r="N809" s="20"/>
      <c r="O809" s="24"/>
      <c r="P809" s="24"/>
      <c r="Q809" s="25"/>
      <c r="R809" s="24"/>
      <c r="S809" s="20"/>
      <c r="T809" s="27"/>
      <c r="U809" s="20"/>
      <c r="V809" s="27">
        <f t="shared" si="109"/>
        <v>1836375</v>
      </c>
      <c r="W809" s="26">
        <f t="shared" si="105"/>
        <v>1836375</v>
      </c>
      <c r="X809" s="27">
        <v>0</v>
      </c>
      <c r="Y809" s="78">
        <f t="shared" si="106"/>
        <v>1836375</v>
      </c>
      <c r="Z809" s="49">
        <v>1E-4</v>
      </c>
    </row>
    <row r="810" spans="1:26" s="29" customFormat="1" ht="90.75" customHeight="1" x14ac:dyDescent="0.25">
      <c r="A810" s="20">
        <v>648</v>
      </c>
      <c r="B810" s="20" t="s">
        <v>0</v>
      </c>
      <c r="C810" s="20">
        <v>11764</v>
      </c>
      <c r="D810" s="21">
        <v>35</v>
      </c>
      <c r="E810" s="21">
        <v>0</v>
      </c>
      <c r="F810" s="22">
        <v>98</v>
      </c>
      <c r="G810" s="22" t="s">
        <v>198</v>
      </c>
      <c r="H810" s="24">
        <f t="shared" si="107"/>
        <v>14098</v>
      </c>
      <c r="I810" s="25" t="s">
        <v>80</v>
      </c>
      <c r="J810" s="24">
        <f t="shared" si="108"/>
        <v>8106350</v>
      </c>
      <c r="K810" s="20"/>
      <c r="L810" s="20"/>
      <c r="M810" s="20"/>
      <c r="N810" s="20"/>
      <c r="O810" s="24"/>
      <c r="P810" s="24"/>
      <c r="Q810" s="25"/>
      <c r="R810" s="24"/>
      <c r="S810" s="20"/>
      <c r="T810" s="27"/>
      <c r="U810" s="20"/>
      <c r="V810" s="27">
        <f t="shared" si="109"/>
        <v>8106350</v>
      </c>
      <c r="W810" s="26">
        <f t="shared" si="105"/>
        <v>8106350</v>
      </c>
      <c r="X810" s="27">
        <v>0</v>
      </c>
      <c r="Y810" s="78">
        <f t="shared" si="106"/>
        <v>8106350</v>
      </c>
      <c r="Z810" s="49">
        <v>1E-4</v>
      </c>
    </row>
    <row r="811" spans="1:26" s="29" customFormat="1" ht="90.75" customHeight="1" x14ac:dyDescent="0.25">
      <c r="A811" s="20">
        <v>649</v>
      </c>
      <c r="B811" s="20" t="s">
        <v>0</v>
      </c>
      <c r="C811" s="20">
        <v>7817</v>
      </c>
      <c r="D811" s="21">
        <v>107</v>
      </c>
      <c r="E811" s="21">
        <v>2</v>
      </c>
      <c r="F811" s="22">
        <v>3</v>
      </c>
      <c r="G811" s="22" t="s">
        <v>198</v>
      </c>
      <c r="H811" s="24">
        <f t="shared" si="107"/>
        <v>43003</v>
      </c>
      <c r="I811" s="25" t="s">
        <v>7</v>
      </c>
      <c r="J811" s="24">
        <f t="shared" si="108"/>
        <v>15051050</v>
      </c>
      <c r="K811" s="20"/>
      <c r="L811" s="20"/>
      <c r="M811" s="20"/>
      <c r="N811" s="20"/>
      <c r="O811" s="24"/>
      <c r="P811" s="24"/>
      <c r="Q811" s="25"/>
      <c r="R811" s="24"/>
      <c r="S811" s="20"/>
      <c r="T811" s="27"/>
      <c r="U811" s="20"/>
      <c r="V811" s="27">
        <f t="shared" si="109"/>
        <v>15051050</v>
      </c>
      <c r="W811" s="26">
        <f t="shared" si="105"/>
        <v>15051050</v>
      </c>
      <c r="X811" s="27">
        <v>0</v>
      </c>
      <c r="Y811" s="78">
        <f t="shared" si="106"/>
        <v>15051050</v>
      </c>
      <c r="Z811" s="49">
        <v>1E-4</v>
      </c>
    </row>
    <row r="812" spans="1:26" s="29" customFormat="1" ht="90.75" customHeight="1" x14ac:dyDescent="0.25">
      <c r="A812" s="20">
        <v>650</v>
      </c>
      <c r="B812" s="20" t="s">
        <v>0</v>
      </c>
      <c r="C812" s="20">
        <v>7945</v>
      </c>
      <c r="D812" s="21">
        <v>63</v>
      </c>
      <c r="E812" s="21">
        <v>2</v>
      </c>
      <c r="F812" s="22">
        <v>32</v>
      </c>
      <c r="G812" s="22" t="s">
        <v>198</v>
      </c>
      <c r="H812" s="24">
        <f t="shared" si="107"/>
        <v>25432</v>
      </c>
      <c r="I812" s="25" t="s">
        <v>7</v>
      </c>
      <c r="J812" s="24">
        <f t="shared" si="108"/>
        <v>8901200</v>
      </c>
      <c r="K812" s="20"/>
      <c r="L812" s="20"/>
      <c r="M812" s="20"/>
      <c r="N812" s="20"/>
      <c r="O812" s="24"/>
      <c r="P812" s="24"/>
      <c r="Q812" s="25"/>
      <c r="R812" s="24"/>
      <c r="S812" s="20"/>
      <c r="T812" s="27"/>
      <c r="U812" s="20"/>
      <c r="V812" s="27">
        <f t="shared" si="109"/>
        <v>8901200</v>
      </c>
      <c r="W812" s="26">
        <f t="shared" si="105"/>
        <v>8901200</v>
      </c>
      <c r="X812" s="27">
        <v>0</v>
      </c>
      <c r="Y812" s="78">
        <f t="shared" si="106"/>
        <v>8901200</v>
      </c>
      <c r="Z812" s="49">
        <v>1E-4</v>
      </c>
    </row>
    <row r="813" spans="1:26" s="29" customFormat="1" ht="90.75" customHeight="1" x14ac:dyDescent="0.25">
      <c r="A813" s="20">
        <v>651</v>
      </c>
      <c r="B813" s="20" t="s">
        <v>0</v>
      </c>
      <c r="C813" s="20">
        <v>10594</v>
      </c>
      <c r="D813" s="21">
        <v>15</v>
      </c>
      <c r="E813" s="21">
        <v>3</v>
      </c>
      <c r="F813" s="22">
        <v>13</v>
      </c>
      <c r="G813" s="22" t="s">
        <v>198</v>
      </c>
      <c r="H813" s="24">
        <f t="shared" si="107"/>
        <v>6313</v>
      </c>
      <c r="I813" s="25" t="s">
        <v>7</v>
      </c>
      <c r="J813" s="24">
        <f t="shared" si="108"/>
        <v>2209550</v>
      </c>
      <c r="K813" s="20"/>
      <c r="L813" s="20"/>
      <c r="M813" s="20"/>
      <c r="N813" s="20"/>
      <c r="O813" s="24"/>
      <c r="P813" s="24"/>
      <c r="Q813" s="25"/>
      <c r="R813" s="24"/>
      <c r="S813" s="20"/>
      <c r="T813" s="27"/>
      <c r="U813" s="20"/>
      <c r="V813" s="27">
        <f t="shared" si="109"/>
        <v>2209550</v>
      </c>
      <c r="W813" s="26">
        <f t="shared" si="105"/>
        <v>2209550</v>
      </c>
      <c r="X813" s="27">
        <v>0</v>
      </c>
      <c r="Y813" s="78">
        <f t="shared" si="106"/>
        <v>2209550</v>
      </c>
      <c r="Z813" s="49">
        <v>1E-4</v>
      </c>
    </row>
    <row r="814" spans="1:26" s="29" customFormat="1" ht="90.75" customHeight="1" x14ac:dyDescent="0.25">
      <c r="A814" s="20">
        <v>652</v>
      </c>
      <c r="B814" s="20" t="s">
        <v>0</v>
      </c>
      <c r="C814" s="20">
        <v>8278</v>
      </c>
      <c r="D814" s="21">
        <v>32</v>
      </c>
      <c r="E814" s="21">
        <v>0</v>
      </c>
      <c r="F814" s="22">
        <v>42</v>
      </c>
      <c r="G814" s="22" t="s">
        <v>198</v>
      </c>
      <c r="H814" s="24">
        <f t="shared" si="107"/>
        <v>12842</v>
      </c>
      <c r="I814" s="25" t="s">
        <v>75</v>
      </c>
      <c r="J814" s="24">
        <f t="shared" si="108"/>
        <v>8026250</v>
      </c>
      <c r="K814" s="20"/>
      <c r="L814" s="20"/>
      <c r="M814" s="20"/>
      <c r="N814" s="20"/>
      <c r="O814" s="24"/>
      <c r="P814" s="24"/>
      <c r="Q814" s="25"/>
      <c r="R814" s="24"/>
      <c r="S814" s="20"/>
      <c r="T814" s="27"/>
      <c r="U814" s="20"/>
      <c r="V814" s="27">
        <f t="shared" si="109"/>
        <v>8026250</v>
      </c>
      <c r="W814" s="26">
        <f t="shared" si="105"/>
        <v>8026250</v>
      </c>
      <c r="X814" s="27">
        <v>0</v>
      </c>
      <c r="Y814" s="78">
        <f t="shared" si="106"/>
        <v>8026250</v>
      </c>
      <c r="Z814" s="49">
        <v>1E-4</v>
      </c>
    </row>
    <row r="815" spans="1:26" s="29" customFormat="1" ht="90.75" customHeight="1" x14ac:dyDescent="0.25">
      <c r="A815" s="20">
        <v>653</v>
      </c>
      <c r="B815" s="20" t="s">
        <v>0</v>
      </c>
      <c r="C815" s="20">
        <v>11283</v>
      </c>
      <c r="D815" s="21">
        <v>71</v>
      </c>
      <c r="E815" s="21">
        <v>3</v>
      </c>
      <c r="F815" s="22">
        <v>18</v>
      </c>
      <c r="G815" s="22" t="s">
        <v>198</v>
      </c>
      <c r="H815" s="24">
        <f t="shared" si="107"/>
        <v>28718</v>
      </c>
      <c r="I815" s="25" t="s">
        <v>7</v>
      </c>
      <c r="J815" s="24">
        <f t="shared" si="108"/>
        <v>10051300</v>
      </c>
      <c r="K815" s="20"/>
      <c r="L815" s="20"/>
      <c r="M815" s="20"/>
      <c r="N815" s="20"/>
      <c r="O815" s="24"/>
      <c r="P815" s="24"/>
      <c r="Q815" s="25"/>
      <c r="R815" s="24"/>
      <c r="S815" s="20"/>
      <c r="T815" s="27"/>
      <c r="U815" s="20"/>
      <c r="V815" s="27">
        <f t="shared" si="109"/>
        <v>10051300</v>
      </c>
      <c r="W815" s="26">
        <f t="shared" si="105"/>
        <v>10051300</v>
      </c>
      <c r="X815" s="27">
        <v>0</v>
      </c>
      <c r="Y815" s="78">
        <f t="shared" si="106"/>
        <v>10051300</v>
      </c>
      <c r="Z815" s="49">
        <v>1E-4</v>
      </c>
    </row>
    <row r="816" spans="1:26" s="29" customFormat="1" ht="90.75" customHeight="1" x14ac:dyDescent="0.25">
      <c r="A816" s="20">
        <v>654</v>
      </c>
      <c r="B816" s="20" t="s">
        <v>0</v>
      </c>
      <c r="C816" s="20">
        <v>46106</v>
      </c>
      <c r="D816" s="21">
        <v>2</v>
      </c>
      <c r="E816" s="21">
        <v>3</v>
      </c>
      <c r="F816" s="22">
        <v>27</v>
      </c>
      <c r="G816" s="22" t="s">
        <v>198</v>
      </c>
      <c r="H816" s="24">
        <f t="shared" si="107"/>
        <v>1127</v>
      </c>
      <c r="I816" s="25" t="s">
        <v>75</v>
      </c>
      <c r="J816" s="24">
        <f t="shared" si="108"/>
        <v>704375</v>
      </c>
      <c r="K816" s="20"/>
      <c r="L816" s="20"/>
      <c r="M816" s="20"/>
      <c r="N816" s="20"/>
      <c r="O816" s="24"/>
      <c r="P816" s="24"/>
      <c r="Q816" s="25"/>
      <c r="R816" s="24"/>
      <c r="S816" s="20"/>
      <c r="T816" s="27"/>
      <c r="U816" s="20"/>
      <c r="V816" s="27">
        <f t="shared" si="109"/>
        <v>704375</v>
      </c>
      <c r="W816" s="26">
        <f t="shared" si="105"/>
        <v>704375</v>
      </c>
      <c r="X816" s="27">
        <v>0</v>
      </c>
      <c r="Y816" s="78">
        <f t="shared" si="106"/>
        <v>704375</v>
      </c>
      <c r="Z816" s="49">
        <v>1E-4</v>
      </c>
    </row>
    <row r="817" spans="1:26" s="29" customFormat="1" ht="90.75" customHeight="1" x14ac:dyDescent="0.25">
      <c r="A817" s="20">
        <v>655</v>
      </c>
      <c r="B817" s="20" t="s">
        <v>0</v>
      </c>
      <c r="C817" s="20">
        <v>18216</v>
      </c>
      <c r="D817" s="21">
        <v>38</v>
      </c>
      <c r="E817" s="21">
        <v>1</v>
      </c>
      <c r="F817" s="22">
        <v>93</v>
      </c>
      <c r="G817" s="22" t="s">
        <v>198</v>
      </c>
      <c r="H817" s="24">
        <f t="shared" si="107"/>
        <v>15393</v>
      </c>
      <c r="I817" s="25" t="s">
        <v>75</v>
      </c>
      <c r="J817" s="24">
        <f t="shared" si="108"/>
        <v>9620625</v>
      </c>
      <c r="K817" s="20"/>
      <c r="L817" s="20"/>
      <c r="M817" s="20"/>
      <c r="N817" s="20"/>
      <c r="O817" s="24"/>
      <c r="P817" s="24"/>
      <c r="Q817" s="25"/>
      <c r="R817" s="24"/>
      <c r="S817" s="20"/>
      <c r="T817" s="27"/>
      <c r="U817" s="20"/>
      <c r="V817" s="27">
        <f t="shared" si="109"/>
        <v>9620625</v>
      </c>
      <c r="W817" s="26">
        <f t="shared" si="105"/>
        <v>9620625</v>
      </c>
      <c r="X817" s="27">
        <v>0</v>
      </c>
      <c r="Y817" s="78">
        <f t="shared" si="106"/>
        <v>9620625</v>
      </c>
      <c r="Z817" s="49">
        <v>1E-4</v>
      </c>
    </row>
    <row r="818" spans="1:26" s="29" customFormat="1" ht="90.75" customHeight="1" x14ac:dyDescent="0.25">
      <c r="A818" s="20">
        <v>656</v>
      </c>
      <c r="B818" s="20" t="s">
        <v>0</v>
      </c>
      <c r="C818" s="20">
        <v>7571</v>
      </c>
      <c r="D818" s="21">
        <v>2</v>
      </c>
      <c r="E818" s="21">
        <v>3</v>
      </c>
      <c r="F818" s="22">
        <v>95</v>
      </c>
      <c r="G818" s="22" t="s">
        <v>198</v>
      </c>
      <c r="H818" s="24">
        <f t="shared" si="107"/>
        <v>1195</v>
      </c>
      <c r="I818" s="25" t="s">
        <v>62</v>
      </c>
      <c r="J818" s="24">
        <f t="shared" si="108"/>
        <v>597500</v>
      </c>
      <c r="K818" s="20"/>
      <c r="L818" s="20"/>
      <c r="M818" s="20"/>
      <c r="N818" s="20"/>
      <c r="O818" s="24"/>
      <c r="P818" s="24"/>
      <c r="Q818" s="25"/>
      <c r="R818" s="24"/>
      <c r="S818" s="20"/>
      <c r="T818" s="27"/>
      <c r="U818" s="20"/>
      <c r="V818" s="27">
        <f t="shared" si="109"/>
        <v>597500</v>
      </c>
      <c r="W818" s="26">
        <f t="shared" si="105"/>
        <v>597500</v>
      </c>
      <c r="X818" s="27">
        <v>0</v>
      </c>
      <c r="Y818" s="78">
        <f t="shared" si="106"/>
        <v>597500</v>
      </c>
      <c r="Z818" s="49">
        <v>1E-4</v>
      </c>
    </row>
    <row r="819" spans="1:26" s="29" customFormat="1" ht="90.75" customHeight="1" x14ac:dyDescent="0.25">
      <c r="A819" s="20">
        <v>657</v>
      </c>
      <c r="B819" s="20" t="s">
        <v>0</v>
      </c>
      <c r="C819" s="20">
        <v>11718</v>
      </c>
      <c r="D819" s="21">
        <v>4</v>
      </c>
      <c r="E819" s="21">
        <v>2</v>
      </c>
      <c r="F819" s="22">
        <v>43</v>
      </c>
      <c r="G819" s="22" t="s">
        <v>198</v>
      </c>
      <c r="H819" s="24">
        <f t="shared" si="107"/>
        <v>1843</v>
      </c>
      <c r="I819" s="25">
        <v>575</v>
      </c>
      <c r="J819" s="24">
        <f t="shared" si="108"/>
        <v>1059725</v>
      </c>
      <c r="K819" s="20"/>
      <c r="L819" s="20"/>
      <c r="M819" s="20"/>
      <c r="N819" s="20"/>
      <c r="O819" s="24"/>
      <c r="P819" s="24"/>
      <c r="Q819" s="25"/>
      <c r="R819" s="24"/>
      <c r="S819" s="20"/>
      <c r="T819" s="27"/>
      <c r="U819" s="20"/>
      <c r="V819" s="27">
        <f t="shared" si="109"/>
        <v>1059725</v>
      </c>
      <c r="W819" s="26">
        <f t="shared" si="105"/>
        <v>1059725</v>
      </c>
      <c r="X819" s="27">
        <v>0</v>
      </c>
      <c r="Y819" s="78">
        <f t="shared" si="106"/>
        <v>1059725</v>
      </c>
      <c r="Z819" s="49">
        <v>1E-4</v>
      </c>
    </row>
    <row r="820" spans="1:26" s="29" customFormat="1" ht="90.75" customHeight="1" x14ac:dyDescent="0.25">
      <c r="A820" s="20">
        <v>658</v>
      </c>
      <c r="B820" s="20" t="s">
        <v>0</v>
      </c>
      <c r="C820" s="20">
        <v>8206</v>
      </c>
      <c r="D820" s="21">
        <v>24</v>
      </c>
      <c r="E820" s="21">
        <v>1</v>
      </c>
      <c r="F820" s="22">
        <v>62</v>
      </c>
      <c r="G820" s="22" t="s">
        <v>198</v>
      </c>
      <c r="H820" s="24">
        <f t="shared" si="107"/>
        <v>9762</v>
      </c>
      <c r="I820" s="25">
        <v>500</v>
      </c>
      <c r="J820" s="24">
        <f t="shared" si="108"/>
        <v>4881000</v>
      </c>
      <c r="K820" s="20"/>
      <c r="L820" s="20"/>
      <c r="M820" s="20"/>
      <c r="N820" s="20"/>
      <c r="O820" s="24"/>
      <c r="P820" s="24"/>
      <c r="Q820" s="25"/>
      <c r="R820" s="24"/>
      <c r="S820" s="20"/>
      <c r="T820" s="27"/>
      <c r="U820" s="20"/>
      <c r="V820" s="27">
        <f t="shared" si="109"/>
        <v>4881000</v>
      </c>
      <c r="W820" s="26">
        <f t="shared" si="105"/>
        <v>4881000</v>
      </c>
      <c r="X820" s="27">
        <v>0</v>
      </c>
      <c r="Y820" s="78">
        <f t="shared" si="106"/>
        <v>4881000</v>
      </c>
      <c r="Z820" s="49">
        <v>1E-4</v>
      </c>
    </row>
    <row r="821" spans="1:26" s="29" customFormat="1" ht="90.75" customHeight="1" x14ac:dyDescent="0.25">
      <c r="A821" s="20">
        <v>659</v>
      </c>
      <c r="B821" s="20" t="s">
        <v>0</v>
      </c>
      <c r="C821" s="20">
        <v>7552</v>
      </c>
      <c r="D821" s="21">
        <v>15</v>
      </c>
      <c r="E821" s="21">
        <v>2</v>
      </c>
      <c r="F821" s="22">
        <v>16</v>
      </c>
      <c r="G821" s="22" t="s">
        <v>198</v>
      </c>
      <c r="H821" s="24">
        <f t="shared" si="107"/>
        <v>6216</v>
      </c>
      <c r="I821" s="25" t="s">
        <v>32</v>
      </c>
      <c r="J821" s="24">
        <f t="shared" si="108"/>
        <v>1243200</v>
      </c>
      <c r="K821" s="20"/>
      <c r="L821" s="20"/>
      <c r="M821" s="20"/>
      <c r="N821" s="20"/>
      <c r="O821" s="24"/>
      <c r="P821" s="24"/>
      <c r="Q821" s="25"/>
      <c r="R821" s="24"/>
      <c r="S821" s="20"/>
      <c r="T821" s="27"/>
      <c r="U821" s="20"/>
      <c r="V821" s="27">
        <f t="shared" si="109"/>
        <v>1243200</v>
      </c>
      <c r="W821" s="26">
        <f t="shared" si="105"/>
        <v>1243200</v>
      </c>
      <c r="X821" s="27">
        <v>0</v>
      </c>
      <c r="Y821" s="78">
        <f t="shared" si="106"/>
        <v>1243200</v>
      </c>
      <c r="Z821" s="49">
        <v>1E-4</v>
      </c>
    </row>
    <row r="822" spans="1:26" s="29" customFormat="1" ht="90.75" customHeight="1" x14ac:dyDescent="0.25">
      <c r="A822" s="20">
        <v>660</v>
      </c>
      <c r="B822" s="20" t="s">
        <v>0</v>
      </c>
      <c r="C822" s="20">
        <v>7573</v>
      </c>
      <c r="D822" s="21">
        <v>20</v>
      </c>
      <c r="E822" s="21">
        <v>1</v>
      </c>
      <c r="F822" s="22">
        <v>78</v>
      </c>
      <c r="G822" s="22" t="s">
        <v>198</v>
      </c>
      <c r="H822" s="24">
        <f t="shared" si="107"/>
        <v>8178</v>
      </c>
      <c r="I822" s="25" t="s">
        <v>19</v>
      </c>
      <c r="J822" s="24">
        <f t="shared" si="108"/>
        <v>3066750</v>
      </c>
      <c r="K822" s="20"/>
      <c r="L822" s="20"/>
      <c r="M822" s="20"/>
      <c r="N822" s="20"/>
      <c r="O822" s="24"/>
      <c r="P822" s="24"/>
      <c r="Q822" s="25"/>
      <c r="R822" s="24"/>
      <c r="S822" s="20"/>
      <c r="T822" s="27"/>
      <c r="U822" s="20"/>
      <c r="V822" s="27">
        <f t="shared" si="109"/>
        <v>3066750</v>
      </c>
      <c r="W822" s="26">
        <f t="shared" si="105"/>
        <v>3066750</v>
      </c>
      <c r="X822" s="27">
        <v>0</v>
      </c>
      <c r="Y822" s="78">
        <f t="shared" si="106"/>
        <v>3066750</v>
      </c>
      <c r="Z822" s="49">
        <v>1E-4</v>
      </c>
    </row>
    <row r="823" spans="1:26" s="29" customFormat="1" ht="90.75" customHeight="1" x14ac:dyDescent="0.25">
      <c r="A823" s="20">
        <v>661</v>
      </c>
      <c r="B823" s="20" t="s">
        <v>0</v>
      </c>
      <c r="C823" s="20">
        <v>8214</v>
      </c>
      <c r="D823" s="21">
        <v>17</v>
      </c>
      <c r="E823" s="21">
        <v>2</v>
      </c>
      <c r="F823" s="22">
        <v>12</v>
      </c>
      <c r="G823" s="22" t="s">
        <v>198</v>
      </c>
      <c r="H823" s="24">
        <f t="shared" si="107"/>
        <v>7012</v>
      </c>
      <c r="I823" s="25" t="s">
        <v>7</v>
      </c>
      <c r="J823" s="24">
        <f t="shared" si="108"/>
        <v>2454200</v>
      </c>
      <c r="K823" s="20"/>
      <c r="L823" s="20"/>
      <c r="M823" s="20"/>
      <c r="N823" s="20"/>
      <c r="O823" s="24"/>
      <c r="P823" s="24"/>
      <c r="Q823" s="25"/>
      <c r="R823" s="24"/>
      <c r="S823" s="20"/>
      <c r="T823" s="27"/>
      <c r="U823" s="20"/>
      <c r="V823" s="27">
        <f t="shared" si="109"/>
        <v>2454200</v>
      </c>
      <c r="W823" s="26">
        <f t="shared" si="105"/>
        <v>2454200</v>
      </c>
      <c r="X823" s="27">
        <v>0</v>
      </c>
      <c r="Y823" s="78">
        <f t="shared" si="106"/>
        <v>2454200</v>
      </c>
      <c r="Z823" s="49">
        <v>1E-4</v>
      </c>
    </row>
    <row r="824" spans="1:26" s="29" customFormat="1" ht="90.75" customHeight="1" x14ac:dyDescent="0.25">
      <c r="A824" s="20">
        <v>662</v>
      </c>
      <c r="B824" s="20" t="s">
        <v>0</v>
      </c>
      <c r="C824" s="20">
        <v>9833</v>
      </c>
      <c r="D824" s="21">
        <v>6</v>
      </c>
      <c r="E824" s="21">
        <v>1</v>
      </c>
      <c r="F824" s="22">
        <v>38</v>
      </c>
      <c r="G824" s="22" t="s">
        <v>198</v>
      </c>
      <c r="H824" s="24">
        <f t="shared" si="107"/>
        <v>2538</v>
      </c>
      <c r="I824" s="25" t="s">
        <v>62</v>
      </c>
      <c r="J824" s="24">
        <f t="shared" si="108"/>
        <v>1269000</v>
      </c>
      <c r="K824" s="20"/>
      <c r="L824" s="20"/>
      <c r="M824" s="20"/>
      <c r="N824" s="20"/>
      <c r="O824" s="24"/>
      <c r="P824" s="24"/>
      <c r="Q824" s="25"/>
      <c r="R824" s="24"/>
      <c r="S824" s="20"/>
      <c r="T824" s="27"/>
      <c r="U824" s="20"/>
      <c r="V824" s="27">
        <f t="shared" si="109"/>
        <v>1269000</v>
      </c>
      <c r="W824" s="26">
        <f t="shared" si="105"/>
        <v>1269000</v>
      </c>
      <c r="X824" s="27">
        <v>0</v>
      </c>
      <c r="Y824" s="78">
        <f t="shared" si="106"/>
        <v>1269000</v>
      </c>
      <c r="Z824" s="49">
        <v>1E-4</v>
      </c>
    </row>
    <row r="825" spans="1:26" s="29" customFormat="1" ht="90.75" customHeight="1" x14ac:dyDescent="0.25">
      <c r="A825" s="20">
        <v>663</v>
      </c>
      <c r="B825" s="20" t="s">
        <v>0</v>
      </c>
      <c r="C825" s="20">
        <v>8205</v>
      </c>
      <c r="D825" s="21">
        <v>22</v>
      </c>
      <c r="E825" s="21">
        <v>2</v>
      </c>
      <c r="F825" s="22">
        <v>52</v>
      </c>
      <c r="G825" s="22" t="s">
        <v>198</v>
      </c>
      <c r="H825" s="24">
        <f t="shared" si="107"/>
        <v>9052</v>
      </c>
      <c r="I825" s="25">
        <v>200</v>
      </c>
      <c r="J825" s="24">
        <f t="shared" si="108"/>
        <v>1810400</v>
      </c>
      <c r="K825" s="20"/>
      <c r="L825" s="20"/>
      <c r="M825" s="20"/>
      <c r="N825" s="20"/>
      <c r="O825" s="24"/>
      <c r="P825" s="24"/>
      <c r="Q825" s="25"/>
      <c r="R825" s="24"/>
      <c r="S825" s="20"/>
      <c r="T825" s="27"/>
      <c r="U825" s="20"/>
      <c r="V825" s="27">
        <f t="shared" si="109"/>
        <v>1810400</v>
      </c>
      <c r="W825" s="26">
        <f t="shared" si="105"/>
        <v>1810400</v>
      </c>
      <c r="X825" s="27">
        <v>0</v>
      </c>
      <c r="Y825" s="78">
        <f t="shared" si="106"/>
        <v>1810400</v>
      </c>
      <c r="Z825" s="49">
        <v>1E-4</v>
      </c>
    </row>
    <row r="826" spans="1:26" s="29" customFormat="1" ht="90.75" customHeight="1" x14ac:dyDescent="0.25">
      <c r="A826" s="20">
        <v>664</v>
      </c>
      <c r="B826" s="20" t="s">
        <v>0</v>
      </c>
      <c r="C826" s="20">
        <v>8207</v>
      </c>
      <c r="D826" s="21">
        <v>8</v>
      </c>
      <c r="E826" s="21">
        <v>3</v>
      </c>
      <c r="F826" s="22">
        <v>56</v>
      </c>
      <c r="G826" s="22" t="s">
        <v>198</v>
      </c>
      <c r="H826" s="24">
        <f t="shared" si="107"/>
        <v>3556</v>
      </c>
      <c r="I826" s="25">
        <v>200</v>
      </c>
      <c r="J826" s="24">
        <f t="shared" si="108"/>
        <v>711200</v>
      </c>
      <c r="K826" s="20"/>
      <c r="L826" s="20"/>
      <c r="M826" s="20"/>
      <c r="N826" s="20"/>
      <c r="O826" s="24"/>
      <c r="P826" s="24"/>
      <c r="Q826" s="25"/>
      <c r="R826" s="24"/>
      <c r="S826" s="20"/>
      <c r="T826" s="27"/>
      <c r="U826" s="20"/>
      <c r="V826" s="27">
        <f t="shared" si="109"/>
        <v>711200</v>
      </c>
      <c r="W826" s="26">
        <f t="shared" si="105"/>
        <v>711200</v>
      </c>
      <c r="X826" s="27">
        <v>0</v>
      </c>
      <c r="Y826" s="78">
        <f t="shared" si="106"/>
        <v>711200</v>
      </c>
      <c r="Z826" s="49">
        <v>1E-4</v>
      </c>
    </row>
    <row r="827" spans="1:26" s="29" customFormat="1" ht="90.75" customHeight="1" x14ac:dyDescent="0.25">
      <c r="A827" s="20">
        <v>665</v>
      </c>
      <c r="B827" s="20" t="s">
        <v>0</v>
      </c>
      <c r="C827" s="20">
        <v>18138</v>
      </c>
      <c r="D827" s="21">
        <v>9</v>
      </c>
      <c r="E827" s="21">
        <v>0</v>
      </c>
      <c r="F827" s="22">
        <v>0</v>
      </c>
      <c r="G827" s="22" t="s">
        <v>198</v>
      </c>
      <c r="H827" s="24">
        <f t="shared" si="107"/>
        <v>3600</v>
      </c>
      <c r="I827" s="25" t="s">
        <v>7</v>
      </c>
      <c r="J827" s="24">
        <f t="shared" si="108"/>
        <v>1260000</v>
      </c>
      <c r="K827" s="20"/>
      <c r="L827" s="20"/>
      <c r="M827" s="20"/>
      <c r="N827" s="20"/>
      <c r="O827" s="24"/>
      <c r="P827" s="24"/>
      <c r="Q827" s="25"/>
      <c r="R827" s="24"/>
      <c r="S827" s="20"/>
      <c r="T827" s="27"/>
      <c r="U827" s="20"/>
      <c r="V827" s="27">
        <f t="shared" si="109"/>
        <v>1260000</v>
      </c>
      <c r="W827" s="26">
        <f t="shared" si="105"/>
        <v>1260000</v>
      </c>
      <c r="X827" s="27">
        <v>0</v>
      </c>
      <c r="Y827" s="78">
        <f t="shared" si="106"/>
        <v>1260000</v>
      </c>
      <c r="Z827" s="49">
        <v>1E-4</v>
      </c>
    </row>
    <row r="828" spans="1:26" s="29" customFormat="1" ht="90.75" customHeight="1" x14ac:dyDescent="0.25">
      <c r="A828" s="20">
        <v>666</v>
      </c>
      <c r="B828" s="20" t="s">
        <v>0</v>
      </c>
      <c r="C828" s="20">
        <v>7576</v>
      </c>
      <c r="D828" s="21">
        <v>8</v>
      </c>
      <c r="E828" s="21">
        <v>0</v>
      </c>
      <c r="F828" s="22">
        <v>45</v>
      </c>
      <c r="G828" s="22" t="s">
        <v>198</v>
      </c>
      <c r="H828" s="24">
        <f t="shared" si="107"/>
        <v>3245</v>
      </c>
      <c r="I828" s="25" t="s">
        <v>37</v>
      </c>
      <c r="J828" s="24">
        <f t="shared" si="108"/>
        <v>1379125</v>
      </c>
      <c r="K828" s="20"/>
      <c r="L828" s="20"/>
      <c r="M828" s="20"/>
      <c r="N828" s="20"/>
      <c r="O828" s="24"/>
      <c r="P828" s="24"/>
      <c r="Q828" s="25"/>
      <c r="R828" s="24"/>
      <c r="S828" s="20"/>
      <c r="T828" s="27"/>
      <c r="U828" s="20"/>
      <c r="V828" s="27">
        <f t="shared" si="109"/>
        <v>1379125</v>
      </c>
      <c r="W828" s="26">
        <f t="shared" si="105"/>
        <v>1379125</v>
      </c>
      <c r="X828" s="27">
        <v>0</v>
      </c>
      <c r="Y828" s="78">
        <f t="shared" si="106"/>
        <v>1379125</v>
      </c>
      <c r="Z828" s="49">
        <v>1E-4</v>
      </c>
    </row>
    <row r="829" spans="1:26" s="29" customFormat="1" ht="90.75" customHeight="1" x14ac:dyDescent="0.25">
      <c r="A829" s="20">
        <v>667</v>
      </c>
      <c r="B829" s="20" t="s">
        <v>0</v>
      </c>
      <c r="C829" s="20">
        <v>7577</v>
      </c>
      <c r="D829" s="21">
        <v>3</v>
      </c>
      <c r="E829" s="21">
        <v>0</v>
      </c>
      <c r="F829" s="22">
        <v>70</v>
      </c>
      <c r="G829" s="22" t="s">
        <v>198</v>
      </c>
      <c r="H829" s="24">
        <f t="shared" si="107"/>
        <v>1270</v>
      </c>
      <c r="I829" s="25" t="s">
        <v>32</v>
      </c>
      <c r="J829" s="24">
        <f t="shared" si="108"/>
        <v>254000</v>
      </c>
      <c r="K829" s="20"/>
      <c r="L829" s="20"/>
      <c r="M829" s="20"/>
      <c r="N829" s="20"/>
      <c r="O829" s="24"/>
      <c r="P829" s="24"/>
      <c r="Q829" s="25"/>
      <c r="R829" s="24"/>
      <c r="S829" s="20"/>
      <c r="T829" s="27"/>
      <c r="U829" s="20"/>
      <c r="V829" s="27">
        <f t="shared" si="109"/>
        <v>254000</v>
      </c>
      <c r="W829" s="26">
        <f t="shared" si="105"/>
        <v>254000</v>
      </c>
      <c r="X829" s="27">
        <v>0</v>
      </c>
      <c r="Y829" s="78">
        <f t="shared" si="106"/>
        <v>254000</v>
      </c>
      <c r="Z829" s="49">
        <v>1E-4</v>
      </c>
    </row>
    <row r="830" spans="1:26" s="29" customFormat="1" ht="90.75" customHeight="1" x14ac:dyDescent="0.25">
      <c r="A830" s="20">
        <v>668</v>
      </c>
      <c r="B830" s="20" t="s">
        <v>0</v>
      </c>
      <c r="C830" s="20">
        <v>12691</v>
      </c>
      <c r="D830" s="21">
        <v>14</v>
      </c>
      <c r="E830" s="21">
        <v>3</v>
      </c>
      <c r="F830" s="22">
        <v>97</v>
      </c>
      <c r="G830" s="22" t="s">
        <v>198</v>
      </c>
      <c r="H830" s="24">
        <f t="shared" si="107"/>
        <v>5997</v>
      </c>
      <c r="I830" s="25" t="s">
        <v>53</v>
      </c>
      <c r="J830" s="24">
        <f t="shared" si="108"/>
        <v>2698650</v>
      </c>
      <c r="K830" s="20"/>
      <c r="L830" s="20"/>
      <c r="M830" s="20"/>
      <c r="N830" s="20"/>
      <c r="O830" s="24"/>
      <c r="P830" s="24"/>
      <c r="Q830" s="25"/>
      <c r="R830" s="24"/>
      <c r="S830" s="20"/>
      <c r="T830" s="27"/>
      <c r="U830" s="20"/>
      <c r="V830" s="27">
        <f t="shared" si="109"/>
        <v>2698650</v>
      </c>
      <c r="W830" s="26">
        <f t="shared" si="105"/>
        <v>2698650</v>
      </c>
      <c r="X830" s="27">
        <v>0</v>
      </c>
      <c r="Y830" s="78">
        <f t="shared" si="106"/>
        <v>2698650</v>
      </c>
      <c r="Z830" s="49">
        <v>1E-4</v>
      </c>
    </row>
    <row r="831" spans="1:26" s="29" customFormat="1" ht="90.75" customHeight="1" x14ac:dyDescent="0.25">
      <c r="A831" s="20">
        <v>669</v>
      </c>
      <c r="B831" s="20" t="s">
        <v>0</v>
      </c>
      <c r="C831" s="20">
        <v>7622</v>
      </c>
      <c r="D831" s="21">
        <v>13</v>
      </c>
      <c r="E831" s="21">
        <v>3</v>
      </c>
      <c r="F831" s="22">
        <v>95</v>
      </c>
      <c r="G831" s="22" t="s">
        <v>198</v>
      </c>
      <c r="H831" s="24">
        <f t="shared" si="107"/>
        <v>5595</v>
      </c>
      <c r="I831" s="25" t="s">
        <v>7</v>
      </c>
      <c r="J831" s="24">
        <f t="shared" si="108"/>
        <v>1958250</v>
      </c>
      <c r="K831" s="20"/>
      <c r="L831" s="20"/>
      <c r="M831" s="20"/>
      <c r="N831" s="20"/>
      <c r="O831" s="24"/>
      <c r="P831" s="24"/>
      <c r="Q831" s="25"/>
      <c r="R831" s="24"/>
      <c r="S831" s="20"/>
      <c r="T831" s="27"/>
      <c r="U831" s="20"/>
      <c r="V831" s="27">
        <f t="shared" si="109"/>
        <v>1958250</v>
      </c>
      <c r="W831" s="26">
        <f t="shared" si="105"/>
        <v>1958250</v>
      </c>
      <c r="X831" s="27">
        <v>0</v>
      </c>
      <c r="Y831" s="78">
        <f t="shared" si="106"/>
        <v>1958250</v>
      </c>
      <c r="Z831" s="49">
        <v>1E-4</v>
      </c>
    </row>
    <row r="832" spans="1:26" s="29" customFormat="1" ht="90.75" customHeight="1" x14ac:dyDescent="0.25">
      <c r="A832" s="20">
        <v>670</v>
      </c>
      <c r="B832" s="20" t="s">
        <v>0</v>
      </c>
      <c r="C832" s="20">
        <v>7580</v>
      </c>
      <c r="D832" s="21">
        <v>14</v>
      </c>
      <c r="E832" s="21">
        <v>2</v>
      </c>
      <c r="F832" s="22">
        <v>35</v>
      </c>
      <c r="G832" s="22" t="s">
        <v>198</v>
      </c>
      <c r="H832" s="24">
        <f t="shared" si="107"/>
        <v>5835</v>
      </c>
      <c r="I832" s="25" t="s">
        <v>37</v>
      </c>
      <c r="J832" s="24">
        <f t="shared" si="108"/>
        <v>2479875</v>
      </c>
      <c r="K832" s="20"/>
      <c r="L832" s="20"/>
      <c r="M832" s="20"/>
      <c r="N832" s="20"/>
      <c r="O832" s="24"/>
      <c r="P832" s="24"/>
      <c r="Q832" s="25"/>
      <c r="R832" s="24"/>
      <c r="S832" s="20"/>
      <c r="T832" s="27"/>
      <c r="U832" s="20"/>
      <c r="V832" s="27">
        <f t="shared" si="109"/>
        <v>2479875</v>
      </c>
      <c r="W832" s="26">
        <f t="shared" si="105"/>
        <v>2479875</v>
      </c>
      <c r="X832" s="27">
        <v>0</v>
      </c>
      <c r="Y832" s="78">
        <f t="shared" si="106"/>
        <v>2479875</v>
      </c>
      <c r="Z832" s="49">
        <v>1E-4</v>
      </c>
    </row>
    <row r="833" spans="1:26" s="29" customFormat="1" ht="90.75" customHeight="1" x14ac:dyDescent="0.25">
      <c r="A833" s="20">
        <v>671</v>
      </c>
      <c r="B833" s="20" t="s">
        <v>0</v>
      </c>
      <c r="C833" s="20">
        <v>18146</v>
      </c>
      <c r="D833" s="21">
        <v>28</v>
      </c>
      <c r="E833" s="21">
        <v>2</v>
      </c>
      <c r="F833" s="22">
        <v>12</v>
      </c>
      <c r="G833" s="22" t="s">
        <v>198</v>
      </c>
      <c r="H833" s="24">
        <f t="shared" si="107"/>
        <v>11412</v>
      </c>
      <c r="I833" s="25" t="s">
        <v>80</v>
      </c>
      <c r="J833" s="24">
        <f t="shared" si="108"/>
        <v>6561900</v>
      </c>
      <c r="K833" s="20"/>
      <c r="L833" s="20"/>
      <c r="M833" s="20"/>
      <c r="N833" s="20"/>
      <c r="O833" s="24"/>
      <c r="P833" s="24"/>
      <c r="Q833" s="25"/>
      <c r="R833" s="24"/>
      <c r="S833" s="20"/>
      <c r="T833" s="27"/>
      <c r="U833" s="20"/>
      <c r="V833" s="27">
        <f t="shared" si="109"/>
        <v>6561900</v>
      </c>
      <c r="W833" s="26">
        <f t="shared" si="105"/>
        <v>6561900</v>
      </c>
      <c r="X833" s="27">
        <v>0</v>
      </c>
      <c r="Y833" s="78">
        <f t="shared" si="106"/>
        <v>6561900</v>
      </c>
      <c r="Z833" s="49">
        <v>1E-4</v>
      </c>
    </row>
    <row r="834" spans="1:26" s="29" customFormat="1" ht="90.75" customHeight="1" x14ac:dyDescent="0.25">
      <c r="A834" s="20">
        <v>672</v>
      </c>
      <c r="B834" s="20" t="s">
        <v>0</v>
      </c>
      <c r="C834" s="20">
        <v>32679</v>
      </c>
      <c r="D834" s="21">
        <v>29</v>
      </c>
      <c r="E834" s="21">
        <v>1</v>
      </c>
      <c r="F834" s="22">
        <v>21</v>
      </c>
      <c r="G834" s="22" t="s">
        <v>198</v>
      </c>
      <c r="H834" s="24">
        <f t="shared" si="107"/>
        <v>11721</v>
      </c>
      <c r="I834" s="25" t="s">
        <v>7</v>
      </c>
      <c r="J834" s="24">
        <f t="shared" si="108"/>
        <v>4102350</v>
      </c>
      <c r="K834" s="20"/>
      <c r="L834" s="20"/>
      <c r="M834" s="20"/>
      <c r="N834" s="20"/>
      <c r="O834" s="24"/>
      <c r="P834" s="24"/>
      <c r="Q834" s="25"/>
      <c r="R834" s="24"/>
      <c r="S834" s="20"/>
      <c r="T834" s="27"/>
      <c r="U834" s="20"/>
      <c r="V834" s="27">
        <f t="shared" si="109"/>
        <v>4102350</v>
      </c>
      <c r="W834" s="26">
        <f t="shared" ref="W834:W867" si="110">(V834*100/100)</f>
        <v>4102350</v>
      </c>
      <c r="X834" s="27">
        <v>0</v>
      </c>
      <c r="Y834" s="78">
        <f t="shared" ref="Y834:Y867" si="111">(W834-X834)</f>
        <v>4102350</v>
      </c>
      <c r="Z834" s="49">
        <v>1E-4</v>
      </c>
    </row>
    <row r="835" spans="1:26" s="29" customFormat="1" ht="90.75" customHeight="1" x14ac:dyDescent="0.25">
      <c r="A835" s="20">
        <v>673</v>
      </c>
      <c r="B835" s="20" t="s">
        <v>0</v>
      </c>
      <c r="C835" s="20">
        <v>7610</v>
      </c>
      <c r="D835" s="21">
        <v>16</v>
      </c>
      <c r="E835" s="21">
        <v>3</v>
      </c>
      <c r="F835" s="22">
        <v>12</v>
      </c>
      <c r="G835" s="22" t="s">
        <v>198</v>
      </c>
      <c r="H835" s="24">
        <f t="shared" ref="H835:H868" si="112">(D835*400)+(E835*100)+F835</f>
        <v>6712</v>
      </c>
      <c r="I835" s="25" t="s">
        <v>19</v>
      </c>
      <c r="J835" s="24">
        <f t="shared" ref="J835:J868" si="113">(H835*I835)</f>
        <v>2517000</v>
      </c>
      <c r="K835" s="20"/>
      <c r="L835" s="20"/>
      <c r="M835" s="20"/>
      <c r="N835" s="20"/>
      <c r="O835" s="24"/>
      <c r="P835" s="24"/>
      <c r="Q835" s="25"/>
      <c r="R835" s="24"/>
      <c r="S835" s="20"/>
      <c r="T835" s="27"/>
      <c r="U835" s="20"/>
      <c r="V835" s="27">
        <f t="shared" ref="V835:V867" si="114">(J835+U835)</f>
        <v>2517000</v>
      </c>
      <c r="W835" s="26">
        <f t="shared" si="110"/>
        <v>2517000</v>
      </c>
      <c r="X835" s="27">
        <v>0</v>
      </c>
      <c r="Y835" s="78">
        <f t="shared" si="111"/>
        <v>2517000</v>
      </c>
      <c r="Z835" s="49">
        <v>1E-4</v>
      </c>
    </row>
    <row r="836" spans="1:26" s="29" customFormat="1" ht="90.75" customHeight="1" x14ac:dyDescent="0.25">
      <c r="A836" s="20">
        <v>674</v>
      </c>
      <c r="B836" s="20" t="s">
        <v>0</v>
      </c>
      <c r="C836" s="20">
        <v>7586</v>
      </c>
      <c r="D836" s="21">
        <v>2</v>
      </c>
      <c r="E836" s="21">
        <v>2</v>
      </c>
      <c r="F836" s="22">
        <v>89</v>
      </c>
      <c r="G836" s="22" t="s">
        <v>198</v>
      </c>
      <c r="H836" s="24">
        <f t="shared" si="112"/>
        <v>1089</v>
      </c>
      <c r="I836" s="25" t="s">
        <v>78</v>
      </c>
      <c r="J836" s="24">
        <f t="shared" si="113"/>
        <v>952875</v>
      </c>
      <c r="K836" s="20"/>
      <c r="L836" s="20"/>
      <c r="M836" s="20"/>
      <c r="N836" s="20"/>
      <c r="O836" s="24"/>
      <c r="P836" s="24"/>
      <c r="Q836" s="25"/>
      <c r="R836" s="24"/>
      <c r="S836" s="20"/>
      <c r="T836" s="27"/>
      <c r="U836" s="20"/>
      <c r="V836" s="27">
        <f t="shared" si="114"/>
        <v>952875</v>
      </c>
      <c r="W836" s="26">
        <f t="shared" si="110"/>
        <v>952875</v>
      </c>
      <c r="X836" s="27">
        <v>0</v>
      </c>
      <c r="Y836" s="78">
        <f t="shared" si="111"/>
        <v>952875</v>
      </c>
      <c r="Z836" s="49">
        <v>1E-4</v>
      </c>
    </row>
    <row r="837" spans="1:26" s="29" customFormat="1" ht="90.75" customHeight="1" x14ac:dyDescent="0.25">
      <c r="A837" s="20">
        <v>675</v>
      </c>
      <c r="B837" s="20" t="s">
        <v>0</v>
      </c>
      <c r="C837" s="20">
        <v>9818</v>
      </c>
      <c r="D837" s="21">
        <v>17</v>
      </c>
      <c r="E837" s="21">
        <v>2</v>
      </c>
      <c r="F837" s="22">
        <v>30</v>
      </c>
      <c r="G837" s="22" t="s">
        <v>198</v>
      </c>
      <c r="H837" s="24">
        <f t="shared" si="112"/>
        <v>7030</v>
      </c>
      <c r="I837" s="25" t="s">
        <v>78</v>
      </c>
      <c r="J837" s="24">
        <f t="shared" si="113"/>
        <v>6151250</v>
      </c>
      <c r="K837" s="20"/>
      <c r="L837" s="20"/>
      <c r="M837" s="20"/>
      <c r="N837" s="20"/>
      <c r="O837" s="24"/>
      <c r="P837" s="24"/>
      <c r="Q837" s="25"/>
      <c r="R837" s="24"/>
      <c r="S837" s="20"/>
      <c r="T837" s="27"/>
      <c r="U837" s="20"/>
      <c r="V837" s="27">
        <f t="shared" si="114"/>
        <v>6151250</v>
      </c>
      <c r="W837" s="26">
        <f t="shared" si="110"/>
        <v>6151250</v>
      </c>
      <c r="X837" s="27">
        <v>0</v>
      </c>
      <c r="Y837" s="78">
        <f t="shared" si="111"/>
        <v>6151250</v>
      </c>
      <c r="Z837" s="49">
        <v>1E-4</v>
      </c>
    </row>
    <row r="838" spans="1:26" s="29" customFormat="1" ht="90.75" customHeight="1" x14ac:dyDescent="0.25">
      <c r="A838" s="20">
        <v>676</v>
      </c>
      <c r="B838" s="20" t="s">
        <v>0</v>
      </c>
      <c r="C838" s="20">
        <v>9894</v>
      </c>
      <c r="D838" s="21">
        <v>26</v>
      </c>
      <c r="E838" s="21">
        <v>2</v>
      </c>
      <c r="F838" s="22">
        <v>53</v>
      </c>
      <c r="G838" s="22" t="s">
        <v>198</v>
      </c>
      <c r="H838" s="24">
        <f t="shared" si="112"/>
        <v>10653</v>
      </c>
      <c r="I838" s="25" t="s">
        <v>80</v>
      </c>
      <c r="J838" s="24">
        <f t="shared" si="113"/>
        <v>6125475</v>
      </c>
      <c r="K838" s="20"/>
      <c r="L838" s="20"/>
      <c r="M838" s="20"/>
      <c r="N838" s="20"/>
      <c r="O838" s="24"/>
      <c r="P838" s="24"/>
      <c r="Q838" s="25"/>
      <c r="R838" s="24"/>
      <c r="S838" s="20"/>
      <c r="T838" s="27"/>
      <c r="U838" s="20"/>
      <c r="V838" s="27">
        <f t="shared" si="114"/>
        <v>6125475</v>
      </c>
      <c r="W838" s="26">
        <f t="shared" si="110"/>
        <v>6125475</v>
      </c>
      <c r="X838" s="27">
        <v>0</v>
      </c>
      <c r="Y838" s="78">
        <f t="shared" si="111"/>
        <v>6125475</v>
      </c>
      <c r="Z838" s="49">
        <v>1E-4</v>
      </c>
    </row>
    <row r="839" spans="1:26" s="29" customFormat="1" ht="90.75" customHeight="1" x14ac:dyDescent="0.25">
      <c r="A839" s="20">
        <v>677</v>
      </c>
      <c r="B839" s="20" t="s">
        <v>0</v>
      </c>
      <c r="C839" s="20">
        <v>9815</v>
      </c>
      <c r="D839" s="21">
        <v>19</v>
      </c>
      <c r="E839" s="21">
        <v>3</v>
      </c>
      <c r="F839" s="22">
        <v>71</v>
      </c>
      <c r="G839" s="22" t="s">
        <v>198</v>
      </c>
      <c r="H839" s="24">
        <f t="shared" si="112"/>
        <v>7971</v>
      </c>
      <c r="I839" s="25" t="s">
        <v>9</v>
      </c>
      <c r="J839" s="24">
        <f t="shared" si="113"/>
        <v>2391300</v>
      </c>
      <c r="K839" s="20"/>
      <c r="L839" s="20"/>
      <c r="M839" s="20"/>
      <c r="N839" s="20"/>
      <c r="O839" s="24"/>
      <c r="P839" s="24"/>
      <c r="Q839" s="25"/>
      <c r="R839" s="24"/>
      <c r="S839" s="20"/>
      <c r="T839" s="27"/>
      <c r="U839" s="20"/>
      <c r="V839" s="27">
        <f t="shared" si="114"/>
        <v>2391300</v>
      </c>
      <c r="W839" s="26">
        <f t="shared" si="110"/>
        <v>2391300</v>
      </c>
      <c r="X839" s="27">
        <v>0</v>
      </c>
      <c r="Y839" s="78">
        <f t="shared" si="111"/>
        <v>2391300</v>
      </c>
      <c r="Z839" s="49">
        <v>1E-4</v>
      </c>
    </row>
    <row r="840" spans="1:26" s="29" customFormat="1" ht="90.75" customHeight="1" x14ac:dyDescent="0.25">
      <c r="A840" s="20">
        <v>678</v>
      </c>
      <c r="B840" s="20" t="s">
        <v>0</v>
      </c>
      <c r="C840" s="20">
        <v>11585</v>
      </c>
      <c r="D840" s="21">
        <v>30</v>
      </c>
      <c r="E840" s="21">
        <v>1</v>
      </c>
      <c r="F840" s="22">
        <v>60</v>
      </c>
      <c r="G840" s="22" t="s">
        <v>198</v>
      </c>
      <c r="H840" s="24">
        <f t="shared" si="112"/>
        <v>12160</v>
      </c>
      <c r="I840" s="25">
        <v>850</v>
      </c>
      <c r="J840" s="24">
        <f t="shared" si="113"/>
        <v>10336000</v>
      </c>
      <c r="K840" s="20"/>
      <c r="L840" s="20"/>
      <c r="M840" s="20"/>
      <c r="N840" s="20"/>
      <c r="O840" s="24"/>
      <c r="P840" s="24"/>
      <c r="Q840" s="25"/>
      <c r="R840" s="24"/>
      <c r="S840" s="20"/>
      <c r="T840" s="27"/>
      <c r="U840" s="20"/>
      <c r="V840" s="27">
        <f t="shared" si="114"/>
        <v>10336000</v>
      </c>
      <c r="W840" s="26">
        <f t="shared" si="110"/>
        <v>10336000</v>
      </c>
      <c r="X840" s="27">
        <v>0</v>
      </c>
      <c r="Y840" s="78">
        <f t="shared" si="111"/>
        <v>10336000</v>
      </c>
      <c r="Z840" s="49">
        <v>1E-4</v>
      </c>
    </row>
    <row r="841" spans="1:26" s="29" customFormat="1" ht="90.75" customHeight="1" x14ac:dyDescent="0.25">
      <c r="A841" s="20">
        <v>679</v>
      </c>
      <c r="B841" s="20" t="s">
        <v>0</v>
      </c>
      <c r="C841" s="20">
        <v>11282</v>
      </c>
      <c r="D841" s="21">
        <v>1</v>
      </c>
      <c r="E841" s="21">
        <v>2</v>
      </c>
      <c r="F841" s="22">
        <v>96</v>
      </c>
      <c r="G841" s="22" t="s">
        <v>198</v>
      </c>
      <c r="H841" s="24">
        <f t="shared" si="112"/>
        <v>696</v>
      </c>
      <c r="I841" s="25" t="s">
        <v>75</v>
      </c>
      <c r="J841" s="24">
        <f t="shared" si="113"/>
        <v>435000</v>
      </c>
      <c r="K841" s="20"/>
      <c r="L841" s="20"/>
      <c r="M841" s="20"/>
      <c r="N841" s="20"/>
      <c r="O841" s="24"/>
      <c r="P841" s="24"/>
      <c r="Q841" s="25"/>
      <c r="R841" s="24"/>
      <c r="S841" s="20"/>
      <c r="T841" s="27"/>
      <c r="U841" s="20"/>
      <c r="V841" s="27">
        <f t="shared" si="114"/>
        <v>435000</v>
      </c>
      <c r="W841" s="26">
        <f t="shared" si="110"/>
        <v>435000</v>
      </c>
      <c r="X841" s="27">
        <v>0</v>
      </c>
      <c r="Y841" s="78">
        <f t="shared" si="111"/>
        <v>435000</v>
      </c>
      <c r="Z841" s="49">
        <v>1E-4</v>
      </c>
    </row>
    <row r="842" spans="1:26" s="29" customFormat="1" ht="90.75" customHeight="1" x14ac:dyDescent="0.25">
      <c r="A842" s="20">
        <v>680</v>
      </c>
      <c r="B842" s="20" t="s">
        <v>0</v>
      </c>
      <c r="C842" s="20">
        <v>10654</v>
      </c>
      <c r="D842" s="21">
        <v>11</v>
      </c>
      <c r="E842" s="21">
        <v>1</v>
      </c>
      <c r="F842" s="22">
        <v>55</v>
      </c>
      <c r="G842" s="22" t="s">
        <v>198</v>
      </c>
      <c r="H842" s="24">
        <f t="shared" si="112"/>
        <v>4555</v>
      </c>
      <c r="I842" s="25" t="s">
        <v>78</v>
      </c>
      <c r="J842" s="24">
        <f t="shared" si="113"/>
        <v>3985625</v>
      </c>
      <c r="K842" s="20"/>
      <c r="L842" s="20"/>
      <c r="M842" s="20"/>
      <c r="N842" s="20"/>
      <c r="O842" s="24"/>
      <c r="P842" s="24"/>
      <c r="Q842" s="25"/>
      <c r="R842" s="24"/>
      <c r="S842" s="20"/>
      <c r="T842" s="27"/>
      <c r="U842" s="20"/>
      <c r="V842" s="27">
        <f t="shared" si="114"/>
        <v>3985625</v>
      </c>
      <c r="W842" s="26">
        <f t="shared" si="110"/>
        <v>3985625</v>
      </c>
      <c r="X842" s="27">
        <v>0</v>
      </c>
      <c r="Y842" s="78">
        <f t="shared" si="111"/>
        <v>3985625</v>
      </c>
      <c r="Z842" s="49">
        <v>1E-4</v>
      </c>
    </row>
    <row r="843" spans="1:26" s="29" customFormat="1" ht="90.75" customHeight="1" x14ac:dyDescent="0.25">
      <c r="A843" s="20">
        <v>681</v>
      </c>
      <c r="B843" s="20" t="s">
        <v>0</v>
      </c>
      <c r="C843" s="20">
        <v>18215</v>
      </c>
      <c r="D843" s="21">
        <v>34</v>
      </c>
      <c r="E843" s="21">
        <v>3</v>
      </c>
      <c r="F843" s="22">
        <v>89</v>
      </c>
      <c r="G843" s="22" t="s">
        <v>198</v>
      </c>
      <c r="H843" s="24">
        <f t="shared" si="112"/>
        <v>13989</v>
      </c>
      <c r="I843" s="25" t="s">
        <v>75</v>
      </c>
      <c r="J843" s="24">
        <f t="shared" si="113"/>
        <v>8743125</v>
      </c>
      <c r="K843" s="20"/>
      <c r="L843" s="20"/>
      <c r="M843" s="20"/>
      <c r="N843" s="20"/>
      <c r="O843" s="24"/>
      <c r="P843" s="24"/>
      <c r="Q843" s="25"/>
      <c r="R843" s="24"/>
      <c r="S843" s="20"/>
      <c r="T843" s="27"/>
      <c r="U843" s="20"/>
      <c r="V843" s="27">
        <f t="shared" si="114"/>
        <v>8743125</v>
      </c>
      <c r="W843" s="26">
        <f t="shared" si="110"/>
        <v>8743125</v>
      </c>
      <c r="X843" s="27">
        <v>0</v>
      </c>
      <c r="Y843" s="78">
        <f t="shared" si="111"/>
        <v>8743125</v>
      </c>
      <c r="Z843" s="49">
        <v>1E-4</v>
      </c>
    </row>
    <row r="844" spans="1:26" s="29" customFormat="1" ht="90.75" customHeight="1" x14ac:dyDescent="0.25">
      <c r="A844" s="20">
        <v>682</v>
      </c>
      <c r="B844" s="20" t="s">
        <v>0</v>
      </c>
      <c r="C844" s="20">
        <v>10597</v>
      </c>
      <c r="D844" s="21">
        <v>2</v>
      </c>
      <c r="E844" s="21">
        <v>3</v>
      </c>
      <c r="F844" s="22">
        <v>27</v>
      </c>
      <c r="G844" s="22" t="s">
        <v>198</v>
      </c>
      <c r="H844" s="24">
        <f t="shared" si="112"/>
        <v>1127</v>
      </c>
      <c r="I844" s="25" t="s">
        <v>79</v>
      </c>
      <c r="J844" s="24">
        <f t="shared" si="113"/>
        <v>732550</v>
      </c>
      <c r="K844" s="20"/>
      <c r="L844" s="20"/>
      <c r="M844" s="20"/>
      <c r="N844" s="20"/>
      <c r="O844" s="24"/>
      <c r="P844" s="24"/>
      <c r="Q844" s="25"/>
      <c r="R844" s="24"/>
      <c r="S844" s="20"/>
      <c r="T844" s="27"/>
      <c r="U844" s="20"/>
      <c r="V844" s="27">
        <f t="shared" si="114"/>
        <v>732550</v>
      </c>
      <c r="W844" s="26">
        <f t="shared" si="110"/>
        <v>732550</v>
      </c>
      <c r="X844" s="27">
        <v>0</v>
      </c>
      <c r="Y844" s="78">
        <f t="shared" si="111"/>
        <v>732550</v>
      </c>
      <c r="Z844" s="49">
        <v>1E-4</v>
      </c>
    </row>
    <row r="845" spans="1:26" s="29" customFormat="1" ht="90.75" customHeight="1" x14ac:dyDescent="0.25">
      <c r="A845" s="20">
        <v>683</v>
      </c>
      <c r="B845" s="20" t="s">
        <v>0</v>
      </c>
      <c r="C845" s="20">
        <v>10598</v>
      </c>
      <c r="D845" s="21">
        <v>19</v>
      </c>
      <c r="E845" s="21">
        <v>1</v>
      </c>
      <c r="F845" s="22">
        <v>97</v>
      </c>
      <c r="G845" s="22" t="s">
        <v>198</v>
      </c>
      <c r="H845" s="24">
        <f t="shared" si="112"/>
        <v>7797</v>
      </c>
      <c r="I845" s="25" t="s">
        <v>9</v>
      </c>
      <c r="J845" s="24">
        <f t="shared" si="113"/>
        <v>2339100</v>
      </c>
      <c r="K845" s="20"/>
      <c r="L845" s="20"/>
      <c r="M845" s="20"/>
      <c r="N845" s="20"/>
      <c r="O845" s="24"/>
      <c r="P845" s="24"/>
      <c r="Q845" s="25"/>
      <c r="R845" s="24"/>
      <c r="S845" s="20"/>
      <c r="T845" s="27"/>
      <c r="U845" s="20"/>
      <c r="V845" s="27">
        <f t="shared" si="114"/>
        <v>2339100</v>
      </c>
      <c r="W845" s="26">
        <f t="shared" si="110"/>
        <v>2339100</v>
      </c>
      <c r="X845" s="27">
        <v>0</v>
      </c>
      <c r="Y845" s="78">
        <f t="shared" si="111"/>
        <v>2339100</v>
      </c>
      <c r="Z845" s="49">
        <v>1E-4</v>
      </c>
    </row>
    <row r="846" spans="1:26" s="29" customFormat="1" ht="90.75" customHeight="1" x14ac:dyDescent="0.25">
      <c r="A846" s="20">
        <v>684</v>
      </c>
      <c r="B846" s="20" t="s">
        <v>0</v>
      </c>
      <c r="C846" s="20">
        <v>10596</v>
      </c>
      <c r="D846" s="21">
        <v>19</v>
      </c>
      <c r="E846" s="21">
        <v>2</v>
      </c>
      <c r="F846" s="22">
        <v>56</v>
      </c>
      <c r="G846" s="22" t="s">
        <v>198</v>
      </c>
      <c r="H846" s="24">
        <f t="shared" si="112"/>
        <v>7856</v>
      </c>
      <c r="I846" s="25" t="s">
        <v>9</v>
      </c>
      <c r="J846" s="24">
        <f t="shared" si="113"/>
        <v>2356800</v>
      </c>
      <c r="K846" s="20"/>
      <c r="L846" s="20"/>
      <c r="M846" s="20"/>
      <c r="N846" s="20"/>
      <c r="O846" s="24"/>
      <c r="P846" s="24"/>
      <c r="Q846" s="25"/>
      <c r="R846" s="24"/>
      <c r="S846" s="20"/>
      <c r="T846" s="27"/>
      <c r="U846" s="20"/>
      <c r="V846" s="27">
        <f t="shared" si="114"/>
        <v>2356800</v>
      </c>
      <c r="W846" s="26">
        <f t="shared" si="110"/>
        <v>2356800</v>
      </c>
      <c r="X846" s="27">
        <v>0</v>
      </c>
      <c r="Y846" s="78">
        <f t="shared" si="111"/>
        <v>2356800</v>
      </c>
      <c r="Z846" s="49">
        <v>1E-4</v>
      </c>
    </row>
    <row r="847" spans="1:26" s="29" customFormat="1" ht="90.75" customHeight="1" x14ac:dyDescent="0.25">
      <c r="A847" s="20">
        <v>685</v>
      </c>
      <c r="B847" s="20" t="s">
        <v>0</v>
      </c>
      <c r="C847" s="20">
        <v>10603</v>
      </c>
      <c r="D847" s="21">
        <v>31</v>
      </c>
      <c r="E847" s="21">
        <v>2</v>
      </c>
      <c r="F847" s="22">
        <v>42</v>
      </c>
      <c r="G847" s="22" t="s">
        <v>198</v>
      </c>
      <c r="H847" s="24">
        <f t="shared" si="112"/>
        <v>12642</v>
      </c>
      <c r="I847" s="25" t="s">
        <v>9</v>
      </c>
      <c r="J847" s="24">
        <f t="shared" si="113"/>
        <v>3792600</v>
      </c>
      <c r="K847" s="20"/>
      <c r="L847" s="20"/>
      <c r="M847" s="20"/>
      <c r="N847" s="20"/>
      <c r="O847" s="24"/>
      <c r="P847" s="24"/>
      <c r="Q847" s="25"/>
      <c r="R847" s="24"/>
      <c r="S847" s="20"/>
      <c r="T847" s="27"/>
      <c r="U847" s="20"/>
      <c r="V847" s="27">
        <f t="shared" si="114"/>
        <v>3792600</v>
      </c>
      <c r="W847" s="26">
        <f t="shared" si="110"/>
        <v>3792600</v>
      </c>
      <c r="X847" s="27">
        <v>0</v>
      </c>
      <c r="Y847" s="78">
        <f t="shared" si="111"/>
        <v>3792600</v>
      </c>
      <c r="Z847" s="49">
        <v>1E-4</v>
      </c>
    </row>
    <row r="848" spans="1:26" s="29" customFormat="1" ht="90.75" customHeight="1" x14ac:dyDescent="0.25">
      <c r="A848" s="20">
        <v>686</v>
      </c>
      <c r="B848" s="20" t="s">
        <v>0</v>
      </c>
      <c r="C848" s="20">
        <v>6880</v>
      </c>
      <c r="D848" s="21">
        <v>5</v>
      </c>
      <c r="E848" s="21">
        <v>2</v>
      </c>
      <c r="F848" s="22">
        <v>89</v>
      </c>
      <c r="G848" s="22" t="s">
        <v>198</v>
      </c>
      <c r="H848" s="24">
        <f t="shared" si="112"/>
        <v>2289</v>
      </c>
      <c r="I848" s="25" t="s">
        <v>9</v>
      </c>
      <c r="J848" s="24">
        <f t="shared" si="113"/>
        <v>686700</v>
      </c>
      <c r="K848" s="20"/>
      <c r="L848" s="20"/>
      <c r="M848" s="20"/>
      <c r="N848" s="20"/>
      <c r="O848" s="24"/>
      <c r="P848" s="24"/>
      <c r="Q848" s="25"/>
      <c r="R848" s="24"/>
      <c r="S848" s="20"/>
      <c r="T848" s="27"/>
      <c r="U848" s="20"/>
      <c r="V848" s="27">
        <f t="shared" si="114"/>
        <v>686700</v>
      </c>
      <c r="W848" s="26">
        <f t="shared" si="110"/>
        <v>686700</v>
      </c>
      <c r="X848" s="27">
        <v>0</v>
      </c>
      <c r="Y848" s="78">
        <f t="shared" si="111"/>
        <v>686700</v>
      </c>
      <c r="Z848" s="49">
        <v>1E-4</v>
      </c>
    </row>
    <row r="849" spans="1:26" s="29" customFormat="1" ht="90.75" customHeight="1" x14ac:dyDescent="0.25">
      <c r="A849" s="20">
        <v>687</v>
      </c>
      <c r="B849" s="20" t="s">
        <v>0</v>
      </c>
      <c r="C849" s="20">
        <v>14396</v>
      </c>
      <c r="D849" s="21">
        <v>8</v>
      </c>
      <c r="E849" s="21">
        <v>3</v>
      </c>
      <c r="F849" s="22">
        <v>68</v>
      </c>
      <c r="G849" s="22" t="s">
        <v>198</v>
      </c>
      <c r="H849" s="24">
        <f t="shared" si="112"/>
        <v>3568</v>
      </c>
      <c r="I849" s="25" t="s">
        <v>78</v>
      </c>
      <c r="J849" s="24">
        <f t="shared" si="113"/>
        <v>3122000</v>
      </c>
      <c r="K849" s="20"/>
      <c r="L849" s="20"/>
      <c r="M849" s="20"/>
      <c r="N849" s="20"/>
      <c r="O849" s="24"/>
      <c r="P849" s="24"/>
      <c r="Q849" s="25"/>
      <c r="R849" s="24"/>
      <c r="S849" s="20"/>
      <c r="T849" s="27"/>
      <c r="U849" s="20"/>
      <c r="V849" s="27">
        <f t="shared" si="114"/>
        <v>3122000</v>
      </c>
      <c r="W849" s="26">
        <f t="shared" si="110"/>
        <v>3122000</v>
      </c>
      <c r="X849" s="27">
        <v>0</v>
      </c>
      <c r="Y849" s="78">
        <f t="shared" si="111"/>
        <v>3122000</v>
      </c>
      <c r="Z849" s="49">
        <v>1E-4</v>
      </c>
    </row>
    <row r="850" spans="1:26" s="29" customFormat="1" ht="90.75" customHeight="1" x14ac:dyDescent="0.25">
      <c r="A850" s="20">
        <v>688</v>
      </c>
      <c r="B850" s="20" t="s">
        <v>0</v>
      </c>
      <c r="C850" s="20">
        <v>11920</v>
      </c>
      <c r="D850" s="21">
        <v>10</v>
      </c>
      <c r="E850" s="21">
        <v>3</v>
      </c>
      <c r="F850" s="22">
        <v>50</v>
      </c>
      <c r="G850" s="22" t="s">
        <v>198</v>
      </c>
      <c r="H850" s="24">
        <f t="shared" si="112"/>
        <v>4350</v>
      </c>
      <c r="I850" s="25" t="s">
        <v>75</v>
      </c>
      <c r="J850" s="24">
        <f t="shared" si="113"/>
        <v>2718750</v>
      </c>
      <c r="K850" s="20"/>
      <c r="L850" s="20"/>
      <c r="M850" s="20"/>
      <c r="N850" s="20"/>
      <c r="O850" s="24"/>
      <c r="P850" s="24"/>
      <c r="Q850" s="25"/>
      <c r="R850" s="24"/>
      <c r="S850" s="20"/>
      <c r="T850" s="27"/>
      <c r="U850" s="20"/>
      <c r="V850" s="27">
        <f t="shared" si="114"/>
        <v>2718750</v>
      </c>
      <c r="W850" s="26">
        <f t="shared" si="110"/>
        <v>2718750</v>
      </c>
      <c r="X850" s="27">
        <v>0</v>
      </c>
      <c r="Y850" s="78">
        <f t="shared" si="111"/>
        <v>2718750</v>
      </c>
      <c r="Z850" s="49">
        <v>1E-4</v>
      </c>
    </row>
    <row r="851" spans="1:26" s="29" customFormat="1" ht="90.75" customHeight="1" x14ac:dyDescent="0.25">
      <c r="A851" s="20">
        <v>689</v>
      </c>
      <c r="B851" s="20" t="s">
        <v>0</v>
      </c>
      <c r="C851" s="20">
        <v>17448</v>
      </c>
      <c r="D851" s="21">
        <v>58</v>
      </c>
      <c r="E851" s="21">
        <v>2</v>
      </c>
      <c r="F851" s="22">
        <v>16</v>
      </c>
      <c r="G851" s="22" t="s">
        <v>198</v>
      </c>
      <c r="H851" s="24">
        <f t="shared" si="112"/>
        <v>23416</v>
      </c>
      <c r="I851" s="25" t="s">
        <v>75</v>
      </c>
      <c r="J851" s="24">
        <f t="shared" si="113"/>
        <v>14635000</v>
      </c>
      <c r="K851" s="20"/>
      <c r="L851" s="20"/>
      <c r="M851" s="20"/>
      <c r="N851" s="20"/>
      <c r="O851" s="24"/>
      <c r="P851" s="24"/>
      <c r="Q851" s="25"/>
      <c r="R851" s="24"/>
      <c r="S851" s="20"/>
      <c r="T851" s="27"/>
      <c r="U851" s="20"/>
      <c r="V851" s="27">
        <f t="shared" si="114"/>
        <v>14635000</v>
      </c>
      <c r="W851" s="26">
        <f t="shared" si="110"/>
        <v>14635000</v>
      </c>
      <c r="X851" s="27">
        <v>0</v>
      </c>
      <c r="Y851" s="78">
        <f t="shared" si="111"/>
        <v>14635000</v>
      </c>
      <c r="Z851" s="49">
        <v>1E-4</v>
      </c>
    </row>
    <row r="852" spans="1:26" s="29" customFormat="1" ht="90.75" customHeight="1" x14ac:dyDescent="0.25">
      <c r="A852" s="20">
        <v>690</v>
      </c>
      <c r="B852" s="20" t="s">
        <v>0</v>
      </c>
      <c r="C852" s="20">
        <v>43359</v>
      </c>
      <c r="D852" s="21">
        <v>4</v>
      </c>
      <c r="E852" s="21">
        <v>0</v>
      </c>
      <c r="F852" s="22">
        <v>34</v>
      </c>
      <c r="G852" s="22" t="s">
        <v>198</v>
      </c>
      <c r="H852" s="24">
        <f t="shared" si="112"/>
        <v>1634</v>
      </c>
      <c r="I852" s="25">
        <v>150</v>
      </c>
      <c r="J852" s="24">
        <f t="shared" si="113"/>
        <v>245100</v>
      </c>
      <c r="K852" s="20"/>
      <c r="L852" s="20"/>
      <c r="M852" s="20"/>
      <c r="N852" s="20"/>
      <c r="O852" s="24"/>
      <c r="P852" s="24"/>
      <c r="Q852" s="25"/>
      <c r="R852" s="24"/>
      <c r="S852" s="20"/>
      <c r="T852" s="27"/>
      <c r="U852" s="20"/>
      <c r="V852" s="27">
        <f t="shared" si="114"/>
        <v>245100</v>
      </c>
      <c r="W852" s="26">
        <f t="shared" si="110"/>
        <v>245100</v>
      </c>
      <c r="X852" s="27">
        <v>0</v>
      </c>
      <c r="Y852" s="78">
        <f t="shared" si="111"/>
        <v>245100</v>
      </c>
      <c r="Z852" s="49">
        <v>1E-4</v>
      </c>
    </row>
    <row r="853" spans="1:26" s="29" customFormat="1" ht="90.75" customHeight="1" x14ac:dyDescent="0.25">
      <c r="A853" s="20">
        <v>691</v>
      </c>
      <c r="B853" s="20" t="s">
        <v>0</v>
      </c>
      <c r="C853" s="20">
        <v>7578</v>
      </c>
      <c r="D853" s="21">
        <v>1</v>
      </c>
      <c r="E853" s="21">
        <v>0</v>
      </c>
      <c r="F853" s="22">
        <v>83</v>
      </c>
      <c r="G853" s="22" t="s">
        <v>198</v>
      </c>
      <c r="H853" s="24">
        <f t="shared" si="112"/>
        <v>483</v>
      </c>
      <c r="I853" s="25">
        <v>575</v>
      </c>
      <c r="J853" s="24">
        <f t="shared" si="113"/>
        <v>277725</v>
      </c>
      <c r="K853" s="20"/>
      <c r="L853" s="20"/>
      <c r="M853" s="20"/>
      <c r="N853" s="20"/>
      <c r="O853" s="24"/>
      <c r="P853" s="24"/>
      <c r="Q853" s="25"/>
      <c r="R853" s="24"/>
      <c r="S853" s="20"/>
      <c r="T853" s="27"/>
      <c r="U853" s="20"/>
      <c r="V853" s="27">
        <f t="shared" si="114"/>
        <v>277725</v>
      </c>
      <c r="W853" s="26">
        <f t="shared" si="110"/>
        <v>277725</v>
      </c>
      <c r="X853" s="27">
        <v>0</v>
      </c>
      <c r="Y853" s="78">
        <f t="shared" si="111"/>
        <v>277725</v>
      </c>
      <c r="Z853" s="49">
        <v>1E-4</v>
      </c>
    </row>
    <row r="854" spans="1:26" s="29" customFormat="1" ht="90.75" customHeight="1" x14ac:dyDescent="0.25">
      <c r="A854" s="20">
        <v>692</v>
      </c>
      <c r="B854" s="20" t="s">
        <v>0</v>
      </c>
      <c r="C854" s="20">
        <v>7236</v>
      </c>
      <c r="D854" s="21">
        <v>1</v>
      </c>
      <c r="E854" s="21">
        <v>0</v>
      </c>
      <c r="F854" s="22">
        <v>0</v>
      </c>
      <c r="G854" s="22" t="s">
        <v>198</v>
      </c>
      <c r="H854" s="24">
        <f t="shared" si="112"/>
        <v>400</v>
      </c>
      <c r="I854" s="25">
        <v>400</v>
      </c>
      <c r="J854" s="24">
        <f t="shared" si="113"/>
        <v>160000</v>
      </c>
      <c r="K854" s="20"/>
      <c r="L854" s="20"/>
      <c r="M854" s="20"/>
      <c r="N854" s="20"/>
      <c r="O854" s="24"/>
      <c r="P854" s="24"/>
      <c r="Q854" s="25"/>
      <c r="R854" s="24"/>
      <c r="S854" s="20"/>
      <c r="T854" s="27"/>
      <c r="U854" s="20"/>
      <c r="V854" s="27">
        <f t="shared" si="114"/>
        <v>160000</v>
      </c>
      <c r="W854" s="26">
        <f t="shared" si="110"/>
        <v>160000</v>
      </c>
      <c r="X854" s="27">
        <v>0</v>
      </c>
      <c r="Y854" s="78">
        <f t="shared" si="111"/>
        <v>160000</v>
      </c>
      <c r="Z854" s="49">
        <v>1E-4</v>
      </c>
    </row>
    <row r="855" spans="1:26" s="29" customFormat="1" ht="90.75" customHeight="1" x14ac:dyDescent="0.25">
      <c r="A855" s="20">
        <v>693</v>
      </c>
      <c r="B855" s="20" t="s">
        <v>0</v>
      </c>
      <c r="C855" s="20">
        <v>9870</v>
      </c>
      <c r="D855" s="21">
        <v>14</v>
      </c>
      <c r="E855" s="21">
        <v>0</v>
      </c>
      <c r="F855" s="22">
        <v>12</v>
      </c>
      <c r="G855" s="22" t="s">
        <v>198</v>
      </c>
      <c r="H855" s="24">
        <f t="shared" si="112"/>
        <v>5612</v>
      </c>
      <c r="I855" s="25">
        <v>312</v>
      </c>
      <c r="J855" s="24">
        <f t="shared" si="113"/>
        <v>1750944</v>
      </c>
      <c r="K855" s="20"/>
      <c r="L855" s="20"/>
      <c r="M855" s="20"/>
      <c r="N855" s="20"/>
      <c r="O855" s="24"/>
      <c r="P855" s="24"/>
      <c r="Q855" s="25"/>
      <c r="R855" s="24"/>
      <c r="S855" s="20"/>
      <c r="T855" s="27"/>
      <c r="U855" s="20"/>
      <c r="V855" s="27">
        <f t="shared" si="114"/>
        <v>1750944</v>
      </c>
      <c r="W855" s="26">
        <f t="shared" si="110"/>
        <v>1750944</v>
      </c>
      <c r="X855" s="27">
        <v>0</v>
      </c>
      <c r="Y855" s="78">
        <f t="shared" si="111"/>
        <v>1750944</v>
      </c>
      <c r="Z855" s="49">
        <v>1E-4</v>
      </c>
    </row>
    <row r="856" spans="1:26" s="29" customFormat="1" ht="90.75" customHeight="1" x14ac:dyDescent="0.25">
      <c r="A856" s="20">
        <v>694</v>
      </c>
      <c r="B856" s="20" t="s">
        <v>0</v>
      </c>
      <c r="C856" s="20">
        <v>8288</v>
      </c>
      <c r="D856" s="21">
        <v>4</v>
      </c>
      <c r="E856" s="21">
        <v>0</v>
      </c>
      <c r="F856" s="22">
        <v>98</v>
      </c>
      <c r="G856" s="22" t="s">
        <v>198</v>
      </c>
      <c r="H856" s="24">
        <f t="shared" si="112"/>
        <v>1698</v>
      </c>
      <c r="I856" s="25">
        <v>625</v>
      </c>
      <c r="J856" s="24">
        <f t="shared" si="113"/>
        <v>1061250</v>
      </c>
      <c r="K856" s="20"/>
      <c r="L856" s="20"/>
      <c r="M856" s="20"/>
      <c r="N856" s="20"/>
      <c r="O856" s="24"/>
      <c r="P856" s="24"/>
      <c r="Q856" s="25"/>
      <c r="R856" s="24"/>
      <c r="S856" s="20"/>
      <c r="T856" s="27"/>
      <c r="U856" s="20"/>
      <c r="V856" s="27">
        <f t="shared" si="114"/>
        <v>1061250</v>
      </c>
      <c r="W856" s="26">
        <f t="shared" si="110"/>
        <v>1061250</v>
      </c>
      <c r="X856" s="27">
        <v>0</v>
      </c>
      <c r="Y856" s="78">
        <f t="shared" si="111"/>
        <v>1061250</v>
      </c>
      <c r="Z856" s="49">
        <v>1E-4</v>
      </c>
    </row>
    <row r="857" spans="1:26" s="29" customFormat="1" ht="90.75" customHeight="1" x14ac:dyDescent="0.25">
      <c r="A857" s="20">
        <v>695</v>
      </c>
      <c r="B857" s="20" t="s">
        <v>0</v>
      </c>
      <c r="C857" s="20">
        <v>43365</v>
      </c>
      <c r="D857" s="21">
        <v>0</v>
      </c>
      <c r="E857" s="21">
        <v>0</v>
      </c>
      <c r="F857" s="22">
        <v>77</v>
      </c>
      <c r="G857" s="22" t="s">
        <v>198</v>
      </c>
      <c r="H857" s="24">
        <f t="shared" si="112"/>
        <v>77</v>
      </c>
      <c r="I857" s="25">
        <v>400</v>
      </c>
      <c r="J857" s="24">
        <f t="shared" si="113"/>
        <v>30800</v>
      </c>
      <c r="K857" s="20"/>
      <c r="L857" s="20"/>
      <c r="M857" s="20"/>
      <c r="N857" s="20"/>
      <c r="O857" s="24"/>
      <c r="P857" s="24"/>
      <c r="Q857" s="25"/>
      <c r="R857" s="24"/>
      <c r="S857" s="20"/>
      <c r="T857" s="27"/>
      <c r="U857" s="20"/>
      <c r="V857" s="27">
        <f t="shared" si="114"/>
        <v>30800</v>
      </c>
      <c r="W857" s="26">
        <f t="shared" si="110"/>
        <v>30800</v>
      </c>
      <c r="X857" s="27">
        <v>0</v>
      </c>
      <c r="Y857" s="78">
        <f t="shared" si="111"/>
        <v>30800</v>
      </c>
      <c r="Z857" s="49">
        <v>1E-4</v>
      </c>
    </row>
    <row r="858" spans="1:26" s="29" customFormat="1" ht="90.75" customHeight="1" x14ac:dyDescent="0.25">
      <c r="A858" s="20">
        <v>696</v>
      </c>
      <c r="B858" s="20" t="s">
        <v>0</v>
      </c>
      <c r="C858" s="20">
        <v>44577</v>
      </c>
      <c r="D858" s="21">
        <v>0</v>
      </c>
      <c r="E858" s="21">
        <v>0</v>
      </c>
      <c r="F858" s="22">
        <v>58</v>
      </c>
      <c r="G858" s="22" t="s">
        <v>198</v>
      </c>
      <c r="H858" s="24">
        <f t="shared" si="112"/>
        <v>58</v>
      </c>
      <c r="I858" s="25">
        <v>400</v>
      </c>
      <c r="J858" s="24">
        <f t="shared" si="113"/>
        <v>23200</v>
      </c>
      <c r="K858" s="20"/>
      <c r="L858" s="20"/>
      <c r="M858" s="20"/>
      <c r="N858" s="20"/>
      <c r="O858" s="24"/>
      <c r="P858" s="24"/>
      <c r="Q858" s="25"/>
      <c r="R858" s="24"/>
      <c r="S858" s="20"/>
      <c r="T858" s="27"/>
      <c r="U858" s="20"/>
      <c r="V858" s="27">
        <f t="shared" si="114"/>
        <v>23200</v>
      </c>
      <c r="W858" s="26">
        <f t="shared" si="110"/>
        <v>23200</v>
      </c>
      <c r="X858" s="27">
        <v>0</v>
      </c>
      <c r="Y858" s="78">
        <f t="shared" si="111"/>
        <v>23200</v>
      </c>
      <c r="Z858" s="49">
        <v>1E-4</v>
      </c>
    </row>
    <row r="859" spans="1:26" s="29" customFormat="1" ht="90.75" customHeight="1" x14ac:dyDescent="0.25">
      <c r="A859" s="20">
        <v>697</v>
      </c>
      <c r="B859" s="20" t="s">
        <v>0</v>
      </c>
      <c r="C859" s="20">
        <v>44395</v>
      </c>
      <c r="D859" s="21">
        <v>1</v>
      </c>
      <c r="E859" s="21">
        <v>0</v>
      </c>
      <c r="F859" s="22">
        <v>91</v>
      </c>
      <c r="G859" s="22" t="s">
        <v>198</v>
      </c>
      <c r="H859" s="24">
        <f t="shared" si="112"/>
        <v>491</v>
      </c>
      <c r="I859" s="25">
        <v>575</v>
      </c>
      <c r="J859" s="24">
        <f t="shared" si="113"/>
        <v>282325</v>
      </c>
      <c r="K859" s="20"/>
      <c r="L859" s="20"/>
      <c r="M859" s="20"/>
      <c r="N859" s="20"/>
      <c r="O859" s="24"/>
      <c r="P859" s="24"/>
      <c r="Q859" s="25"/>
      <c r="R859" s="24"/>
      <c r="S859" s="20"/>
      <c r="T859" s="27"/>
      <c r="U859" s="20"/>
      <c r="V859" s="27">
        <f t="shared" si="114"/>
        <v>282325</v>
      </c>
      <c r="W859" s="26">
        <f t="shared" si="110"/>
        <v>282325</v>
      </c>
      <c r="X859" s="27">
        <v>0</v>
      </c>
      <c r="Y859" s="78">
        <f t="shared" si="111"/>
        <v>282325</v>
      </c>
      <c r="Z859" s="49">
        <v>1E-4</v>
      </c>
    </row>
    <row r="860" spans="1:26" s="29" customFormat="1" ht="90.75" customHeight="1" x14ac:dyDescent="0.25">
      <c r="A860" s="20">
        <v>698</v>
      </c>
      <c r="B860" s="20" t="s">
        <v>0</v>
      </c>
      <c r="C860" s="20">
        <v>8317</v>
      </c>
      <c r="D860" s="21">
        <v>1</v>
      </c>
      <c r="E860" s="21">
        <v>0</v>
      </c>
      <c r="F860" s="22">
        <v>83</v>
      </c>
      <c r="G860" s="22" t="s">
        <v>198</v>
      </c>
      <c r="H860" s="24">
        <f t="shared" si="112"/>
        <v>483</v>
      </c>
      <c r="I860" s="25">
        <v>625</v>
      </c>
      <c r="J860" s="24">
        <f t="shared" si="113"/>
        <v>301875</v>
      </c>
      <c r="K860" s="20"/>
      <c r="L860" s="20"/>
      <c r="M860" s="20"/>
      <c r="N860" s="20"/>
      <c r="O860" s="24"/>
      <c r="P860" s="24"/>
      <c r="Q860" s="25"/>
      <c r="R860" s="24"/>
      <c r="S860" s="20"/>
      <c r="T860" s="27"/>
      <c r="U860" s="20"/>
      <c r="V860" s="27">
        <f t="shared" si="114"/>
        <v>301875</v>
      </c>
      <c r="W860" s="26">
        <f t="shared" si="110"/>
        <v>301875</v>
      </c>
      <c r="X860" s="27">
        <v>0</v>
      </c>
      <c r="Y860" s="78">
        <f t="shared" si="111"/>
        <v>301875</v>
      </c>
      <c r="Z860" s="49">
        <v>1E-4</v>
      </c>
    </row>
    <row r="861" spans="1:26" s="29" customFormat="1" ht="90.75" customHeight="1" x14ac:dyDescent="0.25">
      <c r="A861" s="20">
        <v>699</v>
      </c>
      <c r="B861" s="20" t="s">
        <v>0</v>
      </c>
      <c r="C861" s="20">
        <v>43357</v>
      </c>
      <c r="D861" s="21">
        <v>0</v>
      </c>
      <c r="E861" s="21">
        <v>0</v>
      </c>
      <c r="F861" s="22">
        <v>12</v>
      </c>
      <c r="G861" s="22" t="s">
        <v>198</v>
      </c>
      <c r="H861" s="24">
        <f t="shared" si="112"/>
        <v>12</v>
      </c>
      <c r="I861" s="25">
        <v>575</v>
      </c>
      <c r="J861" s="24">
        <f t="shared" si="113"/>
        <v>6900</v>
      </c>
      <c r="K861" s="20"/>
      <c r="L861" s="20"/>
      <c r="M861" s="20"/>
      <c r="N861" s="20"/>
      <c r="O861" s="24"/>
      <c r="P861" s="24"/>
      <c r="Q861" s="25"/>
      <c r="R861" s="24"/>
      <c r="S861" s="20"/>
      <c r="T861" s="27"/>
      <c r="U861" s="20"/>
      <c r="V861" s="27">
        <f t="shared" si="114"/>
        <v>6900</v>
      </c>
      <c r="W861" s="26">
        <f t="shared" si="110"/>
        <v>6900</v>
      </c>
      <c r="X861" s="27">
        <v>0</v>
      </c>
      <c r="Y861" s="78">
        <f t="shared" si="111"/>
        <v>6900</v>
      </c>
      <c r="Z861" s="49">
        <v>1E-4</v>
      </c>
    </row>
    <row r="862" spans="1:26" s="29" customFormat="1" ht="90.75" customHeight="1" x14ac:dyDescent="0.25">
      <c r="A862" s="20">
        <v>700</v>
      </c>
      <c r="B862" s="20" t="s">
        <v>0</v>
      </c>
      <c r="C862" s="20">
        <v>43363</v>
      </c>
      <c r="D862" s="21">
        <v>0</v>
      </c>
      <c r="E862" s="21">
        <v>0</v>
      </c>
      <c r="F862" s="22">
        <v>58</v>
      </c>
      <c r="G862" s="22" t="s">
        <v>198</v>
      </c>
      <c r="H862" s="24">
        <f t="shared" si="112"/>
        <v>58</v>
      </c>
      <c r="I862" s="25">
        <v>450</v>
      </c>
      <c r="J862" s="24">
        <f t="shared" si="113"/>
        <v>26100</v>
      </c>
      <c r="K862" s="20"/>
      <c r="L862" s="20"/>
      <c r="M862" s="20"/>
      <c r="N862" s="20"/>
      <c r="O862" s="24"/>
      <c r="P862" s="24"/>
      <c r="Q862" s="25"/>
      <c r="R862" s="24"/>
      <c r="S862" s="20"/>
      <c r="T862" s="27"/>
      <c r="U862" s="20"/>
      <c r="V862" s="27">
        <f t="shared" si="114"/>
        <v>26100</v>
      </c>
      <c r="W862" s="26">
        <f t="shared" si="110"/>
        <v>26100</v>
      </c>
      <c r="X862" s="27">
        <v>0</v>
      </c>
      <c r="Y862" s="78">
        <f t="shared" si="111"/>
        <v>26100</v>
      </c>
      <c r="Z862" s="49">
        <v>1E-4</v>
      </c>
    </row>
    <row r="863" spans="1:26" s="29" customFormat="1" ht="90.75" customHeight="1" x14ac:dyDescent="0.25">
      <c r="A863" s="20">
        <v>701</v>
      </c>
      <c r="B863" s="20" t="s">
        <v>0</v>
      </c>
      <c r="C863" s="20">
        <v>7572</v>
      </c>
      <c r="D863" s="21">
        <v>0</v>
      </c>
      <c r="E863" s="21">
        <v>1</v>
      </c>
      <c r="F863" s="22">
        <v>22</v>
      </c>
      <c r="G863" s="22" t="s">
        <v>198</v>
      </c>
      <c r="H863" s="24">
        <f t="shared" si="112"/>
        <v>122</v>
      </c>
      <c r="I863" s="25">
        <v>400</v>
      </c>
      <c r="J863" s="24">
        <f t="shared" si="113"/>
        <v>48800</v>
      </c>
      <c r="K863" s="20"/>
      <c r="L863" s="20"/>
      <c r="M863" s="20"/>
      <c r="N863" s="20"/>
      <c r="O863" s="24"/>
      <c r="P863" s="24"/>
      <c r="Q863" s="25"/>
      <c r="R863" s="24"/>
      <c r="S863" s="20"/>
      <c r="T863" s="27"/>
      <c r="U863" s="20"/>
      <c r="V863" s="27">
        <f t="shared" si="114"/>
        <v>48800</v>
      </c>
      <c r="W863" s="26">
        <f t="shared" si="110"/>
        <v>48800</v>
      </c>
      <c r="X863" s="27">
        <v>0</v>
      </c>
      <c r="Y863" s="78">
        <f t="shared" si="111"/>
        <v>48800</v>
      </c>
      <c r="Z863" s="49">
        <v>1E-4</v>
      </c>
    </row>
    <row r="864" spans="1:26" s="29" customFormat="1" ht="90.75" customHeight="1" x14ac:dyDescent="0.25">
      <c r="A864" s="20">
        <v>702</v>
      </c>
      <c r="B864" s="20" t="s">
        <v>0</v>
      </c>
      <c r="C864" s="20">
        <v>7244</v>
      </c>
      <c r="D864" s="21">
        <v>0</v>
      </c>
      <c r="E864" s="21">
        <v>1</v>
      </c>
      <c r="F864" s="22">
        <v>66</v>
      </c>
      <c r="G864" s="22" t="s">
        <v>198</v>
      </c>
      <c r="H864" s="24">
        <f t="shared" si="112"/>
        <v>166</v>
      </c>
      <c r="I864" s="25">
        <v>400</v>
      </c>
      <c r="J864" s="24">
        <f t="shared" si="113"/>
        <v>66400</v>
      </c>
      <c r="K864" s="20"/>
      <c r="L864" s="20"/>
      <c r="M864" s="20"/>
      <c r="N864" s="20"/>
      <c r="O864" s="24"/>
      <c r="P864" s="24"/>
      <c r="Q864" s="25"/>
      <c r="R864" s="24"/>
      <c r="S864" s="20"/>
      <c r="T864" s="27"/>
      <c r="U864" s="20"/>
      <c r="V864" s="27">
        <f t="shared" si="114"/>
        <v>66400</v>
      </c>
      <c r="W864" s="26">
        <f t="shared" si="110"/>
        <v>66400</v>
      </c>
      <c r="X864" s="27">
        <v>0</v>
      </c>
      <c r="Y864" s="78">
        <f t="shared" si="111"/>
        <v>66400</v>
      </c>
      <c r="Z864" s="49">
        <v>1E-4</v>
      </c>
    </row>
    <row r="865" spans="1:26" s="29" customFormat="1" ht="90.75" customHeight="1" x14ac:dyDescent="0.25">
      <c r="A865" s="20">
        <v>703</v>
      </c>
      <c r="B865" s="20" t="s">
        <v>0</v>
      </c>
      <c r="C865" s="20">
        <v>44891</v>
      </c>
      <c r="D865" s="21">
        <v>0</v>
      </c>
      <c r="E865" s="21">
        <v>1</v>
      </c>
      <c r="F865" s="22">
        <v>20</v>
      </c>
      <c r="G865" s="22" t="s">
        <v>198</v>
      </c>
      <c r="H865" s="24">
        <f t="shared" si="112"/>
        <v>120</v>
      </c>
      <c r="I865" s="25">
        <v>625</v>
      </c>
      <c r="J865" s="24">
        <f t="shared" si="113"/>
        <v>75000</v>
      </c>
      <c r="K865" s="20"/>
      <c r="L865" s="20"/>
      <c r="M865" s="20"/>
      <c r="N865" s="20"/>
      <c r="O865" s="24"/>
      <c r="P865" s="24"/>
      <c r="Q865" s="25"/>
      <c r="R865" s="24"/>
      <c r="S865" s="20"/>
      <c r="T865" s="27"/>
      <c r="U865" s="20"/>
      <c r="V865" s="27">
        <f t="shared" si="114"/>
        <v>75000</v>
      </c>
      <c r="W865" s="26">
        <f t="shared" si="110"/>
        <v>75000</v>
      </c>
      <c r="X865" s="27">
        <v>0</v>
      </c>
      <c r="Y865" s="78">
        <f t="shared" si="111"/>
        <v>75000</v>
      </c>
      <c r="Z865" s="49">
        <v>1E-4</v>
      </c>
    </row>
    <row r="866" spans="1:26" s="29" customFormat="1" ht="90.75" customHeight="1" x14ac:dyDescent="0.25">
      <c r="A866" s="20">
        <v>704</v>
      </c>
      <c r="B866" s="20" t="s">
        <v>0</v>
      </c>
      <c r="C866" s="20">
        <v>52020</v>
      </c>
      <c r="D866" s="21">
        <v>0</v>
      </c>
      <c r="E866" s="21">
        <v>2</v>
      </c>
      <c r="F866" s="22">
        <v>39</v>
      </c>
      <c r="G866" s="22" t="s">
        <v>198</v>
      </c>
      <c r="H866" s="24">
        <f t="shared" si="112"/>
        <v>239</v>
      </c>
      <c r="I866" s="25">
        <v>1300</v>
      </c>
      <c r="J866" s="24">
        <f t="shared" si="113"/>
        <v>310700</v>
      </c>
      <c r="K866" s="20"/>
      <c r="L866" s="20"/>
      <c r="M866" s="20"/>
      <c r="N866" s="20"/>
      <c r="O866" s="24"/>
      <c r="P866" s="24"/>
      <c r="Q866" s="25"/>
      <c r="R866" s="24"/>
      <c r="S866" s="20"/>
      <c r="T866" s="27"/>
      <c r="U866" s="20"/>
      <c r="V866" s="27">
        <f t="shared" si="114"/>
        <v>310700</v>
      </c>
      <c r="W866" s="26">
        <f t="shared" si="110"/>
        <v>310700</v>
      </c>
      <c r="X866" s="27">
        <v>0</v>
      </c>
      <c r="Y866" s="78">
        <f t="shared" si="111"/>
        <v>310700</v>
      </c>
      <c r="Z866" s="49">
        <v>1E-4</v>
      </c>
    </row>
    <row r="867" spans="1:26" s="29" customFormat="1" ht="90.75" customHeight="1" x14ac:dyDescent="0.25">
      <c r="A867" s="20">
        <v>705</v>
      </c>
      <c r="B867" s="20" t="s">
        <v>0</v>
      </c>
      <c r="C867" s="20">
        <v>43356</v>
      </c>
      <c r="D867" s="21">
        <v>0</v>
      </c>
      <c r="E867" s="21">
        <v>2</v>
      </c>
      <c r="F867" s="22">
        <v>65</v>
      </c>
      <c r="G867" s="22" t="s">
        <v>198</v>
      </c>
      <c r="H867" s="24">
        <f t="shared" si="112"/>
        <v>265</v>
      </c>
      <c r="I867" s="25">
        <v>625</v>
      </c>
      <c r="J867" s="24">
        <f t="shared" si="113"/>
        <v>165625</v>
      </c>
      <c r="K867" s="20"/>
      <c r="L867" s="20"/>
      <c r="M867" s="20"/>
      <c r="N867" s="20"/>
      <c r="O867" s="24"/>
      <c r="P867" s="24"/>
      <c r="Q867" s="25"/>
      <c r="R867" s="24"/>
      <c r="S867" s="20"/>
      <c r="T867" s="27"/>
      <c r="U867" s="20"/>
      <c r="V867" s="27">
        <f t="shared" si="114"/>
        <v>165625</v>
      </c>
      <c r="W867" s="26">
        <f t="shared" si="110"/>
        <v>165625</v>
      </c>
      <c r="X867" s="27">
        <v>0</v>
      </c>
      <c r="Y867" s="78">
        <f t="shared" si="111"/>
        <v>165625</v>
      </c>
      <c r="Z867" s="49">
        <v>1E-4</v>
      </c>
    </row>
    <row r="868" spans="1:26" s="29" customFormat="1" ht="90.75" customHeight="1" x14ac:dyDescent="0.25">
      <c r="A868" s="20">
        <v>706</v>
      </c>
      <c r="B868" s="20" t="s">
        <v>0</v>
      </c>
      <c r="C868" s="20">
        <v>47929</v>
      </c>
      <c r="D868" s="21">
        <v>14</v>
      </c>
      <c r="E868" s="21">
        <v>2</v>
      </c>
      <c r="F868" s="22">
        <v>77</v>
      </c>
      <c r="G868" s="21" t="s">
        <v>209</v>
      </c>
      <c r="H868" s="24">
        <f t="shared" si="112"/>
        <v>5877</v>
      </c>
      <c r="I868" s="25" t="s">
        <v>123</v>
      </c>
      <c r="J868" s="24">
        <f t="shared" si="113"/>
        <v>26446500</v>
      </c>
      <c r="K868" s="37">
        <v>1</v>
      </c>
      <c r="L868" s="20" t="s">
        <v>76</v>
      </c>
      <c r="M868" s="20" t="s">
        <v>24</v>
      </c>
      <c r="N868" s="62">
        <v>3</v>
      </c>
      <c r="O868" s="24">
        <v>600</v>
      </c>
      <c r="P868" s="35">
        <v>100</v>
      </c>
      <c r="Q868" s="40">
        <v>9150</v>
      </c>
      <c r="R868" s="77">
        <f t="shared" ref="R868:R876" si="115">(O868*Q868)</f>
        <v>5490000</v>
      </c>
      <c r="S868" s="37">
        <v>4</v>
      </c>
      <c r="T868" s="28">
        <f t="shared" ref="T868:T876" si="116">(R868*4/100)</f>
        <v>219600</v>
      </c>
      <c r="U868" s="77">
        <f t="shared" ref="U868:U876" si="117">(R868-T868)</f>
        <v>5270400</v>
      </c>
      <c r="V868" s="20"/>
      <c r="W868" s="26"/>
      <c r="X868" s="27"/>
      <c r="Y868" s="20"/>
      <c r="Z868" s="20"/>
    </row>
    <row r="869" spans="1:26" s="29" customFormat="1" ht="90.75" customHeight="1" x14ac:dyDescent="0.25">
      <c r="A869" s="20"/>
      <c r="B869" s="20"/>
      <c r="C869" s="20"/>
      <c r="D869" s="21"/>
      <c r="E869" s="21"/>
      <c r="F869" s="22"/>
      <c r="G869" s="22"/>
      <c r="H869" s="24"/>
      <c r="I869" s="25"/>
      <c r="J869" s="24"/>
      <c r="K869" s="37">
        <v>2</v>
      </c>
      <c r="L869" s="20" t="s">
        <v>149</v>
      </c>
      <c r="M869" s="20" t="s">
        <v>13</v>
      </c>
      <c r="N869" s="62">
        <v>3</v>
      </c>
      <c r="O869" s="24">
        <v>288</v>
      </c>
      <c r="P869" s="35">
        <v>100</v>
      </c>
      <c r="Q869" s="40">
        <v>6400</v>
      </c>
      <c r="R869" s="77">
        <f t="shared" si="115"/>
        <v>1843200</v>
      </c>
      <c r="S869" s="37">
        <v>4</v>
      </c>
      <c r="T869" s="28">
        <f t="shared" si="116"/>
        <v>73728</v>
      </c>
      <c r="U869" s="77">
        <f t="shared" si="117"/>
        <v>1769472</v>
      </c>
      <c r="V869" s="20"/>
      <c r="W869" s="26"/>
      <c r="X869" s="27"/>
      <c r="Y869" s="20"/>
      <c r="Z869" s="20"/>
    </row>
    <row r="870" spans="1:26" s="29" customFormat="1" ht="90.75" customHeight="1" x14ac:dyDescent="0.25">
      <c r="A870" s="20"/>
      <c r="B870" s="20"/>
      <c r="C870" s="20"/>
      <c r="D870" s="21"/>
      <c r="E870" s="21"/>
      <c r="F870" s="22"/>
      <c r="G870" s="22"/>
      <c r="H870" s="24"/>
      <c r="I870" s="25"/>
      <c r="J870" s="24"/>
      <c r="K870" s="37">
        <v>3</v>
      </c>
      <c r="L870" s="20" t="s">
        <v>76</v>
      </c>
      <c r="M870" s="20" t="s">
        <v>13</v>
      </c>
      <c r="N870" s="62">
        <v>3</v>
      </c>
      <c r="O870" s="24">
        <v>100</v>
      </c>
      <c r="P870" s="35">
        <v>100</v>
      </c>
      <c r="Q870" s="40">
        <v>9150</v>
      </c>
      <c r="R870" s="77">
        <f t="shared" si="115"/>
        <v>915000</v>
      </c>
      <c r="S870" s="37">
        <v>4</v>
      </c>
      <c r="T870" s="28">
        <f t="shared" si="116"/>
        <v>36600</v>
      </c>
      <c r="U870" s="77">
        <f t="shared" si="117"/>
        <v>878400</v>
      </c>
      <c r="V870" s="20"/>
      <c r="W870" s="26"/>
      <c r="X870" s="27"/>
      <c r="Y870" s="20"/>
      <c r="Z870" s="20"/>
    </row>
    <row r="871" spans="1:26" s="29" customFormat="1" ht="90.75" customHeight="1" x14ac:dyDescent="0.25">
      <c r="A871" s="20"/>
      <c r="B871" s="20"/>
      <c r="C871" s="20"/>
      <c r="D871" s="21"/>
      <c r="E871" s="21"/>
      <c r="F871" s="22"/>
      <c r="G871" s="22"/>
      <c r="H871" s="24"/>
      <c r="I871" s="25"/>
      <c r="J871" s="24"/>
      <c r="K871" s="37">
        <v>4</v>
      </c>
      <c r="L871" s="20" t="s">
        <v>31</v>
      </c>
      <c r="M871" s="20"/>
      <c r="N871" s="62">
        <v>3</v>
      </c>
      <c r="O871" s="24">
        <v>92.95</v>
      </c>
      <c r="P871" s="35">
        <v>100</v>
      </c>
      <c r="Q871" s="40">
        <v>2550</v>
      </c>
      <c r="R871" s="77">
        <f t="shared" si="115"/>
        <v>237022.5</v>
      </c>
      <c r="S871" s="37">
        <v>4</v>
      </c>
      <c r="T871" s="28">
        <f t="shared" si="116"/>
        <v>9480.9</v>
      </c>
      <c r="U871" s="77">
        <f t="shared" si="117"/>
        <v>227541.6</v>
      </c>
      <c r="V871" s="20"/>
      <c r="W871" s="26"/>
      <c r="X871" s="27"/>
      <c r="Y871" s="20"/>
      <c r="Z871" s="20"/>
    </row>
    <row r="872" spans="1:26" s="29" customFormat="1" ht="90.75" customHeight="1" x14ac:dyDescent="0.25">
      <c r="A872" s="20"/>
      <c r="B872" s="20"/>
      <c r="C872" s="20"/>
      <c r="D872" s="21"/>
      <c r="E872" s="21"/>
      <c r="F872" s="22"/>
      <c r="G872" s="22"/>
      <c r="H872" s="24"/>
      <c r="I872" s="25"/>
      <c r="J872" s="24"/>
      <c r="K872" s="37">
        <v>5</v>
      </c>
      <c r="L872" s="20" t="s">
        <v>215</v>
      </c>
      <c r="M872" s="20" t="s">
        <v>13</v>
      </c>
      <c r="N872" s="62">
        <v>3</v>
      </c>
      <c r="O872" s="24">
        <v>25.92</v>
      </c>
      <c r="P872" s="35">
        <v>100</v>
      </c>
      <c r="Q872" s="40">
        <v>6450</v>
      </c>
      <c r="R872" s="77">
        <f t="shared" si="115"/>
        <v>167184</v>
      </c>
      <c r="S872" s="37">
        <v>4</v>
      </c>
      <c r="T872" s="28">
        <f t="shared" si="116"/>
        <v>6687.36</v>
      </c>
      <c r="U872" s="77">
        <f t="shared" si="117"/>
        <v>160496.64000000001</v>
      </c>
      <c r="V872" s="20"/>
      <c r="W872" s="26"/>
      <c r="X872" s="27"/>
      <c r="Y872" s="20"/>
      <c r="Z872" s="20"/>
    </row>
    <row r="873" spans="1:26" s="29" customFormat="1" ht="90.75" customHeight="1" x14ac:dyDescent="0.25">
      <c r="A873" s="20"/>
      <c r="B873" s="20"/>
      <c r="C873" s="20"/>
      <c r="D873" s="21"/>
      <c r="E873" s="21"/>
      <c r="F873" s="22"/>
      <c r="G873" s="22"/>
      <c r="H873" s="24"/>
      <c r="I873" s="25"/>
      <c r="J873" s="24"/>
      <c r="K873" s="37">
        <v>6</v>
      </c>
      <c r="L873" s="20" t="s">
        <v>17</v>
      </c>
      <c r="M873" s="20" t="s">
        <v>13</v>
      </c>
      <c r="N873" s="62">
        <v>3</v>
      </c>
      <c r="O873" s="24">
        <v>48</v>
      </c>
      <c r="P873" s="35">
        <v>100</v>
      </c>
      <c r="Q873" s="40">
        <v>5900</v>
      </c>
      <c r="R873" s="77">
        <f t="shared" si="115"/>
        <v>283200</v>
      </c>
      <c r="S873" s="37">
        <v>4</v>
      </c>
      <c r="T873" s="28">
        <f t="shared" si="116"/>
        <v>11328</v>
      </c>
      <c r="U873" s="77">
        <f t="shared" si="117"/>
        <v>271872</v>
      </c>
      <c r="V873" s="20"/>
      <c r="W873" s="26"/>
      <c r="X873" s="27"/>
      <c r="Y873" s="20"/>
      <c r="Z873" s="20"/>
    </row>
    <row r="874" spans="1:26" s="29" customFormat="1" ht="90.75" customHeight="1" x14ac:dyDescent="0.25">
      <c r="A874" s="20"/>
      <c r="B874" s="20"/>
      <c r="C874" s="20"/>
      <c r="D874" s="21"/>
      <c r="E874" s="21"/>
      <c r="F874" s="22"/>
      <c r="G874" s="22"/>
      <c r="H874" s="24"/>
      <c r="I874" s="25"/>
      <c r="J874" s="24"/>
      <c r="K874" s="37">
        <v>7</v>
      </c>
      <c r="L874" s="20" t="s">
        <v>127</v>
      </c>
      <c r="M874" s="20" t="s">
        <v>13</v>
      </c>
      <c r="N874" s="62">
        <v>3</v>
      </c>
      <c r="O874" s="24">
        <v>11520</v>
      </c>
      <c r="P874" s="35">
        <v>100</v>
      </c>
      <c r="Q874" s="40">
        <v>3500</v>
      </c>
      <c r="R874" s="77">
        <f t="shared" si="115"/>
        <v>40320000</v>
      </c>
      <c r="S874" s="37">
        <v>4</v>
      </c>
      <c r="T874" s="28">
        <f t="shared" si="116"/>
        <v>1612800</v>
      </c>
      <c r="U874" s="77">
        <f t="shared" si="117"/>
        <v>38707200</v>
      </c>
      <c r="V874" s="20"/>
      <c r="W874" s="26"/>
      <c r="X874" s="27"/>
      <c r="Y874" s="20"/>
      <c r="Z874" s="20"/>
    </row>
    <row r="875" spans="1:26" s="29" customFormat="1" ht="90.75" customHeight="1" x14ac:dyDescent="0.25">
      <c r="A875" s="20"/>
      <c r="B875" s="20"/>
      <c r="C875" s="20"/>
      <c r="D875" s="21"/>
      <c r="E875" s="21"/>
      <c r="F875" s="22"/>
      <c r="G875" s="22"/>
      <c r="H875" s="24"/>
      <c r="I875" s="25"/>
      <c r="J875" s="24"/>
      <c r="K875" s="37">
        <v>8</v>
      </c>
      <c r="L875" s="20" t="s">
        <v>127</v>
      </c>
      <c r="M875" s="20" t="s">
        <v>13</v>
      </c>
      <c r="N875" s="62">
        <v>3</v>
      </c>
      <c r="O875" s="24">
        <v>10080</v>
      </c>
      <c r="P875" s="35">
        <v>100</v>
      </c>
      <c r="Q875" s="40">
        <v>3500</v>
      </c>
      <c r="R875" s="77">
        <f t="shared" si="115"/>
        <v>35280000</v>
      </c>
      <c r="S875" s="37">
        <v>4</v>
      </c>
      <c r="T875" s="28">
        <f t="shared" si="116"/>
        <v>1411200</v>
      </c>
      <c r="U875" s="77">
        <f t="shared" si="117"/>
        <v>33868800</v>
      </c>
      <c r="V875" s="20"/>
      <c r="W875" s="26"/>
      <c r="X875" s="27"/>
      <c r="Y875" s="20"/>
      <c r="Z875" s="20"/>
    </row>
    <row r="876" spans="1:26" s="29" customFormat="1" ht="90.75" customHeight="1" x14ac:dyDescent="0.25">
      <c r="A876" s="20"/>
      <c r="B876" s="20"/>
      <c r="C876" s="20"/>
      <c r="D876" s="21"/>
      <c r="E876" s="21"/>
      <c r="F876" s="22"/>
      <c r="G876" s="22"/>
      <c r="H876" s="24"/>
      <c r="I876" s="25"/>
      <c r="J876" s="24"/>
      <c r="K876" s="37">
        <v>9</v>
      </c>
      <c r="L876" s="20" t="s">
        <v>215</v>
      </c>
      <c r="M876" s="20"/>
      <c r="N876" s="62">
        <v>3</v>
      </c>
      <c r="O876" s="24">
        <v>98.8</v>
      </c>
      <c r="P876" s="35">
        <v>100</v>
      </c>
      <c r="Q876" s="40">
        <v>6450</v>
      </c>
      <c r="R876" s="77">
        <f t="shared" si="115"/>
        <v>637260</v>
      </c>
      <c r="S876" s="37">
        <v>4</v>
      </c>
      <c r="T876" s="28">
        <f t="shared" si="116"/>
        <v>25490.400000000001</v>
      </c>
      <c r="U876" s="77">
        <f t="shared" si="117"/>
        <v>611769.59999999998</v>
      </c>
      <c r="V876" s="20"/>
      <c r="W876" s="26"/>
      <c r="X876" s="27"/>
      <c r="Y876" s="20"/>
      <c r="Z876" s="20"/>
    </row>
    <row r="877" spans="1:26" s="29" customFormat="1" ht="90.75" customHeight="1" x14ac:dyDescent="0.25">
      <c r="A877" s="20"/>
      <c r="B877" s="20"/>
      <c r="C877" s="20"/>
      <c r="D877" s="21"/>
      <c r="E877" s="21"/>
      <c r="F877" s="22"/>
      <c r="G877" s="22"/>
      <c r="H877" s="24"/>
      <c r="I877" s="25"/>
      <c r="J877" s="24"/>
      <c r="K877" s="20"/>
      <c r="L877" s="20"/>
      <c r="M877" s="20"/>
      <c r="N877" s="20"/>
      <c r="O877" s="24"/>
      <c r="P877" s="24"/>
      <c r="Q877" s="25"/>
      <c r="R877" s="24"/>
      <c r="S877" s="20"/>
      <c r="T877" s="27"/>
      <c r="U877" s="80">
        <f>SUM(U868:U876)</f>
        <v>81765951.839999989</v>
      </c>
      <c r="V877" s="26">
        <f>(J868+U877)</f>
        <v>108212451.83999999</v>
      </c>
      <c r="W877" s="26">
        <f>(V877*100/100)</f>
        <v>108212451.83999997</v>
      </c>
      <c r="X877" s="27">
        <v>0</v>
      </c>
      <c r="Y877" s="26">
        <f>(W877-X877)</f>
        <v>108212451.83999997</v>
      </c>
      <c r="Z877" s="49" t="s">
        <v>264</v>
      </c>
    </row>
    <row r="878" spans="1:26" s="29" customFormat="1" ht="90.75" customHeight="1" x14ac:dyDescent="0.25">
      <c r="A878" s="20">
        <v>707</v>
      </c>
      <c r="B878" s="20" t="s">
        <v>0</v>
      </c>
      <c r="C878" s="20">
        <v>47928</v>
      </c>
      <c r="D878" s="21">
        <v>20</v>
      </c>
      <c r="E878" s="21">
        <v>0</v>
      </c>
      <c r="F878" s="22">
        <v>29</v>
      </c>
      <c r="G878" s="21" t="s">
        <v>209</v>
      </c>
      <c r="H878" s="24">
        <f>(D878*400)+(E878*100)+F878</f>
        <v>8029</v>
      </c>
      <c r="I878" s="25" t="s">
        <v>123</v>
      </c>
      <c r="J878" s="24">
        <f>(H878*I878)</f>
        <v>36130500</v>
      </c>
      <c r="K878" s="37">
        <v>1</v>
      </c>
      <c r="L878" s="20" t="s">
        <v>150</v>
      </c>
      <c r="M878" s="20" t="s">
        <v>13</v>
      </c>
      <c r="N878" s="62">
        <v>3</v>
      </c>
      <c r="O878" s="24">
        <v>2376</v>
      </c>
      <c r="P878" s="35">
        <v>100</v>
      </c>
      <c r="Q878" s="40">
        <v>5550</v>
      </c>
      <c r="R878" s="77">
        <f>(O878*Q878)</f>
        <v>13186800</v>
      </c>
      <c r="S878" s="37">
        <v>4</v>
      </c>
      <c r="T878" s="28">
        <f>(R878*4/100)</f>
        <v>527472</v>
      </c>
      <c r="U878" s="77">
        <f>(R878-T878)</f>
        <v>12659328</v>
      </c>
      <c r="V878" s="20"/>
      <c r="W878" s="26"/>
      <c r="X878" s="27"/>
      <c r="Y878" s="20"/>
      <c r="Z878" s="20"/>
    </row>
    <row r="879" spans="1:26" s="29" customFormat="1" ht="90.75" customHeight="1" x14ac:dyDescent="0.25">
      <c r="A879" s="20"/>
      <c r="B879" s="20"/>
      <c r="C879" s="20"/>
      <c r="D879" s="21"/>
      <c r="E879" s="21"/>
      <c r="F879" s="22"/>
      <c r="G879" s="22"/>
      <c r="H879" s="24"/>
      <c r="I879" s="25"/>
      <c r="J879" s="24"/>
      <c r="K879" s="37">
        <v>2</v>
      </c>
      <c r="L879" s="20" t="s">
        <v>17</v>
      </c>
      <c r="M879" s="20" t="s">
        <v>13</v>
      </c>
      <c r="N879" s="62">
        <v>3</v>
      </c>
      <c r="O879" s="24">
        <v>48</v>
      </c>
      <c r="P879" s="35">
        <v>100</v>
      </c>
      <c r="Q879" s="40">
        <v>5900</v>
      </c>
      <c r="R879" s="77">
        <f>(O879*Q879)</f>
        <v>283200</v>
      </c>
      <c r="S879" s="37">
        <v>4</v>
      </c>
      <c r="T879" s="28">
        <f>(R879*4/100)</f>
        <v>11328</v>
      </c>
      <c r="U879" s="77">
        <f>(R879-T879)</f>
        <v>271872</v>
      </c>
      <c r="V879" s="20"/>
      <c r="W879" s="26"/>
      <c r="X879" s="27"/>
      <c r="Y879" s="20"/>
      <c r="Z879" s="20"/>
    </row>
    <row r="880" spans="1:26" s="29" customFormat="1" ht="90.75" customHeight="1" x14ac:dyDescent="0.25">
      <c r="A880" s="20"/>
      <c r="B880" s="20"/>
      <c r="C880" s="20"/>
      <c r="D880" s="21"/>
      <c r="E880" s="21"/>
      <c r="F880" s="22"/>
      <c r="G880" s="22"/>
      <c r="H880" s="24"/>
      <c r="I880" s="25"/>
      <c r="J880" s="24"/>
      <c r="K880" s="37"/>
      <c r="L880" s="20"/>
      <c r="M880" s="20"/>
      <c r="N880" s="62"/>
      <c r="O880" s="24"/>
      <c r="P880" s="35"/>
      <c r="Q880" s="40"/>
      <c r="R880" s="77"/>
      <c r="S880" s="37"/>
      <c r="T880" s="28"/>
      <c r="U880" s="77">
        <f>SUM(U878:U879)</f>
        <v>12931200</v>
      </c>
      <c r="V880" s="27">
        <f>(J878+U880)</f>
        <v>49061700</v>
      </c>
      <c r="W880" s="26">
        <f t="shared" ref="W880:W888" si="118">(V880*100/100)</f>
        <v>49061700</v>
      </c>
      <c r="X880" s="27">
        <v>0</v>
      </c>
      <c r="Y880" s="26">
        <f t="shared" ref="Y880:Y888" si="119">(W880-X880)</f>
        <v>49061700</v>
      </c>
      <c r="Z880" s="49">
        <v>3.0000000000000001E-3</v>
      </c>
    </row>
    <row r="881" spans="1:26" s="29" customFormat="1" ht="90.75" customHeight="1" x14ac:dyDescent="0.25">
      <c r="A881" s="20">
        <v>708</v>
      </c>
      <c r="B881" s="20" t="s">
        <v>0</v>
      </c>
      <c r="C881" s="20">
        <v>11735</v>
      </c>
      <c r="D881" s="21">
        <v>29</v>
      </c>
      <c r="E881" s="21">
        <v>2</v>
      </c>
      <c r="F881" s="22">
        <v>76</v>
      </c>
      <c r="G881" s="22" t="s">
        <v>198</v>
      </c>
      <c r="H881" s="24">
        <f t="shared" ref="H881:H889" si="120">(D881*400)+(E881*100)+F881</f>
        <v>11876</v>
      </c>
      <c r="I881" s="25" t="s">
        <v>9</v>
      </c>
      <c r="J881" s="24">
        <f t="shared" ref="J881:J890" si="121">(H881*I881)</f>
        <v>3562800</v>
      </c>
      <c r="K881" s="20"/>
      <c r="L881" s="20"/>
      <c r="M881" s="20"/>
      <c r="N881" s="20"/>
      <c r="O881" s="24"/>
      <c r="P881" s="24"/>
      <c r="Q881" s="25"/>
      <c r="R881" s="24"/>
      <c r="S881" s="20"/>
      <c r="T881" s="27"/>
      <c r="U881" s="20"/>
      <c r="V881" s="27">
        <f t="shared" ref="V881:V888" si="122">(J881+U881)</f>
        <v>3562800</v>
      </c>
      <c r="W881" s="26">
        <f t="shared" si="118"/>
        <v>3562800</v>
      </c>
      <c r="X881" s="27">
        <v>0</v>
      </c>
      <c r="Y881" s="78">
        <f t="shared" si="119"/>
        <v>3562800</v>
      </c>
      <c r="Z881" s="49">
        <v>1E-4</v>
      </c>
    </row>
    <row r="882" spans="1:26" s="29" customFormat="1" ht="90.75" customHeight="1" x14ac:dyDescent="0.25">
      <c r="A882" s="20">
        <v>709</v>
      </c>
      <c r="B882" s="20" t="s">
        <v>0</v>
      </c>
      <c r="C882" s="20">
        <v>10635</v>
      </c>
      <c r="D882" s="21">
        <v>31</v>
      </c>
      <c r="E882" s="21">
        <v>0</v>
      </c>
      <c r="F882" s="22">
        <v>2</v>
      </c>
      <c r="G882" s="22" t="s">
        <v>198</v>
      </c>
      <c r="H882" s="24">
        <f t="shared" si="120"/>
        <v>12402</v>
      </c>
      <c r="I882" s="25" t="s">
        <v>9</v>
      </c>
      <c r="J882" s="24">
        <f t="shared" si="121"/>
        <v>3720600</v>
      </c>
      <c r="K882" s="20"/>
      <c r="L882" s="20"/>
      <c r="M882" s="20"/>
      <c r="N882" s="20"/>
      <c r="O882" s="24"/>
      <c r="P882" s="24"/>
      <c r="Q882" s="25"/>
      <c r="R882" s="24"/>
      <c r="S882" s="20"/>
      <c r="T882" s="27"/>
      <c r="U882" s="20"/>
      <c r="V882" s="27">
        <f t="shared" si="122"/>
        <v>3720600</v>
      </c>
      <c r="W882" s="26">
        <f t="shared" si="118"/>
        <v>3720600</v>
      </c>
      <c r="X882" s="27">
        <v>0</v>
      </c>
      <c r="Y882" s="78">
        <f t="shared" si="119"/>
        <v>3720600</v>
      </c>
      <c r="Z882" s="49">
        <v>1E-4</v>
      </c>
    </row>
    <row r="883" spans="1:26" s="29" customFormat="1" ht="90.75" customHeight="1" x14ac:dyDescent="0.25">
      <c r="A883" s="20">
        <v>710</v>
      </c>
      <c r="B883" s="20" t="s">
        <v>0</v>
      </c>
      <c r="C883" s="20">
        <v>44668</v>
      </c>
      <c r="D883" s="21">
        <v>35</v>
      </c>
      <c r="E883" s="21">
        <v>0</v>
      </c>
      <c r="F883" s="22">
        <v>80</v>
      </c>
      <c r="G883" s="22" t="s">
        <v>198</v>
      </c>
      <c r="H883" s="24">
        <f t="shared" si="120"/>
        <v>14080</v>
      </c>
      <c r="I883" s="25">
        <v>450</v>
      </c>
      <c r="J883" s="24">
        <f t="shared" si="121"/>
        <v>6336000</v>
      </c>
      <c r="K883" s="20"/>
      <c r="L883" s="20"/>
      <c r="M883" s="20"/>
      <c r="N883" s="20"/>
      <c r="O883" s="24"/>
      <c r="P883" s="24"/>
      <c r="Q883" s="25"/>
      <c r="R883" s="24"/>
      <c r="S883" s="20"/>
      <c r="T883" s="27"/>
      <c r="U883" s="20"/>
      <c r="V883" s="27">
        <f t="shared" si="122"/>
        <v>6336000</v>
      </c>
      <c r="W883" s="26">
        <f t="shared" si="118"/>
        <v>6336000</v>
      </c>
      <c r="X883" s="27">
        <v>0</v>
      </c>
      <c r="Y883" s="78">
        <f t="shared" si="119"/>
        <v>6336000</v>
      </c>
      <c r="Z883" s="49">
        <v>1E-4</v>
      </c>
    </row>
    <row r="884" spans="1:26" s="29" customFormat="1" ht="90.75" customHeight="1" x14ac:dyDescent="0.25">
      <c r="A884" s="20">
        <v>711</v>
      </c>
      <c r="B884" s="20" t="s">
        <v>0</v>
      </c>
      <c r="C884" s="20">
        <v>44669</v>
      </c>
      <c r="D884" s="21">
        <v>35</v>
      </c>
      <c r="E884" s="21">
        <v>1</v>
      </c>
      <c r="F884" s="22">
        <v>21</v>
      </c>
      <c r="G884" s="22" t="s">
        <v>198</v>
      </c>
      <c r="H884" s="24">
        <f t="shared" si="120"/>
        <v>14121</v>
      </c>
      <c r="I884" s="25">
        <v>450</v>
      </c>
      <c r="J884" s="24">
        <f t="shared" si="121"/>
        <v>6354450</v>
      </c>
      <c r="K884" s="20"/>
      <c r="L884" s="20"/>
      <c r="M884" s="20"/>
      <c r="N884" s="20"/>
      <c r="O884" s="24"/>
      <c r="P884" s="24"/>
      <c r="Q884" s="25"/>
      <c r="R884" s="24"/>
      <c r="S884" s="20"/>
      <c r="T884" s="27"/>
      <c r="U884" s="20"/>
      <c r="V884" s="27">
        <f t="shared" si="122"/>
        <v>6354450</v>
      </c>
      <c r="W884" s="26">
        <f t="shared" si="118"/>
        <v>6354450</v>
      </c>
      <c r="X884" s="27">
        <v>0</v>
      </c>
      <c r="Y884" s="78">
        <f t="shared" si="119"/>
        <v>6354450</v>
      </c>
      <c r="Z884" s="49">
        <v>1E-4</v>
      </c>
    </row>
    <row r="885" spans="1:26" s="37" customFormat="1" ht="90.75" customHeight="1" x14ac:dyDescent="0.25">
      <c r="A885" s="20">
        <v>712</v>
      </c>
      <c r="B885" s="20" t="s">
        <v>0</v>
      </c>
      <c r="C885" s="20">
        <v>33395</v>
      </c>
      <c r="D885" s="21">
        <v>26</v>
      </c>
      <c r="E885" s="21">
        <v>1</v>
      </c>
      <c r="F885" s="22">
        <v>15</v>
      </c>
      <c r="G885" s="22" t="s">
        <v>198</v>
      </c>
      <c r="H885" s="24">
        <f t="shared" si="120"/>
        <v>10515</v>
      </c>
      <c r="I885" s="25">
        <v>500</v>
      </c>
      <c r="J885" s="24">
        <f t="shared" si="121"/>
        <v>5257500</v>
      </c>
      <c r="K885" s="20"/>
      <c r="L885" s="20"/>
      <c r="M885" s="20"/>
      <c r="N885" s="20"/>
      <c r="O885" s="24"/>
      <c r="P885" s="24"/>
      <c r="Q885" s="25"/>
      <c r="R885" s="24"/>
      <c r="S885" s="20"/>
      <c r="T885" s="27"/>
      <c r="U885" s="20"/>
      <c r="V885" s="27">
        <f t="shared" si="122"/>
        <v>5257500</v>
      </c>
      <c r="W885" s="26">
        <f t="shared" si="118"/>
        <v>5257500</v>
      </c>
      <c r="X885" s="27">
        <v>0</v>
      </c>
      <c r="Y885" s="78">
        <f t="shared" si="119"/>
        <v>5257500</v>
      </c>
      <c r="Z885" s="49">
        <v>1E-4</v>
      </c>
    </row>
    <row r="886" spans="1:26" s="37" customFormat="1" ht="90.75" customHeight="1" x14ac:dyDescent="0.25">
      <c r="A886" s="20">
        <v>713</v>
      </c>
      <c r="B886" s="20" t="s">
        <v>0</v>
      </c>
      <c r="C886" s="20">
        <v>11736</v>
      </c>
      <c r="D886" s="21">
        <v>30</v>
      </c>
      <c r="E886" s="21">
        <v>1</v>
      </c>
      <c r="F886" s="22">
        <v>60</v>
      </c>
      <c r="G886" s="22" t="s">
        <v>198</v>
      </c>
      <c r="H886" s="24">
        <f t="shared" si="120"/>
        <v>12160</v>
      </c>
      <c r="I886" s="25" t="s">
        <v>9</v>
      </c>
      <c r="J886" s="24">
        <f t="shared" si="121"/>
        <v>3648000</v>
      </c>
      <c r="K886" s="20"/>
      <c r="L886" s="20"/>
      <c r="M886" s="20"/>
      <c r="N886" s="20"/>
      <c r="O886" s="24"/>
      <c r="P886" s="24"/>
      <c r="Q886" s="25"/>
      <c r="R886" s="24"/>
      <c r="S886" s="20"/>
      <c r="T886" s="27"/>
      <c r="U886" s="20"/>
      <c r="V886" s="27">
        <f t="shared" si="122"/>
        <v>3648000</v>
      </c>
      <c r="W886" s="26">
        <f t="shared" si="118"/>
        <v>3648000</v>
      </c>
      <c r="X886" s="27">
        <v>0</v>
      </c>
      <c r="Y886" s="78">
        <f t="shared" si="119"/>
        <v>3648000</v>
      </c>
      <c r="Z886" s="49">
        <v>1E-4</v>
      </c>
    </row>
    <row r="887" spans="1:26" s="37" customFormat="1" ht="90.75" customHeight="1" x14ac:dyDescent="0.25">
      <c r="A887" s="20">
        <v>714</v>
      </c>
      <c r="B887" s="20" t="s">
        <v>0</v>
      </c>
      <c r="C887" s="20">
        <v>11564</v>
      </c>
      <c r="D887" s="21">
        <v>12</v>
      </c>
      <c r="E887" s="21">
        <v>3</v>
      </c>
      <c r="F887" s="22">
        <v>50</v>
      </c>
      <c r="G887" s="22" t="s">
        <v>198</v>
      </c>
      <c r="H887" s="24">
        <f t="shared" si="120"/>
        <v>5150</v>
      </c>
      <c r="I887" s="25" t="s">
        <v>8</v>
      </c>
      <c r="J887" s="24">
        <f t="shared" si="121"/>
        <v>2060000</v>
      </c>
      <c r="K887" s="20"/>
      <c r="L887" s="20"/>
      <c r="M887" s="20"/>
      <c r="N887" s="20"/>
      <c r="O887" s="24"/>
      <c r="P887" s="24"/>
      <c r="Q887" s="25"/>
      <c r="R887" s="24"/>
      <c r="S887" s="20"/>
      <c r="T887" s="27"/>
      <c r="U887" s="20"/>
      <c r="V887" s="27">
        <f t="shared" si="122"/>
        <v>2060000</v>
      </c>
      <c r="W887" s="26">
        <f t="shared" si="118"/>
        <v>2060000</v>
      </c>
      <c r="X887" s="27">
        <v>0</v>
      </c>
      <c r="Y887" s="78">
        <f t="shared" si="119"/>
        <v>2060000</v>
      </c>
      <c r="Z887" s="49">
        <v>1E-4</v>
      </c>
    </row>
    <row r="888" spans="1:26" s="37" customFormat="1" ht="90.75" customHeight="1" x14ac:dyDescent="0.25">
      <c r="A888" s="20">
        <v>715</v>
      </c>
      <c r="B888" s="20" t="s">
        <v>0</v>
      </c>
      <c r="C888" s="20">
        <v>10644</v>
      </c>
      <c r="D888" s="21">
        <v>38</v>
      </c>
      <c r="E888" s="21">
        <v>3</v>
      </c>
      <c r="F888" s="22">
        <v>48</v>
      </c>
      <c r="G888" s="22" t="s">
        <v>198</v>
      </c>
      <c r="H888" s="24">
        <f t="shared" si="120"/>
        <v>15548</v>
      </c>
      <c r="I888" s="25" t="s">
        <v>9</v>
      </c>
      <c r="J888" s="24">
        <f t="shared" si="121"/>
        <v>4664400</v>
      </c>
      <c r="K888" s="20"/>
      <c r="L888" s="20"/>
      <c r="M888" s="20"/>
      <c r="N888" s="20"/>
      <c r="O888" s="24"/>
      <c r="P888" s="24"/>
      <c r="Q888" s="25"/>
      <c r="R888" s="24"/>
      <c r="S888" s="20"/>
      <c r="T888" s="27"/>
      <c r="U888" s="20"/>
      <c r="V888" s="27">
        <f t="shared" si="122"/>
        <v>4664400</v>
      </c>
      <c r="W888" s="26">
        <f t="shared" si="118"/>
        <v>4664400</v>
      </c>
      <c r="X888" s="27">
        <v>0</v>
      </c>
      <c r="Y888" s="78">
        <f t="shared" si="119"/>
        <v>4664400</v>
      </c>
      <c r="Z888" s="49">
        <v>1E-4</v>
      </c>
    </row>
    <row r="889" spans="1:26" s="29" customFormat="1" ht="90.75" customHeight="1" x14ac:dyDescent="0.25">
      <c r="A889" s="20">
        <v>716</v>
      </c>
      <c r="B889" s="20" t="s">
        <v>0</v>
      </c>
      <c r="C889" s="20">
        <v>8249</v>
      </c>
      <c r="D889" s="21">
        <v>6</v>
      </c>
      <c r="E889" s="21">
        <v>0</v>
      </c>
      <c r="F889" s="22">
        <v>51</v>
      </c>
      <c r="G889" s="22" t="s">
        <v>198</v>
      </c>
      <c r="H889" s="24">
        <f t="shared" si="120"/>
        <v>2451</v>
      </c>
      <c r="I889" s="25" t="s">
        <v>87</v>
      </c>
      <c r="J889" s="24">
        <f t="shared" si="121"/>
        <v>2022075</v>
      </c>
      <c r="K889" s="20"/>
      <c r="L889" s="20"/>
      <c r="M889" s="20"/>
      <c r="N889" s="20"/>
      <c r="O889" s="24"/>
      <c r="P889" s="24"/>
      <c r="Q889" s="25"/>
      <c r="R889" s="36"/>
      <c r="S889" s="37"/>
      <c r="T889" s="28"/>
      <c r="U889" s="78"/>
      <c r="V889" s="20"/>
      <c r="W889" s="26"/>
      <c r="X889" s="27"/>
      <c r="Y889" s="20"/>
      <c r="Z889" s="20"/>
    </row>
    <row r="890" spans="1:26" s="29" customFormat="1" ht="90.75" customHeight="1" x14ac:dyDescent="0.25">
      <c r="A890" s="20"/>
      <c r="B890" s="20"/>
      <c r="C890" s="20"/>
      <c r="D890" s="21"/>
      <c r="E890" s="21"/>
      <c r="F890" s="22"/>
      <c r="G890" s="22"/>
      <c r="H890" s="24">
        <v>762.7</v>
      </c>
      <c r="I890" s="25" t="s">
        <v>87</v>
      </c>
      <c r="J890" s="24">
        <f t="shared" si="121"/>
        <v>629227.5</v>
      </c>
      <c r="K890" s="20">
        <v>1</v>
      </c>
      <c r="L890" s="20" t="s">
        <v>27</v>
      </c>
      <c r="M890" s="20" t="s">
        <v>13</v>
      </c>
      <c r="N890" s="20">
        <v>3</v>
      </c>
      <c r="O890" s="24">
        <v>115.29</v>
      </c>
      <c r="P890" s="24">
        <v>100</v>
      </c>
      <c r="Q890" s="25">
        <v>7100</v>
      </c>
      <c r="R890" s="36">
        <f>(O890*Q890)</f>
        <v>818559</v>
      </c>
      <c r="S890" s="37">
        <v>6</v>
      </c>
      <c r="T890" s="28">
        <f>(R890*6/100)</f>
        <v>49113.54</v>
      </c>
      <c r="U890" s="78">
        <f>(R890-T890)</f>
        <v>769445.46</v>
      </c>
      <c r="V890" s="20"/>
      <c r="W890" s="26"/>
      <c r="X890" s="27"/>
      <c r="Y890" s="20"/>
      <c r="Z890" s="20"/>
    </row>
    <row r="891" spans="1:26" s="29" customFormat="1" ht="90.75" customHeight="1" x14ac:dyDescent="0.25">
      <c r="A891" s="20"/>
      <c r="B891" s="20"/>
      <c r="C891" s="20"/>
      <c r="D891" s="21"/>
      <c r="E891" s="21"/>
      <c r="F891" s="22"/>
      <c r="G891" s="22"/>
      <c r="H891" s="24"/>
      <c r="I891" s="25"/>
      <c r="J891" s="24"/>
      <c r="K891" s="20">
        <v>3</v>
      </c>
      <c r="L891" s="20" t="s">
        <v>28</v>
      </c>
      <c r="M891" s="20"/>
      <c r="N891" s="20">
        <v>3</v>
      </c>
      <c r="O891" s="24">
        <v>1339.5</v>
      </c>
      <c r="P891" s="24">
        <v>100</v>
      </c>
      <c r="Q891" s="25">
        <v>2550</v>
      </c>
      <c r="R891" s="36">
        <f>(O891*Q891)</f>
        <v>3415725</v>
      </c>
      <c r="S891" s="37">
        <v>11</v>
      </c>
      <c r="T891" s="28">
        <f>(R891*12/100)</f>
        <v>409887</v>
      </c>
      <c r="U891" s="78">
        <f>(R891-T891)</f>
        <v>3005838</v>
      </c>
      <c r="V891" s="20"/>
      <c r="W891" s="26"/>
      <c r="X891" s="27"/>
      <c r="Y891" s="20"/>
      <c r="Z891" s="20"/>
    </row>
    <row r="892" spans="1:26" s="29" customFormat="1" ht="90.75" customHeight="1" x14ac:dyDescent="0.25">
      <c r="A892" s="20"/>
      <c r="B892" s="20"/>
      <c r="C892" s="20"/>
      <c r="D892" s="21"/>
      <c r="E892" s="21"/>
      <c r="F892" s="22"/>
      <c r="G892" s="22"/>
      <c r="H892" s="24"/>
      <c r="I892" s="25"/>
      <c r="J892" s="24"/>
      <c r="K892" s="20">
        <v>4</v>
      </c>
      <c r="L892" s="20" t="s">
        <v>28</v>
      </c>
      <c r="M892" s="20"/>
      <c r="N892" s="20">
        <v>3</v>
      </c>
      <c r="O892" s="24">
        <v>1596</v>
      </c>
      <c r="P892" s="24">
        <v>100</v>
      </c>
      <c r="Q892" s="25">
        <v>2550</v>
      </c>
      <c r="R892" s="36">
        <f>(O892*Q892)</f>
        <v>4069800</v>
      </c>
      <c r="S892" s="20">
        <v>1</v>
      </c>
      <c r="T892" s="28">
        <f>(R892*1/100)</f>
        <v>40698</v>
      </c>
      <c r="U892" s="78">
        <f>(R892-T892)</f>
        <v>4029102</v>
      </c>
      <c r="V892" s="20"/>
      <c r="W892" s="26"/>
      <c r="X892" s="27"/>
      <c r="Y892" s="20"/>
      <c r="Z892" s="20"/>
    </row>
    <row r="893" spans="1:26" s="29" customFormat="1" ht="90.75" customHeight="1" x14ac:dyDescent="0.25">
      <c r="A893" s="20"/>
      <c r="B893" s="20"/>
      <c r="C893" s="20"/>
      <c r="D893" s="21"/>
      <c r="E893" s="21"/>
      <c r="F893" s="22"/>
      <c r="G893" s="22"/>
      <c r="H893" s="24"/>
      <c r="I893" s="25"/>
      <c r="J893" s="24"/>
      <c r="K893" s="20"/>
      <c r="L893" s="20"/>
      <c r="M893" s="20"/>
      <c r="N893" s="20"/>
      <c r="O893" s="24"/>
      <c r="P893" s="24"/>
      <c r="Q893" s="25"/>
      <c r="R893" s="24"/>
      <c r="S893" s="20"/>
      <c r="T893" s="27"/>
      <c r="U893" s="78">
        <f>SUM(U890:U892)</f>
        <v>7804385.46</v>
      </c>
      <c r="V893" s="27">
        <f>(J890+U893)</f>
        <v>8433612.9600000009</v>
      </c>
      <c r="W893" s="26">
        <f>(V893*100/100)</f>
        <v>8433612.9600000009</v>
      </c>
      <c r="X893" s="47">
        <v>0</v>
      </c>
      <c r="Y893" s="85">
        <f>(W893-X893)</f>
        <v>8433612.9600000009</v>
      </c>
      <c r="Z893" s="49">
        <v>3.0000000000000001E-3</v>
      </c>
    </row>
    <row r="894" spans="1:26" s="29" customFormat="1" ht="90.75" customHeight="1" x14ac:dyDescent="0.25">
      <c r="A894" s="20">
        <v>717</v>
      </c>
      <c r="B894" s="20" t="s">
        <v>0</v>
      </c>
      <c r="C894" s="20">
        <v>6882</v>
      </c>
      <c r="D894" s="21">
        <v>31</v>
      </c>
      <c r="E894" s="21">
        <v>0</v>
      </c>
      <c r="F894" s="22">
        <v>32</v>
      </c>
      <c r="G894" s="22" t="s">
        <v>211</v>
      </c>
      <c r="H894" s="24">
        <f>(D894*400)+(E894*100)+F894</f>
        <v>12432</v>
      </c>
      <c r="I894" s="25" t="s">
        <v>9</v>
      </c>
      <c r="J894" s="24">
        <f>(H894*I894)</f>
        <v>3729600</v>
      </c>
      <c r="K894" s="20"/>
      <c r="L894" s="20"/>
      <c r="M894" s="20"/>
      <c r="N894" s="20"/>
      <c r="O894" s="24"/>
      <c r="P894" s="24"/>
      <c r="Q894" s="25"/>
      <c r="R894" s="24"/>
      <c r="S894" s="20"/>
      <c r="T894" s="27"/>
      <c r="U894" s="20"/>
      <c r="V894" s="20"/>
      <c r="W894" s="26"/>
      <c r="X894" s="27"/>
      <c r="Y894" s="20"/>
      <c r="Z894" s="20"/>
    </row>
    <row r="895" spans="1:26" s="29" customFormat="1" ht="90.75" customHeight="1" x14ac:dyDescent="0.25">
      <c r="A895" s="20"/>
      <c r="B895" s="145" t="s">
        <v>1</v>
      </c>
      <c r="C895" s="146"/>
      <c r="D895" s="21"/>
      <c r="E895" s="21"/>
      <c r="F895" s="22"/>
      <c r="G895" s="22"/>
      <c r="H895" s="24">
        <v>1277.8499999999999</v>
      </c>
      <c r="I895" s="25" t="s">
        <v>9</v>
      </c>
      <c r="J895" s="24">
        <f>(H895*I895)</f>
        <v>383355</v>
      </c>
      <c r="K895" s="37">
        <v>1</v>
      </c>
      <c r="L895" s="31" t="s">
        <v>28</v>
      </c>
      <c r="M895" s="31"/>
      <c r="N895" s="41">
        <v>3</v>
      </c>
      <c r="O895" s="42">
        <v>3510</v>
      </c>
      <c r="P895" s="86">
        <v>100</v>
      </c>
      <c r="Q895" s="36">
        <v>2550</v>
      </c>
      <c r="R895" s="36">
        <f t="shared" ref="R895:R900" si="123">(O895*Q895)</f>
        <v>8950500</v>
      </c>
      <c r="S895" s="37">
        <v>12</v>
      </c>
      <c r="T895" s="28">
        <f>(R895*14/100)</f>
        <v>1253070</v>
      </c>
      <c r="U895" s="36">
        <f t="shared" ref="U895:U900" si="124">(R895-T895)</f>
        <v>7697430</v>
      </c>
      <c r="V895" s="36"/>
      <c r="W895" s="36"/>
      <c r="X895" s="28"/>
      <c r="Y895" s="28"/>
      <c r="Z895" s="20"/>
    </row>
    <row r="896" spans="1:26" s="29" customFormat="1" ht="90.75" customHeight="1" x14ac:dyDescent="0.25">
      <c r="A896" s="20"/>
      <c r="B896" s="20"/>
      <c r="C896" s="20"/>
      <c r="D896" s="21"/>
      <c r="E896" s="21"/>
      <c r="F896" s="22"/>
      <c r="G896" s="22"/>
      <c r="H896" s="24"/>
      <c r="I896" s="25"/>
      <c r="J896" s="24"/>
      <c r="K896" s="37">
        <v>2</v>
      </c>
      <c r="L896" s="31" t="s">
        <v>29</v>
      </c>
      <c r="M896" s="31"/>
      <c r="N896" s="41">
        <v>3</v>
      </c>
      <c r="O896" s="42">
        <v>177</v>
      </c>
      <c r="P896" s="86">
        <v>100</v>
      </c>
      <c r="Q896" s="36">
        <v>5550</v>
      </c>
      <c r="R896" s="36">
        <f t="shared" si="123"/>
        <v>982350</v>
      </c>
      <c r="S896" s="37">
        <v>12</v>
      </c>
      <c r="T896" s="28">
        <f>(R896*14/100)</f>
        <v>137529</v>
      </c>
      <c r="U896" s="36">
        <f t="shared" si="124"/>
        <v>844821</v>
      </c>
      <c r="V896" s="36"/>
      <c r="W896" s="36"/>
      <c r="X896" s="28"/>
      <c r="Y896" s="28"/>
      <c r="Z896" s="20"/>
    </row>
    <row r="897" spans="1:26" s="29" customFormat="1" ht="90.75" customHeight="1" x14ac:dyDescent="0.25">
      <c r="A897" s="20"/>
      <c r="B897" s="20"/>
      <c r="C897" s="20"/>
      <c r="D897" s="21"/>
      <c r="E897" s="21"/>
      <c r="F897" s="22"/>
      <c r="G897" s="22"/>
      <c r="H897" s="24"/>
      <c r="I897" s="25"/>
      <c r="J897" s="24"/>
      <c r="K897" s="37">
        <v>3</v>
      </c>
      <c r="L897" s="31" t="s">
        <v>139</v>
      </c>
      <c r="M897" s="31"/>
      <c r="N897" s="41">
        <v>3</v>
      </c>
      <c r="O897" s="42">
        <v>382.8</v>
      </c>
      <c r="P897" s="86">
        <v>100</v>
      </c>
      <c r="Q897" s="36">
        <v>3500</v>
      </c>
      <c r="R897" s="36">
        <f t="shared" si="123"/>
        <v>1339800</v>
      </c>
      <c r="S897" s="37">
        <v>12</v>
      </c>
      <c r="T897" s="28">
        <f>(R897*14/100)</f>
        <v>187572</v>
      </c>
      <c r="U897" s="36">
        <f t="shared" si="124"/>
        <v>1152228</v>
      </c>
      <c r="V897" s="36"/>
      <c r="W897" s="36"/>
      <c r="X897" s="28"/>
      <c r="Y897" s="28"/>
      <c r="Z897" s="20"/>
    </row>
    <row r="898" spans="1:26" s="29" customFormat="1" ht="90.75" customHeight="1" x14ac:dyDescent="0.25">
      <c r="A898" s="20"/>
      <c r="B898" s="20"/>
      <c r="C898" s="20"/>
      <c r="D898" s="21"/>
      <c r="E898" s="21"/>
      <c r="F898" s="22"/>
      <c r="G898" s="22"/>
      <c r="H898" s="24"/>
      <c r="I898" s="25"/>
      <c r="J898" s="24"/>
      <c r="K898" s="37">
        <v>4</v>
      </c>
      <c r="L898" s="31" t="s">
        <v>43</v>
      </c>
      <c r="M898" s="31"/>
      <c r="N898" s="41">
        <v>3</v>
      </c>
      <c r="O898" s="42">
        <v>256</v>
      </c>
      <c r="P898" s="86">
        <v>100</v>
      </c>
      <c r="Q898" s="36">
        <v>7700</v>
      </c>
      <c r="R898" s="36">
        <f t="shared" si="123"/>
        <v>1971200</v>
      </c>
      <c r="S898" s="37">
        <v>7</v>
      </c>
      <c r="T898" s="28">
        <f>(R898*7/100)</f>
        <v>137984</v>
      </c>
      <c r="U898" s="36">
        <f t="shared" si="124"/>
        <v>1833216</v>
      </c>
      <c r="V898" s="36"/>
      <c r="W898" s="36"/>
      <c r="X898" s="28"/>
      <c r="Y898" s="28"/>
      <c r="Z898" s="20"/>
    </row>
    <row r="899" spans="1:26" s="29" customFormat="1" ht="90.75" customHeight="1" x14ac:dyDescent="0.25">
      <c r="A899" s="20"/>
      <c r="B899" s="20"/>
      <c r="C899" s="20"/>
      <c r="D899" s="21"/>
      <c r="E899" s="21"/>
      <c r="F899" s="22"/>
      <c r="G899" s="22"/>
      <c r="H899" s="24"/>
      <c r="I899" s="25"/>
      <c r="J899" s="24"/>
      <c r="K899" s="37">
        <v>5</v>
      </c>
      <c r="L899" s="31" t="s">
        <v>43</v>
      </c>
      <c r="M899" s="31"/>
      <c r="N899" s="41">
        <v>3</v>
      </c>
      <c r="O899" s="42">
        <v>551.25</v>
      </c>
      <c r="P899" s="86">
        <v>100</v>
      </c>
      <c r="Q899" s="36">
        <v>7700</v>
      </c>
      <c r="R899" s="36">
        <f t="shared" si="123"/>
        <v>4244625</v>
      </c>
      <c r="S899" s="37">
        <v>7</v>
      </c>
      <c r="T899" s="28">
        <f>(R899*7/100)</f>
        <v>297123.75</v>
      </c>
      <c r="U899" s="36">
        <f t="shared" si="124"/>
        <v>3947501.25</v>
      </c>
      <c r="V899" s="36"/>
      <c r="W899" s="36"/>
      <c r="X899" s="28"/>
      <c r="Y899" s="28"/>
      <c r="Z899" s="20"/>
    </row>
    <row r="900" spans="1:26" s="29" customFormat="1" ht="90.75" customHeight="1" x14ac:dyDescent="0.25">
      <c r="A900" s="20"/>
      <c r="B900" s="20"/>
      <c r="C900" s="20"/>
      <c r="D900" s="21"/>
      <c r="E900" s="21"/>
      <c r="F900" s="22"/>
      <c r="G900" s="22"/>
      <c r="H900" s="24"/>
      <c r="I900" s="25"/>
      <c r="J900" s="24"/>
      <c r="K900" s="37">
        <v>6</v>
      </c>
      <c r="L900" s="31" t="s">
        <v>43</v>
      </c>
      <c r="M900" s="31"/>
      <c r="N900" s="41">
        <v>3</v>
      </c>
      <c r="O900" s="42">
        <v>234.36</v>
      </c>
      <c r="P900" s="86">
        <v>100</v>
      </c>
      <c r="Q900" s="36">
        <v>7700</v>
      </c>
      <c r="R900" s="36">
        <f t="shared" si="123"/>
        <v>1804572</v>
      </c>
      <c r="S900" s="37">
        <v>7</v>
      </c>
      <c r="T900" s="28">
        <f>(R900*7/100)</f>
        <v>126320.04</v>
      </c>
      <c r="U900" s="36">
        <f t="shared" si="124"/>
        <v>1678251.96</v>
      </c>
      <c r="V900" s="36"/>
      <c r="W900" s="36"/>
      <c r="X900" s="28"/>
      <c r="Y900" s="28"/>
      <c r="Z900" s="20"/>
    </row>
    <row r="901" spans="1:26" s="29" customFormat="1" ht="90.75" customHeight="1" x14ac:dyDescent="0.25">
      <c r="A901" s="20"/>
      <c r="B901" s="20"/>
      <c r="C901" s="20"/>
      <c r="D901" s="21"/>
      <c r="E901" s="21"/>
      <c r="F901" s="22"/>
      <c r="G901" s="22"/>
      <c r="H901" s="24"/>
      <c r="I901" s="25"/>
      <c r="J901" s="24"/>
      <c r="K901" s="41"/>
      <c r="L901" s="31"/>
      <c r="M901" s="43"/>
      <c r="N901" s="30"/>
      <c r="O901" s="48"/>
      <c r="P901" s="86"/>
      <c r="Q901" s="40"/>
      <c r="R901" s="41"/>
      <c r="S901" s="41"/>
      <c r="T901" s="47"/>
      <c r="U901" s="48">
        <f>(U895+U896+U897+U898+U899+U900)</f>
        <v>17153448.210000001</v>
      </c>
      <c r="V901" s="48">
        <f>(J895+U901)</f>
        <v>17536803.210000001</v>
      </c>
      <c r="W901" s="48">
        <f>(V901*100/100)</f>
        <v>17536803.210000001</v>
      </c>
      <c r="X901" s="47">
        <v>0</v>
      </c>
      <c r="Y901" s="85">
        <f>(W901-X901)</f>
        <v>17536803.210000001</v>
      </c>
      <c r="Z901" s="49">
        <v>3.0000000000000001E-3</v>
      </c>
    </row>
    <row r="902" spans="1:26" s="29" customFormat="1" ht="90.75" customHeight="1" x14ac:dyDescent="0.25">
      <c r="A902" s="20"/>
      <c r="B902" s="20"/>
      <c r="C902" s="20"/>
      <c r="D902" s="21"/>
      <c r="E902" s="21"/>
      <c r="F902" s="22"/>
      <c r="G902" s="22"/>
      <c r="H902" s="24">
        <v>11154.15</v>
      </c>
      <c r="I902" s="25" t="s">
        <v>9</v>
      </c>
      <c r="J902" s="24">
        <f>(H902*I902)</f>
        <v>3346245</v>
      </c>
      <c r="K902" s="20"/>
      <c r="L902" s="20"/>
      <c r="M902" s="20"/>
      <c r="N902" s="20"/>
      <c r="O902" s="24"/>
      <c r="P902" s="24"/>
      <c r="Q902" s="25"/>
      <c r="R902" s="24"/>
      <c r="S902" s="20"/>
      <c r="T902" s="27"/>
      <c r="U902" s="20"/>
      <c r="V902" s="27">
        <f>(J902+U902)</f>
        <v>3346245</v>
      </c>
      <c r="W902" s="26">
        <f>(V902*100/100)</f>
        <v>3346245</v>
      </c>
      <c r="X902" s="27" t="s">
        <v>294</v>
      </c>
      <c r="Y902" s="20"/>
      <c r="Z902" s="20"/>
    </row>
    <row r="903" spans="1:26" s="29" customFormat="1" ht="90.75" customHeight="1" x14ac:dyDescent="0.25">
      <c r="A903" s="20">
        <v>718</v>
      </c>
      <c r="B903" s="20" t="s">
        <v>0</v>
      </c>
      <c r="C903" s="20">
        <v>11602</v>
      </c>
      <c r="D903" s="21">
        <v>7</v>
      </c>
      <c r="E903" s="21">
        <v>1</v>
      </c>
      <c r="F903" s="22">
        <v>5</v>
      </c>
      <c r="G903" s="22" t="s">
        <v>210</v>
      </c>
      <c r="H903" s="36">
        <f>(D903*400)+(E903*100)+F903</f>
        <v>2905</v>
      </c>
      <c r="I903" s="25" t="s">
        <v>9</v>
      </c>
      <c r="J903" s="24">
        <f>(H903*I903)</f>
        <v>871500</v>
      </c>
      <c r="K903" s="20"/>
      <c r="L903" s="20"/>
      <c r="M903" s="20"/>
      <c r="N903" s="20"/>
      <c r="O903" s="24"/>
      <c r="P903" s="24"/>
      <c r="Q903" s="25"/>
      <c r="R903" s="24"/>
      <c r="S903" s="20"/>
      <c r="T903" s="27"/>
      <c r="U903" s="20"/>
      <c r="V903" s="27">
        <f>(J903+U903)</f>
        <v>871500</v>
      </c>
      <c r="W903" s="26">
        <f>(V903*100/100)</f>
        <v>871500</v>
      </c>
      <c r="X903" s="27">
        <v>0</v>
      </c>
      <c r="Y903" s="78">
        <f>(W903-X903)</f>
        <v>871500</v>
      </c>
      <c r="Z903" s="49">
        <v>3.0000000000000001E-3</v>
      </c>
    </row>
    <row r="904" spans="1:26" s="29" customFormat="1" ht="90.75" customHeight="1" x14ac:dyDescent="0.25">
      <c r="A904" s="20">
        <v>719</v>
      </c>
      <c r="B904" s="20" t="s">
        <v>0</v>
      </c>
      <c r="C904" s="20">
        <v>10585</v>
      </c>
      <c r="D904" s="21">
        <v>8</v>
      </c>
      <c r="E904" s="21">
        <v>1</v>
      </c>
      <c r="F904" s="22">
        <v>17</v>
      </c>
      <c r="G904" s="22" t="s">
        <v>210</v>
      </c>
      <c r="H904" s="36">
        <f>(D904*400)+(E904*100)+F904</f>
        <v>3317</v>
      </c>
      <c r="I904" s="40">
        <v>300</v>
      </c>
      <c r="J904" s="24">
        <f>(H904*I904)</f>
        <v>995100</v>
      </c>
      <c r="K904" s="20"/>
      <c r="L904" s="20"/>
      <c r="M904" s="20"/>
      <c r="N904" s="20"/>
      <c r="O904" s="24"/>
      <c r="P904" s="24"/>
      <c r="Q904" s="25"/>
      <c r="R904" s="24"/>
      <c r="S904" s="20"/>
      <c r="T904" s="27"/>
      <c r="U904" s="20"/>
      <c r="V904" s="27">
        <f>(J904+U904)</f>
        <v>995100</v>
      </c>
      <c r="W904" s="26">
        <f>(V904*100/100)</f>
        <v>995100</v>
      </c>
      <c r="X904" s="27">
        <v>0</v>
      </c>
      <c r="Y904" s="78">
        <f>(W904-X904)</f>
        <v>995100</v>
      </c>
      <c r="Z904" s="49">
        <v>3.0000000000000001E-3</v>
      </c>
    </row>
    <row r="905" spans="1:26" s="29" customFormat="1" ht="90.75" customHeight="1" x14ac:dyDescent="0.25">
      <c r="A905" s="20">
        <v>720</v>
      </c>
      <c r="B905" s="20" t="s">
        <v>0</v>
      </c>
      <c r="C905" s="20">
        <v>11603</v>
      </c>
      <c r="D905" s="21">
        <v>5</v>
      </c>
      <c r="E905" s="21">
        <v>2</v>
      </c>
      <c r="F905" s="22">
        <v>11</v>
      </c>
      <c r="G905" s="22" t="s">
        <v>210</v>
      </c>
      <c r="H905" s="36">
        <f>(D905*400)+(E905*100)+F905</f>
        <v>2211</v>
      </c>
      <c r="I905" s="25" t="s">
        <v>66</v>
      </c>
      <c r="J905" s="24">
        <f>(H905*I905)</f>
        <v>2100450</v>
      </c>
      <c r="K905" s="20"/>
      <c r="L905" s="20"/>
      <c r="M905" s="20"/>
      <c r="N905" s="20"/>
      <c r="O905" s="24"/>
      <c r="P905" s="24"/>
      <c r="Q905" s="25"/>
      <c r="R905" s="24"/>
      <c r="S905" s="20"/>
      <c r="T905" s="27"/>
      <c r="U905" s="20"/>
      <c r="V905" s="27">
        <f>(J905+U905)</f>
        <v>2100450</v>
      </c>
      <c r="W905" s="26">
        <f>(V905*100/100)</f>
        <v>2100450</v>
      </c>
      <c r="X905" s="27">
        <v>0</v>
      </c>
      <c r="Y905" s="78">
        <f>(W905-X905)</f>
        <v>2100450</v>
      </c>
      <c r="Z905" s="49">
        <v>3.0000000000000001E-3</v>
      </c>
    </row>
    <row r="906" spans="1:26" s="29" customFormat="1" ht="90.75" customHeight="1" x14ac:dyDescent="0.25">
      <c r="A906" s="20">
        <v>721</v>
      </c>
      <c r="B906" s="20" t="s">
        <v>0</v>
      </c>
      <c r="C906" s="20">
        <v>48025</v>
      </c>
      <c r="D906" s="21">
        <v>27</v>
      </c>
      <c r="E906" s="21">
        <v>3</v>
      </c>
      <c r="F906" s="22">
        <v>0</v>
      </c>
      <c r="G906" s="22" t="s">
        <v>198</v>
      </c>
      <c r="H906" s="36">
        <f>(D906*400)+(E906*100)+F906</f>
        <v>11100</v>
      </c>
      <c r="I906" s="25" t="s">
        <v>123</v>
      </c>
      <c r="J906" s="65">
        <f>(H906*I906)</f>
        <v>49950000</v>
      </c>
      <c r="K906" s="37">
        <v>1</v>
      </c>
      <c r="L906" s="20" t="s">
        <v>15</v>
      </c>
      <c r="M906" s="20" t="s">
        <v>13</v>
      </c>
      <c r="N906" s="62">
        <v>3</v>
      </c>
      <c r="O906" s="24">
        <v>2956.8</v>
      </c>
      <c r="P906" s="35">
        <v>100</v>
      </c>
      <c r="Q906" s="40">
        <v>5950</v>
      </c>
      <c r="R906" s="77">
        <f t="shared" ref="R906:R914" si="125">(O906*Q906)</f>
        <v>17592960</v>
      </c>
      <c r="S906" s="37">
        <v>6</v>
      </c>
      <c r="T906" s="28">
        <f t="shared" ref="T906:T913" si="126">(R906*6/100)</f>
        <v>1055577.6000000001</v>
      </c>
      <c r="U906" s="77">
        <f t="shared" ref="U906:U914" si="127">(R906-T906)</f>
        <v>16537382.4</v>
      </c>
      <c r="V906" s="20"/>
      <c r="W906" s="26"/>
      <c r="X906" s="27"/>
      <c r="Y906" s="20"/>
      <c r="Z906" s="20"/>
    </row>
    <row r="907" spans="1:26" s="29" customFormat="1" ht="90.75" customHeight="1" x14ac:dyDescent="0.25">
      <c r="A907" s="20"/>
      <c r="B907" s="20"/>
      <c r="C907" s="20"/>
      <c r="D907" s="21"/>
      <c r="E907" s="21"/>
      <c r="F907" s="22"/>
      <c r="G907" s="22"/>
      <c r="H907" s="24"/>
      <c r="I907" s="25"/>
      <c r="J907" s="24"/>
      <c r="K907" s="37">
        <v>2</v>
      </c>
      <c r="L907" s="20" t="s">
        <v>76</v>
      </c>
      <c r="M907" s="20" t="s">
        <v>13</v>
      </c>
      <c r="N907" s="62">
        <v>3</v>
      </c>
      <c r="O907" s="24">
        <v>935</v>
      </c>
      <c r="P907" s="35">
        <v>100</v>
      </c>
      <c r="Q907" s="40">
        <v>7100</v>
      </c>
      <c r="R907" s="77">
        <f t="shared" si="125"/>
        <v>6638500</v>
      </c>
      <c r="S907" s="37">
        <v>6</v>
      </c>
      <c r="T907" s="28">
        <f t="shared" si="126"/>
        <v>398310</v>
      </c>
      <c r="U907" s="77">
        <f t="shared" si="127"/>
        <v>6240190</v>
      </c>
      <c r="V907" s="20"/>
      <c r="W907" s="26"/>
      <c r="X907" s="27"/>
      <c r="Y907" s="20"/>
      <c r="Z907" s="20"/>
    </row>
    <row r="908" spans="1:26" s="29" customFormat="1" ht="90.75" customHeight="1" x14ac:dyDescent="0.25">
      <c r="A908" s="20"/>
      <c r="B908" s="20"/>
      <c r="C908" s="20"/>
      <c r="D908" s="21"/>
      <c r="E908" s="21"/>
      <c r="F908" s="22"/>
      <c r="G908" s="22"/>
      <c r="H908" s="24"/>
      <c r="I908" s="25"/>
      <c r="J908" s="24"/>
      <c r="K908" s="37">
        <v>3</v>
      </c>
      <c r="L908" s="20" t="s">
        <v>127</v>
      </c>
      <c r="M908" s="20" t="s">
        <v>13</v>
      </c>
      <c r="N908" s="62">
        <v>3</v>
      </c>
      <c r="O908" s="24">
        <v>2500</v>
      </c>
      <c r="P908" s="35">
        <v>100</v>
      </c>
      <c r="Q908" s="40">
        <v>3500</v>
      </c>
      <c r="R908" s="77">
        <f t="shared" si="125"/>
        <v>8750000</v>
      </c>
      <c r="S908" s="37">
        <v>6</v>
      </c>
      <c r="T908" s="28">
        <f t="shared" si="126"/>
        <v>525000</v>
      </c>
      <c r="U908" s="77">
        <f t="shared" si="127"/>
        <v>8225000</v>
      </c>
      <c r="V908" s="20"/>
      <c r="W908" s="26"/>
      <c r="X908" s="27"/>
      <c r="Y908" s="20"/>
      <c r="Z908" s="20"/>
    </row>
    <row r="909" spans="1:26" s="29" customFormat="1" ht="90.75" customHeight="1" x14ac:dyDescent="0.25">
      <c r="A909" s="20"/>
      <c r="B909" s="20"/>
      <c r="C909" s="20"/>
      <c r="D909" s="21"/>
      <c r="E909" s="21"/>
      <c r="F909" s="22"/>
      <c r="G909" s="22"/>
      <c r="H909" s="24"/>
      <c r="I909" s="25"/>
      <c r="J909" s="24"/>
      <c r="K909" s="37">
        <v>4</v>
      </c>
      <c r="L909" s="20" t="s">
        <v>76</v>
      </c>
      <c r="M909" s="20" t="s">
        <v>13</v>
      </c>
      <c r="N909" s="62">
        <v>3</v>
      </c>
      <c r="O909" s="24">
        <v>265.2</v>
      </c>
      <c r="P909" s="35">
        <v>100</v>
      </c>
      <c r="Q909" s="40">
        <v>7100</v>
      </c>
      <c r="R909" s="77">
        <f t="shared" si="125"/>
        <v>1882920</v>
      </c>
      <c r="S909" s="37">
        <v>6</v>
      </c>
      <c r="T909" s="28">
        <f t="shared" si="126"/>
        <v>112975.2</v>
      </c>
      <c r="U909" s="77">
        <f t="shared" si="127"/>
        <v>1769944.8</v>
      </c>
      <c r="V909" s="20"/>
      <c r="W909" s="26"/>
      <c r="X909" s="27"/>
      <c r="Y909" s="20"/>
      <c r="Z909" s="20"/>
    </row>
    <row r="910" spans="1:26" s="29" customFormat="1" ht="90.75" customHeight="1" x14ac:dyDescent="0.25">
      <c r="A910" s="20"/>
      <c r="B910" s="20"/>
      <c r="C910" s="20"/>
      <c r="D910" s="21"/>
      <c r="E910" s="21"/>
      <c r="F910" s="22"/>
      <c r="G910" s="22"/>
      <c r="H910" s="24"/>
      <c r="I910" s="25"/>
      <c r="J910" s="24"/>
      <c r="K910" s="37">
        <v>5</v>
      </c>
      <c r="L910" s="20" t="s">
        <v>31</v>
      </c>
      <c r="M910" s="20"/>
      <c r="N910" s="62">
        <v>3</v>
      </c>
      <c r="O910" s="24">
        <v>1174.5</v>
      </c>
      <c r="P910" s="35">
        <v>100</v>
      </c>
      <c r="Q910" s="40">
        <v>2550</v>
      </c>
      <c r="R910" s="77">
        <f t="shared" si="125"/>
        <v>2994975</v>
      </c>
      <c r="S910" s="37">
        <v>6</v>
      </c>
      <c r="T910" s="28">
        <f t="shared" si="126"/>
        <v>179698.5</v>
      </c>
      <c r="U910" s="77">
        <f t="shared" si="127"/>
        <v>2815276.5</v>
      </c>
      <c r="V910" s="20"/>
      <c r="W910" s="26"/>
      <c r="X910" s="27"/>
      <c r="Y910" s="20"/>
      <c r="Z910" s="20"/>
    </row>
    <row r="911" spans="1:26" s="29" customFormat="1" ht="90.75" customHeight="1" x14ac:dyDescent="0.25">
      <c r="A911" s="20"/>
      <c r="B911" s="20"/>
      <c r="C911" s="20"/>
      <c r="D911" s="21"/>
      <c r="E911" s="21"/>
      <c r="F911" s="22"/>
      <c r="G911" s="22"/>
      <c r="H911" s="24"/>
      <c r="I911" s="25"/>
      <c r="J911" s="24"/>
      <c r="K911" s="37">
        <v>6</v>
      </c>
      <c r="L911" s="20" t="s">
        <v>31</v>
      </c>
      <c r="M911" s="20"/>
      <c r="N911" s="62">
        <v>3</v>
      </c>
      <c r="O911" s="24">
        <v>70.5</v>
      </c>
      <c r="P911" s="35">
        <v>100</v>
      </c>
      <c r="Q911" s="40">
        <v>2550</v>
      </c>
      <c r="R911" s="77">
        <f t="shared" si="125"/>
        <v>179775</v>
      </c>
      <c r="S911" s="37">
        <v>6</v>
      </c>
      <c r="T911" s="28">
        <f t="shared" si="126"/>
        <v>10786.5</v>
      </c>
      <c r="U911" s="77">
        <f t="shared" si="127"/>
        <v>168988.5</v>
      </c>
      <c r="V911" s="20"/>
      <c r="W911" s="26"/>
      <c r="X911" s="27"/>
      <c r="Y911" s="20"/>
      <c r="Z911" s="20"/>
    </row>
    <row r="912" spans="1:26" s="29" customFormat="1" ht="90.75" customHeight="1" x14ac:dyDescent="0.25">
      <c r="A912" s="20"/>
      <c r="B912" s="20"/>
      <c r="C912" s="20"/>
      <c r="D912" s="21"/>
      <c r="E912" s="21"/>
      <c r="F912" s="22"/>
      <c r="G912" s="22"/>
      <c r="H912" s="24"/>
      <c r="I912" s="25"/>
      <c r="J912" s="24"/>
      <c r="K912" s="37">
        <v>7</v>
      </c>
      <c r="L912" s="20" t="s">
        <v>215</v>
      </c>
      <c r="M912" s="20" t="s">
        <v>13</v>
      </c>
      <c r="N912" s="62">
        <v>3</v>
      </c>
      <c r="O912" s="24">
        <v>43.86</v>
      </c>
      <c r="P912" s="35">
        <v>100</v>
      </c>
      <c r="Q912" s="40">
        <v>6450</v>
      </c>
      <c r="R912" s="77">
        <f t="shared" si="125"/>
        <v>282897</v>
      </c>
      <c r="S912" s="37">
        <v>6</v>
      </c>
      <c r="T912" s="28">
        <f t="shared" si="126"/>
        <v>16973.82</v>
      </c>
      <c r="U912" s="77">
        <f t="shared" si="127"/>
        <v>265923.18</v>
      </c>
      <c r="V912" s="20"/>
      <c r="W912" s="26"/>
      <c r="X912" s="27"/>
      <c r="Y912" s="20"/>
      <c r="Z912" s="20"/>
    </row>
    <row r="913" spans="1:26" s="29" customFormat="1" ht="90.75" customHeight="1" x14ac:dyDescent="0.25">
      <c r="A913" s="20"/>
      <c r="B913" s="20"/>
      <c r="C913" s="20"/>
      <c r="D913" s="21"/>
      <c r="E913" s="21"/>
      <c r="F913" s="22"/>
      <c r="G913" s="22"/>
      <c r="H913" s="24"/>
      <c r="I913" s="25"/>
      <c r="J913" s="24"/>
      <c r="K913" s="37">
        <v>8</v>
      </c>
      <c r="L913" s="20" t="s">
        <v>41</v>
      </c>
      <c r="M913" s="20" t="s">
        <v>13</v>
      </c>
      <c r="N913" s="62">
        <v>3</v>
      </c>
      <c r="O913" s="24">
        <v>170</v>
      </c>
      <c r="P913" s="35">
        <v>100</v>
      </c>
      <c r="Q913" s="40">
        <v>6400</v>
      </c>
      <c r="R913" s="77">
        <f t="shared" si="125"/>
        <v>1088000</v>
      </c>
      <c r="S913" s="37">
        <v>6</v>
      </c>
      <c r="T913" s="28">
        <f t="shared" si="126"/>
        <v>65280</v>
      </c>
      <c r="U913" s="77">
        <f t="shared" si="127"/>
        <v>1022720</v>
      </c>
      <c r="V913" s="20"/>
      <c r="W913" s="26"/>
      <c r="X913" s="27"/>
      <c r="Y913" s="20"/>
      <c r="Z913" s="20"/>
    </row>
    <row r="914" spans="1:26" s="29" customFormat="1" ht="90.75" customHeight="1" x14ac:dyDescent="0.25">
      <c r="A914" s="20"/>
      <c r="B914" s="20"/>
      <c r="C914" s="20"/>
      <c r="D914" s="21"/>
      <c r="E914" s="21"/>
      <c r="F914" s="22"/>
      <c r="G914" s="22"/>
      <c r="H914" s="24"/>
      <c r="I914" s="25"/>
      <c r="J914" s="24"/>
      <c r="K914" s="37">
        <v>9</v>
      </c>
      <c r="L914" s="20" t="s">
        <v>249</v>
      </c>
      <c r="M914" s="20"/>
      <c r="N914" s="62">
        <v>3</v>
      </c>
      <c r="O914" s="24">
        <v>77</v>
      </c>
      <c r="P914" s="35">
        <v>100</v>
      </c>
      <c r="Q914" s="40">
        <v>5150</v>
      </c>
      <c r="R914" s="77">
        <f t="shared" si="125"/>
        <v>396550</v>
      </c>
      <c r="S914" s="37">
        <v>3</v>
      </c>
      <c r="T914" s="28">
        <f>(R914*3/100)</f>
        <v>11896.5</v>
      </c>
      <c r="U914" s="77">
        <f t="shared" si="127"/>
        <v>384653.5</v>
      </c>
      <c r="V914" s="20"/>
      <c r="W914" s="26"/>
      <c r="X914" s="27"/>
      <c r="Y914" s="20"/>
      <c r="Z914" s="20"/>
    </row>
    <row r="915" spans="1:26" s="29" customFormat="1" ht="90.75" customHeight="1" x14ac:dyDescent="0.25">
      <c r="A915" s="20"/>
      <c r="B915" s="20"/>
      <c r="C915" s="20"/>
      <c r="D915" s="21"/>
      <c r="E915" s="21"/>
      <c r="F915" s="22"/>
      <c r="G915" s="22"/>
      <c r="H915" s="24"/>
      <c r="I915" s="25"/>
      <c r="J915" s="24"/>
      <c r="K915" s="20"/>
      <c r="L915" s="20"/>
      <c r="M915" s="20"/>
      <c r="N915" s="20"/>
      <c r="O915" s="24"/>
      <c r="P915" s="24"/>
      <c r="Q915" s="25"/>
      <c r="R915" s="24"/>
      <c r="S915" s="20"/>
      <c r="T915" s="27"/>
      <c r="U915" s="80">
        <f>SUM(U906:U914)</f>
        <v>37430078.880000003</v>
      </c>
      <c r="V915" s="27">
        <f>(J906+U915)</f>
        <v>87380078.879999995</v>
      </c>
      <c r="W915" s="26">
        <f t="shared" ref="W915:W951" si="128">(V915*100/100)</f>
        <v>87380078.879999995</v>
      </c>
      <c r="X915" s="27">
        <v>0</v>
      </c>
      <c r="Y915" s="26">
        <f t="shared" ref="Y915:Y951" si="129">(W915-X915)</f>
        <v>87380078.879999995</v>
      </c>
      <c r="Z915" s="49" t="s">
        <v>250</v>
      </c>
    </row>
    <row r="916" spans="1:26" s="29" customFormat="1" ht="90.75" customHeight="1" x14ac:dyDescent="0.25">
      <c r="A916" s="20">
        <v>722</v>
      </c>
      <c r="B916" s="20" t="s">
        <v>0</v>
      </c>
      <c r="C916" s="20">
        <v>14930</v>
      </c>
      <c r="D916" s="21">
        <v>18</v>
      </c>
      <c r="E916" s="21">
        <v>0</v>
      </c>
      <c r="F916" s="22">
        <v>0</v>
      </c>
      <c r="G916" s="22" t="s">
        <v>198</v>
      </c>
      <c r="H916" s="24">
        <f t="shared" ref="H916:H952" si="130">(D916*400)+(E916*100)+F916</f>
        <v>7200</v>
      </c>
      <c r="I916" s="40">
        <v>625</v>
      </c>
      <c r="J916" s="24">
        <f t="shared" ref="J916:J952" si="131">(H916*I916)</f>
        <v>4500000</v>
      </c>
      <c r="K916" s="37"/>
      <c r="L916" s="37"/>
      <c r="M916" s="37"/>
      <c r="N916" s="37"/>
      <c r="O916" s="65"/>
      <c r="P916" s="37"/>
      <c r="Q916" s="79"/>
      <c r="R916" s="37"/>
      <c r="S916" s="37"/>
      <c r="T916" s="65"/>
      <c r="U916" s="37"/>
      <c r="V916" s="27">
        <f t="shared" ref="V916:V951" si="132">(J916+U916)</f>
        <v>4500000</v>
      </c>
      <c r="W916" s="26">
        <f t="shared" si="128"/>
        <v>4500000</v>
      </c>
      <c r="X916" s="27">
        <v>0</v>
      </c>
      <c r="Y916" s="78">
        <f t="shared" si="129"/>
        <v>4500000</v>
      </c>
      <c r="Z916" s="49">
        <v>1E-4</v>
      </c>
    </row>
    <row r="917" spans="1:26" s="29" customFormat="1" ht="90.75" customHeight="1" x14ac:dyDescent="0.25">
      <c r="A917" s="20">
        <v>723</v>
      </c>
      <c r="B917" s="20" t="s">
        <v>0</v>
      </c>
      <c r="C917" s="20">
        <v>10666</v>
      </c>
      <c r="D917" s="21">
        <v>9</v>
      </c>
      <c r="E917" s="21">
        <v>2</v>
      </c>
      <c r="F917" s="22">
        <v>76</v>
      </c>
      <c r="G917" s="22" t="s">
        <v>198</v>
      </c>
      <c r="H917" s="24">
        <f t="shared" si="130"/>
        <v>3876</v>
      </c>
      <c r="I917" s="25" t="s">
        <v>33</v>
      </c>
      <c r="J917" s="24">
        <f t="shared" si="131"/>
        <v>1841100</v>
      </c>
      <c r="K917" s="20"/>
      <c r="L917" s="20"/>
      <c r="M917" s="20"/>
      <c r="N917" s="20"/>
      <c r="O917" s="24"/>
      <c r="P917" s="24"/>
      <c r="Q917" s="25"/>
      <c r="R917" s="24"/>
      <c r="S917" s="20"/>
      <c r="T917" s="27"/>
      <c r="U917" s="20"/>
      <c r="V917" s="27">
        <f t="shared" si="132"/>
        <v>1841100</v>
      </c>
      <c r="W917" s="26">
        <f t="shared" si="128"/>
        <v>1841100</v>
      </c>
      <c r="X917" s="27">
        <v>0</v>
      </c>
      <c r="Y917" s="78">
        <f t="shared" si="129"/>
        <v>1841100</v>
      </c>
      <c r="Z917" s="49">
        <v>1E-4</v>
      </c>
    </row>
    <row r="918" spans="1:26" s="29" customFormat="1" ht="90.75" customHeight="1" x14ac:dyDescent="0.25">
      <c r="A918" s="20">
        <v>724</v>
      </c>
      <c r="B918" s="20" t="s">
        <v>0</v>
      </c>
      <c r="C918" s="20">
        <v>7477</v>
      </c>
      <c r="D918" s="21">
        <v>45</v>
      </c>
      <c r="E918" s="21">
        <v>0</v>
      </c>
      <c r="F918" s="22">
        <v>78</v>
      </c>
      <c r="G918" s="22" t="s">
        <v>198</v>
      </c>
      <c r="H918" s="24">
        <f t="shared" si="130"/>
        <v>18078</v>
      </c>
      <c r="I918" s="25" t="s">
        <v>32</v>
      </c>
      <c r="J918" s="24">
        <f t="shared" si="131"/>
        <v>3615600</v>
      </c>
      <c r="K918" s="20"/>
      <c r="L918" s="20"/>
      <c r="M918" s="20"/>
      <c r="N918" s="20"/>
      <c r="O918" s="24"/>
      <c r="P918" s="24"/>
      <c r="Q918" s="25"/>
      <c r="R918" s="24"/>
      <c r="S918" s="20"/>
      <c r="T918" s="27"/>
      <c r="U918" s="20"/>
      <c r="V918" s="27">
        <f t="shared" si="132"/>
        <v>3615600</v>
      </c>
      <c r="W918" s="26">
        <f t="shared" si="128"/>
        <v>3615600</v>
      </c>
      <c r="X918" s="27">
        <v>0</v>
      </c>
      <c r="Y918" s="78">
        <f t="shared" si="129"/>
        <v>3615600</v>
      </c>
      <c r="Z918" s="49">
        <v>1E-4</v>
      </c>
    </row>
    <row r="919" spans="1:26" s="29" customFormat="1" ht="90.75" customHeight="1" x14ac:dyDescent="0.25">
      <c r="A919" s="20">
        <v>725</v>
      </c>
      <c r="B919" s="20" t="s">
        <v>0</v>
      </c>
      <c r="C919" s="20">
        <v>7478</v>
      </c>
      <c r="D919" s="21">
        <v>4</v>
      </c>
      <c r="E919" s="21">
        <v>3</v>
      </c>
      <c r="F919" s="22">
        <v>92</v>
      </c>
      <c r="G919" s="22" t="s">
        <v>198</v>
      </c>
      <c r="H919" s="24">
        <f t="shared" si="130"/>
        <v>1992</v>
      </c>
      <c r="I919" s="25" t="s">
        <v>32</v>
      </c>
      <c r="J919" s="24">
        <f t="shared" si="131"/>
        <v>398400</v>
      </c>
      <c r="K919" s="20"/>
      <c r="L919" s="20"/>
      <c r="M919" s="20"/>
      <c r="N919" s="20"/>
      <c r="O919" s="24"/>
      <c r="P919" s="24"/>
      <c r="Q919" s="25"/>
      <c r="R919" s="24"/>
      <c r="S919" s="20"/>
      <c r="T919" s="27"/>
      <c r="U919" s="20"/>
      <c r="V919" s="27">
        <f t="shared" si="132"/>
        <v>398400</v>
      </c>
      <c r="W919" s="26">
        <f t="shared" si="128"/>
        <v>398400</v>
      </c>
      <c r="X919" s="27">
        <v>0</v>
      </c>
      <c r="Y919" s="78">
        <f t="shared" si="129"/>
        <v>398400</v>
      </c>
      <c r="Z919" s="49">
        <v>1E-4</v>
      </c>
    </row>
    <row r="920" spans="1:26" s="29" customFormat="1" ht="90.75" customHeight="1" x14ac:dyDescent="0.25">
      <c r="A920" s="20">
        <v>726</v>
      </c>
      <c r="B920" s="20" t="s">
        <v>0</v>
      </c>
      <c r="C920" s="20">
        <v>8197</v>
      </c>
      <c r="D920" s="21">
        <v>46</v>
      </c>
      <c r="E920" s="21">
        <v>3</v>
      </c>
      <c r="F920" s="22">
        <v>91</v>
      </c>
      <c r="G920" s="22" t="s">
        <v>198</v>
      </c>
      <c r="H920" s="24">
        <f t="shared" si="130"/>
        <v>18791</v>
      </c>
      <c r="I920" s="25" t="s">
        <v>32</v>
      </c>
      <c r="J920" s="24">
        <f t="shared" si="131"/>
        <v>3758200</v>
      </c>
      <c r="K920" s="20"/>
      <c r="L920" s="20"/>
      <c r="M920" s="20"/>
      <c r="N920" s="20"/>
      <c r="O920" s="24"/>
      <c r="P920" s="24"/>
      <c r="Q920" s="25"/>
      <c r="R920" s="24"/>
      <c r="S920" s="20"/>
      <c r="T920" s="27"/>
      <c r="U920" s="20"/>
      <c r="V920" s="27">
        <f t="shared" si="132"/>
        <v>3758200</v>
      </c>
      <c r="W920" s="26">
        <f t="shared" si="128"/>
        <v>3758200</v>
      </c>
      <c r="X920" s="27">
        <v>0</v>
      </c>
      <c r="Y920" s="78">
        <f t="shared" si="129"/>
        <v>3758200</v>
      </c>
      <c r="Z920" s="49">
        <v>1E-4</v>
      </c>
    </row>
    <row r="921" spans="1:26" s="29" customFormat="1" ht="90.75" customHeight="1" x14ac:dyDescent="0.25">
      <c r="A921" s="20">
        <v>727</v>
      </c>
      <c r="B921" s="20" t="s">
        <v>0</v>
      </c>
      <c r="C921" s="20">
        <v>7462</v>
      </c>
      <c r="D921" s="21">
        <v>14</v>
      </c>
      <c r="E921" s="21">
        <v>0</v>
      </c>
      <c r="F921" s="22">
        <v>40</v>
      </c>
      <c r="G921" s="22" t="s">
        <v>198</v>
      </c>
      <c r="H921" s="24">
        <f t="shared" si="130"/>
        <v>5640</v>
      </c>
      <c r="I921" s="25" t="s">
        <v>19</v>
      </c>
      <c r="J921" s="24">
        <f t="shared" si="131"/>
        <v>2115000</v>
      </c>
      <c r="K921" s="20"/>
      <c r="L921" s="20"/>
      <c r="M921" s="20"/>
      <c r="N921" s="20"/>
      <c r="O921" s="24"/>
      <c r="P921" s="24"/>
      <c r="Q921" s="25"/>
      <c r="R921" s="24"/>
      <c r="S921" s="20"/>
      <c r="T921" s="27"/>
      <c r="U921" s="20"/>
      <c r="V921" s="27">
        <f t="shared" si="132"/>
        <v>2115000</v>
      </c>
      <c r="W921" s="26">
        <f t="shared" si="128"/>
        <v>2115000</v>
      </c>
      <c r="X921" s="27">
        <v>0</v>
      </c>
      <c r="Y921" s="78">
        <f t="shared" si="129"/>
        <v>2115000</v>
      </c>
      <c r="Z921" s="49">
        <v>1E-4</v>
      </c>
    </row>
    <row r="922" spans="1:26" s="29" customFormat="1" ht="90.75" customHeight="1" x14ac:dyDescent="0.25">
      <c r="A922" s="20">
        <v>728</v>
      </c>
      <c r="B922" s="20" t="s">
        <v>0</v>
      </c>
      <c r="C922" s="20">
        <v>7463</v>
      </c>
      <c r="D922" s="21">
        <v>8</v>
      </c>
      <c r="E922" s="21">
        <v>2</v>
      </c>
      <c r="F922" s="22">
        <v>22</v>
      </c>
      <c r="G922" s="22" t="s">
        <v>198</v>
      </c>
      <c r="H922" s="24">
        <f t="shared" si="130"/>
        <v>3422</v>
      </c>
      <c r="I922" s="25" t="s">
        <v>66</v>
      </c>
      <c r="J922" s="24">
        <f t="shared" si="131"/>
        <v>3250900</v>
      </c>
      <c r="K922" s="20"/>
      <c r="L922" s="20"/>
      <c r="M922" s="20"/>
      <c r="N922" s="20"/>
      <c r="O922" s="24"/>
      <c r="P922" s="24"/>
      <c r="Q922" s="25"/>
      <c r="R922" s="24"/>
      <c r="S922" s="20"/>
      <c r="T922" s="27"/>
      <c r="U922" s="20"/>
      <c r="V922" s="27">
        <f t="shared" si="132"/>
        <v>3250900</v>
      </c>
      <c r="W922" s="26">
        <f t="shared" si="128"/>
        <v>3250900</v>
      </c>
      <c r="X922" s="27">
        <v>0</v>
      </c>
      <c r="Y922" s="78">
        <f t="shared" si="129"/>
        <v>3250900</v>
      </c>
      <c r="Z922" s="49">
        <v>1E-4</v>
      </c>
    </row>
    <row r="923" spans="1:26" s="29" customFormat="1" ht="90.75" customHeight="1" x14ac:dyDescent="0.25">
      <c r="A923" s="20">
        <v>729</v>
      </c>
      <c r="B923" s="20" t="s">
        <v>0</v>
      </c>
      <c r="C923" s="20">
        <v>7486</v>
      </c>
      <c r="D923" s="21">
        <v>2</v>
      </c>
      <c r="E923" s="21">
        <v>0</v>
      </c>
      <c r="F923" s="22">
        <v>78</v>
      </c>
      <c r="G923" s="22" t="s">
        <v>198</v>
      </c>
      <c r="H923" s="24">
        <f t="shared" si="130"/>
        <v>878</v>
      </c>
      <c r="I923" s="25" t="s">
        <v>75</v>
      </c>
      <c r="J923" s="24">
        <f t="shared" si="131"/>
        <v>548750</v>
      </c>
      <c r="K923" s="20"/>
      <c r="L923" s="20"/>
      <c r="M923" s="20"/>
      <c r="N923" s="20"/>
      <c r="O923" s="24"/>
      <c r="P923" s="24"/>
      <c r="Q923" s="25"/>
      <c r="R923" s="24"/>
      <c r="S923" s="20"/>
      <c r="T923" s="27"/>
      <c r="U923" s="20"/>
      <c r="V923" s="27">
        <f t="shared" si="132"/>
        <v>548750</v>
      </c>
      <c r="W923" s="26">
        <f t="shared" si="128"/>
        <v>548750</v>
      </c>
      <c r="X923" s="27">
        <v>0</v>
      </c>
      <c r="Y923" s="78">
        <f t="shared" si="129"/>
        <v>548750</v>
      </c>
      <c r="Z923" s="49">
        <v>1E-4</v>
      </c>
    </row>
    <row r="924" spans="1:26" s="29" customFormat="1" ht="90.75" customHeight="1" x14ac:dyDescent="0.25">
      <c r="A924" s="20">
        <v>730</v>
      </c>
      <c r="B924" s="20" t="s">
        <v>0</v>
      </c>
      <c r="C924" s="20">
        <v>7484</v>
      </c>
      <c r="D924" s="21">
        <v>3</v>
      </c>
      <c r="E924" s="21">
        <v>1</v>
      </c>
      <c r="F924" s="22">
        <v>71</v>
      </c>
      <c r="G924" s="22" t="s">
        <v>198</v>
      </c>
      <c r="H924" s="24">
        <f t="shared" si="130"/>
        <v>1371</v>
      </c>
      <c r="I924" s="25" t="s">
        <v>22</v>
      </c>
      <c r="J924" s="24">
        <f t="shared" si="131"/>
        <v>719775</v>
      </c>
      <c r="K924" s="20"/>
      <c r="L924" s="20"/>
      <c r="M924" s="20"/>
      <c r="N924" s="20"/>
      <c r="O924" s="24"/>
      <c r="P924" s="24"/>
      <c r="Q924" s="25"/>
      <c r="R924" s="24"/>
      <c r="S924" s="20"/>
      <c r="T924" s="27"/>
      <c r="U924" s="20"/>
      <c r="V924" s="27">
        <f t="shared" si="132"/>
        <v>719775</v>
      </c>
      <c r="W924" s="26">
        <f t="shared" si="128"/>
        <v>719775</v>
      </c>
      <c r="X924" s="27">
        <v>0</v>
      </c>
      <c r="Y924" s="78">
        <f t="shared" si="129"/>
        <v>719775</v>
      </c>
      <c r="Z924" s="49">
        <v>1E-4</v>
      </c>
    </row>
    <row r="925" spans="1:26" s="29" customFormat="1" ht="90.75" customHeight="1" x14ac:dyDescent="0.25">
      <c r="A925" s="20">
        <v>731</v>
      </c>
      <c r="B925" s="20" t="s">
        <v>0</v>
      </c>
      <c r="C925" s="20">
        <v>8185</v>
      </c>
      <c r="D925" s="21">
        <v>12</v>
      </c>
      <c r="E925" s="21">
        <v>2</v>
      </c>
      <c r="F925" s="22">
        <v>59</v>
      </c>
      <c r="G925" s="22" t="s">
        <v>198</v>
      </c>
      <c r="H925" s="24">
        <f t="shared" si="130"/>
        <v>5059</v>
      </c>
      <c r="I925" s="25" t="s">
        <v>32</v>
      </c>
      <c r="J925" s="24">
        <f t="shared" si="131"/>
        <v>1011800</v>
      </c>
      <c r="K925" s="20"/>
      <c r="L925" s="20"/>
      <c r="M925" s="20"/>
      <c r="N925" s="20"/>
      <c r="O925" s="24"/>
      <c r="P925" s="24"/>
      <c r="Q925" s="25"/>
      <c r="R925" s="24"/>
      <c r="S925" s="20"/>
      <c r="T925" s="27"/>
      <c r="U925" s="20"/>
      <c r="V925" s="27">
        <f t="shared" si="132"/>
        <v>1011800</v>
      </c>
      <c r="W925" s="26">
        <f t="shared" si="128"/>
        <v>1011800</v>
      </c>
      <c r="X925" s="27">
        <v>0</v>
      </c>
      <c r="Y925" s="78">
        <f t="shared" si="129"/>
        <v>1011800</v>
      </c>
      <c r="Z925" s="49">
        <v>1E-4</v>
      </c>
    </row>
    <row r="926" spans="1:26" s="29" customFormat="1" ht="90.75" customHeight="1" x14ac:dyDescent="0.25">
      <c r="A926" s="20">
        <v>732</v>
      </c>
      <c r="B926" s="20" t="s">
        <v>0</v>
      </c>
      <c r="C926" s="20">
        <v>8184</v>
      </c>
      <c r="D926" s="21">
        <v>16</v>
      </c>
      <c r="E926" s="21">
        <v>3</v>
      </c>
      <c r="F926" s="22">
        <v>90</v>
      </c>
      <c r="G926" s="22" t="s">
        <v>198</v>
      </c>
      <c r="H926" s="24">
        <f t="shared" si="130"/>
        <v>6790</v>
      </c>
      <c r="I926" s="25" t="s">
        <v>7</v>
      </c>
      <c r="J926" s="24">
        <f t="shared" si="131"/>
        <v>2376500</v>
      </c>
      <c r="K926" s="20"/>
      <c r="L926" s="20"/>
      <c r="M926" s="20"/>
      <c r="N926" s="20"/>
      <c r="O926" s="24"/>
      <c r="P926" s="24"/>
      <c r="Q926" s="25"/>
      <c r="R926" s="24"/>
      <c r="S926" s="20"/>
      <c r="T926" s="27"/>
      <c r="U926" s="20"/>
      <c r="V926" s="27">
        <f t="shared" si="132"/>
        <v>2376500</v>
      </c>
      <c r="W926" s="26">
        <f t="shared" si="128"/>
        <v>2376500</v>
      </c>
      <c r="X926" s="27">
        <v>0</v>
      </c>
      <c r="Y926" s="78">
        <f t="shared" si="129"/>
        <v>2376500</v>
      </c>
      <c r="Z926" s="49">
        <v>1E-4</v>
      </c>
    </row>
    <row r="927" spans="1:26" s="29" customFormat="1" ht="90.75" customHeight="1" x14ac:dyDescent="0.25">
      <c r="A927" s="20">
        <v>733</v>
      </c>
      <c r="B927" s="20" t="s">
        <v>0</v>
      </c>
      <c r="C927" s="20">
        <v>7485</v>
      </c>
      <c r="D927" s="21">
        <v>3</v>
      </c>
      <c r="E927" s="21">
        <v>1</v>
      </c>
      <c r="F927" s="22">
        <v>14</v>
      </c>
      <c r="G927" s="22" t="s">
        <v>198</v>
      </c>
      <c r="H927" s="24">
        <f t="shared" si="130"/>
        <v>1314</v>
      </c>
      <c r="I927" s="25" t="s">
        <v>32</v>
      </c>
      <c r="J927" s="24">
        <f t="shared" si="131"/>
        <v>262800</v>
      </c>
      <c r="K927" s="20"/>
      <c r="L927" s="20"/>
      <c r="M927" s="20"/>
      <c r="N927" s="20"/>
      <c r="O927" s="24"/>
      <c r="P927" s="24"/>
      <c r="Q927" s="25"/>
      <c r="R927" s="24"/>
      <c r="S927" s="20"/>
      <c r="T927" s="27"/>
      <c r="U927" s="20"/>
      <c r="V927" s="27">
        <f t="shared" si="132"/>
        <v>262800</v>
      </c>
      <c r="W927" s="26">
        <f t="shared" si="128"/>
        <v>262800</v>
      </c>
      <c r="X927" s="27">
        <v>0</v>
      </c>
      <c r="Y927" s="78">
        <f t="shared" si="129"/>
        <v>262800</v>
      </c>
      <c r="Z927" s="49">
        <v>1E-4</v>
      </c>
    </row>
    <row r="928" spans="1:26" s="29" customFormat="1" ht="90.75" customHeight="1" x14ac:dyDescent="0.25">
      <c r="A928" s="20">
        <v>734</v>
      </c>
      <c r="B928" s="20" t="s">
        <v>0</v>
      </c>
      <c r="C928" s="20">
        <v>7487</v>
      </c>
      <c r="D928" s="21">
        <v>13</v>
      </c>
      <c r="E928" s="21">
        <v>0</v>
      </c>
      <c r="F928" s="22">
        <v>3</v>
      </c>
      <c r="G928" s="22" t="s">
        <v>198</v>
      </c>
      <c r="H928" s="24">
        <f t="shared" si="130"/>
        <v>5203</v>
      </c>
      <c r="I928" s="25" t="s">
        <v>32</v>
      </c>
      <c r="J928" s="24">
        <f t="shared" si="131"/>
        <v>1040600</v>
      </c>
      <c r="K928" s="20"/>
      <c r="L928" s="20"/>
      <c r="M928" s="20"/>
      <c r="N928" s="20"/>
      <c r="O928" s="24"/>
      <c r="P928" s="24"/>
      <c r="Q928" s="25"/>
      <c r="R928" s="24"/>
      <c r="S928" s="20"/>
      <c r="T928" s="27"/>
      <c r="U928" s="20"/>
      <c r="V928" s="27">
        <f t="shared" si="132"/>
        <v>1040600</v>
      </c>
      <c r="W928" s="26">
        <f t="shared" si="128"/>
        <v>1040600</v>
      </c>
      <c r="X928" s="27">
        <v>0</v>
      </c>
      <c r="Y928" s="78">
        <f t="shared" si="129"/>
        <v>1040600</v>
      </c>
      <c r="Z928" s="49">
        <v>1E-4</v>
      </c>
    </row>
    <row r="929" spans="1:26" s="29" customFormat="1" ht="90.75" customHeight="1" x14ac:dyDescent="0.25">
      <c r="A929" s="20">
        <v>735</v>
      </c>
      <c r="B929" s="20" t="s">
        <v>0</v>
      </c>
      <c r="C929" s="20">
        <v>7488</v>
      </c>
      <c r="D929" s="21">
        <v>20</v>
      </c>
      <c r="E929" s="21">
        <v>0</v>
      </c>
      <c r="F929" s="22">
        <v>6</v>
      </c>
      <c r="G929" s="22" t="s">
        <v>198</v>
      </c>
      <c r="H929" s="24">
        <f t="shared" si="130"/>
        <v>8006</v>
      </c>
      <c r="I929" s="25" t="s">
        <v>32</v>
      </c>
      <c r="J929" s="24">
        <f t="shared" si="131"/>
        <v>1601200</v>
      </c>
      <c r="K929" s="20"/>
      <c r="L929" s="20"/>
      <c r="M929" s="20"/>
      <c r="N929" s="20"/>
      <c r="O929" s="24"/>
      <c r="P929" s="24"/>
      <c r="Q929" s="25"/>
      <c r="R929" s="24"/>
      <c r="S929" s="20"/>
      <c r="T929" s="27"/>
      <c r="U929" s="20"/>
      <c r="V929" s="27">
        <f t="shared" si="132"/>
        <v>1601200</v>
      </c>
      <c r="W929" s="26">
        <f t="shared" si="128"/>
        <v>1601200</v>
      </c>
      <c r="X929" s="27">
        <v>0</v>
      </c>
      <c r="Y929" s="78">
        <f t="shared" si="129"/>
        <v>1601200</v>
      </c>
      <c r="Z929" s="49">
        <v>1E-4</v>
      </c>
    </row>
    <row r="930" spans="1:26" s="29" customFormat="1" ht="90.75" customHeight="1" x14ac:dyDescent="0.25">
      <c r="A930" s="20">
        <v>736</v>
      </c>
      <c r="B930" s="20" t="s">
        <v>0</v>
      </c>
      <c r="C930" s="20">
        <v>7489</v>
      </c>
      <c r="D930" s="21">
        <v>3</v>
      </c>
      <c r="E930" s="21">
        <v>0</v>
      </c>
      <c r="F930" s="22">
        <v>38</v>
      </c>
      <c r="G930" s="22" t="s">
        <v>198</v>
      </c>
      <c r="H930" s="24">
        <f t="shared" si="130"/>
        <v>1238</v>
      </c>
      <c r="I930" s="25" t="s">
        <v>77</v>
      </c>
      <c r="J930" s="24">
        <f t="shared" si="131"/>
        <v>928500</v>
      </c>
      <c r="K930" s="20"/>
      <c r="L930" s="20"/>
      <c r="M930" s="20"/>
      <c r="N930" s="20"/>
      <c r="O930" s="24"/>
      <c r="P930" s="24"/>
      <c r="Q930" s="25"/>
      <c r="R930" s="24"/>
      <c r="S930" s="20"/>
      <c r="T930" s="27"/>
      <c r="U930" s="20"/>
      <c r="V930" s="27">
        <f t="shared" si="132"/>
        <v>928500</v>
      </c>
      <c r="W930" s="26">
        <f t="shared" si="128"/>
        <v>928500</v>
      </c>
      <c r="X930" s="27">
        <v>0</v>
      </c>
      <c r="Y930" s="78">
        <f t="shared" si="129"/>
        <v>928500</v>
      </c>
      <c r="Z930" s="49">
        <v>1E-4</v>
      </c>
    </row>
    <row r="931" spans="1:26" s="29" customFormat="1" ht="90.75" customHeight="1" x14ac:dyDescent="0.25">
      <c r="A931" s="20">
        <v>737</v>
      </c>
      <c r="B931" s="20" t="s">
        <v>0</v>
      </c>
      <c r="C931" s="20">
        <v>10615</v>
      </c>
      <c r="D931" s="21">
        <v>26</v>
      </c>
      <c r="E931" s="21">
        <v>3</v>
      </c>
      <c r="F931" s="22">
        <v>1</v>
      </c>
      <c r="G931" s="22" t="s">
        <v>198</v>
      </c>
      <c r="H931" s="24">
        <f t="shared" si="130"/>
        <v>10701</v>
      </c>
      <c r="I931" s="25" t="s">
        <v>19</v>
      </c>
      <c r="J931" s="24">
        <f t="shared" si="131"/>
        <v>4012875</v>
      </c>
      <c r="K931" s="20"/>
      <c r="L931" s="20"/>
      <c r="M931" s="20"/>
      <c r="N931" s="20"/>
      <c r="O931" s="24"/>
      <c r="P931" s="24"/>
      <c r="Q931" s="25"/>
      <c r="R931" s="24"/>
      <c r="S931" s="20"/>
      <c r="T931" s="27"/>
      <c r="U931" s="20"/>
      <c r="V931" s="27">
        <f t="shared" si="132"/>
        <v>4012875</v>
      </c>
      <c r="W931" s="26">
        <f t="shared" si="128"/>
        <v>4012875</v>
      </c>
      <c r="X931" s="27">
        <v>0</v>
      </c>
      <c r="Y931" s="78">
        <f t="shared" si="129"/>
        <v>4012875</v>
      </c>
      <c r="Z931" s="49">
        <v>1E-4</v>
      </c>
    </row>
    <row r="932" spans="1:26" s="29" customFormat="1" ht="90.75" customHeight="1" x14ac:dyDescent="0.25">
      <c r="A932" s="20">
        <v>738</v>
      </c>
      <c r="B932" s="20" t="s">
        <v>0</v>
      </c>
      <c r="C932" s="20">
        <v>12586</v>
      </c>
      <c r="D932" s="21">
        <v>9</v>
      </c>
      <c r="E932" s="21">
        <v>1</v>
      </c>
      <c r="F932" s="22">
        <v>5</v>
      </c>
      <c r="G932" s="22" t="s">
        <v>198</v>
      </c>
      <c r="H932" s="24">
        <f t="shared" si="130"/>
        <v>3705</v>
      </c>
      <c r="I932" s="25" t="s">
        <v>32</v>
      </c>
      <c r="J932" s="24">
        <f t="shared" si="131"/>
        <v>741000</v>
      </c>
      <c r="K932" s="20"/>
      <c r="L932" s="20"/>
      <c r="M932" s="20"/>
      <c r="N932" s="20"/>
      <c r="O932" s="24"/>
      <c r="P932" s="24"/>
      <c r="Q932" s="25"/>
      <c r="R932" s="24"/>
      <c r="S932" s="20"/>
      <c r="T932" s="27"/>
      <c r="U932" s="20"/>
      <c r="V932" s="27">
        <f t="shared" si="132"/>
        <v>741000</v>
      </c>
      <c r="W932" s="26">
        <f t="shared" si="128"/>
        <v>741000</v>
      </c>
      <c r="X932" s="27">
        <v>0</v>
      </c>
      <c r="Y932" s="78">
        <f t="shared" si="129"/>
        <v>741000</v>
      </c>
      <c r="Z932" s="49">
        <v>1E-4</v>
      </c>
    </row>
    <row r="933" spans="1:26" s="29" customFormat="1" ht="90.75" customHeight="1" x14ac:dyDescent="0.25">
      <c r="A933" s="20">
        <v>739</v>
      </c>
      <c r="B933" s="20" t="s">
        <v>0</v>
      </c>
      <c r="C933" s="20">
        <v>8186</v>
      </c>
      <c r="D933" s="21">
        <v>9</v>
      </c>
      <c r="E933" s="21">
        <v>2</v>
      </c>
      <c r="F933" s="22">
        <v>5</v>
      </c>
      <c r="G933" s="22" t="s">
        <v>198</v>
      </c>
      <c r="H933" s="24">
        <f t="shared" si="130"/>
        <v>3805</v>
      </c>
      <c r="I933" s="25" t="s">
        <v>77</v>
      </c>
      <c r="J933" s="24">
        <f t="shared" si="131"/>
        <v>2853750</v>
      </c>
      <c r="K933" s="20"/>
      <c r="L933" s="20"/>
      <c r="M933" s="20"/>
      <c r="N933" s="20"/>
      <c r="O933" s="24"/>
      <c r="P933" s="24"/>
      <c r="Q933" s="25"/>
      <c r="R933" s="24"/>
      <c r="S933" s="20"/>
      <c r="T933" s="27"/>
      <c r="U933" s="20"/>
      <c r="V933" s="27">
        <f t="shared" si="132"/>
        <v>2853750</v>
      </c>
      <c r="W933" s="26">
        <f t="shared" si="128"/>
        <v>2853750</v>
      </c>
      <c r="X933" s="27">
        <v>0</v>
      </c>
      <c r="Y933" s="78">
        <f t="shared" si="129"/>
        <v>2853750</v>
      </c>
      <c r="Z933" s="49">
        <v>1E-4</v>
      </c>
    </row>
    <row r="934" spans="1:26" s="29" customFormat="1" ht="90.75" customHeight="1" x14ac:dyDescent="0.25">
      <c r="A934" s="20">
        <v>740</v>
      </c>
      <c r="B934" s="20" t="s">
        <v>0</v>
      </c>
      <c r="C934" s="20">
        <v>7600</v>
      </c>
      <c r="D934" s="21">
        <v>32</v>
      </c>
      <c r="E934" s="21">
        <v>0</v>
      </c>
      <c r="F934" s="22">
        <v>8</v>
      </c>
      <c r="G934" s="22" t="s">
        <v>198</v>
      </c>
      <c r="H934" s="24">
        <f t="shared" si="130"/>
        <v>12808</v>
      </c>
      <c r="I934" s="25">
        <v>400</v>
      </c>
      <c r="J934" s="24">
        <f t="shared" si="131"/>
        <v>5123200</v>
      </c>
      <c r="K934" s="20"/>
      <c r="L934" s="20"/>
      <c r="M934" s="20"/>
      <c r="N934" s="20"/>
      <c r="O934" s="24"/>
      <c r="P934" s="24"/>
      <c r="Q934" s="25"/>
      <c r="R934" s="24"/>
      <c r="S934" s="20"/>
      <c r="T934" s="27"/>
      <c r="U934" s="20"/>
      <c r="V934" s="27">
        <f t="shared" si="132"/>
        <v>5123200</v>
      </c>
      <c r="W934" s="26">
        <f t="shared" si="128"/>
        <v>5123200</v>
      </c>
      <c r="X934" s="27">
        <v>0</v>
      </c>
      <c r="Y934" s="78">
        <f t="shared" si="129"/>
        <v>5123200</v>
      </c>
      <c r="Z934" s="49">
        <v>1E-4</v>
      </c>
    </row>
    <row r="935" spans="1:26" s="29" customFormat="1" ht="90.75" customHeight="1" x14ac:dyDescent="0.25">
      <c r="A935" s="20">
        <v>741</v>
      </c>
      <c r="B935" s="20" t="s">
        <v>0</v>
      </c>
      <c r="C935" s="20">
        <v>8237</v>
      </c>
      <c r="D935" s="21">
        <v>40</v>
      </c>
      <c r="E935" s="21">
        <v>1</v>
      </c>
      <c r="F935" s="22">
        <v>67</v>
      </c>
      <c r="G935" s="22" t="s">
        <v>198</v>
      </c>
      <c r="H935" s="24">
        <f t="shared" si="130"/>
        <v>16167</v>
      </c>
      <c r="I935" s="25" t="s">
        <v>19</v>
      </c>
      <c r="J935" s="24">
        <f t="shared" si="131"/>
        <v>6062625</v>
      </c>
      <c r="K935" s="20"/>
      <c r="L935" s="20"/>
      <c r="M935" s="20"/>
      <c r="N935" s="20"/>
      <c r="O935" s="24"/>
      <c r="P935" s="24"/>
      <c r="Q935" s="25"/>
      <c r="R935" s="24"/>
      <c r="S935" s="20"/>
      <c r="T935" s="27"/>
      <c r="U935" s="20"/>
      <c r="V935" s="27">
        <f t="shared" si="132"/>
        <v>6062625</v>
      </c>
      <c r="W935" s="26">
        <f t="shared" si="128"/>
        <v>6062625</v>
      </c>
      <c r="X935" s="27">
        <v>0</v>
      </c>
      <c r="Y935" s="78">
        <f t="shared" si="129"/>
        <v>6062625</v>
      </c>
      <c r="Z935" s="49">
        <v>1E-4</v>
      </c>
    </row>
    <row r="936" spans="1:26" s="29" customFormat="1" ht="90.75" customHeight="1" x14ac:dyDescent="0.25">
      <c r="A936" s="20">
        <v>742</v>
      </c>
      <c r="B936" s="20" t="s">
        <v>0</v>
      </c>
      <c r="C936" s="20">
        <v>9817</v>
      </c>
      <c r="D936" s="21">
        <v>13</v>
      </c>
      <c r="E936" s="21">
        <v>3</v>
      </c>
      <c r="F936" s="22">
        <v>81</v>
      </c>
      <c r="G936" s="22" t="s">
        <v>198</v>
      </c>
      <c r="H936" s="24">
        <f t="shared" si="130"/>
        <v>5581</v>
      </c>
      <c r="I936" s="25" t="s">
        <v>53</v>
      </c>
      <c r="J936" s="24">
        <f t="shared" si="131"/>
        <v>2511450</v>
      </c>
      <c r="K936" s="20"/>
      <c r="L936" s="20"/>
      <c r="M936" s="20"/>
      <c r="N936" s="20"/>
      <c r="O936" s="24"/>
      <c r="P936" s="24"/>
      <c r="Q936" s="25"/>
      <c r="R936" s="24"/>
      <c r="S936" s="20"/>
      <c r="T936" s="27"/>
      <c r="U936" s="20"/>
      <c r="V936" s="27">
        <f t="shared" si="132"/>
        <v>2511450</v>
      </c>
      <c r="W936" s="26">
        <f t="shared" si="128"/>
        <v>2511450</v>
      </c>
      <c r="X936" s="27">
        <v>0</v>
      </c>
      <c r="Y936" s="78">
        <f t="shared" si="129"/>
        <v>2511450</v>
      </c>
      <c r="Z936" s="49">
        <v>1E-4</v>
      </c>
    </row>
    <row r="937" spans="1:26" s="29" customFormat="1" ht="90.75" customHeight="1" x14ac:dyDescent="0.25">
      <c r="A937" s="20">
        <v>743</v>
      </c>
      <c r="B937" s="20" t="s">
        <v>0</v>
      </c>
      <c r="C937" s="20">
        <v>7781</v>
      </c>
      <c r="D937" s="21">
        <v>15</v>
      </c>
      <c r="E937" s="21">
        <v>3</v>
      </c>
      <c r="F937" s="22">
        <v>24</v>
      </c>
      <c r="G937" s="22" t="s">
        <v>198</v>
      </c>
      <c r="H937" s="24">
        <f t="shared" si="130"/>
        <v>6324</v>
      </c>
      <c r="I937" s="25" t="s">
        <v>37</v>
      </c>
      <c r="J937" s="24">
        <f t="shared" si="131"/>
        <v>2687700</v>
      </c>
      <c r="K937" s="20"/>
      <c r="L937" s="20"/>
      <c r="M937" s="20"/>
      <c r="N937" s="20"/>
      <c r="O937" s="24"/>
      <c r="P937" s="24"/>
      <c r="Q937" s="25"/>
      <c r="R937" s="24"/>
      <c r="S937" s="20"/>
      <c r="T937" s="27"/>
      <c r="U937" s="20"/>
      <c r="V937" s="27">
        <f t="shared" si="132"/>
        <v>2687700</v>
      </c>
      <c r="W937" s="26">
        <f t="shared" si="128"/>
        <v>2687700</v>
      </c>
      <c r="X937" s="27">
        <v>0</v>
      </c>
      <c r="Y937" s="78">
        <f t="shared" si="129"/>
        <v>2687700</v>
      </c>
      <c r="Z937" s="49">
        <v>1E-4</v>
      </c>
    </row>
    <row r="938" spans="1:26" s="29" customFormat="1" ht="90.75" customHeight="1" x14ac:dyDescent="0.25">
      <c r="A938" s="20">
        <v>744</v>
      </c>
      <c r="B938" s="20" t="s">
        <v>0</v>
      </c>
      <c r="C938" s="20">
        <v>9843</v>
      </c>
      <c r="D938" s="21">
        <v>10</v>
      </c>
      <c r="E938" s="21">
        <v>2</v>
      </c>
      <c r="F938" s="22">
        <v>45</v>
      </c>
      <c r="G938" s="22" t="s">
        <v>198</v>
      </c>
      <c r="H938" s="24">
        <f t="shared" si="130"/>
        <v>4245</v>
      </c>
      <c r="I938" s="25" t="s">
        <v>22</v>
      </c>
      <c r="J938" s="24">
        <f t="shared" si="131"/>
        <v>2228625</v>
      </c>
      <c r="K938" s="20"/>
      <c r="L938" s="20"/>
      <c r="M938" s="20"/>
      <c r="N938" s="20"/>
      <c r="O938" s="24"/>
      <c r="P938" s="24"/>
      <c r="Q938" s="25"/>
      <c r="R938" s="24"/>
      <c r="S938" s="20"/>
      <c r="T938" s="27"/>
      <c r="U938" s="20"/>
      <c r="V938" s="27">
        <f t="shared" si="132"/>
        <v>2228625</v>
      </c>
      <c r="W938" s="26">
        <f t="shared" si="128"/>
        <v>2228625</v>
      </c>
      <c r="X938" s="27">
        <v>0</v>
      </c>
      <c r="Y938" s="78">
        <f t="shared" si="129"/>
        <v>2228625</v>
      </c>
      <c r="Z938" s="49">
        <v>1E-4</v>
      </c>
    </row>
    <row r="939" spans="1:26" s="29" customFormat="1" ht="90.75" customHeight="1" x14ac:dyDescent="0.25">
      <c r="A939" s="20">
        <v>745</v>
      </c>
      <c r="B939" s="20" t="s">
        <v>0</v>
      </c>
      <c r="C939" s="20">
        <v>10649</v>
      </c>
      <c r="D939" s="21">
        <v>24</v>
      </c>
      <c r="E939" s="21">
        <v>2</v>
      </c>
      <c r="F939" s="22">
        <v>95</v>
      </c>
      <c r="G939" s="22" t="s">
        <v>198</v>
      </c>
      <c r="H939" s="24">
        <f t="shared" si="130"/>
        <v>9895</v>
      </c>
      <c r="I939" s="25" t="s">
        <v>32</v>
      </c>
      <c r="J939" s="24">
        <f t="shared" si="131"/>
        <v>1979000</v>
      </c>
      <c r="K939" s="20"/>
      <c r="L939" s="20"/>
      <c r="M939" s="20"/>
      <c r="N939" s="20"/>
      <c r="O939" s="24"/>
      <c r="P939" s="24"/>
      <c r="Q939" s="25"/>
      <c r="R939" s="24"/>
      <c r="S939" s="20"/>
      <c r="T939" s="27"/>
      <c r="U939" s="20"/>
      <c r="V939" s="27">
        <f t="shared" si="132"/>
        <v>1979000</v>
      </c>
      <c r="W939" s="26">
        <f t="shared" si="128"/>
        <v>1979000</v>
      </c>
      <c r="X939" s="27">
        <v>0</v>
      </c>
      <c r="Y939" s="78">
        <f t="shared" si="129"/>
        <v>1979000</v>
      </c>
      <c r="Z939" s="49">
        <v>1E-4</v>
      </c>
    </row>
    <row r="940" spans="1:26" s="29" customFormat="1" ht="90.75" customHeight="1" x14ac:dyDescent="0.25">
      <c r="A940" s="20">
        <v>746</v>
      </c>
      <c r="B940" s="20" t="s">
        <v>0</v>
      </c>
      <c r="C940" s="20">
        <v>8227</v>
      </c>
      <c r="D940" s="21">
        <v>14</v>
      </c>
      <c r="E940" s="21">
        <v>0</v>
      </c>
      <c r="F940" s="22">
        <v>26</v>
      </c>
      <c r="G940" s="22" t="s">
        <v>198</v>
      </c>
      <c r="H940" s="24">
        <f t="shared" si="130"/>
        <v>5626</v>
      </c>
      <c r="I940" s="25" t="s">
        <v>80</v>
      </c>
      <c r="J940" s="24">
        <f t="shared" si="131"/>
        <v>3234950</v>
      </c>
      <c r="K940" s="20"/>
      <c r="L940" s="20"/>
      <c r="M940" s="20"/>
      <c r="N940" s="20"/>
      <c r="O940" s="24"/>
      <c r="P940" s="24"/>
      <c r="Q940" s="25"/>
      <c r="R940" s="24"/>
      <c r="S940" s="20"/>
      <c r="T940" s="27"/>
      <c r="U940" s="20"/>
      <c r="V940" s="27">
        <f t="shared" si="132"/>
        <v>3234950</v>
      </c>
      <c r="W940" s="26">
        <f t="shared" si="128"/>
        <v>3234950</v>
      </c>
      <c r="X940" s="27">
        <v>0</v>
      </c>
      <c r="Y940" s="78">
        <f t="shared" si="129"/>
        <v>3234950</v>
      </c>
      <c r="Z940" s="49">
        <v>1E-4</v>
      </c>
    </row>
    <row r="941" spans="1:26" s="29" customFormat="1" ht="90.75" customHeight="1" x14ac:dyDescent="0.25">
      <c r="A941" s="20">
        <v>747</v>
      </c>
      <c r="B941" s="20" t="s">
        <v>0</v>
      </c>
      <c r="C941" s="20">
        <v>7490</v>
      </c>
      <c r="D941" s="21">
        <v>11</v>
      </c>
      <c r="E941" s="21">
        <v>3</v>
      </c>
      <c r="F941" s="22">
        <v>50</v>
      </c>
      <c r="G941" s="22" t="s">
        <v>198</v>
      </c>
      <c r="H941" s="24">
        <f t="shared" si="130"/>
        <v>4750</v>
      </c>
      <c r="I941" s="25">
        <v>750</v>
      </c>
      <c r="J941" s="24">
        <f t="shared" si="131"/>
        <v>3562500</v>
      </c>
      <c r="K941" s="20"/>
      <c r="L941" s="20"/>
      <c r="M941" s="20"/>
      <c r="N941" s="20"/>
      <c r="O941" s="24"/>
      <c r="P941" s="24"/>
      <c r="Q941" s="25"/>
      <c r="R941" s="24"/>
      <c r="S941" s="20"/>
      <c r="T941" s="27"/>
      <c r="U941" s="20"/>
      <c r="V941" s="27">
        <f t="shared" si="132"/>
        <v>3562500</v>
      </c>
      <c r="W941" s="26">
        <f t="shared" si="128"/>
        <v>3562500</v>
      </c>
      <c r="X941" s="27">
        <v>0</v>
      </c>
      <c r="Y941" s="78">
        <f t="shared" si="129"/>
        <v>3562500</v>
      </c>
      <c r="Z941" s="49">
        <v>1E-4</v>
      </c>
    </row>
    <row r="942" spans="1:26" s="29" customFormat="1" ht="90.75" customHeight="1" x14ac:dyDescent="0.25">
      <c r="A942" s="20">
        <v>748</v>
      </c>
      <c r="B942" s="20" t="s">
        <v>0</v>
      </c>
      <c r="C942" s="20">
        <v>7461</v>
      </c>
      <c r="D942" s="21">
        <v>15</v>
      </c>
      <c r="E942" s="21">
        <v>0</v>
      </c>
      <c r="F942" s="22">
        <v>71</v>
      </c>
      <c r="G942" s="22" t="s">
        <v>198</v>
      </c>
      <c r="H942" s="24">
        <f t="shared" si="130"/>
        <v>6071</v>
      </c>
      <c r="I942" s="25">
        <v>350</v>
      </c>
      <c r="J942" s="24">
        <f t="shared" si="131"/>
        <v>2124850</v>
      </c>
      <c r="K942" s="20"/>
      <c r="L942" s="20"/>
      <c r="M942" s="20"/>
      <c r="N942" s="20"/>
      <c r="O942" s="24"/>
      <c r="P942" s="24"/>
      <c r="Q942" s="25"/>
      <c r="R942" s="24"/>
      <c r="S942" s="20"/>
      <c r="T942" s="27"/>
      <c r="U942" s="20"/>
      <c r="V942" s="27">
        <f t="shared" si="132"/>
        <v>2124850</v>
      </c>
      <c r="W942" s="26">
        <f t="shared" si="128"/>
        <v>2124850</v>
      </c>
      <c r="X942" s="27">
        <v>0</v>
      </c>
      <c r="Y942" s="78">
        <f t="shared" si="129"/>
        <v>2124850</v>
      </c>
      <c r="Z942" s="49">
        <v>1E-4</v>
      </c>
    </row>
    <row r="943" spans="1:26" s="29" customFormat="1" ht="90.75" customHeight="1" x14ac:dyDescent="0.25">
      <c r="A943" s="20">
        <v>749</v>
      </c>
      <c r="B943" s="76" t="s">
        <v>214</v>
      </c>
      <c r="C943" s="37">
        <v>100</v>
      </c>
      <c r="D943" s="37">
        <v>23</v>
      </c>
      <c r="E943" s="37">
        <v>1</v>
      </c>
      <c r="F943" s="37">
        <v>60</v>
      </c>
      <c r="G943" s="22" t="s">
        <v>198</v>
      </c>
      <c r="H943" s="24">
        <f t="shared" si="130"/>
        <v>9360</v>
      </c>
      <c r="I943" s="25">
        <v>375</v>
      </c>
      <c r="J943" s="24">
        <f t="shared" si="131"/>
        <v>3510000</v>
      </c>
      <c r="K943" s="37"/>
      <c r="L943" s="37"/>
      <c r="M943" s="37"/>
      <c r="N943" s="37"/>
      <c r="O943" s="65"/>
      <c r="P943" s="37"/>
      <c r="Q943" s="79"/>
      <c r="R943" s="37"/>
      <c r="S943" s="37"/>
      <c r="T943" s="65"/>
      <c r="U943" s="37"/>
      <c r="V943" s="27">
        <f t="shared" si="132"/>
        <v>3510000</v>
      </c>
      <c r="W943" s="26">
        <f t="shared" si="128"/>
        <v>3510000</v>
      </c>
      <c r="X943" s="27">
        <v>0</v>
      </c>
      <c r="Y943" s="78">
        <f t="shared" si="129"/>
        <v>3510000</v>
      </c>
      <c r="Z943" s="49">
        <v>1E-4</v>
      </c>
    </row>
    <row r="944" spans="1:26" s="29" customFormat="1" ht="90.75" customHeight="1" x14ac:dyDescent="0.25">
      <c r="A944" s="20">
        <v>750</v>
      </c>
      <c r="B944" s="37" t="s">
        <v>213</v>
      </c>
      <c r="C944" s="37">
        <v>927</v>
      </c>
      <c r="D944" s="37">
        <v>6</v>
      </c>
      <c r="E944" s="37">
        <v>2</v>
      </c>
      <c r="F944" s="37">
        <v>50</v>
      </c>
      <c r="G944" s="22" t="s">
        <v>198</v>
      </c>
      <c r="H944" s="24">
        <f t="shared" si="130"/>
        <v>2650</v>
      </c>
      <c r="I944" s="25">
        <v>375</v>
      </c>
      <c r="J944" s="24">
        <f t="shared" si="131"/>
        <v>993750</v>
      </c>
      <c r="K944" s="37"/>
      <c r="L944" s="37"/>
      <c r="M944" s="37"/>
      <c r="N944" s="37"/>
      <c r="O944" s="27"/>
      <c r="P944" s="20"/>
      <c r="Q944" s="64"/>
      <c r="R944" s="20"/>
      <c r="S944" s="37"/>
      <c r="T944" s="65"/>
      <c r="U944" s="37"/>
      <c r="V944" s="27">
        <f t="shared" si="132"/>
        <v>993750</v>
      </c>
      <c r="W944" s="26">
        <f t="shared" si="128"/>
        <v>993750</v>
      </c>
      <c r="X944" s="27">
        <v>0</v>
      </c>
      <c r="Y944" s="78">
        <f t="shared" si="129"/>
        <v>993750</v>
      </c>
      <c r="Z944" s="49">
        <v>1E-4</v>
      </c>
    </row>
    <row r="945" spans="1:26" s="29" customFormat="1" ht="90.75" customHeight="1" x14ac:dyDescent="0.25">
      <c r="A945" s="20">
        <v>751</v>
      </c>
      <c r="B945" s="37" t="s">
        <v>213</v>
      </c>
      <c r="C945" s="37">
        <v>928</v>
      </c>
      <c r="D945" s="37">
        <v>7</v>
      </c>
      <c r="E945" s="37">
        <v>2</v>
      </c>
      <c r="F945" s="37">
        <v>63</v>
      </c>
      <c r="G945" s="22" t="s">
        <v>198</v>
      </c>
      <c r="H945" s="24">
        <f t="shared" si="130"/>
        <v>3063</v>
      </c>
      <c r="I945" s="25">
        <v>375</v>
      </c>
      <c r="J945" s="24">
        <f t="shared" si="131"/>
        <v>1148625</v>
      </c>
      <c r="K945" s="37"/>
      <c r="L945" s="37"/>
      <c r="M945" s="37"/>
      <c r="N945" s="37"/>
      <c r="O945" s="27"/>
      <c r="P945" s="20"/>
      <c r="Q945" s="64"/>
      <c r="R945" s="20"/>
      <c r="S945" s="37"/>
      <c r="T945" s="65"/>
      <c r="U945" s="37"/>
      <c r="V945" s="27">
        <f t="shared" si="132"/>
        <v>1148625</v>
      </c>
      <c r="W945" s="26">
        <f t="shared" si="128"/>
        <v>1148625</v>
      </c>
      <c r="X945" s="27">
        <v>0</v>
      </c>
      <c r="Y945" s="78">
        <f t="shared" si="129"/>
        <v>1148625</v>
      </c>
      <c r="Z945" s="49">
        <v>1E-4</v>
      </c>
    </row>
    <row r="946" spans="1:26" s="29" customFormat="1" ht="90.75" customHeight="1" x14ac:dyDescent="0.25">
      <c r="A946" s="20">
        <v>752</v>
      </c>
      <c r="B946" s="37" t="s">
        <v>213</v>
      </c>
      <c r="C946" s="37">
        <v>929</v>
      </c>
      <c r="D946" s="37">
        <v>12</v>
      </c>
      <c r="E946" s="37">
        <v>1</v>
      </c>
      <c r="F946" s="37">
        <v>70</v>
      </c>
      <c r="G946" s="22" t="s">
        <v>198</v>
      </c>
      <c r="H946" s="24">
        <f t="shared" si="130"/>
        <v>4970</v>
      </c>
      <c r="I946" s="25">
        <v>375</v>
      </c>
      <c r="J946" s="24">
        <f t="shared" si="131"/>
        <v>1863750</v>
      </c>
      <c r="K946" s="37"/>
      <c r="L946" s="37"/>
      <c r="M946" s="37"/>
      <c r="N946" s="37"/>
      <c r="O946" s="27"/>
      <c r="P946" s="20"/>
      <c r="Q946" s="64"/>
      <c r="R946" s="20"/>
      <c r="S946" s="37"/>
      <c r="T946" s="65"/>
      <c r="U946" s="37"/>
      <c r="V946" s="27">
        <f t="shared" si="132"/>
        <v>1863750</v>
      </c>
      <c r="W946" s="26">
        <f t="shared" si="128"/>
        <v>1863750</v>
      </c>
      <c r="X946" s="27">
        <v>0</v>
      </c>
      <c r="Y946" s="78">
        <f t="shared" si="129"/>
        <v>1863750</v>
      </c>
      <c r="Z946" s="49">
        <v>1E-4</v>
      </c>
    </row>
    <row r="947" spans="1:26" s="29" customFormat="1" ht="90.75" customHeight="1" x14ac:dyDescent="0.25">
      <c r="A947" s="20">
        <v>753</v>
      </c>
      <c r="B947" s="37" t="s">
        <v>213</v>
      </c>
      <c r="C947" s="37">
        <v>930</v>
      </c>
      <c r="D947" s="37">
        <v>35</v>
      </c>
      <c r="E947" s="37">
        <v>3</v>
      </c>
      <c r="F947" s="37">
        <v>59</v>
      </c>
      <c r="G947" s="22" t="s">
        <v>198</v>
      </c>
      <c r="H947" s="24">
        <f t="shared" si="130"/>
        <v>14359</v>
      </c>
      <c r="I947" s="25">
        <v>375</v>
      </c>
      <c r="J947" s="24">
        <f t="shared" si="131"/>
        <v>5384625</v>
      </c>
      <c r="K947" s="37"/>
      <c r="L947" s="37"/>
      <c r="M947" s="37"/>
      <c r="N947" s="37"/>
      <c r="O947" s="27"/>
      <c r="P947" s="20"/>
      <c r="Q947" s="64"/>
      <c r="R947" s="20"/>
      <c r="S947" s="37"/>
      <c r="T947" s="65"/>
      <c r="U947" s="37"/>
      <c r="V947" s="27">
        <f t="shared" si="132"/>
        <v>5384625</v>
      </c>
      <c r="W947" s="26">
        <f t="shared" si="128"/>
        <v>5384625</v>
      </c>
      <c r="X947" s="27">
        <v>0</v>
      </c>
      <c r="Y947" s="78">
        <f t="shared" si="129"/>
        <v>5384625</v>
      </c>
      <c r="Z947" s="49">
        <v>1E-4</v>
      </c>
    </row>
    <row r="948" spans="1:26" s="29" customFormat="1" ht="90.75" customHeight="1" x14ac:dyDescent="0.25">
      <c r="A948" s="20">
        <v>754</v>
      </c>
      <c r="B948" s="37" t="s">
        <v>213</v>
      </c>
      <c r="C948" s="37">
        <v>934</v>
      </c>
      <c r="D948" s="37">
        <v>11</v>
      </c>
      <c r="E948" s="37">
        <v>2</v>
      </c>
      <c r="F948" s="37">
        <v>0</v>
      </c>
      <c r="G948" s="22" t="s">
        <v>198</v>
      </c>
      <c r="H948" s="24">
        <f t="shared" si="130"/>
        <v>4600</v>
      </c>
      <c r="I948" s="25">
        <v>375</v>
      </c>
      <c r="J948" s="24">
        <f t="shared" si="131"/>
        <v>1725000</v>
      </c>
      <c r="K948" s="37"/>
      <c r="L948" s="37"/>
      <c r="M948" s="37"/>
      <c r="N948" s="37"/>
      <c r="O948" s="27"/>
      <c r="P948" s="20"/>
      <c r="Q948" s="64"/>
      <c r="R948" s="20"/>
      <c r="S948" s="37"/>
      <c r="T948" s="65"/>
      <c r="U948" s="37"/>
      <c r="V948" s="27">
        <f t="shared" si="132"/>
        <v>1725000</v>
      </c>
      <c r="W948" s="26">
        <f t="shared" si="128"/>
        <v>1725000</v>
      </c>
      <c r="X948" s="27">
        <v>0</v>
      </c>
      <c r="Y948" s="78">
        <f t="shared" si="129"/>
        <v>1725000</v>
      </c>
      <c r="Z948" s="49">
        <v>1E-4</v>
      </c>
    </row>
    <row r="949" spans="1:26" s="29" customFormat="1" ht="90.75" customHeight="1" x14ac:dyDescent="0.25">
      <c r="A949" s="20">
        <v>755</v>
      </c>
      <c r="B949" s="37" t="s">
        <v>213</v>
      </c>
      <c r="C949" s="37">
        <v>2414</v>
      </c>
      <c r="D949" s="37">
        <v>16</v>
      </c>
      <c r="E949" s="37">
        <v>0</v>
      </c>
      <c r="F949" s="37">
        <v>85</v>
      </c>
      <c r="G949" s="22" t="s">
        <v>198</v>
      </c>
      <c r="H949" s="24">
        <f t="shared" si="130"/>
        <v>6485</v>
      </c>
      <c r="I949" s="25">
        <v>375</v>
      </c>
      <c r="J949" s="24">
        <f t="shared" si="131"/>
        <v>2431875</v>
      </c>
      <c r="K949" s="37"/>
      <c r="L949" s="37"/>
      <c r="M949" s="37"/>
      <c r="N949" s="37"/>
      <c r="O949" s="27"/>
      <c r="P949" s="20"/>
      <c r="Q949" s="64"/>
      <c r="R949" s="20"/>
      <c r="S949" s="37"/>
      <c r="T949" s="65"/>
      <c r="U949" s="37"/>
      <c r="V949" s="27">
        <f t="shared" si="132"/>
        <v>2431875</v>
      </c>
      <c r="W949" s="26">
        <f t="shared" si="128"/>
        <v>2431875</v>
      </c>
      <c r="X949" s="27">
        <v>0</v>
      </c>
      <c r="Y949" s="78">
        <f t="shared" si="129"/>
        <v>2431875</v>
      </c>
      <c r="Z949" s="49">
        <v>1E-4</v>
      </c>
    </row>
    <row r="950" spans="1:26" s="29" customFormat="1" ht="90.75" customHeight="1" x14ac:dyDescent="0.25">
      <c r="A950" s="20">
        <v>756</v>
      </c>
      <c r="B950" s="37" t="s">
        <v>213</v>
      </c>
      <c r="C950" s="37">
        <v>2704</v>
      </c>
      <c r="D950" s="37">
        <v>6</v>
      </c>
      <c r="E950" s="37">
        <v>2</v>
      </c>
      <c r="F950" s="37">
        <v>5</v>
      </c>
      <c r="G950" s="22" t="s">
        <v>198</v>
      </c>
      <c r="H950" s="24">
        <f t="shared" si="130"/>
        <v>2605</v>
      </c>
      <c r="I950" s="25">
        <v>375</v>
      </c>
      <c r="J950" s="24">
        <f t="shared" si="131"/>
        <v>976875</v>
      </c>
      <c r="K950" s="37"/>
      <c r="L950" s="37"/>
      <c r="M950" s="37"/>
      <c r="N950" s="37"/>
      <c r="O950" s="27"/>
      <c r="P950" s="20"/>
      <c r="Q950" s="64"/>
      <c r="R950" s="20"/>
      <c r="S950" s="37"/>
      <c r="T950" s="65"/>
      <c r="U950" s="37"/>
      <c r="V950" s="27">
        <f t="shared" si="132"/>
        <v>976875</v>
      </c>
      <c r="W950" s="26">
        <f t="shared" si="128"/>
        <v>976875</v>
      </c>
      <c r="X950" s="27">
        <v>0</v>
      </c>
      <c r="Y950" s="78">
        <f t="shared" si="129"/>
        <v>976875</v>
      </c>
      <c r="Z950" s="49">
        <v>1E-4</v>
      </c>
    </row>
    <row r="951" spans="1:26" s="29" customFormat="1" ht="90.75" customHeight="1" x14ac:dyDescent="0.25">
      <c r="A951" s="20">
        <v>757</v>
      </c>
      <c r="B951" s="37" t="s">
        <v>213</v>
      </c>
      <c r="C951" s="37">
        <v>2736</v>
      </c>
      <c r="D951" s="37">
        <v>50</v>
      </c>
      <c r="E951" s="37">
        <v>3</v>
      </c>
      <c r="F951" s="37">
        <v>60</v>
      </c>
      <c r="G951" s="22" t="s">
        <v>198</v>
      </c>
      <c r="H951" s="24">
        <f t="shared" si="130"/>
        <v>20360</v>
      </c>
      <c r="I951" s="25">
        <v>375</v>
      </c>
      <c r="J951" s="24">
        <f t="shared" si="131"/>
        <v>7635000</v>
      </c>
      <c r="K951" s="37"/>
      <c r="L951" s="37"/>
      <c r="M951" s="37"/>
      <c r="N951" s="37"/>
      <c r="O951" s="27"/>
      <c r="P951" s="20"/>
      <c r="Q951" s="64"/>
      <c r="R951" s="20"/>
      <c r="S951" s="37"/>
      <c r="T951" s="65"/>
      <c r="U951" s="37"/>
      <c r="V951" s="27">
        <f t="shared" si="132"/>
        <v>7635000</v>
      </c>
      <c r="W951" s="26">
        <f t="shared" si="128"/>
        <v>7635000</v>
      </c>
      <c r="X951" s="27">
        <v>0</v>
      </c>
      <c r="Y951" s="78">
        <f t="shared" si="129"/>
        <v>7635000</v>
      </c>
      <c r="Z951" s="49">
        <v>1E-4</v>
      </c>
    </row>
    <row r="952" spans="1:26" s="29" customFormat="1" ht="90.75" customHeight="1" x14ac:dyDescent="0.25">
      <c r="A952" s="20">
        <v>758</v>
      </c>
      <c r="B952" s="20" t="s">
        <v>0</v>
      </c>
      <c r="C952" s="20">
        <v>22854</v>
      </c>
      <c r="D952" s="21">
        <v>45</v>
      </c>
      <c r="E952" s="21">
        <v>3</v>
      </c>
      <c r="F952" s="22">
        <v>90</v>
      </c>
      <c r="G952" s="22" t="s">
        <v>198</v>
      </c>
      <c r="H952" s="24">
        <f t="shared" si="130"/>
        <v>18390</v>
      </c>
      <c r="I952" s="25">
        <v>525</v>
      </c>
      <c r="J952" s="24">
        <f t="shared" si="131"/>
        <v>9654750</v>
      </c>
      <c r="K952" s="20"/>
      <c r="L952" s="20"/>
      <c r="M952" s="20"/>
      <c r="N952" s="20"/>
      <c r="O952" s="24"/>
      <c r="P952" s="24"/>
      <c r="Q952" s="25"/>
      <c r="R952" s="24"/>
      <c r="S952" s="20"/>
      <c r="T952" s="27"/>
      <c r="U952" s="20"/>
      <c r="V952" s="20"/>
      <c r="W952" s="26"/>
      <c r="X952" s="27"/>
      <c r="Y952" s="20"/>
      <c r="Z952" s="20"/>
    </row>
    <row r="953" spans="1:26" s="29" customFormat="1" ht="90.75" customHeight="1" x14ac:dyDescent="0.25">
      <c r="A953" s="20"/>
      <c r="B953" s="20"/>
      <c r="C953" s="20"/>
      <c r="D953" s="21"/>
      <c r="E953" s="21"/>
      <c r="F953" s="22"/>
      <c r="G953" s="22"/>
      <c r="H953" s="24"/>
      <c r="I953" s="25"/>
      <c r="J953" s="24"/>
      <c r="K953" s="30">
        <v>1</v>
      </c>
      <c r="L953" s="31" t="s">
        <v>34</v>
      </c>
      <c r="M953" s="48" t="s">
        <v>13</v>
      </c>
      <c r="N953" s="51">
        <v>1</v>
      </c>
      <c r="O953" s="45">
        <v>1440</v>
      </c>
      <c r="P953" s="35">
        <v>100</v>
      </c>
      <c r="Q953" s="40">
        <v>2100</v>
      </c>
      <c r="R953" s="36">
        <f t="shared" ref="R953:R979" si="133">(O953*Q953)</f>
        <v>3024000</v>
      </c>
      <c r="S953" s="37">
        <v>10</v>
      </c>
      <c r="T953" s="28">
        <f t="shared" ref="T953:T979" si="134">(R953*10/100)</f>
        <v>302400</v>
      </c>
      <c r="U953" s="36">
        <f t="shared" ref="U953:U979" si="135">(R953-T953)</f>
        <v>2721600</v>
      </c>
      <c r="V953" s="36"/>
      <c r="W953" s="36"/>
      <c r="X953" s="28"/>
      <c r="Y953" s="28"/>
      <c r="Z953" s="49"/>
    </row>
    <row r="954" spans="1:26" s="29" customFormat="1" ht="90.75" customHeight="1" x14ac:dyDescent="0.25">
      <c r="A954" s="20"/>
      <c r="B954" s="20"/>
      <c r="C954" s="20"/>
      <c r="D954" s="21"/>
      <c r="E954" s="21"/>
      <c r="F954" s="22"/>
      <c r="G954" s="22"/>
      <c r="H954" s="24"/>
      <c r="I954" s="25"/>
      <c r="J954" s="24"/>
      <c r="K954" s="30">
        <v>2</v>
      </c>
      <c r="L954" s="31" t="s">
        <v>34</v>
      </c>
      <c r="M954" s="48" t="s">
        <v>13</v>
      </c>
      <c r="N954" s="51">
        <v>1</v>
      </c>
      <c r="O954" s="45">
        <v>1440</v>
      </c>
      <c r="P954" s="35">
        <v>100</v>
      </c>
      <c r="Q954" s="40">
        <v>2100</v>
      </c>
      <c r="R954" s="36">
        <f t="shared" si="133"/>
        <v>3024000</v>
      </c>
      <c r="S954" s="37">
        <v>10</v>
      </c>
      <c r="T954" s="28">
        <f t="shared" si="134"/>
        <v>302400</v>
      </c>
      <c r="U954" s="36">
        <f t="shared" si="135"/>
        <v>2721600</v>
      </c>
      <c r="V954" s="36"/>
      <c r="W954" s="36"/>
      <c r="X954" s="28"/>
      <c r="Y954" s="28"/>
      <c r="Z954" s="49"/>
    </row>
    <row r="955" spans="1:26" s="29" customFormat="1" ht="90.75" customHeight="1" x14ac:dyDescent="0.25">
      <c r="A955" s="20"/>
      <c r="B955" s="20"/>
      <c r="C955" s="20"/>
      <c r="D955" s="21"/>
      <c r="E955" s="21"/>
      <c r="F955" s="22"/>
      <c r="G955" s="22"/>
      <c r="H955" s="24"/>
      <c r="I955" s="25"/>
      <c r="J955" s="24"/>
      <c r="K955" s="30">
        <v>3</v>
      </c>
      <c r="L955" s="31" t="s">
        <v>34</v>
      </c>
      <c r="M955" s="48" t="s">
        <v>13</v>
      </c>
      <c r="N955" s="51">
        <v>1</v>
      </c>
      <c r="O955" s="45">
        <v>1440</v>
      </c>
      <c r="P955" s="35">
        <v>100</v>
      </c>
      <c r="Q955" s="40">
        <v>2100</v>
      </c>
      <c r="R955" s="36">
        <f t="shared" si="133"/>
        <v>3024000</v>
      </c>
      <c r="S955" s="37">
        <v>10</v>
      </c>
      <c r="T955" s="28">
        <f t="shared" si="134"/>
        <v>302400</v>
      </c>
      <c r="U955" s="36">
        <f t="shared" si="135"/>
        <v>2721600</v>
      </c>
      <c r="V955" s="36"/>
      <c r="W955" s="36"/>
      <c r="X955" s="28"/>
      <c r="Y955" s="28"/>
      <c r="Z955" s="49"/>
    </row>
    <row r="956" spans="1:26" s="29" customFormat="1" ht="90.75" customHeight="1" x14ac:dyDescent="0.25">
      <c r="A956" s="20"/>
      <c r="B956" s="20"/>
      <c r="C956" s="20"/>
      <c r="D956" s="21"/>
      <c r="E956" s="21"/>
      <c r="F956" s="22"/>
      <c r="G956" s="22"/>
      <c r="H956" s="24"/>
      <c r="I956" s="25"/>
      <c r="J956" s="24"/>
      <c r="K956" s="30">
        <v>4</v>
      </c>
      <c r="L956" s="31" t="s">
        <v>34</v>
      </c>
      <c r="M956" s="48" t="s">
        <v>13</v>
      </c>
      <c r="N956" s="51">
        <v>1</v>
      </c>
      <c r="O956" s="45">
        <v>1440</v>
      </c>
      <c r="P956" s="35">
        <v>100</v>
      </c>
      <c r="Q956" s="40">
        <v>2100</v>
      </c>
      <c r="R956" s="36">
        <f t="shared" si="133"/>
        <v>3024000</v>
      </c>
      <c r="S956" s="37">
        <v>10</v>
      </c>
      <c r="T956" s="28">
        <f t="shared" si="134"/>
        <v>302400</v>
      </c>
      <c r="U956" s="36">
        <f t="shared" si="135"/>
        <v>2721600</v>
      </c>
      <c r="V956" s="36"/>
      <c r="W956" s="36"/>
      <c r="X956" s="28"/>
      <c r="Y956" s="28"/>
      <c r="Z956" s="49"/>
    </row>
    <row r="957" spans="1:26" s="29" customFormat="1" ht="90.75" customHeight="1" x14ac:dyDescent="0.25">
      <c r="A957" s="20"/>
      <c r="B957" s="20"/>
      <c r="C957" s="20"/>
      <c r="D957" s="21"/>
      <c r="E957" s="21"/>
      <c r="F957" s="22"/>
      <c r="G957" s="22"/>
      <c r="H957" s="24"/>
      <c r="I957" s="25"/>
      <c r="J957" s="24"/>
      <c r="K957" s="30">
        <v>5</v>
      </c>
      <c r="L957" s="31" t="s">
        <v>34</v>
      </c>
      <c r="M957" s="48" t="s">
        <v>13</v>
      </c>
      <c r="N957" s="51">
        <v>1</v>
      </c>
      <c r="O957" s="45">
        <v>1440</v>
      </c>
      <c r="P957" s="35">
        <v>100</v>
      </c>
      <c r="Q957" s="40">
        <v>2100</v>
      </c>
      <c r="R957" s="36">
        <f t="shared" si="133"/>
        <v>3024000</v>
      </c>
      <c r="S957" s="37">
        <v>10</v>
      </c>
      <c r="T957" s="28">
        <f t="shared" si="134"/>
        <v>302400</v>
      </c>
      <c r="U957" s="36">
        <f t="shared" si="135"/>
        <v>2721600</v>
      </c>
      <c r="V957" s="36"/>
      <c r="W957" s="36"/>
      <c r="X957" s="28"/>
      <c r="Y957" s="28"/>
      <c r="Z957" s="49"/>
    </row>
    <row r="958" spans="1:26" s="29" customFormat="1" ht="90.75" customHeight="1" x14ac:dyDescent="0.25">
      <c r="A958" s="20"/>
      <c r="B958" s="20"/>
      <c r="C958" s="20"/>
      <c r="D958" s="21"/>
      <c r="E958" s="21"/>
      <c r="F958" s="22"/>
      <c r="G958" s="22"/>
      <c r="H958" s="24"/>
      <c r="I958" s="25"/>
      <c r="J958" s="24"/>
      <c r="K958" s="30">
        <v>6</v>
      </c>
      <c r="L958" s="31" t="s">
        <v>34</v>
      </c>
      <c r="M958" s="48" t="s">
        <v>13</v>
      </c>
      <c r="N958" s="51">
        <v>1</v>
      </c>
      <c r="O958" s="45">
        <v>1440</v>
      </c>
      <c r="P958" s="35">
        <v>100</v>
      </c>
      <c r="Q958" s="40">
        <v>2100</v>
      </c>
      <c r="R958" s="36">
        <f t="shared" si="133"/>
        <v>3024000</v>
      </c>
      <c r="S958" s="37">
        <v>10</v>
      </c>
      <c r="T958" s="28">
        <f t="shared" si="134"/>
        <v>302400</v>
      </c>
      <c r="U958" s="36">
        <f t="shared" si="135"/>
        <v>2721600</v>
      </c>
      <c r="V958" s="36"/>
      <c r="W958" s="36"/>
      <c r="X958" s="28"/>
      <c r="Y958" s="28"/>
      <c r="Z958" s="49"/>
    </row>
    <row r="959" spans="1:26" s="29" customFormat="1" ht="90.75" customHeight="1" x14ac:dyDescent="0.25">
      <c r="A959" s="20"/>
      <c r="B959" s="20"/>
      <c r="C959" s="20"/>
      <c r="D959" s="21"/>
      <c r="E959" s="21"/>
      <c r="F959" s="22"/>
      <c r="G959" s="22"/>
      <c r="H959" s="24"/>
      <c r="I959" s="25"/>
      <c r="J959" s="24"/>
      <c r="K959" s="30">
        <v>7</v>
      </c>
      <c r="L959" s="31" t="s">
        <v>34</v>
      </c>
      <c r="M959" s="48" t="s">
        <v>13</v>
      </c>
      <c r="N959" s="51">
        <v>1</v>
      </c>
      <c r="O959" s="45">
        <v>1440</v>
      </c>
      <c r="P959" s="35">
        <v>100</v>
      </c>
      <c r="Q959" s="40">
        <v>2100</v>
      </c>
      <c r="R959" s="36">
        <f t="shared" si="133"/>
        <v>3024000</v>
      </c>
      <c r="S959" s="37">
        <v>10</v>
      </c>
      <c r="T959" s="28">
        <f t="shared" si="134"/>
        <v>302400</v>
      </c>
      <c r="U959" s="36">
        <f t="shared" si="135"/>
        <v>2721600</v>
      </c>
      <c r="V959" s="36"/>
      <c r="W959" s="36"/>
      <c r="X959" s="28"/>
      <c r="Y959" s="28"/>
      <c r="Z959" s="49"/>
    </row>
    <row r="960" spans="1:26" s="29" customFormat="1" ht="90.75" customHeight="1" x14ac:dyDescent="0.25">
      <c r="A960" s="20"/>
      <c r="B960" s="20"/>
      <c r="C960" s="20"/>
      <c r="D960" s="21"/>
      <c r="E960" s="21"/>
      <c r="F960" s="22"/>
      <c r="G960" s="22"/>
      <c r="H960" s="24"/>
      <c r="I960" s="25"/>
      <c r="J960" s="24"/>
      <c r="K960" s="30">
        <v>8</v>
      </c>
      <c r="L960" s="31" t="s">
        <v>34</v>
      </c>
      <c r="M960" s="48" t="s">
        <v>13</v>
      </c>
      <c r="N960" s="51">
        <v>1</v>
      </c>
      <c r="O960" s="45">
        <v>1440</v>
      </c>
      <c r="P960" s="35">
        <v>100</v>
      </c>
      <c r="Q960" s="40">
        <v>2100</v>
      </c>
      <c r="R960" s="36">
        <f t="shared" si="133"/>
        <v>3024000</v>
      </c>
      <c r="S960" s="37">
        <v>10</v>
      </c>
      <c r="T960" s="28">
        <f t="shared" si="134"/>
        <v>302400</v>
      </c>
      <c r="U960" s="36">
        <f t="shared" si="135"/>
        <v>2721600</v>
      </c>
      <c r="V960" s="36"/>
      <c r="W960" s="36"/>
      <c r="X960" s="28"/>
      <c r="Y960" s="28"/>
      <c r="Z960" s="49"/>
    </row>
    <row r="961" spans="1:26" s="29" customFormat="1" ht="90.75" customHeight="1" x14ac:dyDescent="0.25">
      <c r="A961" s="20"/>
      <c r="B961" s="20"/>
      <c r="C961" s="20"/>
      <c r="D961" s="21"/>
      <c r="E961" s="21"/>
      <c r="F961" s="22"/>
      <c r="G961" s="22"/>
      <c r="H961" s="24"/>
      <c r="I961" s="25"/>
      <c r="J961" s="24"/>
      <c r="K961" s="30">
        <v>9</v>
      </c>
      <c r="L961" s="31" t="s">
        <v>31</v>
      </c>
      <c r="M961" s="48"/>
      <c r="N961" s="51">
        <v>1</v>
      </c>
      <c r="O961" s="45">
        <v>75.599999999999994</v>
      </c>
      <c r="P961" s="35">
        <v>100</v>
      </c>
      <c r="Q961" s="40">
        <v>2550</v>
      </c>
      <c r="R961" s="36">
        <f t="shared" si="133"/>
        <v>192780</v>
      </c>
      <c r="S961" s="37">
        <v>10</v>
      </c>
      <c r="T961" s="28">
        <f t="shared" si="134"/>
        <v>19278</v>
      </c>
      <c r="U961" s="36">
        <f t="shared" si="135"/>
        <v>173502</v>
      </c>
      <c r="V961" s="36"/>
      <c r="W961" s="36"/>
      <c r="X961" s="28"/>
      <c r="Y961" s="28"/>
      <c r="Z961" s="49"/>
    </row>
    <row r="962" spans="1:26" s="29" customFormat="1" ht="90.75" customHeight="1" x14ac:dyDescent="0.25">
      <c r="A962" s="20"/>
      <c r="B962" s="20"/>
      <c r="C962" s="20"/>
      <c r="D962" s="21"/>
      <c r="E962" s="21"/>
      <c r="F962" s="22"/>
      <c r="G962" s="22"/>
      <c r="H962" s="24"/>
      <c r="I962" s="25"/>
      <c r="J962" s="24"/>
      <c r="K962" s="30">
        <v>10</v>
      </c>
      <c r="L962" s="31" t="s">
        <v>215</v>
      </c>
      <c r="M962" s="48" t="s">
        <v>13</v>
      </c>
      <c r="N962" s="51">
        <v>1</v>
      </c>
      <c r="O962" s="45">
        <v>147.6</v>
      </c>
      <c r="P962" s="35">
        <v>100</v>
      </c>
      <c r="Q962" s="40">
        <v>6450</v>
      </c>
      <c r="R962" s="36">
        <f t="shared" si="133"/>
        <v>952020</v>
      </c>
      <c r="S962" s="37">
        <v>10</v>
      </c>
      <c r="T962" s="28">
        <f t="shared" si="134"/>
        <v>95202</v>
      </c>
      <c r="U962" s="36">
        <f t="shared" si="135"/>
        <v>856818</v>
      </c>
      <c r="V962" s="36"/>
      <c r="W962" s="36"/>
      <c r="X962" s="28"/>
      <c r="Y962" s="28"/>
      <c r="Z962" s="49"/>
    </row>
    <row r="963" spans="1:26" s="29" customFormat="1" ht="90.75" customHeight="1" x14ac:dyDescent="0.25">
      <c r="A963" s="20"/>
      <c r="B963" s="20"/>
      <c r="C963" s="20"/>
      <c r="D963" s="21"/>
      <c r="E963" s="21"/>
      <c r="F963" s="22"/>
      <c r="G963" s="22"/>
      <c r="H963" s="24"/>
      <c r="I963" s="25"/>
      <c r="J963" s="24"/>
      <c r="K963" s="30">
        <v>11</v>
      </c>
      <c r="L963" s="31" t="s">
        <v>111</v>
      </c>
      <c r="M963" s="48" t="s">
        <v>13</v>
      </c>
      <c r="N963" s="51">
        <v>1</v>
      </c>
      <c r="O963" s="45">
        <v>232.98</v>
      </c>
      <c r="P963" s="35">
        <v>100</v>
      </c>
      <c r="Q963" s="40">
        <v>7700</v>
      </c>
      <c r="R963" s="36">
        <f t="shared" si="133"/>
        <v>1793946</v>
      </c>
      <c r="S963" s="37">
        <v>10</v>
      </c>
      <c r="T963" s="28">
        <f t="shared" si="134"/>
        <v>179394.6</v>
      </c>
      <c r="U963" s="36">
        <f t="shared" si="135"/>
        <v>1614551.4</v>
      </c>
      <c r="V963" s="36"/>
      <c r="W963" s="36"/>
      <c r="X963" s="28"/>
      <c r="Y963" s="28"/>
      <c r="Z963" s="49"/>
    </row>
    <row r="964" spans="1:26" s="29" customFormat="1" ht="90.75" customHeight="1" x14ac:dyDescent="0.25">
      <c r="A964" s="20"/>
      <c r="B964" s="20"/>
      <c r="C964" s="20"/>
      <c r="D964" s="21"/>
      <c r="E964" s="21"/>
      <c r="F964" s="22"/>
      <c r="G964" s="22"/>
      <c r="H964" s="24"/>
      <c r="I964" s="25"/>
      <c r="J964" s="24"/>
      <c r="K964" s="30">
        <v>12</v>
      </c>
      <c r="L964" s="31" t="s">
        <v>111</v>
      </c>
      <c r="M964" s="48" t="s">
        <v>13</v>
      </c>
      <c r="N964" s="51">
        <v>1</v>
      </c>
      <c r="O964" s="45">
        <v>20</v>
      </c>
      <c r="P964" s="35">
        <v>100</v>
      </c>
      <c r="Q964" s="40">
        <v>7700</v>
      </c>
      <c r="R964" s="36">
        <f t="shared" si="133"/>
        <v>154000</v>
      </c>
      <c r="S964" s="37">
        <v>10</v>
      </c>
      <c r="T964" s="28">
        <f t="shared" si="134"/>
        <v>15400</v>
      </c>
      <c r="U964" s="36">
        <f t="shared" si="135"/>
        <v>138600</v>
      </c>
      <c r="V964" s="36"/>
      <c r="W964" s="36"/>
      <c r="X964" s="28"/>
      <c r="Y964" s="28"/>
      <c r="Z964" s="49"/>
    </row>
    <row r="965" spans="1:26" s="29" customFormat="1" ht="90.75" customHeight="1" x14ac:dyDescent="0.25">
      <c r="A965" s="20"/>
      <c r="B965" s="20"/>
      <c r="C965" s="20"/>
      <c r="D965" s="21"/>
      <c r="E965" s="21"/>
      <c r="F965" s="22"/>
      <c r="G965" s="22"/>
      <c r="H965" s="24"/>
      <c r="I965" s="25"/>
      <c r="J965" s="24"/>
      <c r="K965" s="30">
        <v>13</v>
      </c>
      <c r="L965" s="31" t="s">
        <v>43</v>
      </c>
      <c r="M965" s="48" t="s">
        <v>13</v>
      </c>
      <c r="N965" s="51">
        <v>1</v>
      </c>
      <c r="O965" s="45">
        <v>215.2</v>
      </c>
      <c r="P965" s="35">
        <v>100</v>
      </c>
      <c r="Q965" s="40">
        <v>7700</v>
      </c>
      <c r="R965" s="36">
        <f t="shared" si="133"/>
        <v>1657040</v>
      </c>
      <c r="S965" s="37">
        <v>10</v>
      </c>
      <c r="T965" s="28">
        <f t="shared" si="134"/>
        <v>165704</v>
      </c>
      <c r="U965" s="36">
        <f t="shared" si="135"/>
        <v>1491336</v>
      </c>
      <c r="V965" s="36"/>
      <c r="W965" s="36"/>
      <c r="X965" s="28"/>
      <c r="Y965" s="28"/>
      <c r="Z965" s="49"/>
    </row>
    <row r="966" spans="1:26" s="29" customFormat="1" ht="90.75" customHeight="1" x14ac:dyDescent="0.25">
      <c r="A966" s="20"/>
      <c r="B966" s="20"/>
      <c r="C966" s="20"/>
      <c r="D966" s="21"/>
      <c r="E966" s="21"/>
      <c r="F966" s="22"/>
      <c r="G966" s="22"/>
      <c r="H966" s="24"/>
      <c r="I966" s="25"/>
      <c r="J966" s="24"/>
      <c r="K966" s="30">
        <v>14</v>
      </c>
      <c r="L966" s="31" t="s">
        <v>31</v>
      </c>
      <c r="M966" s="48"/>
      <c r="N966" s="51">
        <v>1</v>
      </c>
      <c r="O966" s="45">
        <v>55.2</v>
      </c>
      <c r="P966" s="35">
        <v>100</v>
      </c>
      <c r="Q966" s="40">
        <v>2550</v>
      </c>
      <c r="R966" s="36">
        <f t="shared" si="133"/>
        <v>140760</v>
      </c>
      <c r="S966" s="37">
        <v>10</v>
      </c>
      <c r="T966" s="28">
        <f t="shared" si="134"/>
        <v>14076</v>
      </c>
      <c r="U966" s="36">
        <f t="shared" si="135"/>
        <v>126684</v>
      </c>
      <c r="V966" s="36"/>
      <c r="W966" s="36"/>
      <c r="X966" s="28"/>
      <c r="Y966" s="28"/>
      <c r="Z966" s="49"/>
    </row>
    <row r="967" spans="1:26" s="29" customFormat="1" ht="90.75" customHeight="1" x14ac:dyDescent="0.25">
      <c r="A967" s="20"/>
      <c r="B967" s="20"/>
      <c r="C967" s="20"/>
      <c r="D967" s="21"/>
      <c r="E967" s="21"/>
      <c r="F967" s="22"/>
      <c r="G967" s="22"/>
      <c r="H967" s="24"/>
      <c r="I967" s="25"/>
      <c r="J967" s="24"/>
      <c r="K967" s="30">
        <v>15</v>
      </c>
      <c r="L967" s="31" t="s">
        <v>31</v>
      </c>
      <c r="M967" s="48"/>
      <c r="N967" s="51">
        <v>1</v>
      </c>
      <c r="O967" s="45">
        <v>52.5</v>
      </c>
      <c r="P967" s="35">
        <v>100</v>
      </c>
      <c r="Q967" s="40">
        <v>2550</v>
      </c>
      <c r="R967" s="36">
        <f t="shared" si="133"/>
        <v>133875</v>
      </c>
      <c r="S967" s="37">
        <v>10</v>
      </c>
      <c r="T967" s="28">
        <f t="shared" si="134"/>
        <v>13387.5</v>
      </c>
      <c r="U967" s="36">
        <f t="shared" si="135"/>
        <v>120487.5</v>
      </c>
      <c r="V967" s="36"/>
      <c r="W967" s="36"/>
      <c r="X967" s="28"/>
      <c r="Y967" s="28"/>
      <c r="Z967" s="49"/>
    </row>
    <row r="968" spans="1:26" s="29" customFormat="1" ht="90.75" customHeight="1" x14ac:dyDescent="0.25">
      <c r="A968" s="20"/>
      <c r="B968" s="20"/>
      <c r="C968" s="20"/>
      <c r="D968" s="21"/>
      <c r="E968" s="21"/>
      <c r="F968" s="22"/>
      <c r="G968" s="22"/>
      <c r="H968" s="24"/>
      <c r="I968" s="25"/>
      <c r="J968" s="24"/>
      <c r="K968" s="30">
        <v>16</v>
      </c>
      <c r="L968" s="31" t="s">
        <v>29</v>
      </c>
      <c r="M968" s="48" t="s">
        <v>13</v>
      </c>
      <c r="N968" s="51">
        <v>1</v>
      </c>
      <c r="O968" s="45">
        <v>27.75</v>
      </c>
      <c r="P968" s="35">
        <v>100</v>
      </c>
      <c r="Q968" s="40">
        <v>5550</v>
      </c>
      <c r="R968" s="36">
        <f t="shared" si="133"/>
        <v>154012.5</v>
      </c>
      <c r="S968" s="37">
        <v>10</v>
      </c>
      <c r="T968" s="28">
        <f t="shared" si="134"/>
        <v>15401.25</v>
      </c>
      <c r="U968" s="36">
        <f t="shared" si="135"/>
        <v>138611.25</v>
      </c>
      <c r="V968" s="36"/>
      <c r="W968" s="36"/>
      <c r="X968" s="28"/>
      <c r="Y968" s="28"/>
      <c r="Z968" s="49"/>
    </row>
    <row r="969" spans="1:26" s="29" customFormat="1" ht="90.75" customHeight="1" x14ac:dyDescent="0.25">
      <c r="A969" s="20"/>
      <c r="B969" s="20"/>
      <c r="C969" s="20"/>
      <c r="D969" s="21"/>
      <c r="E969" s="21"/>
      <c r="F969" s="22"/>
      <c r="G969" s="22"/>
      <c r="H969" s="24"/>
      <c r="I969" s="25"/>
      <c r="J969" s="24"/>
      <c r="K969" s="30">
        <v>17</v>
      </c>
      <c r="L969" s="31" t="s">
        <v>29</v>
      </c>
      <c r="M969" s="48" t="s">
        <v>13</v>
      </c>
      <c r="N969" s="51">
        <v>1</v>
      </c>
      <c r="O969" s="45">
        <v>124.8</v>
      </c>
      <c r="P969" s="35">
        <v>100</v>
      </c>
      <c r="Q969" s="40">
        <v>5550</v>
      </c>
      <c r="R969" s="36">
        <f t="shared" si="133"/>
        <v>692640</v>
      </c>
      <c r="S969" s="37">
        <v>10</v>
      </c>
      <c r="T969" s="28">
        <f t="shared" si="134"/>
        <v>69264</v>
      </c>
      <c r="U969" s="36">
        <f t="shared" si="135"/>
        <v>623376</v>
      </c>
      <c r="V969" s="36"/>
      <c r="W969" s="36"/>
      <c r="X969" s="28"/>
      <c r="Y969" s="28"/>
      <c r="Z969" s="49"/>
    </row>
    <row r="970" spans="1:26" s="29" customFormat="1" ht="90.75" customHeight="1" x14ac:dyDescent="0.25">
      <c r="A970" s="20"/>
      <c r="B970" s="20"/>
      <c r="C970" s="20"/>
      <c r="D970" s="21"/>
      <c r="E970" s="21"/>
      <c r="F970" s="22"/>
      <c r="G970" s="22"/>
      <c r="H970" s="24"/>
      <c r="I970" s="25"/>
      <c r="J970" s="24"/>
      <c r="K970" s="30">
        <v>18</v>
      </c>
      <c r="L970" s="31" t="s">
        <v>29</v>
      </c>
      <c r="M970" s="48" t="s">
        <v>13</v>
      </c>
      <c r="N970" s="51">
        <v>1</v>
      </c>
      <c r="O970" s="45">
        <v>59.8</v>
      </c>
      <c r="P970" s="35">
        <v>100</v>
      </c>
      <c r="Q970" s="40">
        <v>5550</v>
      </c>
      <c r="R970" s="36">
        <f t="shared" si="133"/>
        <v>331890</v>
      </c>
      <c r="S970" s="37">
        <v>10</v>
      </c>
      <c r="T970" s="28">
        <f t="shared" si="134"/>
        <v>33189</v>
      </c>
      <c r="U970" s="36">
        <f t="shared" si="135"/>
        <v>298701</v>
      </c>
      <c r="V970" s="36"/>
      <c r="W970" s="36"/>
      <c r="X970" s="28"/>
      <c r="Y970" s="28"/>
      <c r="Z970" s="49"/>
    </row>
    <row r="971" spans="1:26" s="29" customFormat="1" ht="90.75" customHeight="1" x14ac:dyDescent="0.25">
      <c r="A971" s="20"/>
      <c r="B971" s="20"/>
      <c r="C971" s="20"/>
      <c r="D971" s="21"/>
      <c r="E971" s="21"/>
      <c r="F971" s="22"/>
      <c r="G971" s="22"/>
      <c r="H971" s="24"/>
      <c r="I971" s="25"/>
      <c r="J971" s="24"/>
      <c r="K971" s="30">
        <v>19</v>
      </c>
      <c r="L971" s="31" t="s">
        <v>29</v>
      </c>
      <c r="M971" s="48" t="s">
        <v>13</v>
      </c>
      <c r="N971" s="51">
        <v>1</v>
      </c>
      <c r="O971" s="45">
        <v>151.32</v>
      </c>
      <c r="P971" s="35">
        <v>100</v>
      </c>
      <c r="Q971" s="40">
        <v>5550</v>
      </c>
      <c r="R971" s="36">
        <f t="shared" si="133"/>
        <v>839826</v>
      </c>
      <c r="S971" s="37">
        <v>10</v>
      </c>
      <c r="T971" s="28">
        <f t="shared" si="134"/>
        <v>83982.6</v>
      </c>
      <c r="U971" s="36">
        <f t="shared" si="135"/>
        <v>755843.4</v>
      </c>
      <c r="V971" s="36"/>
      <c r="W971" s="36"/>
      <c r="X971" s="28"/>
      <c r="Y971" s="28"/>
      <c r="Z971" s="49"/>
    </row>
    <row r="972" spans="1:26" s="29" customFormat="1" ht="90.75" customHeight="1" x14ac:dyDescent="0.25">
      <c r="A972" s="20"/>
      <c r="B972" s="20"/>
      <c r="C972" s="20"/>
      <c r="D972" s="21"/>
      <c r="E972" s="21"/>
      <c r="F972" s="22"/>
      <c r="G972" s="22"/>
      <c r="H972" s="24"/>
      <c r="I972" s="25"/>
      <c r="J972" s="24"/>
      <c r="K972" s="30">
        <v>20</v>
      </c>
      <c r="L972" s="31" t="s">
        <v>29</v>
      </c>
      <c r="M972" s="48" t="s">
        <v>13</v>
      </c>
      <c r="N972" s="51">
        <v>1</v>
      </c>
      <c r="O972" s="45">
        <v>102.01</v>
      </c>
      <c r="P972" s="35">
        <v>100</v>
      </c>
      <c r="Q972" s="40">
        <v>5550</v>
      </c>
      <c r="R972" s="36">
        <f t="shared" si="133"/>
        <v>566155.5</v>
      </c>
      <c r="S972" s="37">
        <v>10</v>
      </c>
      <c r="T972" s="28">
        <f t="shared" si="134"/>
        <v>56615.55</v>
      </c>
      <c r="U972" s="36">
        <f t="shared" si="135"/>
        <v>509539.95</v>
      </c>
      <c r="V972" s="36"/>
      <c r="W972" s="36"/>
      <c r="X972" s="28"/>
      <c r="Y972" s="28"/>
      <c r="Z972" s="49"/>
    </row>
    <row r="973" spans="1:26" s="29" customFormat="1" ht="90.75" customHeight="1" x14ac:dyDescent="0.25">
      <c r="A973" s="20"/>
      <c r="B973" s="20"/>
      <c r="C973" s="20"/>
      <c r="D973" s="21"/>
      <c r="E973" s="21"/>
      <c r="F973" s="22"/>
      <c r="G973" s="22"/>
      <c r="H973" s="24"/>
      <c r="I973" s="25"/>
      <c r="J973" s="24"/>
      <c r="K973" s="30">
        <v>21</v>
      </c>
      <c r="L973" s="31" t="s">
        <v>31</v>
      </c>
      <c r="M973" s="48" t="s">
        <v>13</v>
      </c>
      <c r="N973" s="51">
        <v>1</v>
      </c>
      <c r="O973" s="45">
        <v>48</v>
      </c>
      <c r="P973" s="35">
        <v>100</v>
      </c>
      <c r="Q973" s="40">
        <v>2550</v>
      </c>
      <c r="R973" s="36">
        <f t="shared" si="133"/>
        <v>122400</v>
      </c>
      <c r="S973" s="37">
        <v>10</v>
      </c>
      <c r="T973" s="28">
        <f t="shared" si="134"/>
        <v>12240</v>
      </c>
      <c r="U973" s="36">
        <f t="shared" si="135"/>
        <v>110160</v>
      </c>
      <c r="V973" s="36"/>
      <c r="W973" s="36"/>
      <c r="X973" s="28"/>
      <c r="Y973" s="28"/>
      <c r="Z973" s="49"/>
    </row>
    <row r="974" spans="1:26" s="29" customFormat="1" ht="90.75" customHeight="1" x14ac:dyDescent="0.25">
      <c r="A974" s="20"/>
      <c r="B974" s="20"/>
      <c r="C974" s="20"/>
      <c r="D974" s="21"/>
      <c r="E974" s="21"/>
      <c r="F974" s="22"/>
      <c r="G974" s="22"/>
      <c r="H974" s="24"/>
      <c r="I974" s="25"/>
      <c r="J974" s="24"/>
      <c r="K974" s="30">
        <v>22</v>
      </c>
      <c r="L974" s="31" t="s">
        <v>17</v>
      </c>
      <c r="M974" s="48" t="s">
        <v>13</v>
      </c>
      <c r="N974" s="51">
        <v>1</v>
      </c>
      <c r="O974" s="45">
        <v>3.75</v>
      </c>
      <c r="P974" s="35">
        <v>100</v>
      </c>
      <c r="Q974" s="40">
        <v>5900</v>
      </c>
      <c r="R974" s="36">
        <f t="shared" si="133"/>
        <v>22125</v>
      </c>
      <c r="S974" s="37">
        <v>10</v>
      </c>
      <c r="T974" s="28">
        <f t="shared" si="134"/>
        <v>2212.5</v>
      </c>
      <c r="U974" s="36">
        <f t="shared" si="135"/>
        <v>19912.5</v>
      </c>
      <c r="V974" s="36"/>
      <c r="W974" s="36"/>
      <c r="X974" s="28"/>
      <c r="Y974" s="28"/>
      <c r="Z974" s="49"/>
    </row>
    <row r="975" spans="1:26" s="29" customFormat="1" ht="90.75" customHeight="1" x14ac:dyDescent="0.25">
      <c r="A975" s="20"/>
      <c r="B975" s="20"/>
      <c r="C975" s="20"/>
      <c r="D975" s="21"/>
      <c r="E975" s="21"/>
      <c r="F975" s="22"/>
      <c r="G975" s="22"/>
      <c r="H975" s="24"/>
      <c r="I975" s="25"/>
      <c r="J975" s="24"/>
      <c r="K975" s="30">
        <v>23</v>
      </c>
      <c r="L975" s="31" t="s">
        <v>31</v>
      </c>
      <c r="M975" s="48"/>
      <c r="N975" s="51">
        <v>1</v>
      </c>
      <c r="O975" s="45">
        <v>26.8</v>
      </c>
      <c r="P975" s="35">
        <v>100</v>
      </c>
      <c r="Q975" s="40">
        <v>2550</v>
      </c>
      <c r="R975" s="36">
        <f t="shared" si="133"/>
        <v>68340</v>
      </c>
      <c r="S975" s="37">
        <v>10</v>
      </c>
      <c r="T975" s="28">
        <f t="shared" si="134"/>
        <v>6834</v>
      </c>
      <c r="U975" s="36">
        <f t="shared" si="135"/>
        <v>61506</v>
      </c>
      <c r="V975" s="36"/>
      <c r="W975" s="36"/>
      <c r="X975" s="28"/>
      <c r="Y975" s="28"/>
      <c r="Z975" s="49"/>
    </row>
    <row r="976" spans="1:26" s="29" customFormat="1" ht="90.75" customHeight="1" x14ac:dyDescent="0.25">
      <c r="A976" s="20"/>
      <c r="B976" s="20"/>
      <c r="C976" s="20"/>
      <c r="D976" s="21"/>
      <c r="E976" s="21"/>
      <c r="F976" s="22"/>
      <c r="G976" s="22"/>
      <c r="H976" s="24"/>
      <c r="I976" s="25"/>
      <c r="J976" s="24"/>
      <c r="K976" s="30">
        <v>24</v>
      </c>
      <c r="L976" s="31" t="s">
        <v>29</v>
      </c>
      <c r="M976" s="48" t="s">
        <v>13</v>
      </c>
      <c r="N976" s="51">
        <v>1</v>
      </c>
      <c r="O976" s="45">
        <v>72</v>
      </c>
      <c r="P976" s="35">
        <v>100</v>
      </c>
      <c r="Q976" s="40">
        <v>5550</v>
      </c>
      <c r="R976" s="36">
        <f t="shared" si="133"/>
        <v>399600</v>
      </c>
      <c r="S976" s="37">
        <v>10</v>
      </c>
      <c r="T976" s="28">
        <f t="shared" si="134"/>
        <v>39960</v>
      </c>
      <c r="U976" s="36">
        <f t="shared" si="135"/>
        <v>359640</v>
      </c>
      <c r="V976" s="36"/>
      <c r="W976" s="36"/>
      <c r="X976" s="28"/>
      <c r="Y976" s="28"/>
      <c r="Z976" s="49"/>
    </row>
    <row r="977" spans="1:26" s="29" customFormat="1" ht="90.75" customHeight="1" x14ac:dyDescent="0.25">
      <c r="A977" s="20"/>
      <c r="B977" s="20"/>
      <c r="C977" s="20"/>
      <c r="D977" s="21"/>
      <c r="E977" s="21"/>
      <c r="F977" s="22"/>
      <c r="G977" s="22"/>
      <c r="H977" s="24"/>
      <c r="I977" s="25"/>
      <c r="J977" s="24"/>
      <c r="K977" s="30">
        <v>25</v>
      </c>
      <c r="L977" s="31" t="s">
        <v>215</v>
      </c>
      <c r="M977" s="48" t="s">
        <v>13</v>
      </c>
      <c r="N977" s="51">
        <v>1</v>
      </c>
      <c r="O977" s="45">
        <v>17.82</v>
      </c>
      <c r="P977" s="35">
        <v>100</v>
      </c>
      <c r="Q977" s="40">
        <v>6450</v>
      </c>
      <c r="R977" s="36">
        <f t="shared" si="133"/>
        <v>114939</v>
      </c>
      <c r="S977" s="37">
        <v>10</v>
      </c>
      <c r="T977" s="28">
        <f t="shared" si="134"/>
        <v>11493.9</v>
      </c>
      <c r="U977" s="36">
        <f t="shared" si="135"/>
        <v>103445.1</v>
      </c>
      <c r="V977" s="36"/>
      <c r="W977" s="36"/>
      <c r="X977" s="28"/>
      <c r="Y977" s="28"/>
      <c r="Z977" s="49"/>
    </row>
    <row r="978" spans="1:26" s="29" customFormat="1" ht="90.75" customHeight="1" x14ac:dyDescent="0.25">
      <c r="A978" s="20"/>
      <c r="B978" s="20"/>
      <c r="C978" s="20"/>
      <c r="D978" s="21"/>
      <c r="E978" s="21"/>
      <c r="F978" s="22"/>
      <c r="G978" s="22"/>
      <c r="H978" s="24"/>
      <c r="I978" s="25"/>
      <c r="J978" s="24"/>
      <c r="K978" s="30">
        <v>26</v>
      </c>
      <c r="L978" s="31" t="s">
        <v>215</v>
      </c>
      <c r="M978" s="48" t="s">
        <v>13</v>
      </c>
      <c r="N978" s="51">
        <v>1</v>
      </c>
      <c r="O978" s="45">
        <v>14</v>
      </c>
      <c r="P978" s="35">
        <v>100</v>
      </c>
      <c r="Q978" s="40">
        <v>6450</v>
      </c>
      <c r="R978" s="36">
        <f t="shared" si="133"/>
        <v>90300</v>
      </c>
      <c r="S978" s="37">
        <v>10</v>
      </c>
      <c r="T978" s="28">
        <f t="shared" si="134"/>
        <v>9030</v>
      </c>
      <c r="U978" s="36">
        <f t="shared" si="135"/>
        <v>81270</v>
      </c>
      <c r="V978" s="36"/>
      <c r="W978" s="36"/>
      <c r="X978" s="28"/>
      <c r="Y978" s="28"/>
      <c r="Z978" s="49"/>
    </row>
    <row r="979" spans="1:26" s="29" customFormat="1" ht="90.75" customHeight="1" x14ac:dyDescent="0.25">
      <c r="A979" s="20"/>
      <c r="B979" s="20"/>
      <c r="C979" s="20"/>
      <c r="D979" s="21"/>
      <c r="E979" s="21"/>
      <c r="F979" s="22"/>
      <c r="G979" s="22"/>
      <c r="H979" s="24"/>
      <c r="I979" s="25"/>
      <c r="J979" s="24"/>
      <c r="K979" s="30">
        <v>27</v>
      </c>
      <c r="L979" s="31" t="s">
        <v>215</v>
      </c>
      <c r="M979" s="48" t="s">
        <v>13</v>
      </c>
      <c r="N979" s="51">
        <v>1</v>
      </c>
      <c r="O979" s="45">
        <v>12</v>
      </c>
      <c r="P979" s="35">
        <v>100</v>
      </c>
      <c r="Q979" s="40">
        <v>6450</v>
      </c>
      <c r="R979" s="36">
        <f t="shared" si="133"/>
        <v>77400</v>
      </c>
      <c r="S979" s="37">
        <v>10</v>
      </c>
      <c r="T979" s="28">
        <f t="shared" si="134"/>
        <v>7740</v>
      </c>
      <c r="U979" s="36">
        <f t="shared" si="135"/>
        <v>69660</v>
      </c>
      <c r="V979" s="36"/>
      <c r="W979" s="36"/>
      <c r="X979" s="28"/>
      <c r="Y979" s="28"/>
      <c r="Z979" s="49"/>
    </row>
    <row r="980" spans="1:26" s="29" customFormat="1" ht="90.75" customHeight="1" x14ac:dyDescent="0.25">
      <c r="A980" s="20"/>
      <c r="B980" s="20"/>
      <c r="C980" s="20"/>
      <c r="D980" s="21"/>
      <c r="E980" s="21"/>
      <c r="F980" s="22"/>
      <c r="G980" s="22"/>
      <c r="H980" s="24"/>
      <c r="I980" s="25"/>
      <c r="J980" s="24"/>
      <c r="K980" s="20"/>
      <c r="L980" s="20"/>
      <c r="M980" s="20"/>
      <c r="N980" s="20"/>
      <c r="O980" s="24"/>
      <c r="P980" s="24"/>
      <c r="Q980" s="25"/>
      <c r="R980" s="24"/>
      <c r="S980" s="20"/>
      <c r="T980" s="27"/>
      <c r="U980" s="78">
        <f>SUM(U953:U979)</f>
        <v>29426444.099999998</v>
      </c>
      <c r="V980" s="27">
        <f>(J952+U980)</f>
        <v>39081194.099999994</v>
      </c>
      <c r="W980" s="26">
        <f t="shared" ref="W980:W990" si="136">(V980*100/100)</f>
        <v>39081194.099999994</v>
      </c>
      <c r="X980" s="27">
        <v>0</v>
      </c>
      <c r="Y980" s="78">
        <f t="shared" ref="Y980:Y990" si="137">(W980-X980)</f>
        <v>39081194.099999994</v>
      </c>
      <c r="Z980" s="49">
        <v>3.0000000000000001E-3</v>
      </c>
    </row>
    <row r="981" spans="1:26" s="29" customFormat="1" ht="90.75" customHeight="1" x14ac:dyDescent="0.25">
      <c r="A981" s="20">
        <v>759</v>
      </c>
      <c r="B981" s="20" t="s">
        <v>0</v>
      </c>
      <c r="C981" s="20">
        <v>11633</v>
      </c>
      <c r="D981" s="21">
        <v>2</v>
      </c>
      <c r="E981" s="21">
        <v>1</v>
      </c>
      <c r="F981" s="22">
        <v>44</v>
      </c>
      <c r="G981" s="21" t="s">
        <v>209</v>
      </c>
      <c r="H981" s="24">
        <f t="shared" ref="H981:H989" si="138">(D981*400)+(E981*100)+F981</f>
        <v>944</v>
      </c>
      <c r="I981" s="25">
        <v>300</v>
      </c>
      <c r="J981" s="24">
        <f t="shared" ref="J981:J992" si="139">(H981*I981)</f>
        <v>283200</v>
      </c>
      <c r="K981" s="20"/>
      <c r="L981" s="20"/>
      <c r="M981" s="20"/>
      <c r="N981" s="20"/>
      <c r="O981" s="24"/>
      <c r="P981" s="24"/>
      <c r="Q981" s="25"/>
      <c r="R981" s="24"/>
      <c r="S981" s="20"/>
      <c r="T981" s="27"/>
      <c r="U981" s="20"/>
      <c r="V981" s="27">
        <f t="shared" ref="V981:V990" si="140">(J981+U981)</f>
        <v>283200</v>
      </c>
      <c r="W981" s="26">
        <f t="shared" si="136"/>
        <v>283200</v>
      </c>
      <c r="X981" s="27">
        <v>0</v>
      </c>
      <c r="Y981" s="78">
        <f t="shared" si="137"/>
        <v>283200</v>
      </c>
      <c r="Z981" s="49">
        <v>3.0000000000000001E-3</v>
      </c>
    </row>
    <row r="982" spans="1:26" s="29" customFormat="1" ht="90.75" customHeight="1" x14ac:dyDescent="0.25">
      <c r="A982" s="20">
        <v>760</v>
      </c>
      <c r="B982" s="20" t="s">
        <v>0</v>
      </c>
      <c r="C982" s="20">
        <v>11634</v>
      </c>
      <c r="D982" s="21">
        <v>2</v>
      </c>
      <c r="E982" s="21">
        <v>1</v>
      </c>
      <c r="F982" s="22">
        <v>56</v>
      </c>
      <c r="G982" s="21" t="s">
        <v>209</v>
      </c>
      <c r="H982" s="24">
        <f t="shared" si="138"/>
        <v>956</v>
      </c>
      <c r="I982" s="25" t="s">
        <v>9</v>
      </c>
      <c r="J982" s="24">
        <f t="shared" si="139"/>
        <v>286800</v>
      </c>
      <c r="K982" s="20"/>
      <c r="L982" s="20"/>
      <c r="M982" s="20"/>
      <c r="N982" s="20"/>
      <c r="O982" s="24"/>
      <c r="P982" s="24"/>
      <c r="Q982" s="25"/>
      <c r="R982" s="24"/>
      <c r="S982" s="20"/>
      <c r="T982" s="27"/>
      <c r="U982" s="20"/>
      <c r="V982" s="27">
        <f t="shared" si="140"/>
        <v>286800</v>
      </c>
      <c r="W982" s="26">
        <f t="shared" si="136"/>
        <v>286800</v>
      </c>
      <c r="X982" s="27">
        <v>0</v>
      </c>
      <c r="Y982" s="78">
        <f t="shared" si="137"/>
        <v>286800</v>
      </c>
      <c r="Z982" s="49">
        <v>3.0000000000000001E-3</v>
      </c>
    </row>
    <row r="983" spans="1:26" s="29" customFormat="1" ht="90.75" customHeight="1" x14ac:dyDescent="0.25">
      <c r="A983" s="20">
        <v>761</v>
      </c>
      <c r="B983" s="20" t="s">
        <v>0</v>
      </c>
      <c r="C983" s="20">
        <v>11635</v>
      </c>
      <c r="D983" s="21">
        <v>2</v>
      </c>
      <c r="E983" s="21">
        <v>2</v>
      </c>
      <c r="F983" s="22">
        <v>34</v>
      </c>
      <c r="G983" s="21" t="s">
        <v>209</v>
      </c>
      <c r="H983" s="24">
        <f t="shared" si="138"/>
        <v>1034</v>
      </c>
      <c r="I983" s="25" t="s">
        <v>9</v>
      </c>
      <c r="J983" s="24">
        <f t="shared" si="139"/>
        <v>310200</v>
      </c>
      <c r="K983" s="20"/>
      <c r="L983" s="20"/>
      <c r="M983" s="20"/>
      <c r="N983" s="20"/>
      <c r="O983" s="24"/>
      <c r="P983" s="24"/>
      <c r="Q983" s="25"/>
      <c r="R983" s="24"/>
      <c r="S983" s="20"/>
      <c r="T983" s="27"/>
      <c r="U983" s="20"/>
      <c r="V983" s="27">
        <f t="shared" si="140"/>
        <v>310200</v>
      </c>
      <c r="W983" s="26">
        <f t="shared" si="136"/>
        <v>310200</v>
      </c>
      <c r="X983" s="27">
        <v>0</v>
      </c>
      <c r="Y983" s="78">
        <f t="shared" si="137"/>
        <v>310200</v>
      </c>
      <c r="Z983" s="49">
        <v>3.0000000000000001E-3</v>
      </c>
    </row>
    <row r="984" spans="1:26" s="29" customFormat="1" ht="90.75" customHeight="1" x14ac:dyDescent="0.25">
      <c r="A984" s="20">
        <v>762</v>
      </c>
      <c r="B984" s="20" t="s">
        <v>0</v>
      </c>
      <c r="C984" s="20">
        <v>11636</v>
      </c>
      <c r="D984" s="21">
        <v>2</v>
      </c>
      <c r="E984" s="21">
        <v>3</v>
      </c>
      <c r="F984" s="22">
        <v>5</v>
      </c>
      <c r="G984" s="21" t="s">
        <v>209</v>
      </c>
      <c r="H984" s="24">
        <f t="shared" si="138"/>
        <v>1105</v>
      </c>
      <c r="I984" s="25" t="s">
        <v>9</v>
      </c>
      <c r="J984" s="24">
        <f t="shared" si="139"/>
        <v>331500</v>
      </c>
      <c r="K984" s="20"/>
      <c r="L984" s="20"/>
      <c r="M984" s="20"/>
      <c r="N984" s="20"/>
      <c r="O984" s="24"/>
      <c r="P984" s="24"/>
      <c r="Q984" s="25"/>
      <c r="R984" s="24"/>
      <c r="S984" s="20"/>
      <c r="T984" s="27"/>
      <c r="U984" s="20"/>
      <c r="V984" s="27">
        <f t="shared" si="140"/>
        <v>331500</v>
      </c>
      <c r="W984" s="26">
        <f t="shared" si="136"/>
        <v>331500</v>
      </c>
      <c r="X984" s="27">
        <v>0</v>
      </c>
      <c r="Y984" s="78">
        <f t="shared" si="137"/>
        <v>331500</v>
      </c>
      <c r="Z984" s="49">
        <v>3.0000000000000001E-3</v>
      </c>
    </row>
    <row r="985" spans="1:26" s="29" customFormat="1" ht="90.75" customHeight="1" x14ac:dyDescent="0.25">
      <c r="A985" s="20">
        <v>763</v>
      </c>
      <c r="B985" s="20" t="s">
        <v>0</v>
      </c>
      <c r="C985" s="20">
        <v>11637</v>
      </c>
      <c r="D985" s="21">
        <v>3</v>
      </c>
      <c r="E985" s="21">
        <v>3</v>
      </c>
      <c r="F985" s="22">
        <v>32</v>
      </c>
      <c r="G985" s="21" t="s">
        <v>209</v>
      </c>
      <c r="H985" s="24">
        <f t="shared" si="138"/>
        <v>1532</v>
      </c>
      <c r="I985" s="25" t="s">
        <v>9</v>
      </c>
      <c r="J985" s="24">
        <f t="shared" si="139"/>
        <v>459600</v>
      </c>
      <c r="K985" s="20"/>
      <c r="L985" s="20"/>
      <c r="M985" s="20"/>
      <c r="N985" s="20"/>
      <c r="O985" s="24"/>
      <c r="P985" s="24"/>
      <c r="Q985" s="25"/>
      <c r="R985" s="24"/>
      <c r="S985" s="20"/>
      <c r="T985" s="27"/>
      <c r="U985" s="20"/>
      <c r="V985" s="27">
        <f t="shared" si="140"/>
        <v>459600</v>
      </c>
      <c r="W985" s="26">
        <f t="shared" si="136"/>
        <v>459600</v>
      </c>
      <c r="X985" s="27">
        <v>0</v>
      </c>
      <c r="Y985" s="78">
        <f t="shared" si="137"/>
        <v>459600</v>
      </c>
      <c r="Z985" s="49">
        <v>3.0000000000000001E-3</v>
      </c>
    </row>
    <row r="986" spans="1:26" s="29" customFormat="1" ht="90.75" customHeight="1" x14ac:dyDescent="0.25">
      <c r="A986" s="20">
        <v>764</v>
      </c>
      <c r="B986" s="20" t="s">
        <v>0</v>
      </c>
      <c r="C986" s="20">
        <v>11638</v>
      </c>
      <c r="D986" s="21">
        <v>2</v>
      </c>
      <c r="E986" s="21">
        <v>0</v>
      </c>
      <c r="F986" s="22">
        <v>15</v>
      </c>
      <c r="G986" s="21" t="s">
        <v>209</v>
      </c>
      <c r="H986" s="24">
        <f t="shared" si="138"/>
        <v>815</v>
      </c>
      <c r="I986" s="25" t="s">
        <v>9</v>
      </c>
      <c r="J986" s="24">
        <f t="shared" si="139"/>
        <v>244500</v>
      </c>
      <c r="K986" s="20"/>
      <c r="L986" s="20"/>
      <c r="M986" s="20"/>
      <c r="N986" s="20"/>
      <c r="O986" s="24"/>
      <c r="P986" s="24"/>
      <c r="Q986" s="25"/>
      <c r="R986" s="24"/>
      <c r="S986" s="20"/>
      <c r="T986" s="27"/>
      <c r="U986" s="20"/>
      <c r="V986" s="27">
        <f t="shared" si="140"/>
        <v>244500</v>
      </c>
      <c r="W986" s="26">
        <f t="shared" si="136"/>
        <v>244500</v>
      </c>
      <c r="X986" s="27">
        <v>0</v>
      </c>
      <c r="Y986" s="78">
        <f t="shared" si="137"/>
        <v>244500</v>
      </c>
      <c r="Z986" s="49">
        <v>3.0000000000000001E-3</v>
      </c>
    </row>
    <row r="987" spans="1:26" s="29" customFormat="1" ht="90.75" customHeight="1" x14ac:dyDescent="0.25">
      <c r="A987" s="20">
        <v>765</v>
      </c>
      <c r="B987" s="20" t="s">
        <v>0</v>
      </c>
      <c r="C987" s="20">
        <v>11639</v>
      </c>
      <c r="D987" s="21">
        <v>2</v>
      </c>
      <c r="E987" s="21">
        <v>0</v>
      </c>
      <c r="F987" s="22">
        <v>19</v>
      </c>
      <c r="G987" s="21" t="s">
        <v>209</v>
      </c>
      <c r="H987" s="24">
        <f t="shared" si="138"/>
        <v>819</v>
      </c>
      <c r="I987" s="25" t="s">
        <v>9</v>
      </c>
      <c r="J987" s="24">
        <f t="shared" si="139"/>
        <v>245700</v>
      </c>
      <c r="K987" s="20"/>
      <c r="L987" s="20"/>
      <c r="M987" s="20"/>
      <c r="N987" s="20"/>
      <c r="O987" s="24"/>
      <c r="P987" s="24"/>
      <c r="Q987" s="25"/>
      <c r="R987" s="24"/>
      <c r="S987" s="20"/>
      <c r="T987" s="27"/>
      <c r="U987" s="20"/>
      <c r="V987" s="27">
        <f t="shared" si="140"/>
        <v>245700</v>
      </c>
      <c r="W987" s="26">
        <f t="shared" si="136"/>
        <v>245700</v>
      </c>
      <c r="X987" s="27">
        <v>0</v>
      </c>
      <c r="Y987" s="78">
        <f t="shared" si="137"/>
        <v>245700</v>
      </c>
      <c r="Z987" s="49">
        <v>3.0000000000000001E-3</v>
      </c>
    </row>
    <row r="988" spans="1:26" s="29" customFormat="1" ht="90.75" customHeight="1" x14ac:dyDescent="0.25">
      <c r="A988" s="20">
        <v>766</v>
      </c>
      <c r="B988" s="20" t="s">
        <v>0</v>
      </c>
      <c r="C988" s="20">
        <v>11640</v>
      </c>
      <c r="D988" s="21">
        <v>2</v>
      </c>
      <c r="E988" s="21">
        <v>0</v>
      </c>
      <c r="F988" s="22">
        <v>57</v>
      </c>
      <c r="G988" s="21" t="s">
        <v>209</v>
      </c>
      <c r="H988" s="24">
        <f t="shared" si="138"/>
        <v>857</v>
      </c>
      <c r="I988" s="25" t="s">
        <v>9</v>
      </c>
      <c r="J988" s="24">
        <f t="shared" si="139"/>
        <v>257100</v>
      </c>
      <c r="K988" s="20"/>
      <c r="L988" s="20"/>
      <c r="M988" s="20"/>
      <c r="N988" s="20"/>
      <c r="O988" s="24"/>
      <c r="P988" s="24"/>
      <c r="Q988" s="25"/>
      <c r="R988" s="24"/>
      <c r="S988" s="20"/>
      <c r="T988" s="27"/>
      <c r="U988" s="20"/>
      <c r="V988" s="27">
        <f t="shared" si="140"/>
        <v>257100</v>
      </c>
      <c r="W988" s="26">
        <f t="shared" si="136"/>
        <v>257100</v>
      </c>
      <c r="X988" s="27">
        <v>0</v>
      </c>
      <c r="Y988" s="78">
        <f t="shared" si="137"/>
        <v>257100</v>
      </c>
      <c r="Z988" s="49">
        <v>3.0000000000000001E-3</v>
      </c>
    </row>
    <row r="989" spans="1:26" s="29" customFormat="1" ht="90.75" customHeight="1" x14ac:dyDescent="0.25">
      <c r="A989" s="20">
        <v>767</v>
      </c>
      <c r="B989" s="20" t="s">
        <v>0</v>
      </c>
      <c r="C989" s="20">
        <v>11625</v>
      </c>
      <c r="D989" s="21">
        <v>1</v>
      </c>
      <c r="E989" s="21">
        <v>3</v>
      </c>
      <c r="F989" s="22">
        <v>97</v>
      </c>
      <c r="G989" s="21" t="s">
        <v>209</v>
      </c>
      <c r="H989" s="24">
        <f t="shared" si="138"/>
        <v>797</v>
      </c>
      <c r="I989" s="25" t="s">
        <v>9</v>
      </c>
      <c r="J989" s="24">
        <f t="shared" si="139"/>
        <v>239100</v>
      </c>
      <c r="K989" s="20"/>
      <c r="L989" s="20"/>
      <c r="M989" s="20"/>
      <c r="N989" s="20"/>
      <c r="O989" s="24"/>
      <c r="P989" s="24"/>
      <c r="Q989" s="25"/>
      <c r="R989" s="24"/>
      <c r="S989" s="20"/>
      <c r="T989" s="27"/>
      <c r="U989" s="20"/>
      <c r="V989" s="27">
        <f t="shared" si="140"/>
        <v>239100</v>
      </c>
      <c r="W989" s="26">
        <f t="shared" si="136"/>
        <v>239100</v>
      </c>
      <c r="X989" s="27">
        <v>0</v>
      </c>
      <c r="Y989" s="78">
        <f t="shared" si="137"/>
        <v>239100</v>
      </c>
      <c r="Z989" s="49">
        <v>3.0000000000000001E-3</v>
      </c>
    </row>
    <row r="990" spans="1:26" s="29" customFormat="1" ht="90.75" customHeight="1" x14ac:dyDescent="0.25">
      <c r="A990" s="20">
        <v>768</v>
      </c>
      <c r="B990" s="20" t="s">
        <v>0</v>
      </c>
      <c r="C990" s="20">
        <v>17991</v>
      </c>
      <c r="D990" s="21"/>
      <c r="E990" s="21"/>
      <c r="F990" s="22"/>
      <c r="G990" s="21" t="s">
        <v>209</v>
      </c>
      <c r="H990" s="24">
        <v>56.25</v>
      </c>
      <c r="I990" s="25">
        <v>300</v>
      </c>
      <c r="J990" s="24">
        <f t="shared" si="139"/>
        <v>16875</v>
      </c>
      <c r="K990" s="20"/>
      <c r="L990" s="20"/>
      <c r="M990" s="20"/>
      <c r="N990" s="20"/>
      <c r="O990" s="24"/>
      <c r="P990" s="24"/>
      <c r="Q990" s="25"/>
      <c r="R990" s="24"/>
      <c r="S990" s="20"/>
      <c r="T990" s="27"/>
      <c r="U990" s="20"/>
      <c r="V990" s="27">
        <f t="shared" si="140"/>
        <v>16875</v>
      </c>
      <c r="W990" s="26">
        <f t="shared" si="136"/>
        <v>16875</v>
      </c>
      <c r="X990" s="27">
        <v>0</v>
      </c>
      <c r="Y990" s="78">
        <f t="shared" si="137"/>
        <v>16875</v>
      </c>
      <c r="Z990" s="49">
        <v>3.0000000000000001E-3</v>
      </c>
    </row>
    <row r="991" spans="1:26" s="29" customFormat="1" ht="90.75" customHeight="1" x14ac:dyDescent="0.25">
      <c r="A991" s="20">
        <v>769</v>
      </c>
      <c r="B991" s="20" t="s">
        <v>0</v>
      </c>
      <c r="C991" s="20">
        <v>8244</v>
      </c>
      <c r="D991" s="21">
        <v>40</v>
      </c>
      <c r="E991" s="21">
        <v>3</v>
      </c>
      <c r="F991" s="22">
        <v>99</v>
      </c>
      <c r="G991" s="21" t="s">
        <v>209</v>
      </c>
      <c r="H991" s="24">
        <f>(D991*400)+(E991*100)+F991</f>
        <v>16399</v>
      </c>
      <c r="I991" s="25" t="s">
        <v>155</v>
      </c>
      <c r="J991" s="24">
        <f t="shared" si="139"/>
        <v>50836900</v>
      </c>
      <c r="K991" s="20"/>
      <c r="L991" s="20"/>
      <c r="M991" s="20"/>
      <c r="N991" s="20"/>
      <c r="O991" s="24"/>
      <c r="P991" s="24"/>
      <c r="Q991" s="25"/>
      <c r="R991" s="24"/>
      <c r="S991" s="20"/>
      <c r="T991" s="27"/>
      <c r="U991" s="20"/>
      <c r="V991" s="20"/>
      <c r="W991" s="26"/>
      <c r="X991" s="27"/>
      <c r="Y991" s="20"/>
      <c r="Z991" s="20"/>
    </row>
    <row r="992" spans="1:26" s="29" customFormat="1" ht="90.75" customHeight="1" x14ac:dyDescent="0.25">
      <c r="A992" s="20"/>
      <c r="B992" s="20"/>
      <c r="C992" s="20"/>
      <c r="D992" s="21"/>
      <c r="E992" s="21"/>
      <c r="F992" s="22"/>
      <c r="G992" s="22"/>
      <c r="H992" s="36">
        <v>43.75</v>
      </c>
      <c r="I992" s="40">
        <v>3100</v>
      </c>
      <c r="J992" s="28">
        <f t="shared" si="139"/>
        <v>135625</v>
      </c>
      <c r="K992" s="37">
        <v>1</v>
      </c>
      <c r="L992" s="31" t="s">
        <v>18</v>
      </c>
      <c r="M992" s="31" t="s">
        <v>24</v>
      </c>
      <c r="N992" s="41">
        <v>3</v>
      </c>
      <c r="O992" s="45">
        <v>350</v>
      </c>
      <c r="P992" s="35">
        <v>100</v>
      </c>
      <c r="Q992" s="40">
        <v>7750</v>
      </c>
      <c r="R992" s="36">
        <f>(O992*Q992)</f>
        <v>2712500</v>
      </c>
      <c r="S992" s="37">
        <v>25</v>
      </c>
      <c r="T992" s="28">
        <f>(R992*40/100)</f>
        <v>1085000</v>
      </c>
      <c r="U992" s="36">
        <f>(R992-T992)</f>
        <v>1627500</v>
      </c>
      <c r="V992" s="36">
        <f>(J992+U992)</f>
        <v>1763125</v>
      </c>
      <c r="W992" s="36"/>
      <c r="X992" s="28"/>
      <c r="Y992" s="28"/>
      <c r="Z992" s="20"/>
    </row>
    <row r="993" spans="1:26" s="29" customFormat="1" ht="90.75" customHeight="1" x14ac:dyDescent="0.25">
      <c r="A993" s="20"/>
      <c r="B993" s="20"/>
      <c r="C993" s="20"/>
      <c r="D993" s="21"/>
      <c r="E993" s="21"/>
      <c r="F993" s="22"/>
      <c r="G993" s="22"/>
      <c r="H993" s="36"/>
      <c r="I993" s="40"/>
      <c r="J993" s="28"/>
      <c r="K993" s="37"/>
      <c r="L993" s="31" t="s">
        <v>59</v>
      </c>
      <c r="M993" s="31"/>
      <c r="N993" s="41"/>
      <c r="O993" s="47">
        <v>175</v>
      </c>
      <c r="P993" s="35">
        <v>50</v>
      </c>
      <c r="Q993" s="40"/>
      <c r="R993" s="36"/>
      <c r="S993" s="37"/>
      <c r="T993" s="28"/>
      <c r="U993" s="36"/>
      <c r="V993" s="36"/>
      <c r="W993" s="36">
        <f>(V992*P993/100)</f>
        <v>881562.5</v>
      </c>
      <c r="X993" s="28">
        <v>0</v>
      </c>
      <c r="Y993" s="28">
        <f>(W993-X993)</f>
        <v>881562.5</v>
      </c>
      <c r="Z993" s="49">
        <v>2.0000000000000001E-4</v>
      </c>
    </row>
    <row r="994" spans="1:26" s="29" customFormat="1" ht="90.75" customHeight="1" x14ac:dyDescent="0.25">
      <c r="A994" s="20"/>
      <c r="B994" s="20"/>
      <c r="C994" s="20"/>
      <c r="D994" s="21"/>
      <c r="E994" s="21"/>
      <c r="F994" s="22"/>
      <c r="G994" s="22"/>
      <c r="H994" s="36"/>
      <c r="I994" s="40"/>
      <c r="J994" s="28"/>
      <c r="K994" s="37"/>
      <c r="L994" s="31" t="s">
        <v>60</v>
      </c>
      <c r="M994" s="31"/>
      <c r="N994" s="41"/>
      <c r="O994" s="47">
        <v>175</v>
      </c>
      <c r="P994" s="35">
        <v>50</v>
      </c>
      <c r="Q994" s="40"/>
      <c r="R994" s="36"/>
      <c r="S994" s="37"/>
      <c r="T994" s="28"/>
      <c r="U994" s="36"/>
      <c r="V994" s="36"/>
      <c r="W994" s="36">
        <f>(V992*P994/100)</f>
        <v>881562.5</v>
      </c>
      <c r="X994" s="28">
        <v>0</v>
      </c>
      <c r="Y994" s="28">
        <f>(W994-X994)</f>
        <v>881562.5</v>
      </c>
      <c r="Z994" s="49">
        <v>2.0000000000000001E-4</v>
      </c>
    </row>
    <row r="995" spans="1:26" s="29" customFormat="1" ht="90.75" customHeight="1" x14ac:dyDescent="0.25">
      <c r="A995" s="20"/>
      <c r="B995" s="20"/>
      <c r="C995" s="20"/>
      <c r="D995" s="21"/>
      <c r="E995" s="21"/>
      <c r="F995" s="22"/>
      <c r="G995" s="22"/>
      <c r="H995" s="36">
        <f>(O995*0.25)</f>
        <v>550</v>
      </c>
      <c r="I995" s="40">
        <v>3100</v>
      </c>
      <c r="J995" s="28">
        <f>(H995*I995)</f>
        <v>1705000</v>
      </c>
      <c r="K995" s="37">
        <v>2</v>
      </c>
      <c r="L995" s="31" t="s">
        <v>15</v>
      </c>
      <c r="M995" s="31" t="s">
        <v>13</v>
      </c>
      <c r="N995" s="41"/>
      <c r="O995" s="45">
        <v>2200</v>
      </c>
      <c r="P995" s="35">
        <v>100</v>
      </c>
      <c r="Q995" s="40">
        <v>5950</v>
      </c>
      <c r="R995" s="36">
        <f>(O995*Q995)</f>
        <v>13090000</v>
      </c>
      <c r="S995" s="37">
        <v>25</v>
      </c>
      <c r="T995" s="28">
        <f>(R995*40/100)</f>
        <v>5236000</v>
      </c>
      <c r="U995" s="36">
        <f>(R995-T995)</f>
        <v>7854000</v>
      </c>
      <c r="V995" s="36">
        <f>(J995+U995)</f>
        <v>9559000</v>
      </c>
      <c r="W995" s="36">
        <f>(V995*100/100)</f>
        <v>9559000</v>
      </c>
      <c r="X995" s="28">
        <v>0</v>
      </c>
      <c r="Y995" s="28">
        <f>(W995-X995)</f>
        <v>9559000</v>
      </c>
      <c r="Z995" s="49">
        <v>3.0000000000000001E-3</v>
      </c>
    </row>
    <row r="996" spans="1:26" s="29" customFormat="1" ht="90.75" customHeight="1" x14ac:dyDescent="0.25">
      <c r="A996" s="20"/>
      <c r="B996" s="20"/>
      <c r="C996" s="20"/>
      <c r="D996" s="21"/>
      <c r="E996" s="21"/>
      <c r="F996" s="22"/>
      <c r="G996" s="22"/>
      <c r="H996" s="36">
        <f>(O996*0.25)</f>
        <v>610</v>
      </c>
      <c r="I996" s="40">
        <v>3100</v>
      </c>
      <c r="J996" s="28">
        <f>(H996*I996)</f>
        <v>1891000</v>
      </c>
      <c r="K996" s="37">
        <v>3</v>
      </c>
      <c r="L996" s="31" t="s">
        <v>48</v>
      </c>
      <c r="M996" s="31" t="s">
        <v>24</v>
      </c>
      <c r="N996" s="41"/>
      <c r="O996" s="45">
        <v>2440</v>
      </c>
      <c r="P996" s="35">
        <v>100</v>
      </c>
      <c r="Q996" s="40">
        <v>3500</v>
      </c>
      <c r="R996" s="36">
        <f>(O996*Q996)</f>
        <v>8540000</v>
      </c>
      <c r="S996" s="37">
        <v>25</v>
      </c>
      <c r="T996" s="28">
        <f>(R996*40/100)</f>
        <v>3416000</v>
      </c>
      <c r="U996" s="36">
        <f>(R996-T996)</f>
        <v>5124000</v>
      </c>
      <c r="V996" s="36">
        <f>(J996+U996)</f>
        <v>7015000</v>
      </c>
      <c r="W996" s="36"/>
      <c r="X996" s="28"/>
      <c r="Y996" s="28"/>
      <c r="Z996" s="20"/>
    </row>
    <row r="997" spans="1:26" s="29" customFormat="1" ht="90.75" customHeight="1" x14ac:dyDescent="0.25">
      <c r="A997" s="20"/>
      <c r="B997" s="20"/>
      <c r="C997" s="20"/>
      <c r="D997" s="21"/>
      <c r="E997" s="21"/>
      <c r="F997" s="22"/>
      <c r="G997" s="22"/>
      <c r="H997" s="36"/>
      <c r="I997" s="40">
        <v>3100</v>
      </c>
      <c r="J997" s="28"/>
      <c r="K997" s="37"/>
      <c r="L997" s="31" t="s">
        <v>59</v>
      </c>
      <c r="M997" s="31"/>
      <c r="N997" s="41"/>
      <c r="O997" s="45">
        <v>240</v>
      </c>
      <c r="P997" s="46">
        <v>9.84</v>
      </c>
      <c r="Q997" s="44"/>
      <c r="R997" s="36"/>
      <c r="S997" s="37"/>
      <c r="T997" s="28"/>
      <c r="U997" s="36"/>
      <c r="V997" s="36"/>
      <c r="W997" s="36">
        <f>(V996*P997/100)</f>
        <v>690276</v>
      </c>
      <c r="X997" s="28">
        <v>0</v>
      </c>
      <c r="Y997" s="28">
        <f t="shared" ref="Y997:Y1002" si="141">(W997-X997)</f>
        <v>690276</v>
      </c>
      <c r="Z997" s="49">
        <v>3.0000000000000001E-3</v>
      </c>
    </row>
    <row r="998" spans="1:26" s="29" customFormat="1" ht="90.75" customHeight="1" x14ac:dyDescent="0.25">
      <c r="A998" s="20"/>
      <c r="B998" s="20"/>
      <c r="C998" s="20"/>
      <c r="D998" s="21"/>
      <c r="E998" s="21"/>
      <c r="F998" s="22"/>
      <c r="G998" s="22"/>
      <c r="H998" s="36"/>
      <c r="I998" s="40">
        <v>3100</v>
      </c>
      <c r="J998" s="28"/>
      <c r="K998" s="37"/>
      <c r="L998" s="31" t="s">
        <v>60</v>
      </c>
      <c r="M998" s="31"/>
      <c r="N998" s="41"/>
      <c r="O998" s="45">
        <v>2200</v>
      </c>
      <c r="P998" s="46">
        <v>90.16</v>
      </c>
      <c r="Q998" s="44"/>
      <c r="R998" s="36"/>
      <c r="S998" s="37"/>
      <c r="T998" s="28"/>
      <c r="U998" s="36"/>
      <c r="V998" s="36"/>
      <c r="W998" s="36">
        <f>(V996*P998/100)</f>
        <v>6324724</v>
      </c>
      <c r="X998" s="28">
        <v>0</v>
      </c>
      <c r="Y998" s="28">
        <f t="shared" si="141"/>
        <v>6324724</v>
      </c>
      <c r="Z998" s="49">
        <v>3.0000000000000001E-3</v>
      </c>
    </row>
    <row r="999" spans="1:26" s="29" customFormat="1" ht="90.75" customHeight="1" x14ac:dyDescent="0.25">
      <c r="A999" s="20"/>
      <c r="B999" s="20"/>
      <c r="C999" s="20"/>
      <c r="D999" s="21"/>
      <c r="E999" s="21"/>
      <c r="F999" s="22"/>
      <c r="G999" s="22"/>
      <c r="H999" s="36">
        <f>(O999*0.25)</f>
        <v>200</v>
      </c>
      <c r="I999" s="40">
        <v>3100</v>
      </c>
      <c r="J999" s="28">
        <f t="shared" ref="J999:J1004" si="142">(H999*I999)</f>
        <v>620000</v>
      </c>
      <c r="K999" s="37">
        <v>4</v>
      </c>
      <c r="L999" s="31" t="s">
        <v>48</v>
      </c>
      <c r="M999" s="31" t="s">
        <v>13</v>
      </c>
      <c r="N999" s="41"/>
      <c r="O999" s="45">
        <v>800</v>
      </c>
      <c r="P999" s="35">
        <v>100</v>
      </c>
      <c r="Q999" s="40">
        <v>3500</v>
      </c>
      <c r="R999" s="36">
        <f>(O999*Q999)</f>
        <v>2800000</v>
      </c>
      <c r="S999" s="37">
        <v>25</v>
      </c>
      <c r="T999" s="28">
        <f>(R999*40/100)</f>
        <v>1120000</v>
      </c>
      <c r="U999" s="36">
        <f>(R999-T999)</f>
        <v>1680000</v>
      </c>
      <c r="V999" s="36">
        <f>(J999+U999)</f>
        <v>2300000</v>
      </c>
      <c r="W999" s="36">
        <f>(V999*100/100)</f>
        <v>2300000</v>
      </c>
      <c r="X999" s="28">
        <v>0</v>
      </c>
      <c r="Y999" s="28">
        <f t="shared" si="141"/>
        <v>2300000</v>
      </c>
      <c r="Z999" s="49">
        <v>3.0000000000000001E-3</v>
      </c>
    </row>
    <row r="1000" spans="1:26" s="29" customFormat="1" ht="90.75" customHeight="1" x14ac:dyDescent="0.25">
      <c r="A1000" s="20"/>
      <c r="B1000" s="20"/>
      <c r="C1000" s="20"/>
      <c r="D1000" s="21"/>
      <c r="E1000" s="21"/>
      <c r="F1000" s="22"/>
      <c r="G1000" s="22"/>
      <c r="H1000" s="36">
        <f>(O1000*0.25)</f>
        <v>15</v>
      </c>
      <c r="I1000" s="40">
        <v>3100</v>
      </c>
      <c r="J1000" s="28">
        <f t="shared" si="142"/>
        <v>46500</v>
      </c>
      <c r="K1000" s="37">
        <v>5</v>
      </c>
      <c r="L1000" s="31" t="s">
        <v>17</v>
      </c>
      <c r="M1000" s="31" t="s">
        <v>13</v>
      </c>
      <c r="N1000" s="41"/>
      <c r="O1000" s="45">
        <v>60</v>
      </c>
      <c r="P1000" s="35">
        <v>100</v>
      </c>
      <c r="Q1000" s="40">
        <v>5900</v>
      </c>
      <c r="R1000" s="36">
        <f>(O1000*Q1000)</f>
        <v>354000</v>
      </c>
      <c r="S1000" s="37">
        <v>25</v>
      </c>
      <c r="T1000" s="28">
        <f>(R1000*40/100)</f>
        <v>141600</v>
      </c>
      <c r="U1000" s="36">
        <f>(R1000-T1000)</f>
        <v>212400</v>
      </c>
      <c r="V1000" s="36">
        <f>(J1000+U1000)</f>
        <v>258900</v>
      </c>
      <c r="W1000" s="36">
        <f>(V1000*100/100)</f>
        <v>258900</v>
      </c>
      <c r="X1000" s="28">
        <v>0</v>
      </c>
      <c r="Y1000" s="28">
        <f t="shared" si="141"/>
        <v>258900</v>
      </c>
      <c r="Z1000" s="49">
        <v>3.0000000000000001E-3</v>
      </c>
    </row>
    <row r="1001" spans="1:26" s="29" customFormat="1" ht="90.75" customHeight="1" x14ac:dyDescent="0.25">
      <c r="A1001" s="20"/>
      <c r="B1001" s="20"/>
      <c r="C1001" s="20"/>
      <c r="D1001" s="21"/>
      <c r="E1001" s="21"/>
      <c r="F1001" s="22"/>
      <c r="G1001" s="22"/>
      <c r="H1001" s="36">
        <f>(O1001*0.25)</f>
        <v>1.5625</v>
      </c>
      <c r="I1001" s="40">
        <v>3100</v>
      </c>
      <c r="J1001" s="28">
        <f t="shared" si="142"/>
        <v>4843.75</v>
      </c>
      <c r="K1001" s="37">
        <v>6</v>
      </c>
      <c r="L1001" s="31" t="s">
        <v>215</v>
      </c>
      <c r="M1001" s="31" t="s">
        <v>13</v>
      </c>
      <c r="N1001" s="41"/>
      <c r="O1001" s="45">
        <v>6.25</v>
      </c>
      <c r="P1001" s="35">
        <v>100</v>
      </c>
      <c r="Q1001" s="40">
        <v>6450</v>
      </c>
      <c r="R1001" s="36">
        <f>(O1001*Q1001)</f>
        <v>40312.5</v>
      </c>
      <c r="S1001" s="37">
        <v>25</v>
      </c>
      <c r="T1001" s="28">
        <f>(R1001*40/100)</f>
        <v>16125</v>
      </c>
      <c r="U1001" s="36">
        <f>(R1001-T1001)</f>
        <v>24187.5</v>
      </c>
      <c r="V1001" s="36">
        <f>(J1001+U1001)</f>
        <v>29031.25</v>
      </c>
      <c r="W1001" s="36">
        <f>(V1001*100/100)</f>
        <v>29031.25</v>
      </c>
      <c r="X1001" s="28">
        <v>0</v>
      </c>
      <c r="Y1001" s="28">
        <f t="shared" si="141"/>
        <v>29031.25</v>
      </c>
      <c r="Z1001" s="49">
        <v>3.0000000000000001E-3</v>
      </c>
    </row>
    <row r="1002" spans="1:26" s="29" customFormat="1" ht="90.75" customHeight="1" x14ac:dyDescent="0.25">
      <c r="A1002" s="20"/>
      <c r="B1002" s="20"/>
      <c r="C1002" s="20"/>
      <c r="D1002" s="21"/>
      <c r="E1002" s="21"/>
      <c r="F1002" s="22"/>
      <c r="G1002" s="22"/>
      <c r="H1002" s="36">
        <f>(O1002*0.25)</f>
        <v>27.5</v>
      </c>
      <c r="I1002" s="40">
        <v>3100</v>
      </c>
      <c r="J1002" s="28">
        <f t="shared" si="142"/>
        <v>85250</v>
      </c>
      <c r="K1002" s="37">
        <v>7</v>
      </c>
      <c r="L1002" s="31" t="s">
        <v>31</v>
      </c>
      <c r="M1002" s="31"/>
      <c r="N1002" s="41"/>
      <c r="O1002" s="45">
        <v>110</v>
      </c>
      <c r="P1002" s="35">
        <v>100</v>
      </c>
      <c r="Q1002" s="40">
        <v>2550</v>
      </c>
      <c r="R1002" s="36">
        <f>(O1002*Q1002)</f>
        <v>280500</v>
      </c>
      <c r="S1002" s="37">
        <v>25</v>
      </c>
      <c r="T1002" s="28">
        <f>(R1002*40/100)</f>
        <v>112200</v>
      </c>
      <c r="U1002" s="36">
        <f>(R1002-T1002)</f>
        <v>168300</v>
      </c>
      <c r="V1002" s="36">
        <f>(J1002+U1002)</f>
        <v>253550</v>
      </c>
      <c r="W1002" s="36">
        <f>(V1002*100/100)</f>
        <v>253550</v>
      </c>
      <c r="X1002" s="28">
        <v>0</v>
      </c>
      <c r="Y1002" s="28">
        <f t="shared" si="141"/>
        <v>253550</v>
      </c>
      <c r="Z1002" s="49">
        <v>3.0000000000000001E-3</v>
      </c>
    </row>
    <row r="1003" spans="1:26" s="29" customFormat="1" ht="90.75" customHeight="1" x14ac:dyDescent="0.25">
      <c r="A1003" s="20">
        <v>770</v>
      </c>
      <c r="B1003" s="20" t="s">
        <v>0</v>
      </c>
      <c r="C1003" s="20">
        <v>11771</v>
      </c>
      <c r="D1003" s="21">
        <v>33</v>
      </c>
      <c r="E1003" s="21">
        <v>3</v>
      </c>
      <c r="F1003" s="22">
        <v>66</v>
      </c>
      <c r="G1003" s="21" t="s">
        <v>209</v>
      </c>
      <c r="H1003" s="24">
        <f>(D1003*400)+(E1003*100)+F1003</f>
        <v>13566</v>
      </c>
      <c r="I1003" s="25">
        <v>625</v>
      </c>
      <c r="J1003" s="24">
        <f t="shared" si="142"/>
        <v>8478750</v>
      </c>
      <c r="K1003" s="20"/>
      <c r="L1003" s="20"/>
      <c r="M1003" s="20"/>
      <c r="N1003" s="20"/>
      <c r="O1003" s="24"/>
      <c r="P1003" s="24"/>
      <c r="Q1003" s="25"/>
      <c r="R1003" s="24"/>
      <c r="S1003" s="20" t="s">
        <v>2</v>
      </c>
      <c r="T1003" s="27"/>
      <c r="U1003" s="20"/>
      <c r="V1003" s="20"/>
      <c r="W1003" s="26"/>
      <c r="X1003" s="27"/>
      <c r="Y1003" s="20"/>
      <c r="Z1003" s="20"/>
    </row>
    <row r="1004" spans="1:26" s="29" customFormat="1" ht="90.75" customHeight="1" x14ac:dyDescent="0.25">
      <c r="A1004" s="20"/>
      <c r="B1004" s="20"/>
      <c r="C1004" s="20"/>
      <c r="D1004" s="21"/>
      <c r="E1004" s="21"/>
      <c r="F1004" s="22"/>
      <c r="G1004" s="22"/>
      <c r="H1004" s="36">
        <v>40</v>
      </c>
      <c r="I1004" s="40">
        <v>625</v>
      </c>
      <c r="J1004" s="28">
        <f t="shared" si="142"/>
        <v>25000</v>
      </c>
      <c r="K1004" s="37">
        <v>1</v>
      </c>
      <c r="L1004" s="31" t="s">
        <v>27</v>
      </c>
      <c r="M1004" s="31" t="s">
        <v>24</v>
      </c>
      <c r="N1004" s="41">
        <v>3</v>
      </c>
      <c r="O1004" s="45">
        <v>320</v>
      </c>
      <c r="P1004" s="35">
        <v>100</v>
      </c>
      <c r="Q1004" s="40">
        <v>7100</v>
      </c>
      <c r="R1004" s="36">
        <f>(O1004*Q1004)</f>
        <v>2272000</v>
      </c>
      <c r="S1004" s="37">
        <v>25</v>
      </c>
      <c r="T1004" s="28">
        <f>(R1004*40/100)</f>
        <v>908800</v>
      </c>
      <c r="U1004" s="36">
        <f>(R1004-T1004)</f>
        <v>1363200</v>
      </c>
      <c r="V1004" s="36">
        <f>(J1004+U1004)</f>
        <v>1388200</v>
      </c>
      <c r="W1004" s="36">
        <f>(V1004*100/100)</f>
        <v>1388200</v>
      </c>
      <c r="X1004" s="28"/>
      <c r="Y1004" s="28"/>
      <c r="Z1004" s="20"/>
    </row>
    <row r="1005" spans="1:26" s="29" customFormat="1" ht="90.75" customHeight="1" x14ac:dyDescent="0.25">
      <c r="A1005" s="20"/>
      <c r="B1005" s="20"/>
      <c r="C1005" s="20"/>
      <c r="D1005" s="21"/>
      <c r="E1005" s="21"/>
      <c r="F1005" s="22"/>
      <c r="G1005" s="22"/>
      <c r="H1005" s="36"/>
      <c r="I1005" s="40"/>
      <c r="J1005" s="28"/>
      <c r="K1005" s="37"/>
      <c r="L1005" s="31" t="s">
        <v>59</v>
      </c>
      <c r="M1005" s="31"/>
      <c r="N1005" s="41">
        <v>3</v>
      </c>
      <c r="O1005" s="45">
        <v>160</v>
      </c>
      <c r="P1005" s="35">
        <v>50</v>
      </c>
      <c r="Q1005" s="40"/>
      <c r="R1005" s="36"/>
      <c r="S1005" s="37"/>
      <c r="T1005" s="28"/>
      <c r="U1005" s="36"/>
      <c r="V1005" s="36"/>
      <c r="W1005" s="36">
        <f>(W1004*50/100)</f>
        <v>694100</v>
      </c>
      <c r="X1005" s="28">
        <v>0</v>
      </c>
      <c r="Y1005" s="28">
        <f>(W1005-X1005)</f>
        <v>694100</v>
      </c>
      <c r="Z1005" s="49">
        <v>3.0000000000000001E-3</v>
      </c>
    </row>
    <row r="1006" spans="1:26" s="29" customFormat="1" ht="90.75" customHeight="1" x14ac:dyDescent="0.25">
      <c r="A1006" s="20"/>
      <c r="B1006" s="20"/>
      <c r="C1006" s="20"/>
      <c r="D1006" s="21"/>
      <c r="E1006" s="21"/>
      <c r="F1006" s="22"/>
      <c r="G1006" s="22"/>
      <c r="H1006" s="36"/>
      <c r="I1006" s="40"/>
      <c r="J1006" s="28"/>
      <c r="K1006" s="37"/>
      <c r="L1006" s="31" t="s">
        <v>60</v>
      </c>
      <c r="M1006" s="31"/>
      <c r="N1006" s="41">
        <v>3</v>
      </c>
      <c r="O1006" s="45">
        <v>160</v>
      </c>
      <c r="P1006" s="35">
        <v>50</v>
      </c>
      <c r="Q1006" s="40"/>
      <c r="R1006" s="36"/>
      <c r="S1006" s="37"/>
      <c r="T1006" s="28"/>
      <c r="U1006" s="36"/>
      <c r="V1006" s="36"/>
      <c r="W1006" s="36">
        <f>(W1004*50/100)</f>
        <v>694100</v>
      </c>
      <c r="X1006" s="28">
        <v>0</v>
      </c>
      <c r="Y1006" s="28">
        <f>(W1006-X1006)</f>
        <v>694100</v>
      </c>
      <c r="Z1006" s="49">
        <v>3.0000000000000001E-3</v>
      </c>
    </row>
    <row r="1007" spans="1:26" s="29" customFormat="1" ht="90.75" customHeight="1" x14ac:dyDescent="0.25">
      <c r="A1007" s="20"/>
      <c r="B1007" s="20"/>
      <c r="C1007" s="20"/>
      <c r="D1007" s="21"/>
      <c r="E1007" s="21"/>
      <c r="F1007" s="22"/>
      <c r="G1007" s="22"/>
      <c r="H1007" s="36">
        <f>(O1007*0.25)</f>
        <v>80</v>
      </c>
      <c r="I1007" s="40">
        <v>625</v>
      </c>
      <c r="J1007" s="28">
        <f>(H1007*I1007)</f>
        <v>50000</v>
      </c>
      <c r="K1007" s="37">
        <v>2</v>
      </c>
      <c r="L1007" s="31" t="s">
        <v>15</v>
      </c>
      <c r="M1007" s="31"/>
      <c r="N1007" s="41">
        <v>3</v>
      </c>
      <c r="O1007" s="45">
        <v>320</v>
      </c>
      <c r="P1007" s="35">
        <v>100</v>
      </c>
      <c r="Q1007" s="40">
        <v>5950</v>
      </c>
      <c r="R1007" s="36">
        <f>(O1007*Q1007)</f>
        <v>1904000</v>
      </c>
      <c r="S1007" s="37">
        <v>25</v>
      </c>
      <c r="T1007" s="28">
        <f>(R1007*40/100)</f>
        <v>761600</v>
      </c>
      <c r="U1007" s="36">
        <f>(R1007-T1007)</f>
        <v>1142400</v>
      </c>
      <c r="V1007" s="36">
        <f>(J1007+U1007)</f>
        <v>1192400</v>
      </c>
      <c r="W1007" s="36">
        <f>(V1007*100/100)</f>
        <v>1192400</v>
      </c>
      <c r="X1007" s="28">
        <v>0</v>
      </c>
      <c r="Y1007" s="28">
        <f>(W1007-X1007)</f>
        <v>1192400</v>
      </c>
      <c r="Z1007" s="49">
        <v>3.0000000000000001E-3</v>
      </c>
    </row>
    <row r="1008" spans="1:26" s="29" customFormat="1" ht="90.75" customHeight="1" x14ac:dyDescent="0.25">
      <c r="A1008" s="20"/>
      <c r="B1008" s="20"/>
      <c r="C1008" s="20"/>
      <c r="D1008" s="21"/>
      <c r="E1008" s="21"/>
      <c r="F1008" s="22"/>
      <c r="G1008" s="22"/>
      <c r="H1008" s="36">
        <f>(O1008*0.25)</f>
        <v>80</v>
      </c>
      <c r="I1008" s="40">
        <v>625</v>
      </c>
      <c r="J1008" s="28">
        <f>(H1008*I1008)</f>
        <v>50000</v>
      </c>
      <c r="K1008" s="37">
        <v>3</v>
      </c>
      <c r="L1008" s="31" t="s">
        <v>48</v>
      </c>
      <c r="M1008" s="31"/>
      <c r="N1008" s="41">
        <v>3</v>
      </c>
      <c r="O1008" s="45">
        <v>320</v>
      </c>
      <c r="P1008" s="35">
        <v>100</v>
      </c>
      <c r="Q1008" s="40">
        <v>3500</v>
      </c>
      <c r="R1008" s="36">
        <f>(O1008*Q1008)</f>
        <v>1120000</v>
      </c>
      <c r="S1008" s="37">
        <v>25</v>
      </c>
      <c r="T1008" s="28">
        <f>(R1008*40/100)</f>
        <v>448000</v>
      </c>
      <c r="U1008" s="36">
        <f>(J1008+T1008)</f>
        <v>498000</v>
      </c>
      <c r="V1008" s="36">
        <f>(J1008+U1008)</f>
        <v>548000</v>
      </c>
      <c r="W1008" s="36">
        <f>(V1008*100/100)</f>
        <v>548000</v>
      </c>
      <c r="X1008" s="28">
        <v>0</v>
      </c>
      <c r="Y1008" s="28">
        <f>(W1008-X1008)</f>
        <v>548000</v>
      </c>
      <c r="Z1008" s="49">
        <v>3.0000000000000001E-3</v>
      </c>
    </row>
    <row r="1009" spans="1:26" s="29" customFormat="1" ht="90.75" customHeight="1" x14ac:dyDescent="0.25">
      <c r="A1009" s="20"/>
      <c r="B1009" s="20"/>
      <c r="C1009" s="20"/>
      <c r="D1009" s="21"/>
      <c r="E1009" s="21"/>
      <c r="F1009" s="22"/>
      <c r="G1009" s="22"/>
      <c r="H1009" s="36">
        <v>200</v>
      </c>
      <c r="I1009" s="40">
        <v>625</v>
      </c>
      <c r="J1009" s="28">
        <f>(H1009*I1009)</f>
        <v>125000</v>
      </c>
      <c r="K1009" s="37">
        <v>4</v>
      </c>
      <c r="L1009" s="31" t="s">
        <v>15</v>
      </c>
      <c r="M1009" s="31" t="s">
        <v>24</v>
      </c>
      <c r="N1009" s="41">
        <v>3</v>
      </c>
      <c r="O1009" s="45">
        <v>1600</v>
      </c>
      <c r="P1009" s="35">
        <v>100</v>
      </c>
      <c r="Q1009" s="40">
        <v>5950</v>
      </c>
      <c r="R1009" s="36">
        <f>(O1009*Q1009)</f>
        <v>9520000</v>
      </c>
      <c r="S1009" s="37">
        <v>25</v>
      </c>
      <c r="T1009" s="28">
        <f>(R1009*40/100)</f>
        <v>3808000</v>
      </c>
      <c r="U1009" s="36">
        <f>(R1009-T1009)</f>
        <v>5712000</v>
      </c>
      <c r="V1009" s="36">
        <f>(J1009+U1009)</f>
        <v>5837000</v>
      </c>
      <c r="W1009" s="36">
        <f>(V1009*100/100)</f>
        <v>5837000</v>
      </c>
      <c r="X1009" s="28"/>
      <c r="Y1009" s="28"/>
      <c r="Z1009" s="49"/>
    </row>
    <row r="1010" spans="1:26" s="29" customFormat="1" ht="90.75" customHeight="1" x14ac:dyDescent="0.25">
      <c r="A1010" s="20"/>
      <c r="B1010" s="20"/>
      <c r="C1010" s="20"/>
      <c r="D1010" s="21"/>
      <c r="E1010" s="21"/>
      <c r="F1010" s="22"/>
      <c r="G1010" s="22"/>
      <c r="H1010" s="36"/>
      <c r="I1010" s="40"/>
      <c r="J1010" s="28"/>
      <c r="K1010" s="37"/>
      <c r="L1010" s="31" t="s">
        <v>59</v>
      </c>
      <c r="M1010" s="31"/>
      <c r="N1010" s="41">
        <v>3</v>
      </c>
      <c r="O1010" s="45">
        <v>800</v>
      </c>
      <c r="P1010" s="35">
        <v>50</v>
      </c>
      <c r="Q1010" s="40"/>
      <c r="R1010" s="36"/>
      <c r="S1010" s="37"/>
      <c r="T1010" s="28"/>
      <c r="U1010" s="36"/>
      <c r="V1010" s="36"/>
      <c r="W1010" s="36">
        <f>(W1009*50/100)</f>
        <v>2918500</v>
      </c>
      <c r="X1010" s="28">
        <v>0</v>
      </c>
      <c r="Y1010" s="28">
        <f t="shared" ref="Y1010:Y1015" si="143">(W1010-X1010)</f>
        <v>2918500</v>
      </c>
      <c r="Z1010" s="49">
        <v>3.0000000000000001E-3</v>
      </c>
    </row>
    <row r="1011" spans="1:26" s="29" customFormat="1" ht="90.75" customHeight="1" x14ac:dyDescent="0.25">
      <c r="A1011" s="20"/>
      <c r="B1011" s="20"/>
      <c r="C1011" s="20"/>
      <c r="D1011" s="21"/>
      <c r="E1011" s="21"/>
      <c r="F1011" s="22"/>
      <c r="G1011" s="22"/>
      <c r="H1011" s="36"/>
      <c r="I1011" s="40"/>
      <c r="J1011" s="28"/>
      <c r="K1011" s="37"/>
      <c r="L1011" s="31" t="s">
        <v>60</v>
      </c>
      <c r="M1011" s="31"/>
      <c r="N1011" s="41">
        <v>3</v>
      </c>
      <c r="O1011" s="45">
        <v>800</v>
      </c>
      <c r="P1011" s="35">
        <v>50</v>
      </c>
      <c r="Q1011" s="40"/>
      <c r="R1011" s="36"/>
      <c r="S1011" s="37"/>
      <c r="T1011" s="28"/>
      <c r="U1011" s="36"/>
      <c r="V1011" s="36"/>
      <c r="W1011" s="36">
        <f>(W1009*50/100)</f>
        <v>2918500</v>
      </c>
      <c r="X1011" s="28">
        <v>0</v>
      </c>
      <c r="Y1011" s="28">
        <f t="shared" si="143"/>
        <v>2918500</v>
      </c>
      <c r="Z1011" s="49">
        <v>3.0000000000000001E-3</v>
      </c>
    </row>
    <row r="1012" spans="1:26" s="29" customFormat="1" ht="90.75" customHeight="1" x14ac:dyDescent="0.25">
      <c r="A1012" s="20"/>
      <c r="B1012" s="20"/>
      <c r="C1012" s="20"/>
      <c r="D1012" s="21"/>
      <c r="E1012" s="21"/>
      <c r="F1012" s="22"/>
      <c r="G1012" s="22"/>
      <c r="H1012" s="36">
        <f>(O1012*0.25)</f>
        <v>200</v>
      </c>
      <c r="I1012" s="40">
        <v>625</v>
      </c>
      <c r="J1012" s="28">
        <f t="shared" ref="J1012:J1017" si="144">(H1012*I1012)</f>
        <v>125000</v>
      </c>
      <c r="K1012" s="37">
        <v>5</v>
      </c>
      <c r="L1012" s="31" t="s">
        <v>15</v>
      </c>
      <c r="M1012" s="31"/>
      <c r="N1012" s="41">
        <v>3</v>
      </c>
      <c r="O1012" s="45">
        <v>800</v>
      </c>
      <c r="P1012" s="35">
        <v>100</v>
      </c>
      <c r="Q1012" s="40">
        <v>5950</v>
      </c>
      <c r="R1012" s="36">
        <f>(O1012*Q1012)</f>
        <v>4760000</v>
      </c>
      <c r="S1012" s="37">
        <v>25</v>
      </c>
      <c r="T1012" s="28">
        <f>(R1012*40/100)</f>
        <v>1904000</v>
      </c>
      <c r="U1012" s="36">
        <f>(R1012-T1012)</f>
        <v>2856000</v>
      </c>
      <c r="V1012" s="36">
        <f>(J1012+U1012)</f>
        <v>2981000</v>
      </c>
      <c r="W1012" s="36">
        <f>(V1012*100/100)</f>
        <v>2981000</v>
      </c>
      <c r="X1012" s="28">
        <v>0</v>
      </c>
      <c r="Y1012" s="28">
        <f t="shared" si="143"/>
        <v>2981000</v>
      </c>
      <c r="Z1012" s="49">
        <v>3.0000000000000001E-3</v>
      </c>
    </row>
    <row r="1013" spans="1:26" s="29" customFormat="1" ht="90.75" customHeight="1" x14ac:dyDescent="0.25">
      <c r="A1013" s="20"/>
      <c r="B1013" s="20"/>
      <c r="C1013" s="20"/>
      <c r="D1013" s="21"/>
      <c r="E1013" s="21"/>
      <c r="F1013" s="22"/>
      <c r="G1013" s="22"/>
      <c r="H1013" s="36">
        <f>(O1013*0.25)</f>
        <v>110</v>
      </c>
      <c r="I1013" s="40">
        <v>625</v>
      </c>
      <c r="J1013" s="28">
        <f t="shared" si="144"/>
        <v>68750</v>
      </c>
      <c r="K1013" s="37">
        <v>6</v>
      </c>
      <c r="L1013" s="31" t="s">
        <v>15</v>
      </c>
      <c r="M1013" s="31"/>
      <c r="N1013" s="41">
        <v>3</v>
      </c>
      <c r="O1013" s="45">
        <v>440</v>
      </c>
      <c r="P1013" s="35">
        <v>100</v>
      </c>
      <c r="Q1013" s="40">
        <v>5950</v>
      </c>
      <c r="R1013" s="36">
        <f>(O1013*Q1013)</f>
        <v>2618000</v>
      </c>
      <c r="S1013" s="37">
        <v>25</v>
      </c>
      <c r="T1013" s="28">
        <f>(R1013*40/100)</f>
        <v>1047200</v>
      </c>
      <c r="U1013" s="36">
        <f>(R1013-T1013)</f>
        <v>1570800</v>
      </c>
      <c r="V1013" s="36">
        <f>(J1013+U1013)</f>
        <v>1639550</v>
      </c>
      <c r="W1013" s="36">
        <f>(V1013*100/100)</f>
        <v>1639550</v>
      </c>
      <c r="X1013" s="28">
        <v>0</v>
      </c>
      <c r="Y1013" s="28">
        <f t="shared" si="143"/>
        <v>1639550</v>
      </c>
      <c r="Z1013" s="49">
        <v>3.0000000000000001E-3</v>
      </c>
    </row>
    <row r="1014" spans="1:26" s="29" customFormat="1" ht="90.75" customHeight="1" x14ac:dyDescent="0.25">
      <c r="A1014" s="20"/>
      <c r="B1014" s="20"/>
      <c r="C1014" s="20"/>
      <c r="D1014" s="21"/>
      <c r="E1014" s="21"/>
      <c r="F1014" s="22"/>
      <c r="G1014" s="22"/>
      <c r="H1014" s="36">
        <f>(O1014*0.25)</f>
        <v>37.5</v>
      </c>
      <c r="I1014" s="40">
        <v>625</v>
      </c>
      <c r="J1014" s="28">
        <f t="shared" si="144"/>
        <v>23437.5</v>
      </c>
      <c r="K1014" s="37">
        <v>7</v>
      </c>
      <c r="L1014" s="31" t="s">
        <v>31</v>
      </c>
      <c r="M1014" s="31"/>
      <c r="N1014" s="41">
        <v>3</v>
      </c>
      <c r="O1014" s="45">
        <v>150</v>
      </c>
      <c r="P1014" s="35">
        <v>100</v>
      </c>
      <c r="Q1014" s="40">
        <v>2550</v>
      </c>
      <c r="R1014" s="36">
        <f>(O1014*Q1014)</f>
        <v>382500</v>
      </c>
      <c r="S1014" s="37">
        <v>25</v>
      </c>
      <c r="T1014" s="28">
        <f>(R1014*40/100)</f>
        <v>153000</v>
      </c>
      <c r="U1014" s="36">
        <f>(R1014-T1014)</f>
        <v>229500</v>
      </c>
      <c r="V1014" s="36">
        <f>(J1014+U1014)</f>
        <v>252937.5</v>
      </c>
      <c r="W1014" s="36">
        <f>(V1014*100/100)</f>
        <v>252937.5</v>
      </c>
      <c r="X1014" s="28">
        <v>0</v>
      </c>
      <c r="Y1014" s="28">
        <f t="shared" si="143"/>
        <v>252937.5</v>
      </c>
      <c r="Z1014" s="49">
        <v>3.0000000000000001E-3</v>
      </c>
    </row>
    <row r="1015" spans="1:26" s="29" customFormat="1" ht="90.75" customHeight="1" x14ac:dyDescent="0.25">
      <c r="A1015" s="20"/>
      <c r="B1015" s="20"/>
      <c r="C1015" s="20"/>
      <c r="D1015" s="21"/>
      <c r="E1015" s="21"/>
      <c r="F1015" s="22"/>
      <c r="G1015" s="22"/>
      <c r="H1015" s="36">
        <f>(O1015*0.25)</f>
        <v>18.75</v>
      </c>
      <c r="I1015" s="40">
        <v>625</v>
      </c>
      <c r="J1015" s="28">
        <f t="shared" si="144"/>
        <v>11718.75</v>
      </c>
      <c r="K1015" s="37">
        <v>8</v>
      </c>
      <c r="L1015" s="31" t="s">
        <v>31</v>
      </c>
      <c r="M1015" s="31"/>
      <c r="N1015" s="41">
        <v>3</v>
      </c>
      <c r="O1015" s="45">
        <v>75</v>
      </c>
      <c r="P1015" s="35">
        <v>100</v>
      </c>
      <c r="Q1015" s="40">
        <v>2550</v>
      </c>
      <c r="R1015" s="36">
        <f>(O1015*Q1015)</f>
        <v>191250</v>
      </c>
      <c r="S1015" s="37">
        <v>25</v>
      </c>
      <c r="T1015" s="28">
        <f>(R1015*40/100)</f>
        <v>76500</v>
      </c>
      <c r="U1015" s="36">
        <f>(R1015-T1015)</f>
        <v>114750</v>
      </c>
      <c r="V1015" s="36">
        <f>(J1015+U1015)</f>
        <v>126468.75</v>
      </c>
      <c r="W1015" s="36">
        <f>(V1015*100/100)</f>
        <v>126468.75</v>
      </c>
      <c r="X1015" s="28">
        <v>0</v>
      </c>
      <c r="Y1015" s="28">
        <f t="shared" si="143"/>
        <v>126468.75</v>
      </c>
      <c r="Z1015" s="49">
        <v>3.0000000000000001E-3</v>
      </c>
    </row>
    <row r="1016" spans="1:26" s="29" customFormat="1" ht="90.75" customHeight="1" x14ac:dyDescent="0.25">
      <c r="A1016" s="20">
        <v>771</v>
      </c>
      <c r="B1016" s="20" t="s">
        <v>0</v>
      </c>
      <c r="C1016" s="20">
        <v>11772</v>
      </c>
      <c r="D1016" s="21">
        <v>39</v>
      </c>
      <c r="E1016" s="21">
        <v>0</v>
      </c>
      <c r="F1016" s="22">
        <v>95</v>
      </c>
      <c r="G1016" s="21" t="s">
        <v>209</v>
      </c>
      <c r="H1016" s="24">
        <f>(D1016*400)+(E1016*100)+F1016</f>
        <v>15695</v>
      </c>
      <c r="I1016" s="25">
        <v>625</v>
      </c>
      <c r="J1016" s="24">
        <f t="shared" si="144"/>
        <v>9809375</v>
      </c>
      <c r="K1016" s="20"/>
      <c r="L1016" s="20"/>
      <c r="M1016" s="20"/>
      <c r="N1016" s="20"/>
      <c r="O1016" s="24"/>
      <c r="P1016" s="24"/>
      <c r="Q1016" s="25"/>
      <c r="R1016" s="24"/>
      <c r="S1016" s="20"/>
      <c r="T1016" s="27"/>
      <c r="U1016" s="20"/>
      <c r="V1016" s="20"/>
      <c r="W1016" s="26"/>
      <c r="X1016" s="27"/>
      <c r="Y1016" s="20"/>
      <c r="Z1016" s="20"/>
    </row>
    <row r="1017" spans="1:26" s="29" customFormat="1" ht="90.75" customHeight="1" x14ac:dyDescent="0.25">
      <c r="A1017" s="20"/>
      <c r="B1017" s="20"/>
      <c r="C1017" s="20"/>
      <c r="D1017" s="21"/>
      <c r="E1017" s="21"/>
      <c r="F1017" s="22"/>
      <c r="G1017" s="22"/>
      <c r="H1017" s="36">
        <f>(O1017*0.25)</f>
        <v>262.5</v>
      </c>
      <c r="I1017" s="40">
        <v>625</v>
      </c>
      <c r="J1017" s="28">
        <f t="shared" si="144"/>
        <v>164062.5</v>
      </c>
      <c r="K1017" s="37">
        <v>1</v>
      </c>
      <c r="L1017" s="31" t="s">
        <v>18</v>
      </c>
      <c r="M1017" s="31" t="s">
        <v>24</v>
      </c>
      <c r="N1017" s="41">
        <v>2</v>
      </c>
      <c r="O1017" s="45">
        <v>1050</v>
      </c>
      <c r="P1017" s="35">
        <v>100</v>
      </c>
      <c r="Q1017" s="40">
        <v>7750</v>
      </c>
      <c r="R1017" s="36">
        <f>(O1017*Q1017)</f>
        <v>8137500</v>
      </c>
      <c r="S1017" s="37">
        <v>25</v>
      </c>
      <c r="T1017" s="28">
        <f>(R1017*40/100)</f>
        <v>3255000</v>
      </c>
      <c r="U1017" s="36">
        <f>(R1017-T1017)</f>
        <v>4882500</v>
      </c>
      <c r="V1017" s="36">
        <f>(J1017+U1017)</f>
        <v>5046562.5</v>
      </c>
      <c r="W1017" s="36">
        <f>(V1017*100/100)</f>
        <v>5046562.5</v>
      </c>
      <c r="X1017" s="28"/>
      <c r="Y1017" s="28"/>
      <c r="Z1017" s="20"/>
    </row>
    <row r="1018" spans="1:26" s="29" customFormat="1" ht="90.75" customHeight="1" x14ac:dyDescent="0.25">
      <c r="A1018" s="20"/>
      <c r="B1018" s="20"/>
      <c r="C1018" s="20"/>
      <c r="D1018" s="21"/>
      <c r="E1018" s="21"/>
      <c r="F1018" s="22"/>
      <c r="G1018" s="22"/>
      <c r="H1018" s="36"/>
      <c r="I1018" s="40"/>
      <c r="J1018" s="28"/>
      <c r="K1018" s="37">
        <v>2</v>
      </c>
      <c r="L1018" s="31" t="s">
        <v>59</v>
      </c>
      <c r="M1018" s="31"/>
      <c r="N1018" s="41"/>
      <c r="O1018" s="45">
        <v>525</v>
      </c>
      <c r="P1018" s="35">
        <v>50</v>
      </c>
      <c r="Q1018" s="40"/>
      <c r="R1018" s="36"/>
      <c r="S1018" s="37"/>
      <c r="T1018" s="28"/>
      <c r="U1018" s="36"/>
      <c r="V1018" s="36"/>
      <c r="W1018" s="36">
        <f>(W1017*50/100)</f>
        <v>2523281.25</v>
      </c>
      <c r="X1018" s="28">
        <v>0</v>
      </c>
      <c r="Y1018" s="28">
        <f>(W1018)</f>
        <v>2523281.25</v>
      </c>
      <c r="Z1018" s="49">
        <v>2.0000000000000001E-4</v>
      </c>
    </row>
    <row r="1019" spans="1:26" s="29" customFormat="1" ht="90.75" customHeight="1" x14ac:dyDescent="0.25">
      <c r="A1019" s="20"/>
      <c r="B1019" s="20"/>
      <c r="C1019" s="20"/>
      <c r="D1019" s="21"/>
      <c r="E1019" s="21"/>
      <c r="F1019" s="22"/>
      <c r="G1019" s="22"/>
      <c r="H1019" s="36"/>
      <c r="I1019" s="40"/>
      <c r="J1019" s="28"/>
      <c r="K1019" s="37">
        <v>3</v>
      </c>
      <c r="L1019" s="31" t="s">
        <v>60</v>
      </c>
      <c r="M1019" s="31"/>
      <c r="N1019" s="41"/>
      <c r="O1019" s="45">
        <v>525</v>
      </c>
      <c r="P1019" s="35">
        <v>50</v>
      </c>
      <c r="Q1019" s="40"/>
      <c r="R1019" s="36"/>
      <c r="S1019" s="37"/>
      <c r="T1019" s="28"/>
      <c r="U1019" s="36"/>
      <c r="V1019" s="36"/>
      <c r="W1019" s="36">
        <f>(W1017*50/100)</f>
        <v>2523281.25</v>
      </c>
      <c r="X1019" s="28">
        <v>0</v>
      </c>
      <c r="Y1019" s="28">
        <f>(W1019)</f>
        <v>2523281.25</v>
      </c>
      <c r="Z1019" s="49">
        <v>2.0000000000000001E-4</v>
      </c>
    </row>
    <row r="1020" spans="1:26" s="29" customFormat="1" ht="90.75" customHeight="1" x14ac:dyDescent="0.25">
      <c r="A1020" s="20">
        <v>772</v>
      </c>
      <c r="B1020" s="20" t="s">
        <v>0</v>
      </c>
      <c r="C1020" s="20">
        <v>11534</v>
      </c>
      <c r="D1020" s="21">
        <v>8</v>
      </c>
      <c r="E1020" s="21">
        <v>0</v>
      </c>
      <c r="F1020" s="22">
        <v>41</v>
      </c>
      <c r="G1020" s="21" t="s">
        <v>209</v>
      </c>
      <c r="H1020" s="24">
        <f>(D1020*400)+(E1020*100)+F1020</f>
        <v>3241</v>
      </c>
      <c r="I1020" s="25" t="s">
        <v>9</v>
      </c>
      <c r="J1020" s="24">
        <f>(H1020*I1020)</f>
        <v>972300</v>
      </c>
      <c r="K1020" s="37"/>
      <c r="L1020" s="20"/>
      <c r="M1020" s="20"/>
      <c r="N1020" s="62"/>
      <c r="O1020" s="26"/>
      <c r="P1020" s="35"/>
      <c r="Q1020" s="40"/>
      <c r="R1020" s="77"/>
      <c r="S1020" s="37"/>
      <c r="T1020" s="28"/>
      <c r="U1020" s="77"/>
      <c r="V1020" s="77"/>
      <c r="W1020" s="77"/>
      <c r="X1020" s="28"/>
      <c r="Y1020" s="28"/>
      <c r="Z1020" s="52"/>
    </row>
    <row r="1021" spans="1:26" s="29" customFormat="1" ht="90.75" customHeight="1" x14ac:dyDescent="0.25">
      <c r="A1021" s="20"/>
      <c r="B1021" s="20"/>
      <c r="C1021" s="20"/>
      <c r="D1021" s="21"/>
      <c r="E1021" s="21"/>
      <c r="F1021" s="22"/>
      <c r="G1021" s="22"/>
      <c r="H1021" s="24"/>
      <c r="I1021" s="25"/>
      <c r="J1021" s="24"/>
      <c r="K1021" s="37">
        <v>1</v>
      </c>
      <c r="L1021" s="20" t="s">
        <v>38</v>
      </c>
      <c r="M1021" s="20" t="s">
        <v>30</v>
      </c>
      <c r="N1021" s="62">
        <v>3</v>
      </c>
      <c r="O1021" s="26">
        <v>267.83999999999997</v>
      </c>
      <c r="P1021" s="35">
        <v>100</v>
      </c>
      <c r="Q1021" s="40">
        <v>6550</v>
      </c>
      <c r="R1021" s="77">
        <f>(O1021*Q1021)</f>
        <v>1754351.9999999998</v>
      </c>
      <c r="S1021" s="37">
        <v>7</v>
      </c>
      <c r="T1021" s="28">
        <f>(R1021*7/100)</f>
        <v>122804.63999999998</v>
      </c>
      <c r="U1021" s="77">
        <f>(R1021-T1021)</f>
        <v>1631547.3599999999</v>
      </c>
      <c r="V1021" s="77"/>
      <c r="W1021" s="77"/>
      <c r="X1021" s="28"/>
      <c r="Y1021" s="28"/>
      <c r="Z1021" s="52"/>
    </row>
    <row r="1022" spans="1:26" s="29" customFormat="1" ht="90.75" customHeight="1" x14ac:dyDescent="0.25">
      <c r="A1022" s="20"/>
      <c r="B1022" s="20"/>
      <c r="C1022" s="20"/>
      <c r="D1022" s="21"/>
      <c r="E1022" s="21"/>
      <c r="F1022" s="22"/>
      <c r="G1022" s="22"/>
      <c r="H1022" s="24"/>
      <c r="I1022" s="25"/>
      <c r="J1022" s="24"/>
      <c r="K1022" s="37">
        <v>2</v>
      </c>
      <c r="L1022" s="20" t="s">
        <v>17</v>
      </c>
      <c r="M1022" s="20"/>
      <c r="N1022" s="62">
        <v>3</v>
      </c>
      <c r="O1022" s="26">
        <v>27</v>
      </c>
      <c r="P1022" s="35">
        <v>100</v>
      </c>
      <c r="Q1022" s="40">
        <v>5900</v>
      </c>
      <c r="R1022" s="77">
        <f>(O1022*Q1022)</f>
        <v>159300</v>
      </c>
      <c r="S1022" s="37">
        <v>7</v>
      </c>
      <c r="T1022" s="28">
        <f>(R1022*7/100)</f>
        <v>11151</v>
      </c>
      <c r="U1022" s="77">
        <f>(R1022-T1022)</f>
        <v>148149</v>
      </c>
      <c r="V1022" s="77"/>
      <c r="W1022" s="77"/>
      <c r="X1022" s="28"/>
      <c r="Y1022" s="28"/>
      <c r="Z1022" s="52"/>
    </row>
    <row r="1023" spans="1:26" s="29" customFormat="1" ht="90.75" customHeight="1" x14ac:dyDescent="0.25">
      <c r="A1023" s="20"/>
      <c r="B1023" s="20"/>
      <c r="C1023" s="20"/>
      <c r="D1023" s="21"/>
      <c r="E1023" s="21"/>
      <c r="F1023" s="22"/>
      <c r="G1023" s="22"/>
      <c r="H1023" s="24"/>
      <c r="I1023" s="25"/>
      <c r="J1023" s="24"/>
      <c r="K1023" s="37"/>
      <c r="L1023" s="20"/>
      <c r="M1023" s="20"/>
      <c r="N1023" s="62"/>
      <c r="O1023" s="26"/>
      <c r="P1023" s="35"/>
      <c r="Q1023" s="40"/>
      <c r="R1023" s="77"/>
      <c r="S1023" s="37"/>
      <c r="T1023" s="28"/>
      <c r="U1023" s="77">
        <f>SUM(U1021:U1022)</f>
        <v>1779696.3599999999</v>
      </c>
      <c r="V1023" s="77">
        <f>(J1020+U1023)</f>
        <v>2751996.36</v>
      </c>
      <c r="W1023" s="77">
        <f>(V1023*100/100)</f>
        <v>2751996.36</v>
      </c>
      <c r="X1023" s="28">
        <v>0</v>
      </c>
      <c r="Y1023" s="28">
        <f>(W1023-X1023)</f>
        <v>2751996.36</v>
      </c>
      <c r="Z1023" s="49">
        <v>3.0000000000000001E-3</v>
      </c>
    </row>
    <row r="1024" spans="1:26" s="29" customFormat="1" ht="90.75" customHeight="1" x14ac:dyDescent="0.25">
      <c r="A1024" s="20">
        <v>773</v>
      </c>
      <c r="B1024" s="20" t="s">
        <v>0</v>
      </c>
      <c r="C1024" s="20">
        <v>14639</v>
      </c>
      <c r="D1024" s="21">
        <v>5</v>
      </c>
      <c r="E1024" s="21">
        <v>2</v>
      </c>
      <c r="F1024" s="22">
        <v>29</v>
      </c>
      <c r="G1024" s="21" t="s">
        <v>209</v>
      </c>
      <c r="H1024" s="24">
        <f>(D1024*400)+(E1024*100)+F1024</f>
        <v>2229</v>
      </c>
      <c r="I1024" s="25" t="s">
        <v>155</v>
      </c>
      <c r="J1024" s="24">
        <f>(H1024*I1024)</f>
        <v>6909900</v>
      </c>
      <c r="K1024" s="20"/>
      <c r="L1024" s="20"/>
      <c r="M1024" s="20"/>
      <c r="N1024" s="20"/>
      <c r="O1024" s="24"/>
      <c r="P1024" s="24"/>
      <c r="Q1024" s="25"/>
      <c r="R1024" s="24"/>
      <c r="S1024" s="20" t="s">
        <v>2</v>
      </c>
      <c r="T1024" s="27"/>
      <c r="U1024" s="20"/>
      <c r="V1024" s="20"/>
      <c r="W1024" s="26"/>
      <c r="X1024" s="27"/>
      <c r="Y1024" s="20"/>
      <c r="Z1024" s="20"/>
    </row>
    <row r="1025" spans="1:26" s="29" customFormat="1" ht="90.75" customHeight="1" x14ac:dyDescent="0.25">
      <c r="A1025" s="20"/>
      <c r="B1025" s="20"/>
      <c r="C1025" s="20"/>
      <c r="D1025" s="21"/>
      <c r="E1025" s="21"/>
      <c r="F1025" s="22"/>
      <c r="G1025" s="22"/>
      <c r="H1025" s="24"/>
      <c r="I1025" s="25"/>
      <c r="J1025" s="24"/>
      <c r="K1025" s="37">
        <v>1</v>
      </c>
      <c r="L1025" s="20" t="s">
        <v>27</v>
      </c>
      <c r="M1025" s="20" t="s">
        <v>13</v>
      </c>
      <c r="N1025" s="62">
        <v>3</v>
      </c>
      <c r="O1025" s="26">
        <v>150</v>
      </c>
      <c r="P1025" s="35">
        <v>100</v>
      </c>
      <c r="Q1025" s="40">
        <v>5550</v>
      </c>
      <c r="R1025" s="77">
        <f t="shared" ref="R1025:R1031" si="145">(O1025*Q1025)</f>
        <v>832500</v>
      </c>
      <c r="S1025" s="37">
        <v>7</v>
      </c>
      <c r="T1025" s="28">
        <f t="shared" ref="T1025:T1030" si="146">(R1025*7/100)</f>
        <v>58275</v>
      </c>
      <c r="U1025" s="77">
        <f t="shared" ref="U1025:U1031" si="147">(R1025-T1025)</f>
        <v>774225</v>
      </c>
      <c r="V1025" s="77"/>
      <c r="W1025" s="77"/>
      <c r="X1025" s="28"/>
      <c r="Y1025" s="28"/>
      <c r="Z1025" s="52"/>
    </row>
    <row r="1026" spans="1:26" s="29" customFormat="1" ht="90.75" customHeight="1" x14ac:dyDescent="0.25">
      <c r="A1026" s="20"/>
      <c r="B1026" s="20"/>
      <c r="C1026" s="20"/>
      <c r="D1026" s="21"/>
      <c r="E1026" s="21"/>
      <c r="F1026" s="22"/>
      <c r="G1026" s="22"/>
      <c r="H1026" s="24"/>
      <c r="I1026" s="25"/>
      <c r="J1026" s="24"/>
      <c r="K1026" s="37">
        <v>2</v>
      </c>
      <c r="L1026" s="20" t="s">
        <v>29</v>
      </c>
      <c r="M1026" s="20" t="s">
        <v>13</v>
      </c>
      <c r="N1026" s="62">
        <v>3</v>
      </c>
      <c r="O1026" s="26">
        <v>150</v>
      </c>
      <c r="P1026" s="35">
        <v>100</v>
      </c>
      <c r="Q1026" s="40">
        <v>5550</v>
      </c>
      <c r="R1026" s="77">
        <f t="shared" si="145"/>
        <v>832500</v>
      </c>
      <c r="S1026" s="37">
        <v>7</v>
      </c>
      <c r="T1026" s="28">
        <f t="shared" si="146"/>
        <v>58275</v>
      </c>
      <c r="U1026" s="77">
        <f t="shared" si="147"/>
        <v>774225</v>
      </c>
      <c r="V1026" s="77"/>
      <c r="W1026" s="77"/>
      <c r="X1026" s="28"/>
      <c r="Y1026" s="28"/>
      <c r="Z1026" s="52"/>
    </row>
    <row r="1027" spans="1:26" s="29" customFormat="1" ht="90.75" customHeight="1" x14ac:dyDescent="0.25">
      <c r="A1027" s="20"/>
      <c r="B1027" s="20"/>
      <c r="C1027" s="20"/>
      <c r="D1027" s="21"/>
      <c r="E1027" s="21"/>
      <c r="F1027" s="22"/>
      <c r="G1027" s="22"/>
      <c r="H1027" s="24"/>
      <c r="I1027" s="25"/>
      <c r="J1027" s="24"/>
      <c r="K1027" s="37">
        <v>3</v>
      </c>
      <c r="L1027" s="20" t="s">
        <v>31</v>
      </c>
      <c r="M1027" s="20"/>
      <c r="N1027" s="21">
        <v>3</v>
      </c>
      <c r="O1027" s="26">
        <v>19.600000000000001</v>
      </c>
      <c r="P1027" s="35">
        <v>100</v>
      </c>
      <c r="Q1027" s="40">
        <v>2550</v>
      </c>
      <c r="R1027" s="77">
        <f t="shared" si="145"/>
        <v>49980</v>
      </c>
      <c r="S1027" s="37">
        <v>7</v>
      </c>
      <c r="T1027" s="28">
        <f t="shared" si="146"/>
        <v>3498.6</v>
      </c>
      <c r="U1027" s="77">
        <f t="shared" si="147"/>
        <v>46481.4</v>
      </c>
      <c r="V1027" s="77"/>
      <c r="W1027" s="77"/>
      <c r="X1027" s="28"/>
      <c r="Y1027" s="28"/>
      <c r="Z1027" s="52"/>
    </row>
    <row r="1028" spans="1:26" s="29" customFormat="1" ht="90.75" customHeight="1" x14ac:dyDescent="0.25">
      <c r="A1028" s="20"/>
      <c r="B1028" s="20"/>
      <c r="C1028" s="20"/>
      <c r="D1028" s="21"/>
      <c r="E1028" s="21"/>
      <c r="F1028" s="22"/>
      <c r="G1028" s="22"/>
      <c r="H1028" s="24"/>
      <c r="I1028" s="25"/>
      <c r="J1028" s="24"/>
      <c r="K1028" s="37">
        <v>4</v>
      </c>
      <c r="L1028" s="20" t="s">
        <v>15</v>
      </c>
      <c r="M1028" s="20"/>
      <c r="N1028" s="62">
        <v>3</v>
      </c>
      <c r="O1028" s="26">
        <v>208.82</v>
      </c>
      <c r="P1028" s="35">
        <v>100</v>
      </c>
      <c r="Q1028" s="40">
        <v>5950</v>
      </c>
      <c r="R1028" s="77">
        <f t="shared" si="145"/>
        <v>1242479</v>
      </c>
      <c r="S1028" s="37">
        <v>7</v>
      </c>
      <c r="T1028" s="28">
        <f t="shared" si="146"/>
        <v>86973.53</v>
      </c>
      <c r="U1028" s="77">
        <f t="shared" si="147"/>
        <v>1155505.47</v>
      </c>
      <c r="V1028" s="77"/>
      <c r="W1028" s="77"/>
      <c r="X1028" s="28"/>
      <c r="Y1028" s="28"/>
      <c r="Z1028" s="52"/>
    </row>
    <row r="1029" spans="1:26" s="29" customFormat="1" ht="90.75" customHeight="1" x14ac:dyDescent="0.25">
      <c r="A1029" s="20"/>
      <c r="B1029" s="20"/>
      <c r="C1029" s="20"/>
      <c r="D1029" s="21"/>
      <c r="E1029" s="21"/>
      <c r="F1029" s="22"/>
      <c r="G1029" s="22"/>
      <c r="H1029" s="24"/>
      <c r="I1029" s="25"/>
      <c r="J1029" s="24"/>
      <c r="K1029" s="37">
        <v>5</v>
      </c>
      <c r="L1029" s="20" t="s">
        <v>215</v>
      </c>
      <c r="M1029" s="20" t="s">
        <v>13</v>
      </c>
      <c r="N1029" s="62">
        <v>3</v>
      </c>
      <c r="O1029" s="26">
        <v>39.9</v>
      </c>
      <c r="P1029" s="35">
        <v>100</v>
      </c>
      <c r="Q1029" s="40">
        <v>6450</v>
      </c>
      <c r="R1029" s="77">
        <f t="shared" si="145"/>
        <v>257355</v>
      </c>
      <c r="S1029" s="37">
        <v>7</v>
      </c>
      <c r="T1029" s="28">
        <f t="shared" si="146"/>
        <v>18014.849999999999</v>
      </c>
      <c r="U1029" s="77">
        <f t="shared" si="147"/>
        <v>239340.15</v>
      </c>
      <c r="V1029" s="77"/>
      <c r="W1029" s="77"/>
      <c r="X1029" s="28"/>
      <c r="Y1029" s="28"/>
      <c r="Z1029" s="52"/>
    </row>
    <row r="1030" spans="1:26" s="29" customFormat="1" ht="90.75" customHeight="1" x14ac:dyDescent="0.25">
      <c r="A1030" s="20"/>
      <c r="B1030" s="20"/>
      <c r="C1030" s="20"/>
      <c r="D1030" s="21"/>
      <c r="E1030" s="21"/>
      <c r="F1030" s="22"/>
      <c r="G1030" s="22"/>
      <c r="H1030" s="24"/>
      <c r="I1030" s="25"/>
      <c r="J1030" s="24"/>
      <c r="K1030" s="37">
        <v>6</v>
      </c>
      <c r="L1030" s="20" t="s">
        <v>29</v>
      </c>
      <c r="M1030" s="20"/>
      <c r="N1030" s="62">
        <v>3</v>
      </c>
      <c r="O1030" s="26">
        <v>45</v>
      </c>
      <c r="P1030" s="35">
        <v>100</v>
      </c>
      <c r="Q1030" s="40">
        <v>5550</v>
      </c>
      <c r="R1030" s="77">
        <f t="shared" si="145"/>
        <v>249750</v>
      </c>
      <c r="S1030" s="37">
        <v>7</v>
      </c>
      <c r="T1030" s="28">
        <f t="shared" si="146"/>
        <v>17482.5</v>
      </c>
      <c r="U1030" s="77">
        <f t="shared" si="147"/>
        <v>232267.5</v>
      </c>
      <c r="V1030" s="77"/>
      <c r="W1030" s="77"/>
      <c r="X1030" s="28"/>
      <c r="Y1030" s="28"/>
      <c r="Z1030" s="52"/>
    </row>
    <row r="1031" spans="1:26" s="29" customFormat="1" ht="90.75" customHeight="1" x14ac:dyDescent="0.25">
      <c r="A1031" s="20"/>
      <c r="B1031" s="20"/>
      <c r="C1031" s="20"/>
      <c r="D1031" s="21"/>
      <c r="E1031" s="21"/>
      <c r="F1031" s="22"/>
      <c r="G1031" s="22"/>
      <c r="H1031" s="24"/>
      <c r="I1031" s="25"/>
      <c r="J1031" s="24"/>
      <c r="K1031" s="37">
        <v>7</v>
      </c>
      <c r="L1031" s="20" t="s">
        <v>27</v>
      </c>
      <c r="M1031" s="20" t="s">
        <v>13</v>
      </c>
      <c r="N1031" s="62">
        <v>3</v>
      </c>
      <c r="O1031" s="26">
        <v>90</v>
      </c>
      <c r="P1031" s="35">
        <v>100</v>
      </c>
      <c r="Q1031" s="40">
        <v>6450</v>
      </c>
      <c r="R1031" s="77">
        <f t="shared" si="145"/>
        <v>580500</v>
      </c>
      <c r="S1031" s="37">
        <v>4</v>
      </c>
      <c r="T1031" s="28">
        <f>(R1031*4/100)</f>
        <v>23220</v>
      </c>
      <c r="U1031" s="77">
        <f t="shared" si="147"/>
        <v>557280</v>
      </c>
      <c r="V1031" s="77"/>
      <c r="W1031" s="77"/>
      <c r="X1031" s="28"/>
      <c r="Y1031" s="28"/>
      <c r="Z1031" s="52"/>
    </row>
    <row r="1032" spans="1:26" s="29" customFormat="1" ht="90.75" customHeight="1" x14ac:dyDescent="0.25">
      <c r="A1032" s="20"/>
      <c r="B1032" s="20"/>
      <c r="C1032" s="20"/>
      <c r="D1032" s="21"/>
      <c r="E1032" s="21"/>
      <c r="F1032" s="22"/>
      <c r="G1032" s="22"/>
      <c r="H1032" s="24"/>
      <c r="I1032" s="25"/>
      <c r="J1032" s="24"/>
      <c r="K1032" s="30"/>
      <c r="L1032" s="20"/>
      <c r="M1032" s="35"/>
      <c r="N1032" s="30"/>
      <c r="O1032" s="36"/>
      <c r="P1032" s="86"/>
      <c r="Q1032" s="40"/>
      <c r="R1032" s="84"/>
      <c r="S1032" s="84"/>
      <c r="T1032" s="28"/>
      <c r="U1032" s="36">
        <f>SUM(U1025:U1031)</f>
        <v>3779324.52</v>
      </c>
      <c r="V1032" s="36">
        <f>(J1024+U1032)</f>
        <v>10689224.52</v>
      </c>
      <c r="W1032" s="36">
        <f>(V1032*100/100)</f>
        <v>10689224.52</v>
      </c>
      <c r="X1032" s="28">
        <v>0</v>
      </c>
      <c r="Y1032" s="26">
        <f>(W1032-X1032)</f>
        <v>10689224.52</v>
      </c>
      <c r="Z1032" s="49">
        <v>3.0000000000000001E-3</v>
      </c>
    </row>
    <row r="1033" spans="1:26" s="29" customFormat="1" ht="90.75" customHeight="1" x14ac:dyDescent="0.25">
      <c r="A1033" s="20">
        <v>774</v>
      </c>
      <c r="B1033" s="20" t="s">
        <v>0</v>
      </c>
      <c r="C1033" s="20">
        <v>52346</v>
      </c>
      <c r="D1033" s="21">
        <v>0</v>
      </c>
      <c r="E1033" s="21">
        <v>1</v>
      </c>
      <c r="F1033" s="22">
        <v>92</v>
      </c>
      <c r="G1033" s="22" t="s">
        <v>210</v>
      </c>
      <c r="H1033" s="36">
        <f>(D1033*400)+(E1033*100)+F1033</f>
        <v>192</v>
      </c>
      <c r="I1033" s="40" t="s">
        <v>123</v>
      </c>
      <c r="J1033" s="65">
        <f>(H1033*I1033)</f>
        <v>864000</v>
      </c>
      <c r="K1033" s="20"/>
      <c r="L1033" s="20"/>
      <c r="M1033" s="20"/>
      <c r="N1033" s="20"/>
      <c r="O1033" s="24"/>
      <c r="P1033" s="24"/>
      <c r="Q1033" s="25"/>
      <c r="R1033" s="24"/>
      <c r="S1033" s="20"/>
      <c r="T1033" s="27"/>
      <c r="U1033" s="20"/>
      <c r="V1033" s="36">
        <f>(J1033)</f>
        <v>864000</v>
      </c>
      <c r="W1033" s="36">
        <f>(V1033*100/100)</f>
        <v>864000</v>
      </c>
      <c r="X1033" s="28">
        <v>0</v>
      </c>
      <c r="Y1033" s="28">
        <f>(W1033-X1033)</f>
        <v>864000</v>
      </c>
      <c r="Z1033" s="49">
        <v>3.0000000000000001E-3</v>
      </c>
    </row>
    <row r="1034" spans="1:26" s="29" customFormat="1" ht="90.75" customHeight="1" x14ac:dyDescent="0.25">
      <c r="A1034" s="20">
        <v>775</v>
      </c>
      <c r="B1034" s="20" t="s">
        <v>0</v>
      </c>
      <c r="C1034" s="20">
        <v>52348</v>
      </c>
      <c r="D1034" s="21">
        <v>16</v>
      </c>
      <c r="E1034" s="21">
        <v>3</v>
      </c>
      <c r="F1034" s="22">
        <v>7</v>
      </c>
      <c r="G1034" s="21" t="s">
        <v>209</v>
      </c>
      <c r="H1034" s="36">
        <f>(D1034*400)+(E1034*100)+F1034</f>
        <v>6707</v>
      </c>
      <c r="I1034" s="40" t="s">
        <v>123</v>
      </c>
      <c r="J1034" s="65">
        <f>(H1034*I1034)</f>
        <v>30181500</v>
      </c>
      <c r="K1034" s="51">
        <v>1</v>
      </c>
      <c r="L1034" s="31" t="s">
        <v>14</v>
      </c>
      <c r="M1034" s="31" t="s">
        <v>13</v>
      </c>
      <c r="N1034" s="51">
        <v>3</v>
      </c>
      <c r="O1034" s="45">
        <v>1800</v>
      </c>
      <c r="P1034" s="35">
        <v>100</v>
      </c>
      <c r="Q1034" s="40">
        <v>3500</v>
      </c>
      <c r="R1034" s="36">
        <f t="shared" ref="R1034:R1047" si="148">(O1034*Q1034)</f>
        <v>6300000</v>
      </c>
      <c r="S1034" s="37">
        <v>7</v>
      </c>
      <c r="T1034" s="28">
        <f t="shared" ref="T1034:T1047" si="149">(R1034*7/100)</f>
        <v>441000</v>
      </c>
      <c r="U1034" s="36">
        <f t="shared" ref="U1034:U1047" si="150">(R1034-T1034)</f>
        <v>5859000</v>
      </c>
      <c r="V1034" s="20"/>
      <c r="W1034" s="26"/>
      <c r="X1034" s="27"/>
      <c r="Y1034" s="20"/>
      <c r="Z1034" s="20"/>
    </row>
    <row r="1035" spans="1:26" s="29" customFormat="1" ht="90.75" customHeight="1" x14ac:dyDescent="0.25">
      <c r="A1035" s="20"/>
      <c r="B1035" s="20"/>
      <c r="C1035" s="20"/>
      <c r="D1035" s="21"/>
      <c r="E1035" s="21"/>
      <c r="F1035" s="22"/>
      <c r="G1035" s="22"/>
      <c r="H1035" s="24"/>
      <c r="I1035" s="25"/>
      <c r="J1035" s="24"/>
      <c r="K1035" s="51">
        <v>2</v>
      </c>
      <c r="L1035" s="31" t="s">
        <v>14</v>
      </c>
      <c r="M1035" s="31" t="s">
        <v>13</v>
      </c>
      <c r="N1035" s="51">
        <v>3</v>
      </c>
      <c r="O1035" s="45">
        <v>1800</v>
      </c>
      <c r="P1035" s="35">
        <v>100</v>
      </c>
      <c r="Q1035" s="40">
        <v>3500</v>
      </c>
      <c r="R1035" s="36">
        <f t="shared" si="148"/>
        <v>6300000</v>
      </c>
      <c r="S1035" s="37">
        <v>7</v>
      </c>
      <c r="T1035" s="28">
        <f t="shared" si="149"/>
        <v>441000</v>
      </c>
      <c r="U1035" s="36">
        <f t="shared" si="150"/>
        <v>5859000</v>
      </c>
      <c r="V1035" s="20"/>
      <c r="W1035" s="26"/>
      <c r="X1035" s="27"/>
      <c r="Y1035" s="20"/>
      <c r="Z1035" s="20"/>
    </row>
    <row r="1036" spans="1:26" s="29" customFormat="1" ht="90.75" customHeight="1" x14ac:dyDescent="0.25">
      <c r="A1036" s="20"/>
      <c r="B1036" s="20"/>
      <c r="C1036" s="20"/>
      <c r="D1036" s="21"/>
      <c r="E1036" s="21"/>
      <c r="F1036" s="22"/>
      <c r="G1036" s="22"/>
      <c r="H1036" s="24"/>
      <c r="I1036" s="25"/>
      <c r="J1036" s="24"/>
      <c r="K1036" s="51">
        <v>3</v>
      </c>
      <c r="L1036" s="31" t="s">
        <v>14</v>
      </c>
      <c r="M1036" s="31" t="s">
        <v>13</v>
      </c>
      <c r="N1036" s="51">
        <v>3</v>
      </c>
      <c r="O1036" s="45">
        <v>1800</v>
      </c>
      <c r="P1036" s="35">
        <v>100</v>
      </c>
      <c r="Q1036" s="40">
        <v>3500</v>
      </c>
      <c r="R1036" s="36">
        <f t="shared" si="148"/>
        <v>6300000</v>
      </c>
      <c r="S1036" s="37">
        <v>7</v>
      </c>
      <c r="T1036" s="28">
        <f t="shared" si="149"/>
        <v>441000</v>
      </c>
      <c r="U1036" s="36">
        <f t="shared" si="150"/>
        <v>5859000</v>
      </c>
      <c r="V1036" s="20"/>
      <c r="W1036" s="26"/>
      <c r="X1036" s="27"/>
      <c r="Y1036" s="20"/>
      <c r="Z1036" s="20"/>
    </row>
    <row r="1037" spans="1:26" s="29" customFormat="1" ht="90.75" customHeight="1" x14ac:dyDescent="0.25">
      <c r="A1037" s="20"/>
      <c r="B1037" s="20"/>
      <c r="C1037" s="20"/>
      <c r="D1037" s="21"/>
      <c r="E1037" s="21"/>
      <c r="F1037" s="22"/>
      <c r="G1037" s="22"/>
      <c r="H1037" s="24"/>
      <c r="I1037" s="25"/>
      <c r="J1037" s="24"/>
      <c r="K1037" s="51">
        <v>4</v>
      </c>
      <c r="L1037" s="31" t="s">
        <v>14</v>
      </c>
      <c r="M1037" s="31" t="s">
        <v>13</v>
      </c>
      <c r="N1037" s="51">
        <v>3</v>
      </c>
      <c r="O1037" s="45">
        <v>1800</v>
      </c>
      <c r="P1037" s="35">
        <v>100</v>
      </c>
      <c r="Q1037" s="40">
        <v>3500</v>
      </c>
      <c r="R1037" s="36">
        <f t="shared" si="148"/>
        <v>6300000</v>
      </c>
      <c r="S1037" s="37">
        <v>7</v>
      </c>
      <c r="T1037" s="28">
        <f t="shared" si="149"/>
        <v>441000</v>
      </c>
      <c r="U1037" s="36">
        <f t="shared" si="150"/>
        <v>5859000</v>
      </c>
      <c r="V1037" s="20"/>
      <c r="W1037" s="26"/>
      <c r="X1037" s="27"/>
      <c r="Y1037" s="20"/>
      <c r="Z1037" s="20"/>
    </row>
    <row r="1038" spans="1:26" s="29" customFormat="1" ht="90.75" customHeight="1" x14ac:dyDescent="0.25">
      <c r="A1038" s="20"/>
      <c r="B1038" s="20"/>
      <c r="C1038" s="20"/>
      <c r="D1038" s="21"/>
      <c r="E1038" s="21"/>
      <c r="F1038" s="22"/>
      <c r="G1038" s="22"/>
      <c r="H1038" s="24"/>
      <c r="I1038" s="25"/>
      <c r="J1038" s="24"/>
      <c r="K1038" s="51"/>
      <c r="L1038" s="31" t="s">
        <v>146</v>
      </c>
      <c r="M1038" s="31" t="s">
        <v>13</v>
      </c>
      <c r="N1038" s="51">
        <v>3</v>
      </c>
      <c r="O1038" s="45">
        <v>108</v>
      </c>
      <c r="P1038" s="35">
        <v>100</v>
      </c>
      <c r="Q1038" s="40">
        <v>7100</v>
      </c>
      <c r="R1038" s="36">
        <f t="shared" si="148"/>
        <v>766800</v>
      </c>
      <c r="S1038" s="37">
        <v>7</v>
      </c>
      <c r="T1038" s="28">
        <f t="shared" si="149"/>
        <v>53676</v>
      </c>
      <c r="U1038" s="36">
        <f t="shared" si="150"/>
        <v>713124</v>
      </c>
      <c r="V1038" s="20"/>
      <c r="W1038" s="26"/>
      <c r="X1038" s="27"/>
      <c r="Y1038" s="20"/>
      <c r="Z1038" s="20"/>
    </row>
    <row r="1039" spans="1:26" s="29" customFormat="1" ht="90.75" customHeight="1" x14ac:dyDescent="0.25">
      <c r="A1039" s="20"/>
      <c r="B1039" s="20"/>
      <c r="C1039" s="20"/>
      <c r="D1039" s="21"/>
      <c r="E1039" s="21"/>
      <c r="F1039" s="22"/>
      <c r="G1039" s="22"/>
      <c r="H1039" s="24"/>
      <c r="I1039" s="25"/>
      <c r="J1039" s="24"/>
      <c r="K1039" s="51"/>
      <c r="L1039" s="31" t="s">
        <v>147</v>
      </c>
      <c r="M1039" s="31" t="s">
        <v>13</v>
      </c>
      <c r="N1039" s="51">
        <v>3</v>
      </c>
      <c r="O1039" s="45">
        <v>108</v>
      </c>
      <c r="P1039" s="35">
        <v>100</v>
      </c>
      <c r="Q1039" s="40">
        <v>7100</v>
      </c>
      <c r="R1039" s="36">
        <f t="shared" si="148"/>
        <v>766800</v>
      </c>
      <c r="S1039" s="37">
        <v>7</v>
      </c>
      <c r="T1039" s="28">
        <f t="shared" si="149"/>
        <v>53676</v>
      </c>
      <c r="U1039" s="36">
        <f t="shared" si="150"/>
        <v>713124</v>
      </c>
      <c r="V1039" s="20"/>
      <c r="W1039" s="26"/>
      <c r="X1039" s="27"/>
      <c r="Y1039" s="20"/>
      <c r="Z1039" s="20"/>
    </row>
    <row r="1040" spans="1:26" s="29" customFormat="1" ht="90.75" customHeight="1" x14ac:dyDescent="0.25">
      <c r="A1040" s="20"/>
      <c r="B1040" s="20"/>
      <c r="C1040" s="20"/>
      <c r="D1040" s="21"/>
      <c r="E1040" s="21"/>
      <c r="F1040" s="22"/>
      <c r="G1040" s="22"/>
      <c r="H1040" s="24"/>
      <c r="I1040" s="25"/>
      <c r="J1040" s="24"/>
      <c r="K1040" s="51">
        <v>5</v>
      </c>
      <c r="L1040" s="31" t="s">
        <v>14</v>
      </c>
      <c r="M1040" s="31" t="s">
        <v>13</v>
      </c>
      <c r="N1040" s="51">
        <v>3</v>
      </c>
      <c r="O1040" s="45">
        <v>1800</v>
      </c>
      <c r="P1040" s="35">
        <v>100</v>
      </c>
      <c r="Q1040" s="40">
        <v>3500</v>
      </c>
      <c r="R1040" s="36">
        <f t="shared" si="148"/>
        <v>6300000</v>
      </c>
      <c r="S1040" s="37">
        <v>7</v>
      </c>
      <c r="T1040" s="28">
        <f t="shared" si="149"/>
        <v>441000</v>
      </c>
      <c r="U1040" s="36">
        <f t="shared" si="150"/>
        <v>5859000</v>
      </c>
      <c r="V1040" s="20"/>
      <c r="W1040" s="26"/>
      <c r="X1040" s="27"/>
      <c r="Y1040" s="20"/>
      <c r="Z1040" s="20"/>
    </row>
    <row r="1041" spans="1:26" s="29" customFormat="1" ht="90.75" customHeight="1" x14ac:dyDescent="0.25">
      <c r="A1041" s="20"/>
      <c r="B1041" s="20"/>
      <c r="C1041" s="20"/>
      <c r="D1041" s="21"/>
      <c r="E1041" s="21"/>
      <c r="F1041" s="22"/>
      <c r="G1041" s="22"/>
      <c r="H1041" s="24"/>
      <c r="I1041" s="25"/>
      <c r="J1041" s="24"/>
      <c r="K1041" s="51"/>
      <c r="L1041" s="31" t="s">
        <v>146</v>
      </c>
      <c r="M1041" s="31" t="s">
        <v>13</v>
      </c>
      <c r="N1041" s="51">
        <v>3</v>
      </c>
      <c r="O1041" s="45">
        <v>108</v>
      </c>
      <c r="P1041" s="35">
        <v>100</v>
      </c>
      <c r="Q1041" s="40">
        <v>7100</v>
      </c>
      <c r="R1041" s="36">
        <f t="shared" si="148"/>
        <v>766800</v>
      </c>
      <c r="S1041" s="37">
        <v>7</v>
      </c>
      <c r="T1041" s="28">
        <f t="shared" si="149"/>
        <v>53676</v>
      </c>
      <c r="U1041" s="36">
        <f t="shared" si="150"/>
        <v>713124</v>
      </c>
      <c r="V1041" s="20"/>
      <c r="W1041" s="26"/>
      <c r="X1041" s="27"/>
      <c r="Y1041" s="20"/>
      <c r="Z1041" s="20"/>
    </row>
    <row r="1042" spans="1:26" s="29" customFormat="1" ht="90.75" customHeight="1" x14ac:dyDescent="0.25">
      <c r="A1042" s="20"/>
      <c r="B1042" s="20"/>
      <c r="C1042" s="20"/>
      <c r="D1042" s="21"/>
      <c r="E1042" s="21"/>
      <c r="F1042" s="22"/>
      <c r="G1042" s="22"/>
      <c r="H1042" s="24"/>
      <c r="I1042" s="25"/>
      <c r="J1042" s="24"/>
      <c r="K1042" s="51"/>
      <c r="L1042" s="31" t="s">
        <v>147</v>
      </c>
      <c r="M1042" s="31" t="s">
        <v>13</v>
      </c>
      <c r="N1042" s="51">
        <v>3</v>
      </c>
      <c r="O1042" s="45">
        <v>108</v>
      </c>
      <c r="P1042" s="35">
        <v>100</v>
      </c>
      <c r="Q1042" s="40">
        <v>7100</v>
      </c>
      <c r="R1042" s="36">
        <f t="shared" si="148"/>
        <v>766800</v>
      </c>
      <c r="S1042" s="37">
        <v>7</v>
      </c>
      <c r="T1042" s="28">
        <f t="shared" si="149"/>
        <v>53676</v>
      </c>
      <c r="U1042" s="36">
        <f t="shared" si="150"/>
        <v>713124</v>
      </c>
      <c r="V1042" s="20"/>
      <c r="W1042" s="26"/>
      <c r="X1042" s="27"/>
      <c r="Y1042" s="20"/>
      <c r="Z1042" s="20"/>
    </row>
    <row r="1043" spans="1:26" s="29" customFormat="1" ht="90.75" customHeight="1" x14ac:dyDescent="0.25">
      <c r="A1043" s="20"/>
      <c r="B1043" s="20"/>
      <c r="C1043" s="20"/>
      <c r="D1043" s="21"/>
      <c r="E1043" s="21"/>
      <c r="F1043" s="22"/>
      <c r="G1043" s="22"/>
      <c r="H1043" s="24"/>
      <c r="I1043" s="25"/>
      <c r="J1043" s="24"/>
      <c r="K1043" s="51">
        <v>6</v>
      </c>
      <c r="L1043" s="31" t="s">
        <v>14</v>
      </c>
      <c r="M1043" s="31" t="s">
        <v>13</v>
      </c>
      <c r="N1043" s="51">
        <v>3</v>
      </c>
      <c r="O1043" s="45">
        <v>1800</v>
      </c>
      <c r="P1043" s="35">
        <v>100</v>
      </c>
      <c r="Q1043" s="40">
        <v>3500</v>
      </c>
      <c r="R1043" s="36">
        <f t="shared" si="148"/>
        <v>6300000</v>
      </c>
      <c r="S1043" s="37">
        <v>7</v>
      </c>
      <c r="T1043" s="28">
        <f t="shared" si="149"/>
        <v>441000</v>
      </c>
      <c r="U1043" s="36">
        <f t="shared" si="150"/>
        <v>5859000</v>
      </c>
      <c r="V1043" s="20"/>
      <c r="W1043" s="26"/>
      <c r="X1043" s="27"/>
      <c r="Y1043" s="20"/>
      <c r="Z1043" s="20"/>
    </row>
    <row r="1044" spans="1:26" s="29" customFormat="1" ht="90.75" customHeight="1" x14ac:dyDescent="0.25">
      <c r="A1044" s="20"/>
      <c r="B1044" s="20"/>
      <c r="C1044" s="20"/>
      <c r="D1044" s="21"/>
      <c r="E1044" s="21"/>
      <c r="F1044" s="22"/>
      <c r="G1044" s="22"/>
      <c r="H1044" s="24"/>
      <c r="I1044" s="25"/>
      <c r="J1044" s="24"/>
      <c r="K1044" s="51">
        <v>7</v>
      </c>
      <c r="L1044" s="31" t="s">
        <v>14</v>
      </c>
      <c r="M1044" s="31" t="s">
        <v>13</v>
      </c>
      <c r="N1044" s="51">
        <v>3</v>
      </c>
      <c r="O1044" s="45">
        <v>1800</v>
      </c>
      <c r="P1044" s="35">
        <v>100</v>
      </c>
      <c r="Q1044" s="40">
        <v>3500</v>
      </c>
      <c r="R1044" s="36">
        <f t="shared" si="148"/>
        <v>6300000</v>
      </c>
      <c r="S1044" s="37">
        <v>7</v>
      </c>
      <c r="T1044" s="28">
        <f t="shared" si="149"/>
        <v>441000</v>
      </c>
      <c r="U1044" s="36">
        <f t="shared" si="150"/>
        <v>5859000</v>
      </c>
      <c r="V1044" s="20"/>
      <c r="W1044" s="26"/>
      <c r="X1044" s="27"/>
      <c r="Y1044" s="20"/>
      <c r="Z1044" s="20"/>
    </row>
    <row r="1045" spans="1:26" s="29" customFormat="1" ht="90.75" customHeight="1" x14ac:dyDescent="0.25">
      <c r="A1045" s="20"/>
      <c r="B1045" s="20"/>
      <c r="C1045" s="20"/>
      <c r="D1045" s="21"/>
      <c r="E1045" s="21"/>
      <c r="F1045" s="22"/>
      <c r="G1045" s="22"/>
      <c r="H1045" s="24"/>
      <c r="I1045" s="25"/>
      <c r="J1045" s="24"/>
      <c r="K1045" s="51">
        <v>8</v>
      </c>
      <c r="L1045" s="31" t="s">
        <v>14</v>
      </c>
      <c r="M1045" s="31" t="s">
        <v>13</v>
      </c>
      <c r="N1045" s="51">
        <v>3</v>
      </c>
      <c r="O1045" s="45">
        <v>1800</v>
      </c>
      <c r="P1045" s="35">
        <v>100</v>
      </c>
      <c r="Q1045" s="40">
        <v>3500</v>
      </c>
      <c r="R1045" s="36">
        <f t="shared" si="148"/>
        <v>6300000</v>
      </c>
      <c r="S1045" s="37">
        <v>7</v>
      </c>
      <c r="T1045" s="28">
        <f t="shared" si="149"/>
        <v>441000</v>
      </c>
      <c r="U1045" s="36">
        <f t="shared" si="150"/>
        <v>5859000</v>
      </c>
      <c r="V1045" s="20"/>
      <c r="W1045" s="26"/>
      <c r="X1045" s="27"/>
      <c r="Y1045" s="20"/>
      <c r="Z1045" s="20"/>
    </row>
    <row r="1046" spans="1:26" s="29" customFormat="1" ht="90.75" customHeight="1" x14ac:dyDescent="0.25">
      <c r="A1046" s="20"/>
      <c r="B1046" s="20"/>
      <c r="C1046" s="20"/>
      <c r="D1046" s="21"/>
      <c r="E1046" s="21"/>
      <c r="F1046" s="22"/>
      <c r="G1046" s="22"/>
      <c r="H1046" s="24"/>
      <c r="I1046" s="25"/>
      <c r="J1046" s="24"/>
      <c r="K1046" s="51">
        <v>9</v>
      </c>
      <c r="L1046" s="31" t="s">
        <v>29</v>
      </c>
      <c r="M1046" s="31" t="s">
        <v>13</v>
      </c>
      <c r="N1046" s="51">
        <v>3</v>
      </c>
      <c r="O1046" s="45">
        <v>24</v>
      </c>
      <c r="P1046" s="35">
        <v>100</v>
      </c>
      <c r="Q1046" s="40">
        <v>5550</v>
      </c>
      <c r="R1046" s="36">
        <f t="shared" si="148"/>
        <v>133200</v>
      </c>
      <c r="S1046" s="37">
        <v>7</v>
      </c>
      <c r="T1046" s="28">
        <f t="shared" si="149"/>
        <v>9324</v>
      </c>
      <c r="U1046" s="36">
        <f t="shared" si="150"/>
        <v>123876</v>
      </c>
      <c r="V1046" s="20"/>
      <c r="W1046" s="26"/>
      <c r="X1046" s="27"/>
      <c r="Y1046" s="20"/>
      <c r="Z1046" s="20"/>
    </row>
    <row r="1047" spans="1:26" s="29" customFormat="1" ht="90.75" customHeight="1" x14ac:dyDescent="0.25">
      <c r="A1047" s="20"/>
      <c r="B1047" s="20"/>
      <c r="C1047" s="20"/>
      <c r="D1047" s="21"/>
      <c r="E1047" s="21"/>
      <c r="F1047" s="22"/>
      <c r="G1047" s="22"/>
      <c r="H1047" s="24"/>
      <c r="I1047" s="25"/>
      <c r="J1047" s="24"/>
      <c r="K1047" s="30">
        <v>10</v>
      </c>
      <c r="L1047" s="31" t="s">
        <v>215</v>
      </c>
      <c r="M1047" s="31" t="s">
        <v>13</v>
      </c>
      <c r="N1047" s="51">
        <v>3</v>
      </c>
      <c r="O1047" s="45">
        <v>7</v>
      </c>
      <c r="P1047" s="46">
        <v>100</v>
      </c>
      <c r="Q1047" s="44">
        <v>6450</v>
      </c>
      <c r="R1047" s="48">
        <f t="shared" si="148"/>
        <v>45150</v>
      </c>
      <c r="S1047" s="37">
        <v>7</v>
      </c>
      <c r="T1047" s="28">
        <f t="shared" si="149"/>
        <v>3160.5</v>
      </c>
      <c r="U1047" s="36">
        <f t="shared" si="150"/>
        <v>41989.5</v>
      </c>
      <c r="V1047" s="20"/>
      <c r="W1047" s="26"/>
      <c r="X1047" s="27"/>
      <c r="Y1047" s="20"/>
      <c r="Z1047" s="20"/>
    </row>
    <row r="1048" spans="1:26" s="29" customFormat="1" ht="90.75" customHeight="1" x14ac:dyDescent="0.25">
      <c r="A1048" s="20"/>
      <c r="B1048" s="20"/>
      <c r="C1048" s="20"/>
      <c r="D1048" s="21"/>
      <c r="E1048" s="21"/>
      <c r="F1048" s="22"/>
      <c r="G1048" s="22"/>
      <c r="H1048" s="24"/>
      <c r="I1048" s="25"/>
      <c r="J1048" s="24"/>
      <c r="K1048" s="30"/>
      <c r="L1048" s="31"/>
      <c r="M1048" s="31"/>
      <c r="N1048" s="51"/>
      <c r="O1048" s="45"/>
      <c r="P1048" s="46"/>
      <c r="Q1048" s="44"/>
      <c r="R1048" s="48"/>
      <c r="S1048" s="37"/>
      <c r="T1048" s="28"/>
      <c r="U1048" s="36">
        <f>SUM(U1034:U1047)</f>
        <v>49890361.5</v>
      </c>
      <c r="V1048" s="27">
        <f>(J1034+U1048)</f>
        <v>80071861.5</v>
      </c>
      <c r="W1048" s="26">
        <f>(V1048*100/100)</f>
        <v>80071861.5</v>
      </c>
      <c r="X1048" s="27">
        <v>0</v>
      </c>
      <c r="Y1048" s="78">
        <f>(W1048-X1048)</f>
        <v>80071861.5</v>
      </c>
      <c r="Z1048" s="49" t="s">
        <v>264</v>
      </c>
    </row>
    <row r="1049" spans="1:26" s="29" customFormat="1" ht="90.75" customHeight="1" x14ac:dyDescent="0.25">
      <c r="A1049" s="20">
        <v>776</v>
      </c>
      <c r="B1049" s="20" t="s">
        <v>0</v>
      </c>
      <c r="C1049" s="20">
        <v>48028</v>
      </c>
      <c r="D1049" s="21">
        <v>35</v>
      </c>
      <c r="E1049" s="21">
        <v>0</v>
      </c>
      <c r="F1049" s="22">
        <v>0</v>
      </c>
      <c r="G1049" s="21" t="s">
        <v>209</v>
      </c>
      <c r="H1049" s="36">
        <f>(D1049*400)+(E1049*100)+F1049</f>
        <v>14000</v>
      </c>
      <c r="I1049" s="40" t="s">
        <v>123</v>
      </c>
      <c r="J1049" s="65">
        <f>(H1049*I1049)</f>
        <v>63000000</v>
      </c>
      <c r="K1049" s="20"/>
      <c r="L1049" s="20"/>
      <c r="M1049" s="20"/>
      <c r="N1049" s="20"/>
      <c r="O1049" s="24"/>
      <c r="P1049" s="24"/>
      <c r="Q1049" s="25"/>
      <c r="R1049" s="24"/>
      <c r="S1049" s="20" t="s">
        <v>2</v>
      </c>
      <c r="T1049" s="27"/>
      <c r="U1049" s="20"/>
      <c r="V1049" s="27">
        <f>(J1049+U1049)</f>
        <v>63000000</v>
      </c>
      <c r="W1049" s="26">
        <f>(V1049*100/100)</f>
        <v>63000000</v>
      </c>
      <c r="X1049" s="27">
        <v>0</v>
      </c>
      <c r="Y1049" s="78">
        <f>(W1049-X1049)</f>
        <v>63000000</v>
      </c>
      <c r="Z1049" s="49" t="s">
        <v>264</v>
      </c>
    </row>
    <row r="1050" spans="1:26" s="29" customFormat="1" ht="90.75" customHeight="1" x14ac:dyDescent="0.25">
      <c r="A1050" s="20">
        <v>777</v>
      </c>
      <c r="B1050" s="20" t="s">
        <v>0</v>
      </c>
      <c r="C1050" s="20">
        <v>48027</v>
      </c>
      <c r="D1050" s="21">
        <v>35</v>
      </c>
      <c r="E1050" s="21">
        <v>0</v>
      </c>
      <c r="F1050" s="22">
        <v>0</v>
      </c>
      <c r="G1050" s="21" t="s">
        <v>209</v>
      </c>
      <c r="H1050" s="36">
        <f>(D1050*400)+(E1050*100)+F1050</f>
        <v>14000</v>
      </c>
      <c r="I1050" s="40" t="s">
        <v>123</v>
      </c>
      <c r="J1050" s="65">
        <f>(H1050*I1050)</f>
        <v>63000000</v>
      </c>
      <c r="K1050" s="20"/>
      <c r="L1050" s="20"/>
      <c r="M1050" s="20"/>
      <c r="N1050" s="20"/>
      <c r="O1050" s="24"/>
      <c r="P1050" s="24"/>
      <c r="Q1050" s="25"/>
      <c r="R1050" s="24"/>
      <c r="S1050" s="20" t="s">
        <v>2</v>
      </c>
      <c r="T1050" s="27"/>
      <c r="U1050" s="20"/>
      <c r="V1050" s="27">
        <f>(J1050+U1050)</f>
        <v>63000000</v>
      </c>
      <c r="W1050" s="26">
        <f>(V1050*100/100)</f>
        <v>63000000</v>
      </c>
      <c r="X1050" s="27">
        <v>0</v>
      </c>
      <c r="Y1050" s="78">
        <f>(W1050-X1050)</f>
        <v>63000000</v>
      </c>
      <c r="Z1050" s="49" t="s">
        <v>264</v>
      </c>
    </row>
    <row r="1051" spans="1:26" s="29" customFormat="1" ht="90.75" customHeight="1" x14ac:dyDescent="0.25">
      <c r="A1051" s="20">
        <v>778</v>
      </c>
      <c r="B1051" s="20" t="s">
        <v>0</v>
      </c>
      <c r="C1051" s="20">
        <v>48022</v>
      </c>
      <c r="D1051" s="21">
        <v>283</v>
      </c>
      <c r="E1051" s="21">
        <v>3</v>
      </c>
      <c r="F1051" s="22">
        <v>98</v>
      </c>
      <c r="G1051" s="21" t="s">
        <v>209</v>
      </c>
      <c r="H1051" s="36">
        <f>(D1051*400)+(E1051*100)+F1051</f>
        <v>113598</v>
      </c>
      <c r="I1051" s="40" t="s">
        <v>123</v>
      </c>
      <c r="J1051" s="65">
        <f>(H1051*I1051)</f>
        <v>511191000</v>
      </c>
      <c r="K1051" s="20"/>
      <c r="L1051" s="20"/>
      <c r="M1051" s="20"/>
      <c r="N1051" s="20"/>
      <c r="O1051" s="24"/>
      <c r="P1051" s="24"/>
      <c r="Q1051" s="25"/>
      <c r="R1051" s="24"/>
      <c r="S1051" s="20"/>
      <c r="T1051" s="27"/>
      <c r="U1051" s="20"/>
      <c r="V1051" s="27"/>
      <c r="W1051" s="26"/>
      <c r="X1051" s="27"/>
      <c r="Y1051" s="78"/>
      <c r="Z1051" s="49"/>
    </row>
    <row r="1052" spans="1:26" s="29" customFormat="1" ht="90.75" customHeight="1" x14ac:dyDescent="0.25">
      <c r="A1052" s="20"/>
      <c r="B1052" s="20"/>
      <c r="C1052" s="20"/>
      <c r="D1052" s="21"/>
      <c r="E1052" s="21"/>
      <c r="F1052" s="22"/>
      <c r="G1052" s="22"/>
      <c r="H1052" s="36">
        <v>1440</v>
      </c>
      <c r="I1052" s="40">
        <v>4500</v>
      </c>
      <c r="J1052" s="28">
        <f>(H1052*I1052)</f>
        <v>6480000</v>
      </c>
      <c r="K1052" s="30">
        <v>1</v>
      </c>
      <c r="L1052" s="31" t="s">
        <v>15</v>
      </c>
      <c r="M1052" s="31" t="s">
        <v>251</v>
      </c>
      <c r="N1052" s="51"/>
      <c r="O1052" s="45">
        <v>2500</v>
      </c>
      <c r="P1052" s="35"/>
      <c r="Q1052" s="40"/>
      <c r="R1052" s="36"/>
      <c r="S1052" s="37"/>
      <c r="T1052" s="28"/>
      <c r="U1052" s="36">
        <f>SUM(U1053:U1055)</f>
        <v>13991038</v>
      </c>
      <c r="V1052" s="36">
        <f>(J1052+U1052)</f>
        <v>20471038</v>
      </c>
      <c r="W1052" s="36">
        <f>(V1052*100/100)</f>
        <v>20471038</v>
      </c>
      <c r="X1052" s="28">
        <v>0</v>
      </c>
      <c r="Y1052" s="28">
        <f>(W1052-X1052)</f>
        <v>20471038</v>
      </c>
      <c r="Z1052" s="49">
        <v>3.0000000000000001E-3</v>
      </c>
    </row>
    <row r="1053" spans="1:26" s="29" customFormat="1" ht="90.75" customHeight="1" x14ac:dyDescent="0.25">
      <c r="A1053" s="20"/>
      <c r="B1053" s="20"/>
      <c r="C1053" s="20"/>
      <c r="D1053" s="21"/>
      <c r="E1053" s="21"/>
      <c r="F1053" s="22"/>
      <c r="G1053" s="21"/>
      <c r="H1053" s="36"/>
      <c r="I1053" s="40"/>
      <c r="J1053" s="28"/>
      <c r="K1053" s="30"/>
      <c r="L1053" s="31" t="s">
        <v>39</v>
      </c>
      <c r="M1053" s="31" t="s">
        <v>104</v>
      </c>
      <c r="N1053" s="51"/>
      <c r="O1053" s="45">
        <v>250</v>
      </c>
      <c r="P1053" s="35">
        <v>10</v>
      </c>
      <c r="Q1053" s="40">
        <v>7100</v>
      </c>
      <c r="R1053" s="36">
        <f>(O1053*Q1053)</f>
        <v>1775000</v>
      </c>
      <c r="S1053" s="37">
        <v>8</v>
      </c>
      <c r="T1053" s="28">
        <f>(R1053*8/100)</f>
        <v>142000</v>
      </c>
      <c r="U1053" s="36">
        <f>(R1053-T1053)</f>
        <v>1633000</v>
      </c>
      <c r="V1053" s="36"/>
      <c r="W1053" s="36"/>
      <c r="X1053" s="28"/>
      <c r="Y1053" s="28"/>
      <c r="Z1053" s="52"/>
    </row>
    <row r="1054" spans="1:26" s="29" customFormat="1" ht="90.75" customHeight="1" x14ac:dyDescent="0.25">
      <c r="A1054" s="20"/>
      <c r="B1054" s="20"/>
      <c r="C1054" s="20"/>
      <c r="D1054" s="21"/>
      <c r="E1054" s="21"/>
      <c r="F1054" s="22"/>
      <c r="G1054" s="21"/>
      <c r="H1054" s="36"/>
      <c r="I1054" s="40"/>
      <c r="J1054" s="28"/>
      <c r="K1054" s="30"/>
      <c r="L1054" s="31" t="s">
        <v>25</v>
      </c>
      <c r="M1054" s="31" t="s">
        <v>103</v>
      </c>
      <c r="N1054" s="51"/>
      <c r="O1054" s="45">
        <v>2250</v>
      </c>
      <c r="P1054" s="35">
        <v>90</v>
      </c>
      <c r="Q1054" s="40">
        <v>5950</v>
      </c>
      <c r="R1054" s="36">
        <f>(O1054*Q1054)</f>
        <v>13387500</v>
      </c>
      <c r="S1054" s="37">
        <v>8</v>
      </c>
      <c r="T1054" s="28">
        <f>(R1054*8/100)</f>
        <v>1071000</v>
      </c>
      <c r="U1054" s="36">
        <f>(R1054-T1054)</f>
        <v>12316500</v>
      </c>
      <c r="V1054" s="36"/>
      <c r="W1054" s="36"/>
      <c r="X1054" s="28"/>
      <c r="Y1054" s="28"/>
      <c r="Z1054" s="52"/>
    </row>
    <row r="1055" spans="1:26" s="29" customFormat="1" ht="90.75" customHeight="1" x14ac:dyDescent="0.25">
      <c r="A1055" s="20"/>
      <c r="B1055" s="20"/>
      <c r="C1055" s="20"/>
      <c r="D1055" s="21"/>
      <c r="E1055" s="21"/>
      <c r="F1055" s="22"/>
      <c r="G1055" s="21"/>
      <c r="H1055" s="36"/>
      <c r="I1055" s="40"/>
      <c r="J1055" s="28"/>
      <c r="K1055" s="30">
        <v>2</v>
      </c>
      <c r="L1055" s="31" t="s">
        <v>215</v>
      </c>
      <c r="M1055" s="31" t="s">
        <v>13</v>
      </c>
      <c r="N1055" s="51">
        <v>3</v>
      </c>
      <c r="O1055" s="45">
        <v>7</v>
      </c>
      <c r="P1055" s="35">
        <v>100</v>
      </c>
      <c r="Q1055" s="40">
        <v>6450</v>
      </c>
      <c r="R1055" s="36">
        <f>(O1055*Q1055)</f>
        <v>45150</v>
      </c>
      <c r="S1055" s="37">
        <v>8</v>
      </c>
      <c r="T1055" s="28">
        <f>(R1055*8/100)</f>
        <v>3612</v>
      </c>
      <c r="U1055" s="36">
        <f>(R1055-T1055)</f>
        <v>41538</v>
      </c>
      <c r="V1055" s="36"/>
      <c r="W1055" s="36"/>
      <c r="X1055" s="28"/>
      <c r="Y1055" s="28"/>
      <c r="Z1055" s="52"/>
    </row>
    <row r="1056" spans="1:26" s="29" customFormat="1" ht="90.75" customHeight="1" x14ac:dyDescent="0.25">
      <c r="A1056" s="20"/>
      <c r="B1056" s="20"/>
      <c r="C1056" s="20"/>
      <c r="D1056" s="21"/>
      <c r="E1056" s="21"/>
      <c r="F1056" s="22"/>
      <c r="G1056" s="21"/>
      <c r="H1056" s="36">
        <v>1968</v>
      </c>
      <c r="I1056" s="40">
        <v>4500</v>
      </c>
      <c r="J1056" s="28">
        <f>(H1056*I1056)</f>
        <v>8856000</v>
      </c>
      <c r="K1056" s="30">
        <v>3</v>
      </c>
      <c r="L1056" s="31" t="s">
        <v>15</v>
      </c>
      <c r="M1056" s="31" t="s">
        <v>13</v>
      </c>
      <c r="N1056" s="51">
        <v>3</v>
      </c>
      <c r="O1056" s="45">
        <v>2750</v>
      </c>
      <c r="P1056" s="35">
        <v>100</v>
      </c>
      <c r="Q1056" s="40"/>
      <c r="R1056" s="36"/>
      <c r="S1056" s="37"/>
      <c r="T1056" s="28"/>
      <c r="U1056" s="36">
        <f>SUM(U1057:U1059)</f>
        <v>15359538</v>
      </c>
      <c r="V1056" s="36">
        <f>(J1056+U1056)</f>
        <v>24215538</v>
      </c>
      <c r="W1056" s="36">
        <f>(V1056*100/100)</f>
        <v>24215538</v>
      </c>
      <c r="X1056" s="28">
        <v>0</v>
      </c>
      <c r="Y1056" s="28">
        <f>(W1056-X1056)</f>
        <v>24215538</v>
      </c>
      <c r="Z1056" s="49">
        <v>3.0000000000000001E-3</v>
      </c>
    </row>
    <row r="1057" spans="1:26" s="29" customFormat="1" ht="90.75" customHeight="1" x14ac:dyDescent="0.25">
      <c r="A1057" s="20"/>
      <c r="B1057" s="20"/>
      <c r="C1057" s="20"/>
      <c r="D1057" s="21"/>
      <c r="E1057" s="21"/>
      <c r="F1057" s="22"/>
      <c r="G1057" s="21"/>
      <c r="H1057" s="36"/>
      <c r="I1057" s="40"/>
      <c r="J1057" s="28"/>
      <c r="K1057" s="30"/>
      <c r="L1057" s="31" t="s">
        <v>39</v>
      </c>
      <c r="M1057" s="31" t="s">
        <v>104</v>
      </c>
      <c r="N1057" s="51"/>
      <c r="O1057" s="45">
        <v>250</v>
      </c>
      <c r="P1057" s="35">
        <v>9.1</v>
      </c>
      <c r="Q1057" s="40">
        <v>7100</v>
      </c>
      <c r="R1057" s="36">
        <f>(O1057*Q1057)</f>
        <v>1775000</v>
      </c>
      <c r="S1057" s="37">
        <v>8</v>
      </c>
      <c r="T1057" s="28">
        <f>(R1057*8/100)</f>
        <v>142000</v>
      </c>
      <c r="U1057" s="36">
        <f>(R1057-T1057)</f>
        <v>1633000</v>
      </c>
      <c r="V1057" s="36"/>
      <c r="W1057" s="36"/>
      <c r="X1057" s="28"/>
      <c r="Y1057" s="28"/>
      <c r="Z1057" s="52"/>
    </row>
    <row r="1058" spans="1:26" s="29" customFormat="1" ht="90.75" customHeight="1" x14ac:dyDescent="0.25">
      <c r="A1058" s="20"/>
      <c r="B1058" s="20"/>
      <c r="C1058" s="20"/>
      <c r="D1058" s="21"/>
      <c r="E1058" s="21"/>
      <c r="F1058" s="22"/>
      <c r="G1058" s="21"/>
      <c r="H1058" s="36"/>
      <c r="I1058" s="40"/>
      <c r="J1058" s="28"/>
      <c r="K1058" s="30"/>
      <c r="L1058" s="31" t="s">
        <v>25</v>
      </c>
      <c r="M1058" s="31" t="s">
        <v>103</v>
      </c>
      <c r="N1058" s="51"/>
      <c r="O1058" s="45">
        <v>2500</v>
      </c>
      <c r="P1058" s="35">
        <v>90.9</v>
      </c>
      <c r="Q1058" s="40">
        <v>5950</v>
      </c>
      <c r="R1058" s="36">
        <f>(O1058*Q1058)</f>
        <v>14875000</v>
      </c>
      <c r="S1058" s="37">
        <v>8</v>
      </c>
      <c r="T1058" s="28">
        <f>(R1058*8/100)</f>
        <v>1190000</v>
      </c>
      <c r="U1058" s="36">
        <f>(R1058-T1058)</f>
        <v>13685000</v>
      </c>
      <c r="V1058" s="36"/>
      <c r="W1058" s="36"/>
      <c r="X1058" s="28"/>
      <c r="Y1058" s="28"/>
      <c r="Z1058" s="52"/>
    </row>
    <row r="1059" spans="1:26" s="29" customFormat="1" ht="90.75" customHeight="1" x14ac:dyDescent="0.25">
      <c r="A1059" s="20"/>
      <c r="B1059" s="20"/>
      <c r="C1059" s="20"/>
      <c r="D1059" s="21"/>
      <c r="E1059" s="21"/>
      <c r="F1059" s="22"/>
      <c r="G1059" s="21"/>
      <c r="H1059" s="36"/>
      <c r="I1059" s="40"/>
      <c r="J1059" s="28"/>
      <c r="K1059" s="30">
        <v>4</v>
      </c>
      <c r="L1059" s="31" t="s">
        <v>215</v>
      </c>
      <c r="M1059" s="31" t="s">
        <v>13</v>
      </c>
      <c r="N1059" s="51">
        <v>3</v>
      </c>
      <c r="O1059" s="45">
        <v>7</v>
      </c>
      <c r="P1059" s="35">
        <v>100</v>
      </c>
      <c r="Q1059" s="40">
        <v>6450</v>
      </c>
      <c r="R1059" s="36">
        <f>(O1059*Q1059)</f>
        <v>45150</v>
      </c>
      <c r="S1059" s="37">
        <v>8</v>
      </c>
      <c r="T1059" s="28">
        <f>(R1059*8/100)</f>
        <v>3612</v>
      </c>
      <c r="U1059" s="36">
        <f>(R1059-T1059)</f>
        <v>41538</v>
      </c>
      <c r="V1059" s="36"/>
      <c r="W1059" s="36"/>
      <c r="X1059" s="28"/>
      <c r="Y1059" s="28"/>
      <c r="Z1059" s="52"/>
    </row>
    <row r="1060" spans="1:26" s="29" customFormat="1" ht="90.75" customHeight="1" x14ac:dyDescent="0.25">
      <c r="A1060" s="20"/>
      <c r="B1060" s="20"/>
      <c r="C1060" s="20"/>
      <c r="D1060" s="21"/>
      <c r="E1060" s="21"/>
      <c r="F1060" s="22"/>
      <c r="G1060" s="21"/>
      <c r="H1060" s="36">
        <v>2320</v>
      </c>
      <c r="I1060" s="40">
        <v>4500</v>
      </c>
      <c r="J1060" s="28">
        <f>(H1060*I1060)</f>
        <v>10440000</v>
      </c>
      <c r="K1060" s="30">
        <v>5</v>
      </c>
      <c r="L1060" s="31" t="s">
        <v>15</v>
      </c>
      <c r="M1060" s="31" t="s">
        <v>13</v>
      </c>
      <c r="N1060" s="51">
        <v>3</v>
      </c>
      <c r="O1060" s="45">
        <v>3600</v>
      </c>
      <c r="P1060" s="35">
        <v>100</v>
      </c>
      <c r="Q1060" s="40"/>
      <c r="R1060" s="36"/>
      <c r="S1060" s="37"/>
      <c r="T1060" s="28"/>
      <c r="U1060" s="36">
        <f>SUM(U1061:U1063)</f>
        <v>20065338</v>
      </c>
      <c r="V1060" s="36">
        <f>(J1060+U1060)</f>
        <v>30505338</v>
      </c>
      <c r="W1060" s="36">
        <f>(V1060*100/100)</f>
        <v>30505338</v>
      </c>
      <c r="X1060" s="28">
        <v>0</v>
      </c>
      <c r="Y1060" s="28">
        <f>(W1060-X1060)</f>
        <v>30505338</v>
      </c>
      <c r="Z1060" s="49">
        <v>3.0000000000000001E-3</v>
      </c>
    </row>
    <row r="1061" spans="1:26" s="29" customFormat="1" ht="90.75" customHeight="1" x14ac:dyDescent="0.25">
      <c r="A1061" s="20"/>
      <c r="B1061" s="20"/>
      <c r="C1061" s="20"/>
      <c r="D1061" s="21"/>
      <c r="E1061" s="21"/>
      <c r="F1061" s="22"/>
      <c r="G1061" s="21"/>
      <c r="H1061" s="36"/>
      <c r="I1061" s="40"/>
      <c r="J1061" s="28"/>
      <c r="K1061" s="30"/>
      <c r="L1061" s="31" t="s">
        <v>39</v>
      </c>
      <c r="M1061" s="31" t="s">
        <v>104</v>
      </c>
      <c r="N1061" s="51"/>
      <c r="O1061" s="45">
        <v>300</v>
      </c>
      <c r="P1061" s="35">
        <v>8.33</v>
      </c>
      <c r="Q1061" s="40">
        <v>7100</v>
      </c>
      <c r="R1061" s="36">
        <f>(O1061*Q1061)</f>
        <v>2130000</v>
      </c>
      <c r="S1061" s="37">
        <v>8</v>
      </c>
      <c r="T1061" s="28">
        <f>(R1061*8/100)</f>
        <v>170400</v>
      </c>
      <c r="U1061" s="36">
        <f>(R1061-T1061)</f>
        <v>1959600</v>
      </c>
      <c r="V1061" s="36"/>
      <c r="W1061" s="36"/>
      <c r="X1061" s="28"/>
      <c r="Y1061" s="28"/>
      <c r="Z1061" s="52"/>
    </row>
    <row r="1062" spans="1:26" s="29" customFormat="1" ht="90.75" customHeight="1" x14ac:dyDescent="0.25">
      <c r="A1062" s="20"/>
      <c r="B1062" s="20"/>
      <c r="C1062" s="20"/>
      <c r="D1062" s="21"/>
      <c r="E1062" s="21"/>
      <c r="F1062" s="22"/>
      <c r="G1062" s="21"/>
      <c r="H1062" s="36"/>
      <c r="I1062" s="40"/>
      <c r="J1062" s="28"/>
      <c r="K1062" s="30"/>
      <c r="L1062" s="31" t="s">
        <v>25</v>
      </c>
      <c r="M1062" s="31" t="s">
        <v>103</v>
      </c>
      <c r="N1062" s="51"/>
      <c r="O1062" s="45">
        <v>3300</v>
      </c>
      <c r="P1062" s="35">
        <v>91.67</v>
      </c>
      <c r="Q1062" s="40">
        <v>5950</v>
      </c>
      <c r="R1062" s="36">
        <f>(O1062*Q1062)</f>
        <v>19635000</v>
      </c>
      <c r="S1062" s="37">
        <v>8</v>
      </c>
      <c r="T1062" s="28">
        <f>(R1062*8/100)</f>
        <v>1570800</v>
      </c>
      <c r="U1062" s="36">
        <f>(R1062-T1062)</f>
        <v>18064200</v>
      </c>
      <c r="V1062" s="36"/>
      <c r="W1062" s="36"/>
      <c r="X1062" s="28"/>
      <c r="Y1062" s="28"/>
      <c r="Z1062" s="52"/>
    </row>
    <row r="1063" spans="1:26" s="29" customFormat="1" ht="90.75" customHeight="1" x14ac:dyDescent="0.25">
      <c r="A1063" s="20"/>
      <c r="B1063" s="20"/>
      <c r="C1063" s="20"/>
      <c r="D1063" s="21"/>
      <c r="E1063" s="21"/>
      <c r="F1063" s="22"/>
      <c r="G1063" s="21"/>
      <c r="H1063" s="36"/>
      <c r="I1063" s="40"/>
      <c r="J1063" s="28"/>
      <c r="K1063" s="30">
        <v>6</v>
      </c>
      <c r="L1063" s="31" t="s">
        <v>215</v>
      </c>
      <c r="M1063" s="31" t="s">
        <v>13</v>
      </c>
      <c r="N1063" s="51">
        <v>3</v>
      </c>
      <c r="O1063" s="45">
        <v>7</v>
      </c>
      <c r="P1063" s="35">
        <v>100</v>
      </c>
      <c r="Q1063" s="40">
        <v>6450</v>
      </c>
      <c r="R1063" s="36">
        <f>(O1063*Q1063)</f>
        <v>45150</v>
      </c>
      <c r="S1063" s="37">
        <v>8</v>
      </c>
      <c r="T1063" s="28">
        <f>(R1063*8/100)</f>
        <v>3612</v>
      </c>
      <c r="U1063" s="36">
        <f>(R1063-T1063)</f>
        <v>41538</v>
      </c>
      <c r="V1063" s="36"/>
      <c r="W1063" s="36"/>
      <c r="X1063" s="28"/>
      <c r="Y1063" s="28"/>
      <c r="Z1063" s="52"/>
    </row>
    <row r="1064" spans="1:26" s="29" customFormat="1" ht="90.75" customHeight="1" x14ac:dyDescent="0.25">
      <c r="A1064" s="20"/>
      <c r="B1064" s="20"/>
      <c r="C1064" s="20"/>
      <c r="D1064" s="21"/>
      <c r="E1064" s="21"/>
      <c r="F1064" s="22"/>
      <c r="G1064" s="21"/>
      <c r="H1064" s="36">
        <v>1440</v>
      </c>
      <c r="I1064" s="40">
        <v>4500</v>
      </c>
      <c r="J1064" s="28">
        <f>(H1064*I1064)</f>
        <v>6480000</v>
      </c>
      <c r="K1064" s="30">
        <v>7</v>
      </c>
      <c r="L1064" s="31" t="s">
        <v>15</v>
      </c>
      <c r="M1064" s="31" t="s">
        <v>13</v>
      </c>
      <c r="N1064" s="51">
        <v>3</v>
      </c>
      <c r="O1064" s="45">
        <v>2000</v>
      </c>
      <c r="P1064" s="35">
        <v>100</v>
      </c>
      <c r="Q1064" s="40"/>
      <c r="R1064" s="36"/>
      <c r="S1064" s="37"/>
      <c r="T1064" s="28"/>
      <c r="U1064" s="36">
        <f>SUM(U1065:U1067)</f>
        <v>11254038</v>
      </c>
      <c r="V1064" s="36">
        <f>(J1064+U1064)</f>
        <v>17734038</v>
      </c>
      <c r="W1064" s="36">
        <f>(V1064*100/100)</f>
        <v>17734038</v>
      </c>
      <c r="X1064" s="28">
        <v>0</v>
      </c>
      <c r="Y1064" s="28">
        <f>(W1064-X1064)</f>
        <v>17734038</v>
      </c>
      <c r="Z1064" s="49">
        <v>3.0000000000000001E-3</v>
      </c>
    </row>
    <row r="1065" spans="1:26" s="29" customFormat="1" ht="90.75" customHeight="1" x14ac:dyDescent="0.25">
      <c r="A1065" s="20"/>
      <c r="B1065" s="20"/>
      <c r="C1065" s="20"/>
      <c r="D1065" s="21"/>
      <c r="E1065" s="21"/>
      <c r="F1065" s="22"/>
      <c r="G1065" s="21"/>
      <c r="H1065" s="36"/>
      <c r="I1065" s="40"/>
      <c r="J1065" s="28"/>
      <c r="K1065" s="30"/>
      <c r="L1065" s="31" t="s">
        <v>39</v>
      </c>
      <c r="M1065" s="31" t="s">
        <v>104</v>
      </c>
      <c r="N1065" s="51"/>
      <c r="O1065" s="45">
        <v>250</v>
      </c>
      <c r="P1065" s="35">
        <v>12.5</v>
      </c>
      <c r="Q1065" s="40">
        <v>7100</v>
      </c>
      <c r="R1065" s="36">
        <f>(O1065*Q1065)</f>
        <v>1775000</v>
      </c>
      <c r="S1065" s="37">
        <v>8</v>
      </c>
      <c r="T1065" s="28">
        <f>(R1065*8/100)</f>
        <v>142000</v>
      </c>
      <c r="U1065" s="36">
        <f>(R1065-T1065)</f>
        <v>1633000</v>
      </c>
      <c r="V1065" s="36"/>
      <c r="W1065" s="36"/>
      <c r="X1065" s="28"/>
      <c r="Y1065" s="28"/>
      <c r="Z1065" s="52"/>
    </row>
    <row r="1066" spans="1:26" s="29" customFormat="1" ht="90.75" customHeight="1" x14ac:dyDescent="0.25">
      <c r="A1066" s="20"/>
      <c r="B1066" s="20"/>
      <c r="C1066" s="20"/>
      <c r="D1066" s="21"/>
      <c r="E1066" s="21"/>
      <c r="F1066" s="22"/>
      <c r="G1066" s="21"/>
      <c r="H1066" s="36"/>
      <c r="I1066" s="40"/>
      <c r="J1066" s="28"/>
      <c r="K1066" s="30"/>
      <c r="L1066" s="31" t="s">
        <v>25</v>
      </c>
      <c r="M1066" s="31" t="s">
        <v>103</v>
      </c>
      <c r="N1066" s="51"/>
      <c r="O1066" s="45">
        <v>1750</v>
      </c>
      <c r="P1066" s="35">
        <v>87.5</v>
      </c>
      <c r="Q1066" s="40">
        <v>5950</v>
      </c>
      <c r="R1066" s="36">
        <f>(O1066*Q1066)</f>
        <v>10412500</v>
      </c>
      <c r="S1066" s="37">
        <v>8</v>
      </c>
      <c r="T1066" s="28">
        <f>(R1066*8/100)</f>
        <v>833000</v>
      </c>
      <c r="U1066" s="36">
        <f>(R1066-T1066)</f>
        <v>9579500</v>
      </c>
      <c r="V1066" s="36"/>
      <c r="W1066" s="36"/>
      <c r="X1066" s="28"/>
      <c r="Y1066" s="28"/>
      <c r="Z1066" s="52"/>
    </row>
    <row r="1067" spans="1:26" s="29" customFormat="1" ht="90.75" customHeight="1" x14ac:dyDescent="0.25">
      <c r="A1067" s="20"/>
      <c r="B1067" s="20"/>
      <c r="C1067" s="20"/>
      <c r="D1067" s="21"/>
      <c r="E1067" s="21"/>
      <c r="F1067" s="22"/>
      <c r="G1067" s="21"/>
      <c r="H1067" s="36"/>
      <c r="I1067" s="40"/>
      <c r="J1067" s="28"/>
      <c r="K1067" s="30">
        <v>8</v>
      </c>
      <c r="L1067" s="31" t="s">
        <v>215</v>
      </c>
      <c r="M1067" s="31" t="s">
        <v>13</v>
      </c>
      <c r="N1067" s="51">
        <v>3</v>
      </c>
      <c r="O1067" s="45">
        <v>7</v>
      </c>
      <c r="P1067" s="35">
        <v>100</v>
      </c>
      <c r="Q1067" s="40">
        <v>6450</v>
      </c>
      <c r="R1067" s="36">
        <f>(O1067*Q1067)</f>
        <v>45150</v>
      </c>
      <c r="S1067" s="37">
        <v>8</v>
      </c>
      <c r="T1067" s="28">
        <f>(R1067*8/100)</f>
        <v>3612</v>
      </c>
      <c r="U1067" s="36">
        <f>(R1067-T1067)</f>
        <v>41538</v>
      </c>
      <c r="V1067" s="36"/>
      <c r="W1067" s="36"/>
      <c r="X1067" s="28"/>
      <c r="Y1067" s="28"/>
      <c r="Z1067" s="52"/>
    </row>
    <row r="1068" spans="1:26" s="29" customFormat="1" ht="90.75" customHeight="1" x14ac:dyDescent="0.25">
      <c r="A1068" s="20"/>
      <c r="B1068" s="20"/>
      <c r="C1068" s="20"/>
      <c r="D1068" s="21"/>
      <c r="E1068" s="21"/>
      <c r="F1068" s="22"/>
      <c r="G1068" s="21"/>
      <c r="H1068" s="36">
        <v>1440</v>
      </c>
      <c r="I1068" s="40">
        <v>4500</v>
      </c>
      <c r="J1068" s="28">
        <f>(H1068*I1068)</f>
        <v>6480000</v>
      </c>
      <c r="K1068" s="30">
        <v>9</v>
      </c>
      <c r="L1068" s="31" t="s">
        <v>15</v>
      </c>
      <c r="M1068" s="31" t="s">
        <v>13</v>
      </c>
      <c r="N1068" s="51">
        <v>3</v>
      </c>
      <c r="O1068" s="45">
        <v>2000</v>
      </c>
      <c r="P1068" s="35">
        <v>100</v>
      </c>
      <c r="Q1068" s="40"/>
      <c r="R1068" s="36"/>
      <c r="S1068" s="37"/>
      <c r="T1068" s="28"/>
      <c r="U1068" s="36">
        <f>SUM(U1069:U1071)</f>
        <v>11254038</v>
      </c>
      <c r="V1068" s="36">
        <f>(J1068+U1068)</f>
        <v>17734038</v>
      </c>
      <c r="W1068" s="36">
        <f>(V1068*100/100)</f>
        <v>17734038</v>
      </c>
      <c r="X1068" s="28">
        <v>0</v>
      </c>
      <c r="Y1068" s="28">
        <f>(W1068-X1068)</f>
        <v>17734038</v>
      </c>
      <c r="Z1068" s="49">
        <v>3.0000000000000001E-3</v>
      </c>
    </row>
    <row r="1069" spans="1:26" s="29" customFormat="1" ht="90.75" customHeight="1" x14ac:dyDescent="0.25">
      <c r="A1069" s="20"/>
      <c r="B1069" s="20"/>
      <c r="C1069" s="20"/>
      <c r="D1069" s="21"/>
      <c r="E1069" s="21"/>
      <c r="F1069" s="22"/>
      <c r="G1069" s="21"/>
      <c r="H1069" s="36"/>
      <c r="I1069" s="40"/>
      <c r="J1069" s="28"/>
      <c r="K1069" s="30"/>
      <c r="L1069" s="31" t="s">
        <v>39</v>
      </c>
      <c r="M1069" s="31" t="s">
        <v>104</v>
      </c>
      <c r="N1069" s="51"/>
      <c r="O1069" s="45">
        <v>250</v>
      </c>
      <c r="P1069" s="35">
        <v>12.5</v>
      </c>
      <c r="Q1069" s="40">
        <v>7100</v>
      </c>
      <c r="R1069" s="36">
        <f>(O1069*Q1069)</f>
        <v>1775000</v>
      </c>
      <c r="S1069" s="37">
        <v>8</v>
      </c>
      <c r="T1069" s="28">
        <f>(R1069*8/100)</f>
        <v>142000</v>
      </c>
      <c r="U1069" s="36">
        <f>(R1069-T1069)</f>
        <v>1633000</v>
      </c>
      <c r="V1069" s="36"/>
      <c r="W1069" s="36"/>
      <c r="X1069" s="28"/>
      <c r="Y1069" s="28"/>
      <c r="Z1069" s="52"/>
    </row>
    <row r="1070" spans="1:26" s="29" customFormat="1" ht="90.75" customHeight="1" x14ac:dyDescent="0.25">
      <c r="A1070" s="20"/>
      <c r="B1070" s="20"/>
      <c r="C1070" s="20"/>
      <c r="D1070" s="21"/>
      <c r="E1070" s="21"/>
      <c r="F1070" s="22"/>
      <c r="G1070" s="21"/>
      <c r="H1070" s="36"/>
      <c r="I1070" s="40"/>
      <c r="J1070" s="28"/>
      <c r="K1070" s="30"/>
      <c r="L1070" s="31" t="s">
        <v>25</v>
      </c>
      <c r="M1070" s="31" t="s">
        <v>103</v>
      </c>
      <c r="N1070" s="51"/>
      <c r="O1070" s="45">
        <v>1750</v>
      </c>
      <c r="P1070" s="35">
        <v>87.5</v>
      </c>
      <c r="Q1070" s="40">
        <v>5950</v>
      </c>
      <c r="R1070" s="36">
        <f>(O1070*Q1070)</f>
        <v>10412500</v>
      </c>
      <c r="S1070" s="37">
        <v>8</v>
      </c>
      <c r="T1070" s="28">
        <f>(R1070*8/100)</f>
        <v>833000</v>
      </c>
      <c r="U1070" s="36">
        <f>(R1070-T1070)</f>
        <v>9579500</v>
      </c>
      <c r="V1070" s="36"/>
      <c r="W1070" s="36"/>
      <c r="X1070" s="28"/>
      <c r="Y1070" s="28"/>
      <c r="Z1070" s="52"/>
    </row>
    <row r="1071" spans="1:26" s="29" customFormat="1" ht="90.75" customHeight="1" x14ac:dyDescent="0.25">
      <c r="A1071" s="20"/>
      <c r="B1071" s="20"/>
      <c r="C1071" s="20"/>
      <c r="D1071" s="21"/>
      <c r="E1071" s="21"/>
      <c r="F1071" s="22"/>
      <c r="G1071" s="21"/>
      <c r="H1071" s="36"/>
      <c r="I1071" s="40"/>
      <c r="J1071" s="28"/>
      <c r="K1071" s="30">
        <v>10</v>
      </c>
      <c r="L1071" s="31" t="s">
        <v>215</v>
      </c>
      <c r="M1071" s="31" t="s">
        <v>13</v>
      </c>
      <c r="N1071" s="51">
        <v>3</v>
      </c>
      <c r="O1071" s="45">
        <v>7</v>
      </c>
      <c r="P1071" s="35">
        <v>100</v>
      </c>
      <c r="Q1071" s="40">
        <v>6450</v>
      </c>
      <c r="R1071" s="36">
        <f>(O1071*Q1071)</f>
        <v>45150</v>
      </c>
      <c r="S1071" s="37">
        <v>8</v>
      </c>
      <c r="T1071" s="28">
        <f>(R1071*8/100)</f>
        <v>3612</v>
      </c>
      <c r="U1071" s="36">
        <f>(R1071-T1071)</f>
        <v>41538</v>
      </c>
      <c r="V1071" s="36"/>
      <c r="W1071" s="36"/>
      <c r="X1071" s="28"/>
      <c r="Y1071" s="28"/>
      <c r="Z1071" s="52"/>
    </row>
    <row r="1072" spans="1:26" s="29" customFormat="1" ht="90.75" customHeight="1" x14ac:dyDescent="0.25">
      <c r="A1072" s="20"/>
      <c r="B1072" s="20"/>
      <c r="C1072" s="20"/>
      <c r="D1072" s="21"/>
      <c r="E1072" s="21"/>
      <c r="F1072" s="22"/>
      <c r="G1072" s="21"/>
      <c r="H1072" s="36">
        <v>1520</v>
      </c>
      <c r="I1072" s="40">
        <v>4500</v>
      </c>
      <c r="J1072" s="28">
        <f>(H1072*I1072)</f>
        <v>6840000</v>
      </c>
      <c r="K1072" s="30">
        <v>11</v>
      </c>
      <c r="L1072" s="31" t="s">
        <v>15</v>
      </c>
      <c r="M1072" s="31" t="s">
        <v>13</v>
      </c>
      <c r="N1072" s="51">
        <v>3</v>
      </c>
      <c r="O1072" s="45">
        <v>2400</v>
      </c>
      <c r="P1072" s="35">
        <v>100</v>
      </c>
      <c r="Q1072" s="40"/>
      <c r="R1072" s="36"/>
      <c r="S1072" s="37"/>
      <c r="T1072" s="28"/>
      <c r="U1072" s="36">
        <f>SUM(U1073:U1075)</f>
        <v>13496538</v>
      </c>
      <c r="V1072" s="36">
        <f>(J1072+U1072)</f>
        <v>20336538</v>
      </c>
      <c r="W1072" s="36">
        <f>(V1072*100/100)</f>
        <v>20336538</v>
      </c>
      <c r="X1072" s="28">
        <v>0</v>
      </c>
      <c r="Y1072" s="28">
        <f>(W1072-X1072)</f>
        <v>20336538</v>
      </c>
      <c r="Z1072" s="49">
        <v>3.0000000000000001E-3</v>
      </c>
    </row>
    <row r="1073" spans="1:26" s="29" customFormat="1" ht="90.75" customHeight="1" x14ac:dyDescent="0.25">
      <c r="A1073" s="20"/>
      <c r="B1073" s="20"/>
      <c r="C1073" s="20"/>
      <c r="D1073" s="21"/>
      <c r="E1073" s="21"/>
      <c r="F1073" s="22"/>
      <c r="G1073" s="21"/>
      <c r="H1073" s="36"/>
      <c r="I1073" s="40"/>
      <c r="J1073" s="28"/>
      <c r="K1073" s="30"/>
      <c r="L1073" s="31" t="s">
        <v>39</v>
      </c>
      <c r="M1073" s="31" t="s">
        <v>104</v>
      </c>
      <c r="N1073" s="51"/>
      <c r="O1073" s="45">
        <v>300</v>
      </c>
      <c r="P1073" s="35">
        <v>12.5</v>
      </c>
      <c r="Q1073" s="40">
        <v>7100</v>
      </c>
      <c r="R1073" s="36">
        <f>(O1073*Q1073)</f>
        <v>2130000</v>
      </c>
      <c r="S1073" s="37">
        <v>8</v>
      </c>
      <c r="T1073" s="28">
        <f>(R1073*8/100)</f>
        <v>170400</v>
      </c>
      <c r="U1073" s="36">
        <f>(R1073-T1073)</f>
        <v>1959600</v>
      </c>
      <c r="V1073" s="36"/>
      <c r="W1073" s="36"/>
      <c r="X1073" s="28"/>
      <c r="Y1073" s="28"/>
      <c r="Z1073" s="52"/>
    </row>
    <row r="1074" spans="1:26" s="29" customFormat="1" ht="90.75" customHeight="1" x14ac:dyDescent="0.25">
      <c r="A1074" s="20"/>
      <c r="B1074" s="20"/>
      <c r="C1074" s="20"/>
      <c r="D1074" s="21"/>
      <c r="E1074" s="21"/>
      <c r="F1074" s="22"/>
      <c r="G1074" s="21"/>
      <c r="H1074" s="36"/>
      <c r="I1074" s="40"/>
      <c r="J1074" s="28"/>
      <c r="K1074" s="30"/>
      <c r="L1074" s="31" t="s">
        <v>25</v>
      </c>
      <c r="M1074" s="31" t="s">
        <v>103</v>
      </c>
      <c r="N1074" s="51"/>
      <c r="O1074" s="45">
        <v>2100</v>
      </c>
      <c r="P1074" s="35">
        <v>87.5</v>
      </c>
      <c r="Q1074" s="40">
        <v>5950</v>
      </c>
      <c r="R1074" s="36">
        <f>(O1074*Q1074)</f>
        <v>12495000</v>
      </c>
      <c r="S1074" s="37">
        <v>8</v>
      </c>
      <c r="T1074" s="28">
        <f>(R1074*8/100)</f>
        <v>999600</v>
      </c>
      <c r="U1074" s="36">
        <f>(R1074-T1074)</f>
        <v>11495400</v>
      </c>
      <c r="V1074" s="36"/>
      <c r="W1074" s="36"/>
      <c r="X1074" s="28"/>
      <c r="Y1074" s="28"/>
      <c r="Z1074" s="52"/>
    </row>
    <row r="1075" spans="1:26" s="29" customFormat="1" ht="90.75" customHeight="1" x14ac:dyDescent="0.25">
      <c r="A1075" s="20"/>
      <c r="B1075" s="20"/>
      <c r="C1075" s="20"/>
      <c r="D1075" s="21"/>
      <c r="E1075" s="21"/>
      <c r="F1075" s="22"/>
      <c r="G1075" s="21"/>
      <c r="H1075" s="36"/>
      <c r="I1075" s="40"/>
      <c r="J1075" s="28"/>
      <c r="K1075" s="30">
        <v>12</v>
      </c>
      <c r="L1075" s="31" t="s">
        <v>215</v>
      </c>
      <c r="M1075" s="31" t="s">
        <v>13</v>
      </c>
      <c r="N1075" s="51">
        <v>3</v>
      </c>
      <c r="O1075" s="45">
        <v>7</v>
      </c>
      <c r="P1075" s="35">
        <v>100</v>
      </c>
      <c r="Q1075" s="40">
        <v>6450</v>
      </c>
      <c r="R1075" s="36">
        <f>(O1075*Q1075)</f>
        <v>45150</v>
      </c>
      <c r="S1075" s="37">
        <v>8</v>
      </c>
      <c r="T1075" s="28">
        <f>(R1075*8/100)</f>
        <v>3612</v>
      </c>
      <c r="U1075" s="36">
        <f>(R1075-T1075)</f>
        <v>41538</v>
      </c>
      <c r="V1075" s="36"/>
      <c r="W1075" s="36"/>
      <c r="X1075" s="28"/>
      <c r="Y1075" s="28"/>
      <c r="Z1075" s="52"/>
    </row>
    <row r="1076" spans="1:26" s="29" customFormat="1" ht="90.75" customHeight="1" x14ac:dyDescent="0.25">
      <c r="A1076" s="20"/>
      <c r="B1076" s="20"/>
      <c r="C1076" s="20"/>
      <c r="D1076" s="21"/>
      <c r="E1076" s="21"/>
      <c r="F1076" s="22"/>
      <c r="G1076" s="21"/>
      <c r="H1076" s="36">
        <v>2164</v>
      </c>
      <c r="I1076" s="40">
        <v>4500</v>
      </c>
      <c r="J1076" s="28">
        <f>(H1076*I1076)</f>
        <v>9738000</v>
      </c>
      <c r="K1076" s="30">
        <v>13</v>
      </c>
      <c r="L1076" s="31" t="s">
        <v>15</v>
      </c>
      <c r="M1076" s="31" t="s">
        <v>13</v>
      </c>
      <c r="N1076" s="51">
        <v>3</v>
      </c>
      <c r="O1076" s="45">
        <v>3200</v>
      </c>
      <c r="P1076" s="35">
        <v>100</v>
      </c>
      <c r="Q1076" s="40"/>
      <c r="R1076" s="36"/>
      <c r="S1076" s="37"/>
      <c r="T1076" s="28"/>
      <c r="U1076" s="36">
        <f>SUM(U1077:U1079)</f>
        <v>18176989.5</v>
      </c>
      <c r="V1076" s="36">
        <f>(J1076+U1076)</f>
        <v>27914989.5</v>
      </c>
      <c r="W1076" s="36">
        <f>(V1076*100/100)</f>
        <v>27914989.5</v>
      </c>
      <c r="X1076" s="28">
        <v>0</v>
      </c>
      <c r="Y1076" s="28">
        <f>(W1076-X1076)</f>
        <v>27914989.5</v>
      </c>
      <c r="Z1076" s="49">
        <v>3.0000000000000001E-3</v>
      </c>
    </row>
    <row r="1077" spans="1:26" s="29" customFormat="1" ht="90.75" customHeight="1" x14ac:dyDescent="0.25">
      <c r="A1077" s="20"/>
      <c r="B1077" s="20"/>
      <c r="C1077" s="20"/>
      <c r="D1077" s="21"/>
      <c r="E1077" s="21"/>
      <c r="F1077" s="22"/>
      <c r="G1077" s="21"/>
      <c r="H1077" s="36"/>
      <c r="I1077" s="40"/>
      <c r="J1077" s="28"/>
      <c r="K1077" s="30"/>
      <c r="L1077" s="31" t="s">
        <v>39</v>
      </c>
      <c r="M1077" s="31" t="s">
        <v>104</v>
      </c>
      <c r="N1077" s="51"/>
      <c r="O1077" s="45">
        <v>400</v>
      </c>
      <c r="P1077" s="35">
        <v>12.5</v>
      </c>
      <c r="Q1077" s="40">
        <v>7100</v>
      </c>
      <c r="R1077" s="36">
        <f>(O1077*Q1077)</f>
        <v>2840000</v>
      </c>
      <c r="S1077" s="37">
        <v>7</v>
      </c>
      <c r="T1077" s="28">
        <f>(R1077*7/100)</f>
        <v>198800</v>
      </c>
      <c r="U1077" s="36">
        <f>(R1077-T1077)</f>
        <v>2641200</v>
      </c>
      <c r="V1077" s="36"/>
      <c r="W1077" s="36"/>
      <c r="X1077" s="28"/>
      <c r="Y1077" s="28"/>
      <c r="Z1077" s="52"/>
    </row>
    <row r="1078" spans="1:26" s="29" customFormat="1" ht="90.75" customHeight="1" x14ac:dyDescent="0.25">
      <c r="A1078" s="20"/>
      <c r="B1078" s="20"/>
      <c r="C1078" s="20"/>
      <c r="D1078" s="21"/>
      <c r="E1078" s="21"/>
      <c r="F1078" s="22"/>
      <c r="G1078" s="21"/>
      <c r="H1078" s="36"/>
      <c r="I1078" s="40"/>
      <c r="J1078" s="28"/>
      <c r="K1078" s="30"/>
      <c r="L1078" s="31" t="s">
        <v>25</v>
      </c>
      <c r="M1078" s="31" t="s">
        <v>103</v>
      </c>
      <c r="N1078" s="51"/>
      <c r="O1078" s="45">
        <v>2800</v>
      </c>
      <c r="P1078" s="35">
        <v>87.5</v>
      </c>
      <c r="Q1078" s="40">
        <v>5950</v>
      </c>
      <c r="R1078" s="36">
        <f>(O1078*Q1078)</f>
        <v>16660000</v>
      </c>
      <c r="S1078" s="37">
        <v>7</v>
      </c>
      <c r="T1078" s="28">
        <f>(R1078*7/100)</f>
        <v>1166200</v>
      </c>
      <c r="U1078" s="36">
        <f>(R1078-T1078)</f>
        <v>15493800</v>
      </c>
      <c r="V1078" s="36"/>
      <c r="W1078" s="36"/>
      <c r="X1078" s="28"/>
      <c r="Y1078" s="28"/>
      <c r="Z1078" s="52"/>
    </row>
    <row r="1079" spans="1:26" s="29" customFormat="1" ht="90.75" customHeight="1" x14ac:dyDescent="0.25">
      <c r="A1079" s="20"/>
      <c r="B1079" s="20"/>
      <c r="C1079" s="20"/>
      <c r="D1079" s="21"/>
      <c r="E1079" s="21"/>
      <c r="F1079" s="22"/>
      <c r="G1079" s="21"/>
      <c r="H1079" s="36"/>
      <c r="I1079" s="40"/>
      <c r="J1079" s="28"/>
      <c r="K1079" s="30">
        <v>14</v>
      </c>
      <c r="L1079" s="31" t="s">
        <v>215</v>
      </c>
      <c r="M1079" s="31" t="s">
        <v>13</v>
      </c>
      <c r="N1079" s="51">
        <v>3</v>
      </c>
      <c r="O1079" s="45">
        <v>7</v>
      </c>
      <c r="P1079" s="35">
        <v>100</v>
      </c>
      <c r="Q1079" s="40">
        <v>6450</v>
      </c>
      <c r="R1079" s="36">
        <f>(O1079*Q1079)</f>
        <v>45150</v>
      </c>
      <c r="S1079" s="37">
        <v>7</v>
      </c>
      <c r="T1079" s="28">
        <f>(R1079*7/100)</f>
        <v>3160.5</v>
      </c>
      <c r="U1079" s="36">
        <f>(R1079-T1079)</f>
        <v>41989.5</v>
      </c>
      <c r="V1079" s="36"/>
      <c r="W1079" s="36"/>
      <c r="X1079" s="28"/>
      <c r="Y1079" s="28"/>
      <c r="Z1079" s="52"/>
    </row>
    <row r="1080" spans="1:26" s="29" customFormat="1" ht="90.75" customHeight="1" x14ac:dyDescent="0.25">
      <c r="A1080" s="20"/>
      <c r="B1080" s="20"/>
      <c r="C1080" s="20"/>
      <c r="D1080" s="21"/>
      <c r="E1080" s="21"/>
      <c r="F1080" s="22"/>
      <c r="G1080" s="21"/>
      <c r="H1080" s="36">
        <v>2228</v>
      </c>
      <c r="I1080" s="40">
        <v>4500</v>
      </c>
      <c r="J1080" s="28">
        <f>(H1080*I1080)</f>
        <v>10026000</v>
      </c>
      <c r="K1080" s="30">
        <v>15</v>
      </c>
      <c r="L1080" s="31" t="s">
        <v>15</v>
      </c>
      <c r="M1080" s="31" t="s">
        <v>13</v>
      </c>
      <c r="N1080" s="51">
        <v>3</v>
      </c>
      <c r="O1080" s="45">
        <v>4000</v>
      </c>
      <c r="P1080" s="35">
        <v>100</v>
      </c>
      <c r="Q1080" s="40"/>
      <c r="R1080" s="36"/>
      <c r="S1080" s="37"/>
      <c r="T1080" s="28"/>
      <c r="U1080" s="36">
        <f>SUM(U1081:U1083)</f>
        <v>22603789.5</v>
      </c>
      <c r="V1080" s="36">
        <f>(J1080+U1080)</f>
        <v>32629789.5</v>
      </c>
      <c r="W1080" s="36">
        <f>(V1080*100/100)</f>
        <v>32629789.5</v>
      </c>
      <c r="X1080" s="28">
        <v>0</v>
      </c>
      <c r="Y1080" s="28">
        <f>(W1080-X1080)</f>
        <v>32629789.5</v>
      </c>
      <c r="Z1080" s="49">
        <v>3.0000000000000001E-3</v>
      </c>
    </row>
    <row r="1081" spans="1:26" s="29" customFormat="1" ht="90.75" customHeight="1" x14ac:dyDescent="0.25">
      <c r="A1081" s="20"/>
      <c r="B1081" s="20"/>
      <c r="C1081" s="20"/>
      <c r="D1081" s="21"/>
      <c r="E1081" s="21"/>
      <c r="F1081" s="22"/>
      <c r="G1081" s="21"/>
      <c r="H1081" s="36"/>
      <c r="I1081" s="40"/>
      <c r="J1081" s="28"/>
      <c r="K1081" s="30"/>
      <c r="L1081" s="31" t="s">
        <v>39</v>
      </c>
      <c r="M1081" s="31" t="s">
        <v>104</v>
      </c>
      <c r="N1081" s="51"/>
      <c r="O1081" s="45">
        <v>400</v>
      </c>
      <c r="P1081" s="35">
        <v>10</v>
      </c>
      <c r="Q1081" s="40">
        <v>7100</v>
      </c>
      <c r="R1081" s="36">
        <f>(O1081*Q1081)</f>
        <v>2840000</v>
      </c>
      <c r="S1081" s="37">
        <v>7</v>
      </c>
      <c r="T1081" s="28">
        <f>(R1081*7/100)</f>
        <v>198800</v>
      </c>
      <c r="U1081" s="36">
        <f>(R1081-T1081)</f>
        <v>2641200</v>
      </c>
      <c r="V1081" s="36"/>
      <c r="W1081" s="36"/>
      <c r="X1081" s="28"/>
      <c r="Y1081" s="28"/>
      <c r="Z1081" s="52"/>
    </row>
    <row r="1082" spans="1:26" s="29" customFormat="1" ht="90.75" customHeight="1" x14ac:dyDescent="0.25">
      <c r="A1082" s="20"/>
      <c r="B1082" s="20"/>
      <c r="C1082" s="20"/>
      <c r="D1082" s="21"/>
      <c r="E1082" s="21"/>
      <c r="F1082" s="22"/>
      <c r="G1082" s="21"/>
      <c r="H1082" s="36"/>
      <c r="I1082" s="40"/>
      <c r="J1082" s="28"/>
      <c r="K1082" s="30"/>
      <c r="L1082" s="31" t="s">
        <v>25</v>
      </c>
      <c r="M1082" s="31" t="s">
        <v>103</v>
      </c>
      <c r="N1082" s="51"/>
      <c r="O1082" s="45">
        <v>3600</v>
      </c>
      <c r="P1082" s="35">
        <v>90</v>
      </c>
      <c r="Q1082" s="40">
        <v>5950</v>
      </c>
      <c r="R1082" s="36">
        <f>(O1082*Q1082)</f>
        <v>21420000</v>
      </c>
      <c r="S1082" s="37">
        <v>7</v>
      </c>
      <c r="T1082" s="28">
        <f>(R1082*7/100)</f>
        <v>1499400</v>
      </c>
      <c r="U1082" s="36">
        <f>(R1082-T1082)</f>
        <v>19920600</v>
      </c>
      <c r="V1082" s="36"/>
      <c r="W1082" s="36"/>
      <c r="X1082" s="28"/>
      <c r="Y1082" s="28"/>
      <c r="Z1082" s="52"/>
    </row>
    <row r="1083" spans="1:26" s="29" customFormat="1" ht="90.75" customHeight="1" x14ac:dyDescent="0.25">
      <c r="A1083" s="20"/>
      <c r="B1083" s="20"/>
      <c r="C1083" s="20"/>
      <c r="D1083" s="21"/>
      <c r="E1083" s="21"/>
      <c r="F1083" s="22"/>
      <c r="G1083" s="21"/>
      <c r="H1083" s="36"/>
      <c r="I1083" s="40"/>
      <c r="J1083" s="28"/>
      <c r="K1083" s="30">
        <v>16</v>
      </c>
      <c r="L1083" s="31" t="s">
        <v>215</v>
      </c>
      <c r="M1083" s="31" t="s">
        <v>13</v>
      </c>
      <c r="N1083" s="51">
        <v>3</v>
      </c>
      <c r="O1083" s="45">
        <v>7</v>
      </c>
      <c r="P1083" s="35">
        <v>100</v>
      </c>
      <c r="Q1083" s="40">
        <v>6450</v>
      </c>
      <c r="R1083" s="36">
        <f>(O1083*Q1083)</f>
        <v>45150</v>
      </c>
      <c r="S1083" s="37">
        <v>7</v>
      </c>
      <c r="T1083" s="28">
        <f>(R1083*7/100)</f>
        <v>3160.5</v>
      </c>
      <c r="U1083" s="36">
        <f>(R1083-T1083)</f>
        <v>41989.5</v>
      </c>
      <c r="V1083" s="36"/>
      <c r="W1083" s="36"/>
      <c r="X1083" s="28"/>
      <c r="Y1083" s="28"/>
      <c r="Z1083" s="52"/>
    </row>
    <row r="1084" spans="1:26" s="29" customFormat="1" ht="90.75" customHeight="1" x14ac:dyDescent="0.25">
      <c r="A1084" s="20"/>
      <c r="B1084" s="20"/>
      <c r="C1084" s="20"/>
      <c r="D1084" s="21"/>
      <c r="E1084" s="21"/>
      <c r="F1084" s="22"/>
      <c r="G1084" s="21"/>
      <c r="H1084" s="36">
        <v>99078</v>
      </c>
      <c r="I1084" s="40">
        <v>4500</v>
      </c>
      <c r="J1084" s="28">
        <f t="shared" ref="J1084:J1089" si="151">(H1084*I1084)</f>
        <v>445851000</v>
      </c>
      <c r="K1084" s="30"/>
      <c r="L1084" s="31"/>
      <c r="M1084" s="31"/>
      <c r="N1084" s="51"/>
      <c r="O1084" s="45"/>
      <c r="P1084" s="35"/>
      <c r="Q1084" s="40"/>
      <c r="R1084" s="36"/>
      <c r="S1084" s="37"/>
      <c r="T1084" s="28"/>
      <c r="U1084" s="36"/>
      <c r="V1084" s="36">
        <f>(J1084)</f>
        <v>445851000</v>
      </c>
      <c r="W1084" s="36">
        <f>(V1084*100/100)</f>
        <v>445851000</v>
      </c>
      <c r="X1084" s="28">
        <v>0</v>
      </c>
      <c r="Y1084" s="28">
        <f>(W1084-X1084)</f>
        <v>445851000</v>
      </c>
      <c r="Z1084" s="49" t="s">
        <v>276</v>
      </c>
    </row>
    <row r="1085" spans="1:26" s="29" customFormat="1" ht="90.75" customHeight="1" x14ac:dyDescent="0.25">
      <c r="A1085" s="20">
        <v>779</v>
      </c>
      <c r="B1085" s="20" t="s">
        <v>0</v>
      </c>
      <c r="C1085" s="20">
        <v>47949</v>
      </c>
      <c r="D1085" s="21">
        <v>17</v>
      </c>
      <c r="E1085" s="21">
        <v>1</v>
      </c>
      <c r="F1085" s="22">
        <v>81</v>
      </c>
      <c r="G1085" s="22" t="s">
        <v>210</v>
      </c>
      <c r="H1085" s="36">
        <f>(D1085*400)+(E1085*100)+F1085</f>
        <v>6981</v>
      </c>
      <c r="I1085" s="40" t="s">
        <v>123</v>
      </c>
      <c r="J1085" s="65">
        <f t="shared" si="151"/>
        <v>31414500</v>
      </c>
      <c r="K1085" s="20"/>
      <c r="L1085" s="20"/>
      <c r="M1085" s="20"/>
      <c r="N1085" s="20"/>
      <c r="O1085" s="24"/>
      <c r="P1085" s="24"/>
      <c r="Q1085" s="25"/>
      <c r="R1085" s="24"/>
      <c r="S1085" s="20" t="s">
        <v>2</v>
      </c>
      <c r="T1085" s="27"/>
      <c r="U1085" s="20"/>
      <c r="V1085" s="27">
        <f>(J1085+U1085)</f>
        <v>31414500</v>
      </c>
      <c r="W1085" s="26">
        <f>(V1085*100/100)</f>
        <v>31414500</v>
      </c>
      <c r="X1085" s="27">
        <v>0</v>
      </c>
      <c r="Y1085" s="78">
        <f>(W1085-X1085)</f>
        <v>31414500</v>
      </c>
      <c r="Z1085" s="49">
        <v>3.0000000000000001E-3</v>
      </c>
    </row>
    <row r="1086" spans="1:26" s="29" customFormat="1" ht="90.75" customHeight="1" x14ac:dyDescent="0.25">
      <c r="A1086" s="20">
        <v>780</v>
      </c>
      <c r="B1086" s="20" t="s">
        <v>0</v>
      </c>
      <c r="C1086" s="20">
        <v>47948</v>
      </c>
      <c r="D1086" s="21">
        <v>28</v>
      </c>
      <c r="E1086" s="21">
        <v>1</v>
      </c>
      <c r="F1086" s="22">
        <v>26</v>
      </c>
      <c r="G1086" s="22" t="s">
        <v>210</v>
      </c>
      <c r="H1086" s="36">
        <f>(D1086*400)+(E1086*100)+F1086</f>
        <v>11326</v>
      </c>
      <c r="I1086" s="40" t="s">
        <v>123</v>
      </c>
      <c r="J1086" s="65">
        <f t="shared" si="151"/>
        <v>50967000</v>
      </c>
      <c r="K1086" s="20"/>
      <c r="L1086" s="20"/>
      <c r="M1086" s="20"/>
      <c r="N1086" s="20"/>
      <c r="O1086" s="24"/>
      <c r="P1086" s="24"/>
      <c r="Q1086" s="25"/>
      <c r="R1086" s="24"/>
      <c r="S1086" s="20" t="s">
        <v>2</v>
      </c>
      <c r="T1086" s="27"/>
      <c r="U1086" s="20"/>
      <c r="V1086" s="27">
        <f>(J1086+U1086)</f>
        <v>50967000</v>
      </c>
      <c r="W1086" s="26">
        <f>(V1086*100/100)</f>
        <v>50967000</v>
      </c>
      <c r="X1086" s="27">
        <v>0</v>
      </c>
      <c r="Y1086" s="78">
        <f>(W1086-X1086)</f>
        <v>50967000</v>
      </c>
      <c r="Z1086" s="49" t="s">
        <v>264</v>
      </c>
    </row>
    <row r="1087" spans="1:26" s="29" customFormat="1" ht="90.75" customHeight="1" x14ac:dyDescent="0.25">
      <c r="A1087" s="20">
        <v>781</v>
      </c>
      <c r="B1087" s="20" t="s">
        <v>0</v>
      </c>
      <c r="C1087" s="20">
        <v>52347</v>
      </c>
      <c r="D1087" s="21">
        <v>1</v>
      </c>
      <c r="E1087" s="21">
        <v>0</v>
      </c>
      <c r="F1087" s="22">
        <v>25</v>
      </c>
      <c r="G1087" s="22" t="s">
        <v>210</v>
      </c>
      <c r="H1087" s="36">
        <f>(D1087*400)+(E1087*100)+F1087</f>
        <v>425</v>
      </c>
      <c r="I1087" s="40" t="s">
        <v>123</v>
      </c>
      <c r="J1087" s="65">
        <f t="shared" si="151"/>
        <v>1912500</v>
      </c>
      <c r="K1087" s="20"/>
      <c r="L1087" s="20"/>
      <c r="M1087" s="20"/>
      <c r="N1087" s="20"/>
      <c r="O1087" s="24"/>
      <c r="P1087" s="24"/>
      <c r="Q1087" s="25"/>
      <c r="R1087" s="24"/>
      <c r="S1087" s="20"/>
      <c r="T1087" s="27"/>
      <c r="U1087" s="20"/>
      <c r="V1087" s="27">
        <f>(J1087+U1087)</f>
        <v>1912500</v>
      </c>
      <c r="W1087" s="26">
        <f>(V1087*100/100)</f>
        <v>1912500</v>
      </c>
      <c r="X1087" s="27">
        <v>0</v>
      </c>
      <c r="Y1087" s="78">
        <f>(W1087-X1087)</f>
        <v>1912500</v>
      </c>
      <c r="Z1087" s="49">
        <v>3.0000000000000001E-3</v>
      </c>
    </row>
    <row r="1088" spans="1:26" s="29" customFormat="1" ht="90.75" customHeight="1" x14ac:dyDescent="0.25">
      <c r="A1088" s="20">
        <v>782</v>
      </c>
      <c r="B1088" s="20" t="s">
        <v>0</v>
      </c>
      <c r="C1088" s="20">
        <v>67523</v>
      </c>
      <c r="D1088" s="21">
        <v>1</v>
      </c>
      <c r="E1088" s="21">
        <v>3</v>
      </c>
      <c r="F1088" s="22">
        <v>10.4</v>
      </c>
      <c r="G1088" s="21" t="s">
        <v>209</v>
      </c>
      <c r="H1088" s="36">
        <f>(D1088*400)+(E1088*100)+F1088</f>
        <v>710.4</v>
      </c>
      <c r="I1088" s="40">
        <v>450</v>
      </c>
      <c r="J1088" s="65">
        <f t="shared" si="151"/>
        <v>319680</v>
      </c>
      <c r="K1088" s="20"/>
      <c r="L1088" s="20"/>
      <c r="M1088" s="20"/>
      <c r="N1088" s="20"/>
      <c r="O1088" s="24"/>
      <c r="P1088" s="24"/>
      <c r="Q1088" s="25"/>
      <c r="R1088" s="24"/>
      <c r="S1088" s="20"/>
      <c r="T1088" s="27"/>
      <c r="U1088" s="20"/>
      <c r="V1088" s="20"/>
      <c r="W1088" s="26"/>
      <c r="X1088" s="27"/>
      <c r="Y1088" s="20"/>
      <c r="Z1088" s="20"/>
    </row>
    <row r="1089" spans="1:26" s="29" customFormat="1" ht="90.75" customHeight="1" x14ac:dyDescent="0.25">
      <c r="A1089" s="20"/>
      <c r="B1089" s="20" t="s">
        <v>0</v>
      </c>
      <c r="C1089" s="20">
        <v>67523</v>
      </c>
      <c r="D1089" s="21"/>
      <c r="E1089" s="21"/>
      <c r="F1089" s="22"/>
      <c r="G1089" s="21" t="s">
        <v>209</v>
      </c>
      <c r="H1089" s="24">
        <v>306.25</v>
      </c>
      <c r="I1089" s="25">
        <v>450</v>
      </c>
      <c r="J1089" s="65">
        <f t="shared" si="151"/>
        <v>137812.5</v>
      </c>
      <c r="K1089" s="20"/>
      <c r="L1089" s="20"/>
      <c r="M1089" s="20"/>
      <c r="N1089" s="20"/>
      <c r="O1089" s="24"/>
      <c r="P1089" s="24"/>
      <c r="Q1089" s="25"/>
      <c r="R1089" s="24"/>
      <c r="S1089" s="20"/>
      <c r="T1089" s="27"/>
      <c r="U1089" s="20"/>
      <c r="V1089" s="27">
        <f>(J1089+U1089)</f>
        <v>137812.5</v>
      </c>
      <c r="W1089" s="26">
        <f>(V1089*100/100)</f>
        <v>137812.5</v>
      </c>
      <c r="X1089" s="27">
        <v>0</v>
      </c>
      <c r="Y1089" s="78">
        <f>(W1089-X1089)</f>
        <v>137812.5</v>
      </c>
      <c r="Z1089" s="49">
        <v>3.0000000000000001E-3</v>
      </c>
    </row>
    <row r="1090" spans="1:26" s="29" customFormat="1" ht="90.75" customHeight="1" x14ac:dyDescent="0.25">
      <c r="A1090" s="20">
        <v>783</v>
      </c>
      <c r="B1090" s="20" t="s">
        <v>0</v>
      </c>
      <c r="C1090" s="20">
        <v>29452</v>
      </c>
      <c r="D1090" s="21">
        <v>1</v>
      </c>
      <c r="E1090" s="21">
        <v>0</v>
      </c>
      <c r="F1090" s="22">
        <v>50</v>
      </c>
      <c r="G1090" s="22"/>
      <c r="H1090" s="24"/>
      <c r="I1090" s="25">
        <v>325</v>
      </c>
      <c r="J1090" s="24"/>
      <c r="K1090" s="20"/>
      <c r="L1090" s="20" t="s">
        <v>2</v>
      </c>
      <c r="M1090" s="20" t="s">
        <v>2</v>
      </c>
      <c r="N1090" s="20"/>
      <c r="O1090" s="24"/>
      <c r="P1090" s="24"/>
      <c r="Q1090" s="25"/>
      <c r="R1090" s="24"/>
      <c r="S1090" s="20" t="s">
        <v>2</v>
      </c>
      <c r="T1090" s="27"/>
      <c r="U1090" s="20"/>
      <c r="V1090" s="20"/>
      <c r="W1090" s="26"/>
      <c r="X1090" s="27"/>
      <c r="Y1090" s="20"/>
      <c r="Z1090" s="20"/>
    </row>
    <row r="1091" spans="1:26" s="29" customFormat="1" ht="90.75" customHeight="1" x14ac:dyDescent="0.25">
      <c r="A1091" s="20"/>
      <c r="B1091" s="20" t="s">
        <v>0</v>
      </c>
      <c r="C1091" s="20">
        <v>29452</v>
      </c>
      <c r="D1091" s="21"/>
      <c r="E1091" s="21"/>
      <c r="F1091" s="22"/>
      <c r="G1091" s="21" t="s">
        <v>209</v>
      </c>
      <c r="H1091" s="25">
        <v>132</v>
      </c>
      <c r="I1091" s="25">
        <v>325</v>
      </c>
      <c r="J1091" s="65">
        <f>(H1091*I1091)</f>
        <v>42900</v>
      </c>
      <c r="K1091" s="20"/>
      <c r="L1091" s="20"/>
      <c r="M1091" s="20"/>
      <c r="N1091" s="20"/>
      <c r="O1091" s="24"/>
      <c r="P1091" s="24"/>
      <c r="Q1091" s="25"/>
      <c r="R1091" s="24"/>
      <c r="S1091" s="20"/>
      <c r="T1091" s="27"/>
      <c r="U1091" s="20"/>
      <c r="V1091" s="27">
        <f>(J1091+U1091)</f>
        <v>42900</v>
      </c>
      <c r="W1091" s="26">
        <f>(V1091*100/100)</f>
        <v>42900</v>
      </c>
      <c r="X1091" s="27">
        <v>0</v>
      </c>
      <c r="Y1091" s="78">
        <f>(W1091-X1091)</f>
        <v>42900</v>
      </c>
      <c r="Z1091" s="49">
        <v>3.0000000000000001E-3</v>
      </c>
    </row>
    <row r="1092" spans="1:26" s="29" customFormat="1" ht="90.75" customHeight="1" x14ac:dyDescent="0.25">
      <c r="A1092" s="20">
        <v>784</v>
      </c>
      <c r="B1092" s="20" t="s">
        <v>0</v>
      </c>
      <c r="C1092" s="20">
        <v>49965</v>
      </c>
      <c r="D1092" s="21">
        <v>0</v>
      </c>
      <c r="E1092" s="21">
        <v>3</v>
      </c>
      <c r="F1092" s="22">
        <v>33</v>
      </c>
      <c r="G1092" s="22"/>
      <c r="H1092" s="24"/>
      <c r="I1092" s="25"/>
      <c r="J1092" s="24"/>
      <c r="K1092" s="20"/>
      <c r="L1092" s="20"/>
      <c r="M1092" s="20"/>
      <c r="N1092" s="20"/>
      <c r="O1092" s="24"/>
      <c r="P1092" s="24"/>
      <c r="Q1092" s="25"/>
      <c r="R1092" s="24"/>
      <c r="S1092" s="20"/>
      <c r="T1092" s="27"/>
      <c r="U1092" s="20"/>
      <c r="V1092" s="20"/>
      <c r="W1092" s="26"/>
      <c r="X1092" s="27"/>
      <c r="Y1092" s="20"/>
      <c r="Z1092" s="20"/>
    </row>
    <row r="1093" spans="1:26" s="29" customFormat="1" ht="90.75" customHeight="1" x14ac:dyDescent="0.25">
      <c r="A1093" s="20"/>
      <c r="B1093" s="20" t="s">
        <v>0</v>
      </c>
      <c r="C1093" s="20">
        <v>49965</v>
      </c>
      <c r="D1093" s="21"/>
      <c r="E1093" s="21"/>
      <c r="F1093" s="22"/>
      <c r="G1093" s="21" t="s">
        <v>209</v>
      </c>
      <c r="H1093" s="25">
        <v>124</v>
      </c>
      <c r="I1093" s="25">
        <v>1000</v>
      </c>
      <c r="J1093" s="65">
        <f>(H1093*I1093)</f>
        <v>124000</v>
      </c>
      <c r="K1093" s="20"/>
      <c r="L1093" s="20"/>
      <c r="M1093" s="20"/>
      <c r="N1093" s="20"/>
      <c r="O1093" s="24"/>
      <c r="P1093" s="24"/>
      <c r="Q1093" s="25"/>
      <c r="R1093" s="24"/>
      <c r="S1093" s="20"/>
      <c r="T1093" s="27"/>
      <c r="U1093" s="20"/>
      <c r="V1093" s="27">
        <f>(J1093+U1093)</f>
        <v>124000</v>
      </c>
      <c r="W1093" s="26">
        <f>(V1093*100/100)</f>
        <v>124000</v>
      </c>
      <c r="X1093" s="27">
        <v>0</v>
      </c>
      <c r="Y1093" s="78">
        <f>(W1093-X1093)</f>
        <v>124000</v>
      </c>
      <c r="Z1093" s="49">
        <v>3.0000000000000001E-3</v>
      </c>
    </row>
    <row r="1094" spans="1:26" s="29" customFormat="1" ht="90.75" customHeight="1" x14ac:dyDescent="0.25">
      <c r="A1094" s="20">
        <v>785</v>
      </c>
      <c r="B1094" s="20" t="s">
        <v>0</v>
      </c>
      <c r="C1094" s="20">
        <v>32645</v>
      </c>
      <c r="D1094" s="21">
        <v>1</v>
      </c>
      <c r="E1094" s="21">
        <v>1</v>
      </c>
      <c r="F1094" s="22">
        <v>35</v>
      </c>
      <c r="G1094" s="22"/>
      <c r="H1094" s="24"/>
      <c r="I1094" s="25"/>
      <c r="J1094" s="24"/>
      <c r="K1094" s="20"/>
      <c r="L1094" s="20"/>
      <c r="M1094" s="20"/>
      <c r="N1094" s="20"/>
      <c r="O1094" s="24"/>
      <c r="P1094" s="24"/>
      <c r="Q1094" s="25"/>
      <c r="R1094" s="24"/>
      <c r="S1094" s="20"/>
      <c r="T1094" s="27"/>
      <c r="U1094" s="20"/>
      <c r="V1094" s="20"/>
      <c r="W1094" s="26"/>
      <c r="X1094" s="27"/>
      <c r="Y1094" s="20"/>
      <c r="Z1094" s="20"/>
    </row>
    <row r="1095" spans="1:26" s="29" customFormat="1" ht="90.75" customHeight="1" x14ac:dyDescent="0.25">
      <c r="A1095" s="20"/>
      <c r="B1095" s="20" t="s">
        <v>0</v>
      </c>
      <c r="C1095" s="20">
        <v>32645</v>
      </c>
      <c r="D1095" s="21"/>
      <c r="E1095" s="21"/>
      <c r="F1095" s="22"/>
      <c r="G1095" s="21" t="s">
        <v>209</v>
      </c>
      <c r="H1095" s="24">
        <v>100</v>
      </c>
      <c r="I1095" s="25">
        <v>525</v>
      </c>
      <c r="J1095" s="65">
        <f>(H1095*I1095)</f>
        <v>52500</v>
      </c>
      <c r="K1095" s="20"/>
      <c r="L1095" s="20"/>
      <c r="M1095" s="20"/>
      <c r="N1095" s="20"/>
      <c r="O1095" s="24"/>
      <c r="P1095" s="24"/>
      <c r="Q1095" s="25"/>
      <c r="R1095" s="24"/>
      <c r="S1095" s="20"/>
      <c r="T1095" s="27"/>
      <c r="U1095" s="20"/>
      <c r="V1095" s="27">
        <f>(J1095+U1095)</f>
        <v>52500</v>
      </c>
      <c r="W1095" s="26">
        <f>(V1095*100/100)</f>
        <v>52500</v>
      </c>
      <c r="X1095" s="27">
        <v>0</v>
      </c>
      <c r="Y1095" s="78">
        <f>(W1095-X1095)</f>
        <v>52500</v>
      </c>
      <c r="Z1095" s="49">
        <v>3.0000000000000001E-3</v>
      </c>
    </row>
    <row r="1096" spans="1:26" s="29" customFormat="1" ht="90.75" customHeight="1" x14ac:dyDescent="0.25">
      <c r="A1096" s="20">
        <v>786</v>
      </c>
      <c r="B1096" s="20" t="s">
        <v>0</v>
      </c>
      <c r="C1096" s="20">
        <v>4032</v>
      </c>
      <c r="D1096" s="21">
        <v>0</v>
      </c>
      <c r="E1096" s="21">
        <v>1</v>
      </c>
      <c r="F1096" s="22">
        <v>61</v>
      </c>
      <c r="G1096" s="21" t="s">
        <v>209</v>
      </c>
      <c r="H1096" s="36">
        <f>(D1096*400)+(E1096*100)+F1096</f>
        <v>161</v>
      </c>
      <c r="I1096" s="25">
        <v>200</v>
      </c>
      <c r="J1096" s="65">
        <f>(H1096*I1096)</f>
        <v>32200</v>
      </c>
      <c r="K1096" s="20">
        <v>1</v>
      </c>
      <c r="L1096" s="20" t="s">
        <v>16</v>
      </c>
      <c r="M1096" s="20" t="s">
        <v>40</v>
      </c>
      <c r="N1096" s="20">
        <v>3</v>
      </c>
      <c r="O1096" s="24">
        <v>10.5</v>
      </c>
      <c r="P1096" s="24">
        <v>100</v>
      </c>
      <c r="Q1096" s="25">
        <v>6450</v>
      </c>
      <c r="R1096" s="77">
        <f>(O1096*Q1096)</f>
        <v>67725</v>
      </c>
      <c r="S1096" s="37">
        <v>26</v>
      </c>
      <c r="T1096" s="28">
        <f>(R1096*42/100)</f>
        <v>28444.5</v>
      </c>
      <c r="U1096" s="77">
        <f>(R1096-T1096)</f>
        <v>39280.5</v>
      </c>
      <c r="V1096" s="27">
        <f>(J1096+U1096)</f>
        <v>71480.5</v>
      </c>
      <c r="W1096" s="26">
        <f>(V1096*100/100)</f>
        <v>71480.5</v>
      </c>
      <c r="X1096" s="27">
        <v>0</v>
      </c>
      <c r="Y1096" s="78">
        <f>(W1096-X1096)</f>
        <v>71480.5</v>
      </c>
      <c r="Z1096" s="49">
        <v>3.0000000000000001E-3</v>
      </c>
    </row>
    <row r="1097" spans="1:26" s="29" customFormat="1" ht="90.75" customHeight="1" x14ac:dyDescent="0.25">
      <c r="A1097" s="20">
        <v>787</v>
      </c>
      <c r="B1097" s="20" t="s">
        <v>0</v>
      </c>
      <c r="C1097" s="20">
        <v>2069</v>
      </c>
      <c r="D1097" s="21">
        <v>2</v>
      </c>
      <c r="E1097" s="21">
        <v>3</v>
      </c>
      <c r="F1097" s="22">
        <v>38</v>
      </c>
      <c r="G1097" s="22" t="s">
        <v>211</v>
      </c>
      <c r="H1097" s="36">
        <f>(D1097*400)+(E1097*100)+F1097</f>
        <v>1138</v>
      </c>
      <c r="I1097" s="25" t="s">
        <v>32</v>
      </c>
      <c r="J1097" s="65">
        <f>(H1097*I1097)</f>
        <v>227600</v>
      </c>
      <c r="K1097" s="20"/>
      <c r="L1097" s="20"/>
      <c r="M1097" s="20"/>
      <c r="N1097" s="20"/>
      <c r="O1097" s="24"/>
      <c r="P1097" s="24"/>
      <c r="Q1097" s="25"/>
      <c r="R1097" s="24"/>
      <c r="S1097" s="20"/>
      <c r="T1097" s="27"/>
      <c r="U1097" s="20"/>
      <c r="V1097" s="20"/>
      <c r="W1097" s="26"/>
      <c r="X1097" s="27"/>
      <c r="Y1097" s="20"/>
      <c r="Z1097" s="20"/>
    </row>
    <row r="1098" spans="1:26" s="29" customFormat="1" ht="90.75" customHeight="1" x14ac:dyDescent="0.25">
      <c r="A1098" s="20"/>
      <c r="B1098" s="20" t="s">
        <v>0</v>
      </c>
      <c r="C1098" s="20">
        <v>2069</v>
      </c>
      <c r="D1098" s="21"/>
      <c r="E1098" s="21"/>
      <c r="F1098" s="22"/>
      <c r="G1098" s="21" t="s">
        <v>209</v>
      </c>
      <c r="H1098" s="24">
        <v>25</v>
      </c>
      <c r="I1098" s="25">
        <v>200</v>
      </c>
      <c r="J1098" s="65">
        <f>(H1098*I1098)</f>
        <v>5000</v>
      </c>
      <c r="K1098" s="20"/>
      <c r="L1098" s="20"/>
      <c r="M1098" s="20"/>
      <c r="N1098" s="20"/>
      <c r="O1098" s="24"/>
      <c r="P1098" s="24"/>
      <c r="Q1098" s="25"/>
      <c r="R1098" s="24"/>
      <c r="S1098" s="20"/>
      <c r="T1098" s="27"/>
      <c r="U1098" s="20"/>
      <c r="V1098" s="27">
        <f>(J1098+U1098)</f>
        <v>5000</v>
      </c>
      <c r="W1098" s="26">
        <f>(V1098*100/100)</f>
        <v>5000</v>
      </c>
      <c r="X1098" s="27">
        <v>0</v>
      </c>
      <c r="Y1098" s="78">
        <f>(W1098-X1098)</f>
        <v>5000</v>
      </c>
      <c r="Z1098" s="49">
        <v>3.0000000000000001E-3</v>
      </c>
    </row>
    <row r="1099" spans="1:26" s="29" customFormat="1" ht="90.75" customHeight="1" x14ac:dyDescent="0.25">
      <c r="A1099" s="20">
        <v>789</v>
      </c>
      <c r="B1099" s="20" t="s">
        <v>0</v>
      </c>
      <c r="C1099" s="20">
        <v>47915</v>
      </c>
      <c r="D1099" s="21">
        <v>5</v>
      </c>
      <c r="E1099" s="21">
        <v>1</v>
      </c>
      <c r="F1099" s="22">
        <v>44</v>
      </c>
      <c r="G1099" s="21" t="s">
        <v>209</v>
      </c>
      <c r="H1099" s="36">
        <f>(D1099*400)+(E1099*100)+F1099</f>
        <v>2144</v>
      </c>
      <c r="I1099" s="25">
        <v>4500</v>
      </c>
      <c r="J1099" s="65">
        <f>(H1099*I1099)</f>
        <v>9648000</v>
      </c>
      <c r="K1099" s="20"/>
      <c r="L1099" s="20"/>
      <c r="M1099" s="20"/>
      <c r="N1099" s="20"/>
      <c r="O1099" s="24"/>
      <c r="P1099" s="24"/>
      <c r="Q1099" s="25"/>
      <c r="R1099" s="24"/>
      <c r="S1099" s="20"/>
      <c r="T1099" s="27"/>
      <c r="U1099" s="20"/>
      <c r="V1099" s="20"/>
      <c r="W1099" s="26"/>
      <c r="X1099" s="27"/>
      <c r="Y1099" s="20"/>
      <c r="Z1099" s="20"/>
    </row>
    <row r="1100" spans="1:26" s="29" customFormat="1" ht="90.75" customHeight="1" x14ac:dyDescent="0.25">
      <c r="A1100" s="20"/>
      <c r="B1100" s="20"/>
      <c r="C1100" s="20"/>
      <c r="D1100" s="21"/>
      <c r="E1100" s="21"/>
      <c r="F1100" s="22"/>
      <c r="G1100" s="22"/>
      <c r="H1100" s="24"/>
      <c r="I1100" s="25"/>
      <c r="J1100" s="24"/>
      <c r="K1100" s="20">
        <v>1</v>
      </c>
      <c r="L1100" s="20" t="s">
        <v>153</v>
      </c>
      <c r="M1100" s="20" t="s">
        <v>24</v>
      </c>
      <c r="N1100" s="62">
        <v>3</v>
      </c>
      <c r="O1100" s="24">
        <v>960</v>
      </c>
      <c r="P1100" s="35">
        <v>100</v>
      </c>
      <c r="Q1100" s="40">
        <v>7100</v>
      </c>
      <c r="R1100" s="77">
        <f t="shared" ref="R1100:R1118" si="152">(O1100*Q1100)</f>
        <v>6816000</v>
      </c>
      <c r="S1100" s="37">
        <v>5</v>
      </c>
      <c r="T1100" s="28">
        <f t="shared" ref="T1100:T1118" si="153">(R1100*5/100)</f>
        <v>340800</v>
      </c>
      <c r="U1100" s="77">
        <f t="shared" ref="U1100:U1118" si="154">(R1100-T1100)</f>
        <v>6475200</v>
      </c>
      <c r="V1100" s="20"/>
      <c r="W1100" s="26"/>
      <c r="X1100" s="27"/>
      <c r="Y1100" s="20"/>
      <c r="Z1100" s="20"/>
    </row>
    <row r="1101" spans="1:26" s="29" customFormat="1" ht="90.75" customHeight="1" x14ac:dyDescent="0.25">
      <c r="A1101" s="20"/>
      <c r="B1101" s="20"/>
      <c r="C1101" s="20"/>
      <c r="D1101" s="21"/>
      <c r="E1101" s="21"/>
      <c r="F1101" s="22"/>
      <c r="G1101" s="22"/>
      <c r="H1101" s="24"/>
      <c r="I1101" s="25"/>
      <c r="J1101" s="24"/>
      <c r="K1101" s="37">
        <v>2</v>
      </c>
      <c r="L1101" s="20" t="s">
        <v>15</v>
      </c>
      <c r="M1101" s="20" t="s">
        <v>13</v>
      </c>
      <c r="N1101" s="62">
        <v>3</v>
      </c>
      <c r="O1101" s="24">
        <v>2302</v>
      </c>
      <c r="P1101" s="35">
        <v>100</v>
      </c>
      <c r="Q1101" s="40">
        <v>5950</v>
      </c>
      <c r="R1101" s="77">
        <f t="shared" si="152"/>
        <v>13696900</v>
      </c>
      <c r="S1101" s="37">
        <v>5</v>
      </c>
      <c r="T1101" s="28">
        <f t="shared" si="153"/>
        <v>684845</v>
      </c>
      <c r="U1101" s="77">
        <f t="shared" si="154"/>
        <v>13012055</v>
      </c>
      <c r="V1101" s="20"/>
      <c r="W1101" s="26"/>
      <c r="X1101" s="27"/>
      <c r="Y1101" s="20"/>
      <c r="Z1101" s="20"/>
    </row>
    <row r="1102" spans="1:26" s="29" customFormat="1" ht="90.75" customHeight="1" x14ac:dyDescent="0.25">
      <c r="A1102" s="20"/>
      <c r="B1102" s="20"/>
      <c r="C1102" s="20"/>
      <c r="D1102" s="21"/>
      <c r="E1102" s="21"/>
      <c r="F1102" s="22"/>
      <c r="G1102" s="22"/>
      <c r="H1102" s="24"/>
      <c r="I1102" s="25"/>
      <c r="J1102" s="24"/>
      <c r="K1102" s="37">
        <v>3</v>
      </c>
      <c r="L1102" s="20" t="s">
        <v>17</v>
      </c>
      <c r="M1102" s="20" t="s">
        <v>13</v>
      </c>
      <c r="N1102" s="62">
        <v>3</v>
      </c>
      <c r="O1102" s="24">
        <v>54.72</v>
      </c>
      <c r="P1102" s="35">
        <v>100</v>
      </c>
      <c r="Q1102" s="40">
        <v>5900</v>
      </c>
      <c r="R1102" s="77">
        <f t="shared" si="152"/>
        <v>322848</v>
      </c>
      <c r="S1102" s="37">
        <v>5</v>
      </c>
      <c r="T1102" s="28">
        <f t="shared" si="153"/>
        <v>16142.4</v>
      </c>
      <c r="U1102" s="77">
        <f t="shared" si="154"/>
        <v>306705.59999999998</v>
      </c>
      <c r="V1102" s="20"/>
      <c r="W1102" s="26"/>
      <c r="X1102" s="27"/>
      <c r="Y1102" s="20"/>
      <c r="Z1102" s="20"/>
    </row>
    <row r="1103" spans="1:26" s="29" customFormat="1" ht="90.75" customHeight="1" x14ac:dyDescent="0.25">
      <c r="A1103" s="20"/>
      <c r="B1103" s="20"/>
      <c r="C1103" s="20"/>
      <c r="D1103" s="21"/>
      <c r="E1103" s="21"/>
      <c r="F1103" s="22"/>
      <c r="G1103" s="22"/>
      <c r="H1103" s="24"/>
      <c r="I1103" s="25"/>
      <c r="J1103" s="24"/>
      <c r="K1103" s="37">
        <v>4</v>
      </c>
      <c r="L1103" s="20" t="s">
        <v>215</v>
      </c>
      <c r="M1103" s="20" t="s">
        <v>13</v>
      </c>
      <c r="N1103" s="62">
        <v>3</v>
      </c>
      <c r="O1103" s="24">
        <v>12.42</v>
      </c>
      <c r="P1103" s="35">
        <v>100</v>
      </c>
      <c r="Q1103" s="40">
        <v>6450</v>
      </c>
      <c r="R1103" s="77">
        <f t="shared" si="152"/>
        <v>80109</v>
      </c>
      <c r="S1103" s="37">
        <v>5</v>
      </c>
      <c r="T1103" s="28">
        <f t="shared" si="153"/>
        <v>4005.45</v>
      </c>
      <c r="U1103" s="77">
        <f t="shared" si="154"/>
        <v>76103.55</v>
      </c>
      <c r="V1103" s="20"/>
      <c r="W1103" s="26"/>
      <c r="X1103" s="27"/>
      <c r="Y1103" s="20"/>
      <c r="Z1103" s="20"/>
    </row>
    <row r="1104" spans="1:26" s="29" customFormat="1" ht="90.75" customHeight="1" x14ac:dyDescent="0.25">
      <c r="A1104" s="20"/>
      <c r="B1104" s="20"/>
      <c r="C1104" s="20"/>
      <c r="D1104" s="21"/>
      <c r="E1104" s="21"/>
      <c r="F1104" s="22"/>
      <c r="G1104" s="22"/>
      <c r="H1104" s="24"/>
      <c r="I1104" s="25"/>
      <c r="J1104" s="24"/>
      <c r="K1104" s="37">
        <v>5</v>
      </c>
      <c r="L1104" s="20" t="s">
        <v>31</v>
      </c>
      <c r="M1104" s="20" t="s">
        <v>13</v>
      </c>
      <c r="N1104" s="62">
        <v>3</v>
      </c>
      <c r="O1104" s="24">
        <v>236.16</v>
      </c>
      <c r="P1104" s="35">
        <v>100</v>
      </c>
      <c r="Q1104" s="40">
        <v>2550</v>
      </c>
      <c r="R1104" s="77">
        <f t="shared" si="152"/>
        <v>602208</v>
      </c>
      <c r="S1104" s="37">
        <v>5</v>
      </c>
      <c r="T1104" s="28">
        <f t="shared" si="153"/>
        <v>30110.400000000001</v>
      </c>
      <c r="U1104" s="77">
        <f t="shared" si="154"/>
        <v>572097.6</v>
      </c>
      <c r="V1104" s="20"/>
      <c r="W1104" s="26"/>
      <c r="X1104" s="27"/>
      <c r="Y1104" s="20"/>
      <c r="Z1104" s="20"/>
    </row>
    <row r="1105" spans="1:26" s="29" customFormat="1" ht="90.75" customHeight="1" x14ac:dyDescent="0.25">
      <c r="A1105" s="20"/>
      <c r="B1105" s="20"/>
      <c r="C1105" s="20"/>
      <c r="D1105" s="21"/>
      <c r="E1105" s="21"/>
      <c r="F1105" s="22"/>
      <c r="G1105" s="22"/>
      <c r="H1105" s="24"/>
      <c r="I1105" s="25"/>
      <c r="J1105" s="24"/>
      <c r="K1105" s="37">
        <v>6</v>
      </c>
      <c r="L1105" s="20" t="s">
        <v>17</v>
      </c>
      <c r="M1105" s="20" t="s">
        <v>13</v>
      </c>
      <c r="N1105" s="62">
        <v>3</v>
      </c>
      <c r="O1105" s="24">
        <v>11.7</v>
      </c>
      <c r="P1105" s="35">
        <v>100</v>
      </c>
      <c r="Q1105" s="40">
        <v>5900</v>
      </c>
      <c r="R1105" s="77">
        <f t="shared" si="152"/>
        <v>69030</v>
      </c>
      <c r="S1105" s="37">
        <v>5</v>
      </c>
      <c r="T1105" s="28">
        <f t="shared" si="153"/>
        <v>3451.5</v>
      </c>
      <c r="U1105" s="77">
        <f t="shared" si="154"/>
        <v>65578.5</v>
      </c>
      <c r="V1105" s="20"/>
      <c r="W1105" s="26"/>
      <c r="X1105" s="27"/>
      <c r="Y1105" s="20"/>
      <c r="Z1105" s="20"/>
    </row>
    <row r="1106" spans="1:26" s="29" customFormat="1" ht="90.75" customHeight="1" x14ac:dyDescent="0.25">
      <c r="A1106" s="20"/>
      <c r="B1106" s="20"/>
      <c r="C1106" s="20"/>
      <c r="D1106" s="21"/>
      <c r="E1106" s="21"/>
      <c r="F1106" s="22"/>
      <c r="G1106" s="22"/>
      <c r="H1106" s="24"/>
      <c r="I1106" s="25"/>
      <c r="J1106" s="24"/>
      <c r="K1106" s="37">
        <v>7</v>
      </c>
      <c r="L1106" s="20" t="s">
        <v>31</v>
      </c>
      <c r="M1106" s="20"/>
      <c r="N1106" s="62">
        <v>3</v>
      </c>
      <c r="O1106" s="24">
        <v>100.2</v>
      </c>
      <c r="P1106" s="35">
        <v>100</v>
      </c>
      <c r="Q1106" s="40">
        <v>2550</v>
      </c>
      <c r="R1106" s="77">
        <f t="shared" si="152"/>
        <v>255510</v>
      </c>
      <c r="S1106" s="37">
        <v>5</v>
      </c>
      <c r="T1106" s="28">
        <f t="shared" si="153"/>
        <v>12775.5</v>
      </c>
      <c r="U1106" s="77">
        <f t="shared" si="154"/>
        <v>242734.5</v>
      </c>
      <c r="V1106" s="20"/>
      <c r="W1106" s="26"/>
      <c r="X1106" s="27"/>
      <c r="Y1106" s="20"/>
      <c r="Z1106" s="20"/>
    </row>
    <row r="1107" spans="1:26" s="29" customFormat="1" ht="90.75" customHeight="1" x14ac:dyDescent="0.25">
      <c r="A1107" s="20"/>
      <c r="B1107" s="20"/>
      <c r="C1107" s="20"/>
      <c r="D1107" s="21"/>
      <c r="E1107" s="21"/>
      <c r="F1107" s="22"/>
      <c r="G1107" s="22"/>
      <c r="H1107" s="24"/>
      <c r="I1107" s="25"/>
      <c r="J1107" s="24"/>
      <c r="K1107" s="37">
        <v>8</v>
      </c>
      <c r="L1107" s="20" t="s">
        <v>31</v>
      </c>
      <c r="M1107" s="20"/>
      <c r="N1107" s="62">
        <v>3</v>
      </c>
      <c r="O1107" s="24">
        <v>155</v>
      </c>
      <c r="P1107" s="35">
        <v>100</v>
      </c>
      <c r="Q1107" s="40">
        <v>2550</v>
      </c>
      <c r="R1107" s="77">
        <f t="shared" si="152"/>
        <v>395250</v>
      </c>
      <c r="S1107" s="37">
        <v>5</v>
      </c>
      <c r="T1107" s="28">
        <f t="shared" si="153"/>
        <v>19762.5</v>
      </c>
      <c r="U1107" s="77">
        <f t="shared" si="154"/>
        <v>375487.5</v>
      </c>
      <c r="V1107" s="20"/>
      <c r="W1107" s="26"/>
      <c r="X1107" s="27"/>
      <c r="Y1107" s="20"/>
      <c r="Z1107" s="20"/>
    </row>
    <row r="1108" spans="1:26" s="29" customFormat="1" ht="90.75" customHeight="1" x14ac:dyDescent="0.25">
      <c r="A1108" s="20"/>
      <c r="B1108" s="20"/>
      <c r="C1108" s="20"/>
      <c r="D1108" s="21"/>
      <c r="E1108" s="21"/>
      <c r="F1108" s="22"/>
      <c r="G1108" s="22"/>
      <c r="H1108" s="24"/>
      <c r="I1108" s="25"/>
      <c r="J1108" s="24"/>
      <c r="K1108" s="37">
        <v>9</v>
      </c>
      <c r="L1108" s="20" t="s">
        <v>31</v>
      </c>
      <c r="M1108" s="20"/>
      <c r="N1108" s="62">
        <v>3</v>
      </c>
      <c r="O1108" s="24">
        <v>180</v>
      </c>
      <c r="P1108" s="35">
        <v>100</v>
      </c>
      <c r="Q1108" s="40">
        <v>2550</v>
      </c>
      <c r="R1108" s="77">
        <f t="shared" si="152"/>
        <v>459000</v>
      </c>
      <c r="S1108" s="37">
        <v>5</v>
      </c>
      <c r="T1108" s="28">
        <f t="shared" si="153"/>
        <v>22950</v>
      </c>
      <c r="U1108" s="77">
        <f t="shared" si="154"/>
        <v>436050</v>
      </c>
      <c r="V1108" s="20"/>
      <c r="W1108" s="26"/>
      <c r="X1108" s="27"/>
      <c r="Y1108" s="20"/>
      <c r="Z1108" s="20"/>
    </row>
    <row r="1109" spans="1:26" s="29" customFormat="1" ht="90.75" customHeight="1" x14ac:dyDescent="0.25">
      <c r="A1109" s="20"/>
      <c r="B1109" s="20"/>
      <c r="C1109" s="20"/>
      <c r="D1109" s="21"/>
      <c r="E1109" s="21"/>
      <c r="F1109" s="22"/>
      <c r="G1109" s="22"/>
      <c r="H1109" s="24"/>
      <c r="I1109" s="25"/>
      <c r="J1109" s="24"/>
      <c r="K1109" s="37">
        <v>10</v>
      </c>
      <c r="L1109" s="20" t="s">
        <v>31</v>
      </c>
      <c r="M1109" s="20"/>
      <c r="N1109" s="62">
        <v>3</v>
      </c>
      <c r="O1109" s="24">
        <v>180</v>
      </c>
      <c r="P1109" s="35">
        <v>100</v>
      </c>
      <c r="Q1109" s="40">
        <v>2550</v>
      </c>
      <c r="R1109" s="77">
        <f t="shared" si="152"/>
        <v>459000</v>
      </c>
      <c r="S1109" s="37">
        <v>5</v>
      </c>
      <c r="T1109" s="28">
        <f t="shared" si="153"/>
        <v>22950</v>
      </c>
      <c r="U1109" s="77">
        <f t="shared" si="154"/>
        <v>436050</v>
      </c>
      <c r="V1109" s="20"/>
      <c r="W1109" s="26"/>
      <c r="X1109" s="27"/>
      <c r="Y1109" s="20"/>
      <c r="Z1109" s="20"/>
    </row>
    <row r="1110" spans="1:26" s="29" customFormat="1" ht="90.75" customHeight="1" x14ac:dyDescent="0.25">
      <c r="A1110" s="20"/>
      <c r="B1110" s="20"/>
      <c r="C1110" s="20"/>
      <c r="D1110" s="21"/>
      <c r="E1110" s="21"/>
      <c r="F1110" s="22"/>
      <c r="G1110" s="22"/>
      <c r="H1110" s="24"/>
      <c r="I1110" s="25"/>
      <c r="J1110" s="24"/>
      <c r="K1110" s="37">
        <v>11</v>
      </c>
      <c r="L1110" s="20" t="s">
        <v>31</v>
      </c>
      <c r="M1110" s="20"/>
      <c r="N1110" s="62">
        <v>3</v>
      </c>
      <c r="O1110" s="24">
        <v>72.400000000000006</v>
      </c>
      <c r="P1110" s="35">
        <v>100</v>
      </c>
      <c r="Q1110" s="40">
        <v>2550</v>
      </c>
      <c r="R1110" s="77">
        <f t="shared" si="152"/>
        <v>184620</v>
      </c>
      <c r="S1110" s="37">
        <v>5</v>
      </c>
      <c r="T1110" s="28">
        <f t="shared" si="153"/>
        <v>9231</v>
      </c>
      <c r="U1110" s="77">
        <f t="shared" si="154"/>
        <v>175389</v>
      </c>
      <c r="V1110" s="20"/>
      <c r="W1110" s="26"/>
      <c r="X1110" s="27"/>
      <c r="Y1110" s="20"/>
      <c r="Z1110" s="20"/>
    </row>
    <row r="1111" spans="1:26" s="29" customFormat="1" ht="90.75" customHeight="1" x14ac:dyDescent="0.25">
      <c r="A1111" s="20"/>
      <c r="B1111" s="20"/>
      <c r="C1111" s="20"/>
      <c r="D1111" s="21"/>
      <c r="E1111" s="21"/>
      <c r="F1111" s="22"/>
      <c r="G1111" s="22"/>
      <c r="H1111" s="24"/>
      <c r="I1111" s="25"/>
      <c r="J1111" s="24"/>
      <c r="K1111" s="37">
        <v>12</v>
      </c>
      <c r="L1111" s="20" t="s">
        <v>154</v>
      </c>
      <c r="M1111" s="20"/>
      <c r="N1111" s="62">
        <v>3</v>
      </c>
      <c r="O1111" s="24">
        <v>120</v>
      </c>
      <c r="P1111" s="35">
        <v>100</v>
      </c>
      <c r="Q1111" s="40">
        <v>5550</v>
      </c>
      <c r="R1111" s="77">
        <f t="shared" si="152"/>
        <v>666000</v>
      </c>
      <c r="S1111" s="37">
        <v>5</v>
      </c>
      <c r="T1111" s="28">
        <f t="shared" si="153"/>
        <v>33300</v>
      </c>
      <c r="U1111" s="77">
        <f t="shared" si="154"/>
        <v>632700</v>
      </c>
      <c r="V1111" s="20"/>
      <c r="W1111" s="26"/>
      <c r="X1111" s="27"/>
      <c r="Y1111" s="20"/>
      <c r="Z1111" s="20"/>
    </row>
    <row r="1112" spans="1:26" s="29" customFormat="1" ht="90.75" customHeight="1" x14ac:dyDescent="0.25">
      <c r="A1112" s="20"/>
      <c r="B1112" s="20"/>
      <c r="C1112" s="20"/>
      <c r="D1112" s="21"/>
      <c r="E1112" s="21"/>
      <c r="F1112" s="22"/>
      <c r="G1112" s="22"/>
      <c r="H1112" s="24"/>
      <c r="I1112" s="25"/>
      <c r="J1112" s="24"/>
      <c r="K1112" s="37">
        <v>13</v>
      </c>
      <c r="L1112" s="20" t="s">
        <v>154</v>
      </c>
      <c r="M1112" s="20"/>
      <c r="N1112" s="62">
        <v>3</v>
      </c>
      <c r="O1112" s="24">
        <v>288</v>
      </c>
      <c r="P1112" s="35">
        <v>100</v>
      </c>
      <c r="Q1112" s="40">
        <v>5550</v>
      </c>
      <c r="R1112" s="77">
        <f t="shared" si="152"/>
        <v>1598400</v>
      </c>
      <c r="S1112" s="37">
        <v>5</v>
      </c>
      <c r="T1112" s="28">
        <f t="shared" si="153"/>
        <v>79920</v>
      </c>
      <c r="U1112" s="77">
        <f t="shared" si="154"/>
        <v>1518480</v>
      </c>
      <c r="V1112" s="20"/>
      <c r="W1112" s="26"/>
      <c r="X1112" s="27"/>
      <c r="Y1112" s="20"/>
      <c r="Z1112" s="20"/>
    </row>
    <row r="1113" spans="1:26" s="29" customFormat="1" ht="90.75" customHeight="1" x14ac:dyDescent="0.25">
      <c r="A1113" s="20"/>
      <c r="B1113" s="20"/>
      <c r="C1113" s="20"/>
      <c r="D1113" s="21"/>
      <c r="E1113" s="21"/>
      <c r="F1113" s="22"/>
      <c r="G1113" s="22"/>
      <c r="H1113" s="24"/>
      <c r="I1113" s="25"/>
      <c r="J1113" s="24"/>
      <c r="K1113" s="37">
        <v>14</v>
      </c>
      <c r="L1113" s="20" t="s">
        <v>154</v>
      </c>
      <c r="M1113" s="20"/>
      <c r="N1113" s="62">
        <v>3</v>
      </c>
      <c r="O1113" s="24">
        <v>90</v>
      </c>
      <c r="P1113" s="35">
        <v>100</v>
      </c>
      <c r="Q1113" s="40">
        <v>5550</v>
      </c>
      <c r="R1113" s="77">
        <f t="shared" si="152"/>
        <v>499500</v>
      </c>
      <c r="S1113" s="37">
        <v>5</v>
      </c>
      <c r="T1113" s="28">
        <f t="shared" si="153"/>
        <v>24975</v>
      </c>
      <c r="U1113" s="77">
        <f t="shared" si="154"/>
        <v>474525</v>
      </c>
      <c r="V1113" s="20"/>
      <c r="W1113" s="26"/>
      <c r="X1113" s="27"/>
      <c r="Y1113" s="20"/>
      <c r="Z1113" s="20"/>
    </row>
    <row r="1114" spans="1:26" s="29" customFormat="1" ht="90.75" customHeight="1" x14ac:dyDescent="0.25">
      <c r="A1114" s="20"/>
      <c r="B1114" s="20"/>
      <c r="C1114" s="20"/>
      <c r="D1114" s="21"/>
      <c r="E1114" s="21"/>
      <c r="F1114" s="22"/>
      <c r="G1114" s="22"/>
      <c r="H1114" s="24"/>
      <c r="I1114" s="25"/>
      <c r="J1114" s="24"/>
      <c r="K1114" s="37">
        <v>15</v>
      </c>
      <c r="L1114" s="20" t="s">
        <v>154</v>
      </c>
      <c r="M1114" s="20"/>
      <c r="N1114" s="62">
        <v>3</v>
      </c>
      <c r="O1114" s="24">
        <v>90</v>
      </c>
      <c r="P1114" s="35">
        <v>100</v>
      </c>
      <c r="Q1114" s="40">
        <v>5550</v>
      </c>
      <c r="R1114" s="77">
        <f t="shared" si="152"/>
        <v>499500</v>
      </c>
      <c r="S1114" s="37">
        <v>5</v>
      </c>
      <c r="T1114" s="28">
        <f t="shared" si="153"/>
        <v>24975</v>
      </c>
      <c r="U1114" s="77">
        <f t="shared" si="154"/>
        <v>474525</v>
      </c>
      <c r="V1114" s="20"/>
      <c r="W1114" s="26"/>
      <c r="X1114" s="27"/>
      <c r="Y1114" s="20"/>
      <c r="Z1114" s="20"/>
    </row>
    <row r="1115" spans="1:26" s="29" customFormat="1" ht="90.75" customHeight="1" x14ac:dyDescent="0.25">
      <c r="A1115" s="20"/>
      <c r="B1115" s="20"/>
      <c r="C1115" s="20"/>
      <c r="D1115" s="21"/>
      <c r="E1115" s="21"/>
      <c r="F1115" s="22"/>
      <c r="G1115" s="22"/>
      <c r="H1115" s="24"/>
      <c r="I1115" s="25"/>
      <c r="J1115" s="24"/>
      <c r="K1115" s="37">
        <v>16</v>
      </c>
      <c r="L1115" s="20" t="s">
        <v>154</v>
      </c>
      <c r="M1115" s="20"/>
      <c r="N1115" s="62">
        <v>3</v>
      </c>
      <c r="O1115" s="24">
        <v>32.4</v>
      </c>
      <c r="P1115" s="35">
        <v>100</v>
      </c>
      <c r="Q1115" s="40">
        <v>5550</v>
      </c>
      <c r="R1115" s="77">
        <f t="shared" si="152"/>
        <v>179820</v>
      </c>
      <c r="S1115" s="37">
        <v>5</v>
      </c>
      <c r="T1115" s="28">
        <f t="shared" si="153"/>
        <v>8991</v>
      </c>
      <c r="U1115" s="77">
        <f t="shared" si="154"/>
        <v>170829</v>
      </c>
      <c r="V1115" s="20"/>
      <c r="W1115" s="26"/>
      <c r="X1115" s="27"/>
      <c r="Y1115" s="20"/>
      <c r="Z1115" s="20"/>
    </row>
    <row r="1116" spans="1:26" s="29" customFormat="1" ht="90.75" customHeight="1" x14ac:dyDescent="0.25">
      <c r="A1116" s="20"/>
      <c r="B1116" s="20"/>
      <c r="C1116" s="20"/>
      <c r="D1116" s="21"/>
      <c r="E1116" s="21"/>
      <c r="F1116" s="22"/>
      <c r="G1116" s="22"/>
      <c r="H1116" s="24"/>
      <c r="I1116" s="25"/>
      <c r="J1116" s="24"/>
      <c r="K1116" s="37">
        <v>17</v>
      </c>
      <c r="L1116" s="20" t="s">
        <v>154</v>
      </c>
      <c r="M1116" s="20"/>
      <c r="N1116" s="62">
        <v>3</v>
      </c>
      <c r="O1116" s="24">
        <v>10</v>
      </c>
      <c r="P1116" s="35">
        <v>100</v>
      </c>
      <c r="Q1116" s="40">
        <v>5550</v>
      </c>
      <c r="R1116" s="77">
        <f t="shared" si="152"/>
        <v>55500</v>
      </c>
      <c r="S1116" s="37">
        <v>5</v>
      </c>
      <c r="T1116" s="28">
        <f t="shared" si="153"/>
        <v>2775</v>
      </c>
      <c r="U1116" s="77">
        <f t="shared" si="154"/>
        <v>52725</v>
      </c>
      <c r="V1116" s="20"/>
      <c r="W1116" s="26"/>
      <c r="X1116" s="27"/>
      <c r="Y1116" s="20"/>
      <c r="Z1116" s="20"/>
    </row>
    <row r="1117" spans="1:26" s="29" customFormat="1" ht="90.75" customHeight="1" x14ac:dyDescent="0.25">
      <c r="A1117" s="20"/>
      <c r="B1117" s="20"/>
      <c r="C1117" s="20"/>
      <c r="D1117" s="21"/>
      <c r="E1117" s="21"/>
      <c r="F1117" s="22"/>
      <c r="G1117" s="22"/>
      <c r="H1117" s="24"/>
      <c r="I1117" s="25"/>
      <c r="J1117" s="24"/>
      <c r="K1117" s="37">
        <v>18</v>
      </c>
      <c r="L1117" s="20" t="s">
        <v>154</v>
      </c>
      <c r="M1117" s="20"/>
      <c r="N1117" s="62">
        <v>3</v>
      </c>
      <c r="O1117" s="24">
        <v>50</v>
      </c>
      <c r="P1117" s="35">
        <v>100</v>
      </c>
      <c r="Q1117" s="40">
        <v>5550</v>
      </c>
      <c r="R1117" s="77">
        <f t="shared" si="152"/>
        <v>277500</v>
      </c>
      <c r="S1117" s="37">
        <v>5</v>
      </c>
      <c r="T1117" s="28">
        <f t="shared" si="153"/>
        <v>13875</v>
      </c>
      <c r="U1117" s="77">
        <f t="shared" si="154"/>
        <v>263625</v>
      </c>
      <c r="V1117" s="20"/>
      <c r="W1117" s="26"/>
      <c r="X1117" s="27"/>
      <c r="Y1117" s="20"/>
      <c r="Z1117" s="20"/>
    </row>
    <row r="1118" spans="1:26" s="29" customFormat="1" ht="90.75" customHeight="1" x14ac:dyDescent="0.25">
      <c r="A1118" s="20"/>
      <c r="B1118" s="20"/>
      <c r="C1118" s="20"/>
      <c r="D1118" s="21"/>
      <c r="E1118" s="21"/>
      <c r="F1118" s="22"/>
      <c r="G1118" s="22"/>
      <c r="H1118" s="24"/>
      <c r="I1118" s="25"/>
      <c r="J1118" s="24"/>
      <c r="K1118" s="37">
        <v>19</v>
      </c>
      <c r="L1118" s="20" t="s">
        <v>31</v>
      </c>
      <c r="M1118" s="20"/>
      <c r="N1118" s="62">
        <v>3</v>
      </c>
      <c r="O1118" s="24">
        <v>15</v>
      </c>
      <c r="P1118" s="35">
        <v>100</v>
      </c>
      <c r="Q1118" s="40">
        <v>2550</v>
      </c>
      <c r="R1118" s="77">
        <f t="shared" si="152"/>
        <v>38250</v>
      </c>
      <c r="S1118" s="37">
        <v>5</v>
      </c>
      <c r="T1118" s="28">
        <f t="shared" si="153"/>
        <v>1912.5</v>
      </c>
      <c r="U1118" s="77">
        <f t="shared" si="154"/>
        <v>36337.5</v>
      </c>
      <c r="V1118" s="20"/>
      <c r="W1118" s="26"/>
      <c r="X1118" s="27"/>
      <c r="Y1118" s="20"/>
      <c r="Z1118" s="20"/>
    </row>
    <row r="1119" spans="1:26" s="29" customFormat="1" ht="90.75" customHeight="1" x14ac:dyDescent="0.25">
      <c r="A1119" s="20"/>
      <c r="B1119" s="20"/>
      <c r="C1119" s="20"/>
      <c r="D1119" s="21"/>
      <c r="E1119" s="21"/>
      <c r="F1119" s="22"/>
      <c r="G1119" s="22"/>
      <c r="H1119" s="24"/>
      <c r="I1119" s="25"/>
      <c r="J1119" s="24"/>
      <c r="K1119" s="20"/>
      <c r="L1119" s="20"/>
      <c r="M1119" s="20"/>
      <c r="N1119" s="20"/>
      <c r="O1119" s="24"/>
      <c r="P1119" s="24"/>
      <c r="Q1119" s="25"/>
      <c r="R1119" s="24"/>
      <c r="S1119" s="20"/>
      <c r="T1119" s="27"/>
      <c r="U1119" s="80">
        <f>SUM(U1100:U1118)</f>
        <v>25797197.750000004</v>
      </c>
      <c r="V1119" s="27">
        <f>(J1099+U1119)</f>
        <v>35445197.75</v>
      </c>
      <c r="W1119" s="26">
        <f>(V1119*100/100)</f>
        <v>35445197.75</v>
      </c>
      <c r="X1119" s="27">
        <v>0</v>
      </c>
      <c r="Y1119" s="26">
        <f>(W1119-X1119)</f>
        <v>35445197.75</v>
      </c>
      <c r="Z1119" s="49">
        <v>3.0000000000000001E-3</v>
      </c>
    </row>
    <row r="1120" spans="1:26" s="29" customFormat="1" ht="90.75" customHeight="1" x14ac:dyDescent="0.25">
      <c r="A1120" s="20">
        <v>790</v>
      </c>
      <c r="B1120" s="20" t="s">
        <v>0</v>
      </c>
      <c r="C1120" s="20">
        <v>20334</v>
      </c>
      <c r="D1120" s="21">
        <v>16</v>
      </c>
      <c r="E1120" s="21">
        <v>3</v>
      </c>
      <c r="F1120" s="22">
        <v>58.8</v>
      </c>
      <c r="G1120" s="21" t="s">
        <v>209</v>
      </c>
      <c r="H1120" s="36">
        <f>(D1120*400)+(E1120*100)+F1120</f>
        <v>6758.8</v>
      </c>
      <c r="I1120" s="25" t="s">
        <v>5</v>
      </c>
      <c r="J1120" s="65">
        <f>(H1120*I1120)</f>
        <v>1689700</v>
      </c>
      <c r="K1120" s="20"/>
      <c r="L1120" s="20"/>
      <c r="M1120" s="20"/>
      <c r="N1120" s="20"/>
      <c r="O1120" s="24"/>
      <c r="P1120" s="24"/>
      <c r="Q1120" s="25"/>
      <c r="R1120" s="24"/>
      <c r="S1120" s="20"/>
      <c r="T1120" s="27"/>
      <c r="U1120" s="20"/>
      <c r="V1120" s="20"/>
      <c r="W1120" s="26"/>
      <c r="X1120" s="27"/>
      <c r="Y1120" s="20"/>
      <c r="Z1120" s="20"/>
    </row>
    <row r="1121" spans="1:26" s="29" customFormat="1" ht="90.75" customHeight="1" x14ac:dyDescent="0.25">
      <c r="A1121" s="20"/>
      <c r="B1121" s="20"/>
      <c r="C1121" s="20"/>
      <c r="D1121" s="21"/>
      <c r="E1121" s="21"/>
      <c r="F1121" s="22"/>
      <c r="G1121" s="22"/>
      <c r="H1121" s="24">
        <v>363.75</v>
      </c>
      <c r="I1121" s="25" t="s">
        <v>5</v>
      </c>
      <c r="J1121" s="65">
        <f>(H1121*I1121)</f>
        <v>90937.5</v>
      </c>
      <c r="K1121" s="20">
        <v>1</v>
      </c>
      <c r="L1121" s="20" t="s">
        <v>15</v>
      </c>
      <c r="M1121" s="20" t="s">
        <v>24</v>
      </c>
      <c r="N1121" s="20">
        <v>3</v>
      </c>
      <c r="O1121" s="24">
        <v>1455</v>
      </c>
      <c r="P1121" s="24">
        <v>100</v>
      </c>
      <c r="Q1121" s="25">
        <v>5950</v>
      </c>
      <c r="R1121" s="77">
        <f>(O1121*Q1121)</f>
        <v>8657250</v>
      </c>
      <c r="S1121" s="20">
        <v>1</v>
      </c>
      <c r="T1121" s="28">
        <f>(R1121*1/100)</f>
        <v>86572.5</v>
      </c>
      <c r="U1121" s="77">
        <f>(R1121-T1121)</f>
        <v>8570677.5</v>
      </c>
      <c r="V1121" s="27">
        <f>(J1121+U1121)</f>
        <v>8661615</v>
      </c>
      <c r="W1121" s="26">
        <f>(V1121*100/100)</f>
        <v>8661615</v>
      </c>
      <c r="X1121" s="27">
        <v>0</v>
      </c>
      <c r="Y1121" s="26">
        <f>(W1121-X1121)</f>
        <v>8661615</v>
      </c>
      <c r="Z1121" s="49">
        <v>3.0000000000000001E-3</v>
      </c>
    </row>
    <row r="1122" spans="1:26" s="29" customFormat="1" ht="90.75" customHeight="1" x14ac:dyDescent="0.25">
      <c r="A1122" s="20">
        <v>791</v>
      </c>
      <c r="B1122" s="20" t="s">
        <v>0</v>
      </c>
      <c r="C1122" s="20">
        <v>35932</v>
      </c>
      <c r="D1122" s="21">
        <v>71</v>
      </c>
      <c r="E1122" s="21">
        <v>0</v>
      </c>
      <c r="F1122" s="22">
        <v>51</v>
      </c>
      <c r="G1122" s="21" t="s">
        <v>209</v>
      </c>
      <c r="H1122" s="36">
        <f>(D1122*400)+(E1122*100)+F1122</f>
        <v>28451</v>
      </c>
      <c r="I1122" s="25">
        <v>300</v>
      </c>
      <c r="J1122" s="65">
        <f>(H1122*I1122)</f>
        <v>8535300</v>
      </c>
      <c r="K1122" s="20"/>
      <c r="L1122" s="20"/>
      <c r="M1122" s="20"/>
      <c r="N1122" s="20"/>
      <c r="O1122" s="24"/>
      <c r="P1122" s="24"/>
      <c r="Q1122" s="25"/>
      <c r="R1122" s="24"/>
      <c r="S1122" s="20"/>
      <c r="T1122" s="27"/>
      <c r="U1122" s="20"/>
      <c r="V1122" s="20"/>
      <c r="W1122" s="26"/>
      <c r="X1122" s="27"/>
      <c r="Y1122" s="20"/>
      <c r="Z1122" s="20"/>
    </row>
    <row r="1123" spans="1:26" s="29" customFormat="1" ht="90.75" customHeight="1" x14ac:dyDescent="0.25">
      <c r="A1123" s="20"/>
      <c r="B1123" s="20"/>
      <c r="C1123" s="20"/>
      <c r="D1123" s="21"/>
      <c r="E1123" s="21"/>
      <c r="F1123" s="22"/>
      <c r="G1123" s="22"/>
      <c r="H1123" s="24">
        <v>28413.82</v>
      </c>
      <c r="I1123" s="25">
        <v>300</v>
      </c>
      <c r="J1123" s="65">
        <f>(H1123*I1123)</f>
        <v>8524146</v>
      </c>
      <c r="K1123" s="20">
        <v>1</v>
      </c>
      <c r="L1123" s="20" t="s">
        <v>27</v>
      </c>
      <c r="M1123" s="20"/>
      <c r="N1123" s="20">
        <v>3</v>
      </c>
      <c r="O1123" s="24">
        <v>14.04</v>
      </c>
      <c r="P1123" s="24">
        <v>100</v>
      </c>
      <c r="Q1123" s="25">
        <v>7100</v>
      </c>
      <c r="R1123" s="77">
        <f>(O1123*Q1123)</f>
        <v>99684</v>
      </c>
      <c r="S1123" s="20">
        <v>1</v>
      </c>
      <c r="T1123" s="28">
        <f>(R1123*1/100)</f>
        <v>996.84</v>
      </c>
      <c r="U1123" s="80">
        <f>(R1123-T1123)</f>
        <v>98687.16</v>
      </c>
      <c r="V1123" s="20"/>
      <c r="W1123" s="26"/>
      <c r="X1123" s="27"/>
      <c r="Y1123" s="20"/>
      <c r="Z1123" s="20"/>
    </row>
    <row r="1124" spans="1:26" s="29" customFormat="1" ht="90.75" customHeight="1" x14ac:dyDescent="0.25">
      <c r="A1124" s="20"/>
      <c r="B1124" s="20"/>
      <c r="C1124" s="20"/>
      <c r="D1124" s="21"/>
      <c r="E1124" s="21"/>
      <c r="F1124" s="22"/>
      <c r="G1124" s="22"/>
      <c r="H1124" s="24"/>
      <c r="I1124" s="25"/>
      <c r="J1124" s="24"/>
      <c r="K1124" s="20">
        <v>2</v>
      </c>
      <c r="L1124" s="20" t="s">
        <v>15</v>
      </c>
      <c r="M1124" s="20"/>
      <c r="N1124" s="20">
        <v>3</v>
      </c>
      <c r="O1124" s="24">
        <v>71362</v>
      </c>
      <c r="P1124" s="24">
        <v>100</v>
      </c>
      <c r="Q1124" s="25">
        <v>5950</v>
      </c>
      <c r="R1124" s="77">
        <f>(O1124*Q1124)</f>
        <v>424603900</v>
      </c>
      <c r="S1124" s="20">
        <v>1</v>
      </c>
      <c r="T1124" s="28">
        <f>(R1124*1/100)</f>
        <v>4246039</v>
      </c>
      <c r="U1124" s="80">
        <f>(R1124-T1124)</f>
        <v>420357861</v>
      </c>
      <c r="V1124" s="20"/>
      <c r="W1124" s="26"/>
      <c r="X1124" s="27"/>
      <c r="Y1124" s="20"/>
      <c r="Z1124" s="20"/>
    </row>
    <row r="1125" spans="1:26" s="29" customFormat="1" ht="90.75" customHeight="1" x14ac:dyDescent="0.25">
      <c r="A1125" s="20"/>
      <c r="B1125" s="20"/>
      <c r="C1125" s="20"/>
      <c r="D1125" s="21"/>
      <c r="E1125" s="21"/>
      <c r="F1125" s="22"/>
      <c r="G1125" s="22"/>
      <c r="H1125" s="24"/>
      <c r="I1125" s="25"/>
      <c r="J1125" s="24"/>
      <c r="K1125" s="20"/>
      <c r="L1125" s="20"/>
      <c r="M1125" s="20"/>
      <c r="N1125" s="20"/>
      <c r="O1125" s="24"/>
      <c r="P1125" s="24"/>
      <c r="Q1125" s="25"/>
      <c r="R1125" s="77"/>
      <c r="S1125" s="20"/>
      <c r="T1125" s="28"/>
      <c r="U1125" s="80">
        <f>SUM(U1123:U1124)</f>
        <v>420456548.16000003</v>
      </c>
      <c r="V1125" s="27">
        <f>(J1123+U1125)</f>
        <v>428980694.16000003</v>
      </c>
      <c r="W1125" s="26">
        <f t="shared" ref="W1125:W1136" si="155">(V1125*100/100)</f>
        <v>428980694.16000003</v>
      </c>
      <c r="X1125" s="27">
        <v>0</v>
      </c>
      <c r="Y1125" s="26">
        <f t="shared" ref="Y1125:Y1136" si="156">(W1125-X1125)</f>
        <v>428980694.16000003</v>
      </c>
      <c r="Z1125" s="49" t="s">
        <v>279</v>
      </c>
    </row>
    <row r="1126" spans="1:26" s="29" customFormat="1" ht="90.75" customHeight="1" x14ac:dyDescent="0.25">
      <c r="A1126" s="20"/>
      <c r="B1126" s="20" t="s">
        <v>0</v>
      </c>
      <c r="C1126" s="20">
        <v>35932</v>
      </c>
      <c r="D1126" s="21"/>
      <c r="E1126" s="21"/>
      <c r="F1126" s="22"/>
      <c r="G1126" s="22"/>
      <c r="H1126" s="24">
        <v>37.18</v>
      </c>
      <c r="I1126" s="25">
        <v>300</v>
      </c>
      <c r="J1126" s="65">
        <f t="shared" ref="J1126:J1137" si="157">(H1126*I1126)</f>
        <v>11154</v>
      </c>
      <c r="K1126" s="20">
        <v>1</v>
      </c>
      <c r="L1126" s="20" t="s">
        <v>15</v>
      </c>
      <c r="M1126" s="20"/>
      <c r="N1126" s="20">
        <v>3</v>
      </c>
      <c r="O1126" s="24">
        <v>148.75</v>
      </c>
      <c r="P1126" s="24">
        <v>100</v>
      </c>
      <c r="Q1126" s="25">
        <v>5950</v>
      </c>
      <c r="R1126" s="77">
        <f>(O1126*Q1126)</f>
        <v>885062.5</v>
      </c>
      <c r="S1126" s="20">
        <v>2</v>
      </c>
      <c r="T1126" s="28">
        <f>(R1126*2/100)</f>
        <v>17701.25</v>
      </c>
      <c r="U1126" s="80">
        <f>(R1126-T1126)</f>
        <v>867361.25</v>
      </c>
      <c r="V1126" s="27">
        <f t="shared" ref="V1126:V1136" si="158">(J1126+U1126)</f>
        <v>878515.25</v>
      </c>
      <c r="W1126" s="26">
        <f t="shared" si="155"/>
        <v>878515.25</v>
      </c>
      <c r="X1126" s="27">
        <v>0</v>
      </c>
      <c r="Y1126" s="26">
        <f t="shared" si="156"/>
        <v>878515.25</v>
      </c>
      <c r="Z1126" s="49">
        <v>3.0000000000000001E-3</v>
      </c>
    </row>
    <row r="1127" spans="1:26" s="29" customFormat="1" ht="90.75" customHeight="1" x14ac:dyDescent="0.25">
      <c r="A1127" s="20">
        <v>792</v>
      </c>
      <c r="B1127" s="20" t="s">
        <v>0</v>
      </c>
      <c r="C1127" s="20">
        <v>35931</v>
      </c>
      <c r="D1127" s="21">
        <v>86</v>
      </c>
      <c r="E1127" s="21">
        <v>2</v>
      </c>
      <c r="F1127" s="22">
        <v>84</v>
      </c>
      <c r="G1127" s="21" t="s">
        <v>209</v>
      </c>
      <c r="H1127" s="36">
        <f t="shared" ref="H1127:H1137" si="159">(D1127*400)+(E1127*100)+F1127</f>
        <v>34684</v>
      </c>
      <c r="I1127" s="25" t="s">
        <v>75</v>
      </c>
      <c r="J1127" s="65">
        <f t="shared" si="157"/>
        <v>21677500</v>
      </c>
      <c r="K1127" s="20"/>
      <c r="L1127" s="20"/>
      <c r="M1127" s="20"/>
      <c r="N1127" s="20"/>
      <c r="O1127" s="24"/>
      <c r="P1127" s="24"/>
      <c r="Q1127" s="25"/>
      <c r="R1127" s="24"/>
      <c r="S1127" s="20"/>
      <c r="T1127" s="27"/>
      <c r="U1127" s="80"/>
      <c r="V1127" s="27">
        <f t="shared" si="158"/>
        <v>21677500</v>
      </c>
      <c r="W1127" s="26">
        <f t="shared" si="155"/>
        <v>21677500</v>
      </c>
      <c r="X1127" s="27">
        <v>0</v>
      </c>
      <c r="Y1127" s="26">
        <f t="shared" si="156"/>
        <v>21677500</v>
      </c>
      <c r="Z1127" s="49">
        <v>3.0000000000000001E-3</v>
      </c>
    </row>
    <row r="1128" spans="1:26" s="29" customFormat="1" ht="90.75" customHeight="1" x14ac:dyDescent="0.25">
      <c r="A1128" s="20">
        <v>793</v>
      </c>
      <c r="B1128" s="20" t="s">
        <v>0</v>
      </c>
      <c r="C1128" s="20">
        <v>11620</v>
      </c>
      <c r="D1128" s="21">
        <v>38</v>
      </c>
      <c r="E1128" s="21">
        <v>2</v>
      </c>
      <c r="F1128" s="22">
        <v>81</v>
      </c>
      <c r="G1128" s="21" t="s">
        <v>209</v>
      </c>
      <c r="H1128" s="36">
        <f t="shared" si="159"/>
        <v>15481</v>
      </c>
      <c r="I1128" s="25">
        <v>450</v>
      </c>
      <c r="J1128" s="65">
        <f t="shared" si="157"/>
        <v>6966450</v>
      </c>
      <c r="K1128" s="20"/>
      <c r="L1128" s="20"/>
      <c r="M1128" s="20"/>
      <c r="N1128" s="20"/>
      <c r="O1128" s="24"/>
      <c r="P1128" s="24"/>
      <c r="Q1128" s="25"/>
      <c r="R1128" s="24"/>
      <c r="S1128" s="20"/>
      <c r="T1128" s="27"/>
      <c r="U1128" s="80"/>
      <c r="V1128" s="27">
        <f t="shared" si="158"/>
        <v>6966450</v>
      </c>
      <c r="W1128" s="26">
        <f t="shared" si="155"/>
        <v>6966450</v>
      </c>
      <c r="X1128" s="27">
        <v>0</v>
      </c>
      <c r="Y1128" s="26">
        <f t="shared" si="156"/>
        <v>6966450</v>
      </c>
      <c r="Z1128" s="49">
        <v>3.0000000000000001E-3</v>
      </c>
    </row>
    <row r="1129" spans="1:26" s="29" customFormat="1" ht="90.75" customHeight="1" x14ac:dyDescent="0.25">
      <c r="A1129" s="20">
        <v>794</v>
      </c>
      <c r="B1129" s="20" t="s">
        <v>0</v>
      </c>
      <c r="C1129" s="20">
        <v>11912</v>
      </c>
      <c r="D1129" s="21">
        <v>31</v>
      </c>
      <c r="E1129" s="21">
        <v>0</v>
      </c>
      <c r="F1129" s="22">
        <v>38</v>
      </c>
      <c r="G1129" s="21" t="s">
        <v>209</v>
      </c>
      <c r="H1129" s="36">
        <f t="shared" si="159"/>
        <v>12438</v>
      </c>
      <c r="I1129" s="25" t="s">
        <v>75</v>
      </c>
      <c r="J1129" s="65">
        <f t="shared" si="157"/>
        <v>7773750</v>
      </c>
      <c r="K1129" s="20"/>
      <c r="L1129" s="20"/>
      <c r="M1129" s="20"/>
      <c r="N1129" s="20"/>
      <c r="O1129" s="24"/>
      <c r="P1129" s="24"/>
      <c r="Q1129" s="25"/>
      <c r="R1129" s="24"/>
      <c r="S1129" s="20"/>
      <c r="T1129" s="27"/>
      <c r="U1129" s="20"/>
      <c r="V1129" s="27">
        <f t="shared" si="158"/>
        <v>7773750</v>
      </c>
      <c r="W1129" s="26">
        <f t="shared" si="155"/>
        <v>7773750</v>
      </c>
      <c r="X1129" s="27">
        <v>0</v>
      </c>
      <c r="Y1129" s="26">
        <f t="shared" si="156"/>
        <v>7773750</v>
      </c>
      <c r="Z1129" s="49">
        <v>3.0000000000000001E-3</v>
      </c>
    </row>
    <row r="1130" spans="1:26" s="29" customFormat="1" ht="90.75" customHeight="1" x14ac:dyDescent="0.25">
      <c r="A1130" s="20">
        <v>795</v>
      </c>
      <c r="B1130" s="20" t="s">
        <v>0</v>
      </c>
      <c r="C1130" s="20">
        <v>11531</v>
      </c>
      <c r="D1130" s="21">
        <v>40</v>
      </c>
      <c r="E1130" s="21">
        <v>0</v>
      </c>
      <c r="F1130" s="22">
        <v>90</v>
      </c>
      <c r="G1130" s="21" t="s">
        <v>209</v>
      </c>
      <c r="H1130" s="36">
        <f t="shared" si="159"/>
        <v>16090</v>
      </c>
      <c r="I1130" s="25">
        <v>600</v>
      </c>
      <c r="J1130" s="65">
        <f t="shared" si="157"/>
        <v>9654000</v>
      </c>
      <c r="K1130" s="20"/>
      <c r="L1130" s="20"/>
      <c r="M1130" s="20"/>
      <c r="N1130" s="20"/>
      <c r="O1130" s="24"/>
      <c r="P1130" s="24"/>
      <c r="Q1130" s="25"/>
      <c r="R1130" s="24"/>
      <c r="S1130" s="20"/>
      <c r="T1130" s="27"/>
      <c r="U1130" s="20"/>
      <c r="V1130" s="27">
        <f t="shared" si="158"/>
        <v>9654000</v>
      </c>
      <c r="W1130" s="26">
        <f t="shared" si="155"/>
        <v>9654000</v>
      </c>
      <c r="X1130" s="27">
        <v>0</v>
      </c>
      <c r="Y1130" s="26">
        <f t="shared" si="156"/>
        <v>9654000</v>
      </c>
      <c r="Z1130" s="49">
        <v>3.0000000000000001E-3</v>
      </c>
    </row>
    <row r="1131" spans="1:26" s="29" customFormat="1" ht="90.75" customHeight="1" x14ac:dyDescent="0.25">
      <c r="A1131" s="20">
        <v>796</v>
      </c>
      <c r="B1131" s="20" t="s">
        <v>0</v>
      </c>
      <c r="C1131" s="20">
        <v>11552</v>
      </c>
      <c r="D1131" s="21">
        <v>26</v>
      </c>
      <c r="E1131" s="21">
        <v>2</v>
      </c>
      <c r="F1131" s="22">
        <v>98</v>
      </c>
      <c r="G1131" s="21" t="s">
        <v>209</v>
      </c>
      <c r="H1131" s="36">
        <f t="shared" si="159"/>
        <v>10698</v>
      </c>
      <c r="I1131" s="25" t="s">
        <v>80</v>
      </c>
      <c r="J1131" s="65">
        <f t="shared" si="157"/>
        <v>6151350</v>
      </c>
      <c r="K1131" s="20"/>
      <c r="L1131" s="20"/>
      <c r="M1131" s="20"/>
      <c r="N1131" s="20"/>
      <c r="O1131" s="24"/>
      <c r="P1131" s="24"/>
      <c r="Q1131" s="25"/>
      <c r="R1131" s="24"/>
      <c r="S1131" s="20"/>
      <c r="T1131" s="27"/>
      <c r="U1131" s="20"/>
      <c r="V1131" s="27">
        <f t="shared" si="158"/>
        <v>6151350</v>
      </c>
      <c r="W1131" s="26">
        <f t="shared" si="155"/>
        <v>6151350</v>
      </c>
      <c r="X1131" s="27">
        <v>0</v>
      </c>
      <c r="Y1131" s="26">
        <f t="shared" si="156"/>
        <v>6151350</v>
      </c>
      <c r="Z1131" s="49">
        <v>3.0000000000000001E-3</v>
      </c>
    </row>
    <row r="1132" spans="1:26" s="29" customFormat="1" ht="90.75" customHeight="1" x14ac:dyDescent="0.25">
      <c r="A1132" s="20">
        <v>797</v>
      </c>
      <c r="B1132" s="20" t="s">
        <v>0</v>
      </c>
      <c r="C1132" s="20">
        <v>11542</v>
      </c>
      <c r="D1132" s="21">
        <v>25</v>
      </c>
      <c r="E1132" s="21">
        <v>3</v>
      </c>
      <c r="F1132" s="22">
        <v>88</v>
      </c>
      <c r="G1132" s="21" t="s">
        <v>209</v>
      </c>
      <c r="H1132" s="36">
        <f t="shared" si="159"/>
        <v>10388</v>
      </c>
      <c r="I1132" s="25" t="s">
        <v>9</v>
      </c>
      <c r="J1132" s="65">
        <f t="shared" si="157"/>
        <v>3116400</v>
      </c>
      <c r="K1132" s="20"/>
      <c r="L1132" s="20"/>
      <c r="M1132" s="20"/>
      <c r="N1132" s="20"/>
      <c r="O1132" s="24"/>
      <c r="P1132" s="24"/>
      <c r="Q1132" s="25"/>
      <c r="R1132" s="24"/>
      <c r="S1132" s="20"/>
      <c r="T1132" s="27"/>
      <c r="U1132" s="20"/>
      <c r="V1132" s="27">
        <f t="shared" si="158"/>
        <v>3116400</v>
      </c>
      <c r="W1132" s="26">
        <f t="shared" si="155"/>
        <v>3116400</v>
      </c>
      <c r="X1132" s="27">
        <v>0</v>
      </c>
      <c r="Y1132" s="26">
        <f t="shared" si="156"/>
        <v>3116400</v>
      </c>
      <c r="Z1132" s="49">
        <v>3.0000000000000001E-3</v>
      </c>
    </row>
    <row r="1133" spans="1:26" s="29" customFormat="1" ht="90.75" customHeight="1" x14ac:dyDescent="0.25">
      <c r="A1133" s="20">
        <v>798</v>
      </c>
      <c r="B1133" s="20" t="s">
        <v>0</v>
      </c>
      <c r="C1133" s="20">
        <v>4573</v>
      </c>
      <c r="D1133" s="21">
        <v>7</v>
      </c>
      <c r="E1133" s="21">
        <v>2</v>
      </c>
      <c r="F1133" s="22">
        <v>5</v>
      </c>
      <c r="G1133" s="22" t="s">
        <v>198</v>
      </c>
      <c r="H1133" s="24">
        <f t="shared" si="159"/>
        <v>3005</v>
      </c>
      <c r="I1133" s="25" t="s">
        <v>37</v>
      </c>
      <c r="J1133" s="24">
        <f t="shared" si="157"/>
        <v>1277125</v>
      </c>
      <c r="K1133" s="20"/>
      <c r="L1133" s="20"/>
      <c r="M1133" s="20"/>
      <c r="N1133" s="20"/>
      <c r="O1133" s="24"/>
      <c r="P1133" s="24"/>
      <c r="Q1133" s="25"/>
      <c r="R1133" s="24"/>
      <c r="S1133" s="20"/>
      <c r="T1133" s="27"/>
      <c r="U1133" s="20"/>
      <c r="V1133" s="27">
        <f t="shared" si="158"/>
        <v>1277125</v>
      </c>
      <c r="W1133" s="26">
        <f t="shared" si="155"/>
        <v>1277125</v>
      </c>
      <c r="X1133" s="27">
        <v>0</v>
      </c>
      <c r="Y1133" s="26">
        <f t="shared" si="156"/>
        <v>1277125</v>
      </c>
      <c r="Z1133" s="49">
        <v>1E-4</v>
      </c>
    </row>
    <row r="1134" spans="1:26" s="29" customFormat="1" ht="90.75" customHeight="1" x14ac:dyDescent="0.25">
      <c r="A1134" s="20">
        <v>799</v>
      </c>
      <c r="B1134" s="20" t="s">
        <v>0</v>
      </c>
      <c r="C1134" s="20">
        <v>4655</v>
      </c>
      <c r="D1134" s="21">
        <v>25</v>
      </c>
      <c r="E1134" s="21">
        <v>2</v>
      </c>
      <c r="F1134" s="22">
        <v>27</v>
      </c>
      <c r="G1134" s="22" t="s">
        <v>198</v>
      </c>
      <c r="H1134" s="24">
        <f t="shared" si="159"/>
        <v>10227</v>
      </c>
      <c r="I1134" s="25" t="s">
        <v>7</v>
      </c>
      <c r="J1134" s="24">
        <f t="shared" si="157"/>
        <v>3579450</v>
      </c>
      <c r="K1134" s="20"/>
      <c r="L1134" s="20"/>
      <c r="M1134" s="20"/>
      <c r="N1134" s="20"/>
      <c r="O1134" s="24"/>
      <c r="P1134" s="24"/>
      <c r="Q1134" s="25"/>
      <c r="R1134" s="24"/>
      <c r="S1134" s="20"/>
      <c r="T1134" s="27"/>
      <c r="U1134" s="20"/>
      <c r="V1134" s="27">
        <f t="shared" si="158"/>
        <v>3579450</v>
      </c>
      <c r="W1134" s="26">
        <f t="shared" si="155"/>
        <v>3579450</v>
      </c>
      <c r="X1134" s="27">
        <v>0</v>
      </c>
      <c r="Y1134" s="26">
        <f t="shared" si="156"/>
        <v>3579450</v>
      </c>
      <c r="Z1134" s="49">
        <v>1E-4</v>
      </c>
    </row>
    <row r="1135" spans="1:26" s="29" customFormat="1" ht="90.75" customHeight="1" x14ac:dyDescent="0.25">
      <c r="A1135" s="20">
        <v>800</v>
      </c>
      <c r="B1135" s="20" t="s">
        <v>0</v>
      </c>
      <c r="C1135" s="20">
        <v>20285</v>
      </c>
      <c r="D1135" s="21">
        <v>15</v>
      </c>
      <c r="E1135" s="21">
        <v>0</v>
      </c>
      <c r="F1135" s="22">
        <v>20</v>
      </c>
      <c r="G1135" s="22" t="s">
        <v>198</v>
      </c>
      <c r="H1135" s="24">
        <f t="shared" si="159"/>
        <v>6020</v>
      </c>
      <c r="I1135" s="25" t="s">
        <v>7</v>
      </c>
      <c r="J1135" s="24">
        <f t="shared" si="157"/>
        <v>2107000</v>
      </c>
      <c r="K1135" s="20"/>
      <c r="L1135" s="20"/>
      <c r="M1135" s="20"/>
      <c r="N1135" s="20"/>
      <c r="O1135" s="24"/>
      <c r="P1135" s="24"/>
      <c r="Q1135" s="25"/>
      <c r="R1135" s="24"/>
      <c r="S1135" s="20"/>
      <c r="T1135" s="27"/>
      <c r="U1135" s="20"/>
      <c r="V1135" s="27">
        <f t="shared" si="158"/>
        <v>2107000</v>
      </c>
      <c r="W1135" s="26">
        <f t="shared" si="155"/>
        <v>2107000</v>
      </c>
      <c r="X1135" s="27">
        <v>0</v>
      </c>
      <c r="Y1135" s="26">
        <f t="shared" si="156"/>
        <v>2107000</v>
      </c>
      <c r="Z1135" s="49">
        <v>1E-4</v>
      </c>
    </row>
    <row r="1136" spans="1:26" s="29" customFormat="1" ht="90.75" customHeight="1" x14ac:dyDescent="0.25">
      <c r="A1136" s="20">
        <v>801</v>
      </c>
      <c r="B1136" s="20" t="s">
        <v>0</v>
      </c>
      <c r="C1136" s="20">
        <v>15370</v>
      </c>
      <c r="D1136" s="21">
        <v>14</v>
      </c>
      <c r="E1136" s="21">
        <v>1</v>
      </c>
      <c r="F1136" s="22">
        <v>99</v>
      </c>
      <c r="G1136" s="22" t="s">
        <v>198</v>
      </c>
      <c r="H1136" s="24">
        <f t="shared" si="159"/>
        <v>5799</v>
      </c>
      <c r="I1136" s="25" t="s">
        <v>10</v>
      </c>
      <c r="J1136" s="24">
        <f t="shared" si="157"/>
        <v>1884675</v>
      </c>
      <c r="K1136" s="20"/>
      <c r="L1136" s="20"/>
      <c r="M1136" s="20"/>
      <c r="N1136" s="20"/>
      <c r="O1136" s="24"/>
      <c r="P1136" s="24"/>
      <c r="Q1136" s="25"/>
      <c r="R1136" s="24"/>
      <c r="S1136" s="20"/>
      <c r="T1136" s="27"/>
      <c r="U1136" s="20"/>
      <c r="V1136" s="27">
        <f t="shared" si="158"/>
        <v>1884675</v>
      </c>
      <c r="W1136" s="26">
        <f t="shared" si="155"/>
        <v>1884675</v>
      </c>
      <c r="X1136" s="27">
        <v>0</v>
      </c>
      <c r="Y1136" s="26">
        <f t="shared" si="156"/>
        <v>1884675</v>
      </c>
      <c r="Z1136" s="49">
        <v>1E-4</v>
      </c>
    </row>
    <row r="1137" spans="1:26" s="29" customFormat="1" ht="90.75" customHeight="1" x14ac:dyDescent="0.25">
      <c r="A1137" s="20">
        <v>802</v>
      </c>
      <c r="B1137" s="20" t="s">
        <v>0</v>
      </c>
      <c r="C1137" s="20">
        <v>7953</v>
      </c>
      <c r="D1137" s="21">
        <v>0</v>
      </c>
      <c r="E1137" s="21">
        <v>3</v>
      </c>
      <c r="F1137" s="22">
        <v>59</v>
      </c>
      <c r="G1137" s="62" t="s">
        <v>56</v>
      </c>
      <c r="H1137" s="24">
        <f t="shared" si="159"/>
        <v>359</v>
      </c>
      <c r="I1137" s="25" t="s">
        <v>78</v>
      </c>
      <c r="J1137" s="24">
        <f t="shared" si="157"/>
        <v>314125</v>
      </c>
      <c r="K1137" s="20">
        <v>1</v>
      </c>
      <c r="L1137" s="20" t="s">
        <v>16</v>
      </c>
      <c r="M1137" s="20" t="s">
        <v>13</v>
      </c>
      <c r="N1137" s="20" t="s">
        <v>56</v>
      </c>
      <c r="O1137" s="24">
        <v>96</v>
      </c>
      <c r="P1137" s="24">
        <v>100</v>
      </c>
      <c r="Q1137" s="25">
        <v>6450</v>
      </c>
      <c r="R1137" s="24">
        <f>(O1137*Q1137)</f>
        <v>619200</v>
      </c>
      <c r="S1137" s="20">
        <v>10</v>
      </c>
      <c r="T1137" s="24">
        <f>(R1137*10/100)</f>
        <v>61920</v>
      </c>
      <c r="U1137" s="27">
        <f>(R1137-T1137)</f>
        <v>557280</v>
      </c>
      <c r="V1137" s="27"/>
      <c r="W1137" s="26"/>
      <c r="X1137" s="27"/>
      <c r="Y1137" s="78"/>
      <c r="Z1137" s="49"/>
    </row>
    <row r="1138" spans="1:26" s="29" customFormat="1" ht="90.75" customHeight="1" x14ac:dyDescent="0.25">
      <c r="A1138" s="20"/>
      <c r="B1138" s="20"/>
      <c r="C1138" s="20"/>
      <c r="D1138" s="21"/>
      <c r="E1138" s="21"/>
      <c r="F1138" s="22"/>
      <c r="G1138" s="22"/>
      <c r="H1138" s="24"/>
      <c r="I1138" s="25"/>
      <c r="J1138" s="24"/>
      <c r="K1138" s="20">
        <v>2</v>
      </c>
      <c r="L1138" s="20" t="s">
        <v>31</v>
      </c>
      <c r="M1138" s="20" t="s">
        <v>13</v>
      </c>
      <c r="N1138" s="20" t="s">
        <v>56</v>
      </c>
      <c r="O1138" s="24">
        <v>24</v>
      </c>
      <c r="P1138" s="24">
        <v>100</v>
      </c>
      <c r="Q1138" s="25">
        <v>2550</v>
      </c>
      <c r="R1138" s="24">
        <f>(O1138*Q1138)</f>
        <v>61200</v>
      </c>
      <c r="S1138" s="20">
        <v>10</v>
      </c>
      <c r="T1138" s="24">
        <f>(R1138*10/100)</f>
        <v>6120</v>
      </c>
      <c r="U1138" s="27">
        <f>(R1138-T1138)</f>
        <v>55080</v>
      </c>
      <c r="V1138" s="27"/>
      <c r="W1138" s="26"/>
      <c r="X1138" s="27"/>
      <c r="Y1138" s="26"/>
      <c r="Z1138" s="49"/>
    </row>
    <row r="1139" spans="1:26" s="29" customFormat="1" ht="90.75" customHeight="1" x14ac:dyDescent="0.25">
      <c r="A1139" s="20"/>
      <c r="B1139" s="20"/>
      <c r="C1139" s="20"/>
      <c r="D1139" s="21"/>
      <c r="E1139" s="21"/>
      <c r="F1139" s="22"/>
      <c r="G1139" s="22"/>
      <c r="H1139" s="24"/>
      <c r="I1139" s="25"/>
      <c r="J1139" s="24"/>
      <c r="K1139" s="20"/>
      <c r="L1139" s="20"/>
      <c r="M1139" s="20"/>
      <c r="N1139" s="20"/>
      <c r="O1139" s="24"/>
      <c r="P1139" s="24"/>
      <c r="Q1139" s="25"/>
      <c r="R1139" s="24"/>
      <c r="S1139" s="20"/>
      <c r="T1139" s="27"/>
      <c r="U1139" s="27">
        <f>SUM(U1137:U1138)</f>
        <v>612360</v>
      </c>
      <c r="V1139" s="27">
        <f>(J1137+U1139)</f>
        <v>926485</v>
      </c>
      <c r="W1139" s="26">
        <f t="shared" ref="W1139:W1146" si="160">(V1139*100/100)</f>
        <v>926485</v>
      </c>
      <c r="X1139" s="27">
        <v>0</v>
      </c>
      <c r="Y1139" s="26">
        <f t="shared" ref="Y1139:Y1146" si="161">(W1139-X1139)</f>
        <v>926485</v>
      </c>
      <c r="Z1139" s="49">
        <v>2.0000000000000001E-4</v>
      </c>
    </row>
    <row r="1140" spans="1:26" s="29" customFormat="1" ht="90.75" customHeight="1" x14ac:dyDescent="0.25">
      <c r="A1140" s="20">
        <v>803</v>
      </c>
      <c r="B1140" s="20" t="s">
        <v>0</v>
      </c>
      <c r="C1140" s="20">
        <v>12677</v>
      </c>
      <c r="D1140" s="21">
        <v>18</v>
      </c>
      <c r="E1140" s="21">
        <v>0</v>
      </c>
      <c r="F1140" s="22">
        <v>35</v>
      </c>
      <c r="G1140" s="21" t="s">
        <v>209</v>
      </c>
      <c r="H1140" s="24">
        <f t="shared" ref="H1140:H1147" si="162">(D1140*400)+(E1140*100)+F1140</f>
        <v>7235</v>
      </c>
      <c r="I1140" s="25" t="s">
        <v>22</v>
      </c>
      <c r="J1140" s="24">
        <f t="shared" ref="J1140:J1147" si="163">(H1140*I1140)</f>
        <v>3798375</v>
      </c>
      <c r="K1140" s="20"/>
      <c r="L1140" s="20"/>
      <c r="M1140" s="20"/>
      <c r="N1140" s="20"/>
      <c r="O1140" s="24"/>
      <c r="P1140" s="24"/>
      <c r="Q1140" s="25"/>
      <c r="R1140" s="24"/>
      <c r="S1140" s="20"/>
      <c r="T1140" s="27"/>
      <c r="U1140" s="20"/>
      <c r="V1140" s="27">
        <f t="shared" ref="V1140:V1146" si="164">(J1140+U1140)</f>
        <v>3798375</v>
      </c>
      <c r="W1140" s="26">
        <f t="shared" si="160"/>
        <v>3798375</v>
      </c>
      <c r="X1140" s="27">
        <v>0</v>
      </c>
      <c r="Y1140" s="26">
        <f t="shared" si="161"/>
        <v>3798375</v>
      </c>
      <c r="Z1140" s="49">
        <v>3.0000000000000001E-3</v>
      </c>
    </row>
    <row r="1141" spans="1:26" s="29" customFormat="1" ht="90.75" customHeight="1" x14ac:dyDescent="0.25">
      <c r="A1141" s="20">
        <v>804</v>
      </c>
      <c r="B1141" s="20" t="s">
        <v>0</v>
      </c>
      <c r="C1141" s="20">
        <v>46037</v>
      </c>
      <c r="D1141" s="21">
        <v>5</v>
      </c>
      <c r="E1141" s="21">
        <v>0</v>
      </c>
      <c r="F1141" s="22">
        <v>0</v>
      </c>
      <c r="G1141" s="21" t="s">
        <v>209</v>
      </c>
      <c r="H1141" s="24">
        <f t="shared" si="162"/>
        <v>2000</v>
      </c>
      <c r="I1141" s="25">
        <v>625</v>
      </c>
      <c r="J1141" s="24">
        <f t="shared" si="163"/>
        <v>1250000</v>
      </c>
      <c r="K1141" s="20"/>
      <c r="L1141" s="20"/>
      <c r="M1141" s="20"/>
      <c r="N1141" s="20"/>
      <c r="O1141" s="24"/>
      <c r="P1141" s="24"/>
      <c r="Q1141" s="25"/>
      <c r="R1141" s="24"/>
      <c r="S1141" s="20"/>
      <c r="T1141" s="27"/>
      <c r="U1141" s="20"/>
      <c r="V1141" s="27">
        <f t="shared" si="164"/>
        <v>1250000</v>
      </c>
      <c r="W1141" s="26">
        <f t="shared" si="160"/>
        <v>1250000</v>
      </c>
      <c r="X1141" s="27">
        <v>0</v>
      </c>
      <c r="Y1141" s="26">
        <f t="shared" si="161"/>
        <v>1250000</v>
      </c>
      <c r="Z1141" s="49">
        <v>3.0000000000000001E-3</v>
      </c>
    </row>
    <row r="1142" spans="1:26" s="29" customFormat="1" ht="90.75" customHeight="1" x14ac:dyDescent="0.25">
      <c r="A1142" s="20">
        <v>805</v>
      </c>
      <c r="B1142" s="20" t="s">
        <v>0</v>
      </c>
      <c r="C1142" s="20">
        <v>46038</v>
      </c>
      <c r="D1142" s="21">
        <v>5</v>
      </c>
      <c r="E1142" s="21">
        <v>0</v>
      </c>
      <c r="F1142" s="22">
        <v>0</v>
      </c>
      <c r="G1142" s="21" t="s">
        <v>209</v>
      </c>
      <c r="H1142" s="24">
        <f t="shared" si="162"/>
        <v>2000</v>
      </c>
      <c r="I1142" s="25">
        <v>625</v>
      </c>
      <c r="J1142" s="24">
        <f t="shared" si="163"/>
        <v>1250000</v>
      </c>
      <c r="K1142" s="20"/>
      <c r="L1142" s="20"/>
      <c r="M1142" s="20"/>
      <c r="N1142" s="20"/>
      <c r="O1142" s="24"/>
      <c r="P1142" s="24"/>
      <c r="Q1142" s="25"/>
      <c r="R1142" s="24"/>
      <c r="S1142" s="20"/>
      <c r="T1142" s="27"/>
      <c r="U1142" s="20"/>
      <c r="V1142" s="27">
        <f t="shared" si="164"/>
        <v>1250000</v>
      </c>
      <c r="W1142" s="26">
        <f t="shared" si="160"/>
        <v>1250000</v>
      </c>
      <c r="X1142" s="27">
        <v>0</v>
      </c>
      <c r="Y1142" s="26">
        <f t="shared" si="161"/>
        <v>1250000</v>
      </c>
      <c r="Z1142" s="49">
        <v>3.0000000000000001E-3</v>
      </c>
    </row>
    <row r="1143" spans="1:26" s="29" customFormat="1" ht="90.75" customHeight="1" x14ac:dyDescent="0.25">
      <c r="A1143" s="20">
        <v>806</v>
      </c>
      <c r="B1143" s="20" t="s">
        <v>0</v>
      </c>
      <c r="C1143" s="20">
        <v>46039</v>
      </c>
      <c r="D1143" s="21">
        <v>5</v>
      </c>
      <c r="E1143" s="21">
        <v>0</v>
      </c>
      <c r="F1143" s="22">
        <v>0</v>
      </c>
      <c r="G1143" s="21" t="s">
        <v>209</v>
      </c>
      <c r="H1143" s="24">
        <f t="shared" si="162"/>
        <v>2000</v>
      </c>
      <c r="I1143" s="25">
        <v>625</v>
      </c>
      <c r="J1143" s="24">
        <f t="shared" si="163"/>
        <v>1250000</v>
      </c>
      <c r="K1143" s="20"/>
      <c r="L1143" s="20"/>
      <c r="M1143" s="20"/>
      <c r="N1143" s="20"/>
      <c r="O1143" s="24"/>
      <c r="P1143" s="24"/>
      <c r="Q1143" s="25"/>
      <c r="R1143" s="24"/>
      <c r="S1143" s="20"/>
      <c r="T1143" s="27"/>
      <c r="U1143" s="20"/>
      <c r="V1143" s="27">
        <f t="shared" si="164"/>
        <v>1250000</v>
      </c>
      <c r="W1143" s="26">
        <f t="shared" si="160"/>
        <v>1250000</v>
      </c>
      <c r="X1143" s="27">
        <v>0</v>
      </c>
      <c r="Y1143" s="26">
        <f t="shared" si="161"/>
        <v>1250000</v>
      </c>
      <c r="Z1143" s="49">
        <v>3.0000000000000001E-3</v>
      </c>
    </row>
    <row r="1144" spans="1:26" s="29" customFormat="1" ht="90.75" customHeight="1" x14ac:dyDescent="0.25">
      <c r="A1144" s="20">
        <v>807</v>
      </c>
      <c r="B1144" s="20" t="s">
        <v>0</v>
      </c>
      <c r="C1144" s="20">
        <v>46040</v>
      </c>
      <c r="D1144" s="21">
        <v>5</v>
      </c>
      <c r="E1144" s="21">
        <v>0</v>
      </c>
      <c r="F1144" s="22">
        <v>0</v>
      </c>
      <c r="G1144" s="21" t="s">
        <v>209</v>
      </c>
      <c r="H1144" s="24">
        <f t="shared" si="162"/>
        <v>2000</v>
      </c>
      <c r="I1144" s="25">
        <v>625</v>
      </c>
      <c r="J1144" s="24">
        <f t="shared" si="163"/>
        <v>1250000</v>
      </c>
      <c r="K1144" s="20"/>
      <c r="L1144" s="20"/>
      <c r="M1144" s="20"/>
      <c r="N1144" s="20"/>
      <c r="O1144" s="24"/>
      <c r="P1144" s="24"/>
      <c r="Q1144" s="25"/>
      <c r="R1144" s="24"/>
      <c r="S1144" s="20"/>
      <c r="T1144" s="27"/>
      <c r="U1144" s="20"/>
      <c r="V1144" s="27">
        <f t="shared" si="164"/>
        <v>1250000</v>
      </c>
      <c r="W1144" s="26">
        <f t="shared" si="160"/>
        <v>1250000</v>
      </c>
      <c r="X1144" s="27">
        <v>0</v>
      </c>
      <c r="Y1144" s="26">
        <f t="shared" si="161"/>
        <v>1250000</v>
      </c>
      <c r="Z1144" s="49">
        <v>3.0000000000000001E-3</v>
      </c>
    </row>
    <row r="1145" spans="1:26" s="29" customFormat="1" ht="90.75" customHeight="1" x14ac:dyDescent="0.25">
      <c r="A1145" s="20">
        <v>808</v>
      </c>
      <c r="B1145" s="20" t="s">
        <v>0</v>
      </c>
      <c r="C1145" s="20">
        <v>14604</v>
      </c>
      <c r="D1145" s="21">
        <v>2</v>
      </c>
      <c r="E1145" s="21">
        <v>2</v>
      </c>
      <c r="F1145" s="22">
        <v>43</v>
      </c>
      <c r="G1145" s="21" t="s">
        <v>209</v>
      </c>
      <c r="H1145" s="24">
        <f t="shared" si="162"/>
        <v>1043</v>
      </c>
      <c r="I1145" s="25" t="s">
        <v>75</v>
      </c>
      <c r="J1145" s="24">
        <f t="shared" si="163"/>
        <v>651875</v>
      </c>
      <c r="K1145" s="20"/>
      <c r="L1145" s="20"/>
      <c r="M1145" s="20"/>
      <c r="N1145" s="20"/>
      <c r="O1145" s="24"/>
      <c r="P1145" s="24"/>
      <c r="Q1145" s="25"/>
      <c r="R1145" s="24"/>
      <c r="S1145" s="20"/>
      <c r="T1145" s="27"/>
      <c r="U1145" s="20"/>
      <c r="V1145" s="27">
        <f t="shared" si="164"/>
        <v>651875</v>
      </c>
      <c r="W1145" s="26">
        <f t="shared" si="160"/>
        <v>651875</v>
      </c>
      <c r="X1145" s="27">
        <v>0</v>
      </c>
      <c r="Y1145" s="26">
        <f t="shared" si="161"/>
        <v>651875</v>
      </c>
      <c r="Z1145" s="49">
        <v>3.0000000000000001E-3</v>
      </c>
    </row>
    <row r="1146" spans="1:26" s="29" customFormat="1" ht="90.75" customHeight="1" x14ac:dyDescent="0.25">
      <c r="A1146" s="20">
        <v>809</v>
      </c>
      <c r="B1146" s="20" t="s">
        <v>0</v>
      </c>
      <c r="C1146" s="20">
        <v>47923</v>
      </c>
      <c r="D1146" s="21">
        <v>9</v>
      </c>
      <c r="E1146" s="21">
        <v>1</v>
      </c>
      <c r="F1146" s="22">
        <v>85</v>
      </c>
      <c r="G1146" s="22" t="s">
        <v>210</v>
      </c>
      <c r="H1146" s="24">
        <f t="shared" si="162"/>
        <v>3785</v>
      </c>
      <c r="I1146" s="25">
        <v>4500</v>
      </c>
      <c r="J1146" s="24">
        <f t="shared" si="163"/>
        <v>17032500</v>
      </c>
      <c r="K1146" s="20"/>
      <c r="L1146" s="20"/>
      <c r="M1146" s="20"/>
      <c r="N1146" s="20"/>
      <c r="O1146" s="24"/>
      <c r="P1146" s="24"/>
      <c r="Q1146" s="25"/>
      <c r="R1146" s="24"/>
      <c r="S1146" s="20"/>
      <c r="T1146" s="27"/>
      <c r="U1146" s="20"/>
      <c r="V1146" s="27">
        <f t="shared" si="164"/>
        <v>17032500</v>
      </c>
      <c r="W1146" s="26">
        <f t="shared" si="160"/>
        <v>17032500</v>
      </c>
      <c r="X1146" s="27">
        <v>0</v>
      </c>
      <c r="Y1146" s="26">
        <f t="shared" si="161"/>
        <v>17032500</v>
      </c>
      <c r="Z1146" s="49">
        <v>3.0000000000000001E-3</v>
      </c>
    </row>
    <row r="1147" spans="1:26" s="29" customFormat="1" ht="90.75" customHeight="1" x14ac:dyDescent="0.25">
      <c r="A1147" s="20">
        <v>810</v>
      </c>
      <c r="B1147" s="20" t="s">
        <v>0</v>
      </c>
      <c r="C1147" s="20">
        <v>56859</v>
      </c>
      <c r="D1147" s="21">
        <v>30</v>
      </c>
      <c r="E1147" s="21">
        <v>0</v>
      </c>
      <c r="F1147" s="22">
        <v>95</v>
      </c>
      <c r="G1147" s="21" t="s">
        <v>209</v>
      </c>
      <c r="H1147" s="24">
        <f t="shared" si="162"/>
        <v>12095</v>
      </c>
      <c r="I1147" s="25">
        <v>400</v>
      </c>
      <c r="J1147" s="24">
        <f t="shared" si="163"/>
        <v>4838000</v>
      </c>
      <c r="K1147" s="20"/>
      <c r="L1147" s="20"/>
      <c r="M1147" s="20"/>
      <c r="N1147" s="20"/>
      <c r="O1147" s="24"/>
      <c r="P1147" s="24"/>
      <c r="Q1147" s="25"/>
      <c r="R1147" s="24"/>
      <c r="S1147" s="20"/>
      <c r="T1147" s="27"/>
      <c r="U1147" s="20"/>
      <c r="V1147" s="20"/>
      <c r="W1147" s="26"/>
      <c r="X1147" s="27"/>
      <c r="Y1147" s="20"/>
      <c r="Z1147" s="20"/>
    </row>
    <row r="1148" spans="1:26" s="29" customFormat="1" ht="90.75" customHeight="1" x14ac:dyDescent="0.25">
      <c r="A1148" s="20"/>
      <c r="B1148" s="20"/>
      <c r="C1148" s="20"/>
      <c r="D1148" s="21"/>
      <c r="E1148" s="21"/>
      <c r="F1148" s="22"/>
      <c r="G1148" s="22"/>
      <c r="H1148" s="24"/>
      <c r="I1148" s="25"/>
      <c r="J1148" s="24"/>
      <c r="K1148" s="37">
        <v>1</v>
      </c>
      <c r="L1148" s="20" t="s">
        <v>93</v>
      </c>
      <c r="M1148" s="20" t="s">
        <v>13</v>
      </c>
      <c r="N1148" s="62">
        <v>3</v>
      </c>
      <c r="O1148" s="24">
        <v>360</v>
      </c>
      <c r="P1148" s="35">
        <v>100</v>
      </c>
      <c r="Q1148" s="40">
        <v>7100</v>
      </c>
      <c r="R1148" s="77">
        <f t="shared" ref="R1148:R1155" si="165">(O1148*Q1148)</f>
        <v>2556000</v>
      </c>
      <c r="S1148" s="37">
        <v>4</v>
      </c>
      <c r="T1148" s="28">
        <f t="shared" ref="T1148:T1155" si="166">(R1148*4/100)</f>
        <v>102240</v>
      </c>
      <c r="U1148" s="77">
        <f t="shared" ref="U1148:U1155" si="167">(R1148-T1148)</f>
        <v>2453760</v>
      </c>
      <c r="V1148" s="77"/>
      <c r="W1148" s="77"/>
      <c r="X1148" s="28"/>
      <c r="Y1148" s="28"/>
      <c r="Z1148" s="52"/>
    </row>
    <row r="1149" spans="1:26" s="29" customFormat="1" ht="90.75" customHeight="1" x14ac:dyDescent="0.25">
      <c r="A1149" s="20"/>
      <c r="B1149" s="20"/>
      <c r="C1149" s="20"/>
      <c r="D1149" s="21"/>
      <c r="E1149" s="21"/>
      <c r="F1149" s="22"/>
      <c r="G1149" s="22"/>
      <c r="H1149" s="24"/>
      <c r="I1149" s="25"/>
      <c r="J1149" s="24"/>
      <c r="K1149" s="37">
        <v>2</v>
      </c>
      <c r="L1149" s="20" t="s">
        <v>48</v>
      </c>
      <c r="M1149" s="20" t="s">
        <v>13</v>
      </c>
      <c r="N1149" s="62">
        <v>3</v>
      </c>
      <c r="O1149" s="24">
        <v>10800</v>
      </c>
      <c r="P1149" s="35">
        <v>100</v>
      </c>
      <c r="Q1149" s="40">
        <v>3500</v>
      </c>
      <c r="R1149" s="77">
        <f t="shared" si="165"/>
        <v>37800000</v>
      </c>
      <c r="S1149" s="37">
        <v>4</v>
      </c>
      <c r="T1149" s="28">
        <f t="shared" si="166"/>
        <v>1512000</v>
      </c>
      <c r="U1149" s="77">
        <f t="shared" si="167"/>
        <v>36288000</v>
      </c>
      <c r="V1149" s="77"/>
      <c r="W1149" s="77"/>
      <c r="X1149" s="28"/>
      <c r="Y1149" s="28"/>
      <c r="Z1149" s="52"/>
    </row>
    <row r="1150" spans="1:26" s="29" customFormat="1" ht="90.75" customHeight="1" x14ac:dyDescent="0.25">
      <c r="A1150" s="20"/>
      <c r="B1150" s="20"/>
      <c r="C1150" s="20"/>
      <c r="D1150" s="21"/>
      <c r="E1150" s="21"/>
      <c r="F1150" s="22"/>
      <c r="G1150" s="22"/>
      <c r="H1150" s="24"/>
      <c r="I1150" s="25"/>
      <c r="J1150" s="24"/>
      <c r="K1150" s="37">
        <v>3</v>
      </c>
      <c r="L1150" s="20" t="s">
        <v>190</v>
      </c>
      <c r="M1150" s="20" t="s">
        <v>13</v>
      </c>
      <c r="N1150" s="62">
        <v>3</v>
      </c>
      <c r="O1150" s="24">
        <v>105</v>
      </c>
      <c r="P1150" s="35">
        <v>100</v>
      </c>
      <c r="Q1150" s="40">
        <v>5550</v>
      </c>
      <c r="R1150" s="77">
        <f t="shared" si="165"/>
        <v>582750</v>
      </c>
      <c r="S1150" s="37">
        <v>4</v>
      </c>
      <c r="T1150" s="28">
        <f t="shared" si="166"/>
        <v>23310</v>
      </c>
      <c r="U1150" s="77">
        <f t="shared" si="167"/>
        <v>559440</v>
      </c>
      <c r="V1150" s="77"/>
      <c r="W1150" s="77"/>
      <c r="X1150" s="28"/>
      <c r="Y1150" s="28"/>
      <c r="Z1150" s="52"/>
    </row>
    <row r="1151" spans="1:26" s="29" customFormat="1" ht="90.75" customHeight="1" x14ac:dyDescent="0.25">
      <c r="A1151" s="20"/>
      <c r="B1151" s="20"/>
      <c r="C1151" s="20"/>
      <c r="D1151" s="21"/>
      <c r="E1151" s="21"/>
      <c r="F1151" s="22"/>
      <c r="G1151" s="22"/>
      <c r="H1151" s="24"/>
      <c r="I1151" s="25"/>
      <c r="J1151" s="24"/>
      <c r="K1151" s="37">
        <v>4</v>
      </c>
      <c r="L1151" s="20" t="s">
        <v>215</v>
      </c>
      <c r="M1151" s="20" t="s">
        <v>13</v>
      </c>
      <c r="N1151" s="62">
        <v>3</v>
      </c>
      <c r="O1151" s="24">
        <v>36.75</v>
      </c>
      <c r="P1151" s="35">
        <v>100</v>
      </c>
      <c r="Q1151" s="40">
        <v>6450</v>
      </c>
      <c r="R1151" s="77">
        <f t="shared" si="165"/>
        <v>237037.5</v>
      </c>
      <c r="S1151" s="37">
        <v>4</v>
      </c>
      <c r="T1151" s="28">
        <f t="shared" si="166"/>
        <v>9481.5</v>
      </c>
      <c r="U1151" s="77">
        <f t="shared" si="167"/>
        <v>227556</v>
      </c>
      <c r="V1151" s="77"/>
      <c r="W1151" s="77"/>
      <c r="X1151" s="28"/>
      <c r="Y1151" s="28"/>
      <c r="Z1151" s="52"/>
    </row>
    <row r="1152" spans="1:26" s="29" customFormat="1" ht="90.75" customHeight="1" x14ac:dyDescent="0.25">
      <c r="A1152" s="20"/>
      <c r="B1152" s="20"/>
      <c r="C1152" s="20"/>
      <c r="D1152" s="21"/>
      <c r="E1152" s="21"/>
      <c r="F1152" s="22"/>
      <c r="G1152" s="22"/>
      <c r="H1152" s="24"/>
      <c r="I1152" s="25"/>
      <c r="J1152" s="24"/>
      <c r="K1152" s="37">
        <v>5</v>
      </c>
      <c r="L1152" s="20" t="s">
        <v>31</v>
      </c>
      <c r="M1152" s="20"/>
      <c r="N1152" s="21">
        <v>3</v>
      </c>
      <c r="O1152" s="24">
        <v>39.75</v>
      </c>
      <c r="P1152" s="35">
        <v>100</v>
      </c>
      <c r="Q1152" s="40">
        <v>2550</v>
      </c>
      <c r="R1152" s="77">
        <f t="shared" si="165"/>
        <v>101362.5</v>
      </c>
      <c r="S1152" s="37">
        <v>4</v>
      </c>
      <c r="T1152" s="28">
        <f t="shared" si="166"/>
        <v>4054.5</v>
      </c>
      <c r="U1152" s="77">
        <f t="shared" si="167"/>
        <v>97308</v>
      </c>
      <c r="V1152" s="77"/>
      <c r="W1152" s="77"/>
      <c r="X1152" s="28"/>
      <c r="Y1152" s="28"/>
      <c r="Z1152" s="52"/>
    </row>
    <row r="1153" spans="1:26" s="29" customFormat="1" ht="90.75" customHeight="1" x14ac:dyDescent="0.25">
      <c r="A1153" s="20"/>
      <c r="B1153" s="20"/>
      <c r="C1153" s="20"/>
      <c r="D1153" s="21"/>
      <c r="E1153" s="21"/>
      <c r="F1153" s="22"/>
      <c r="G1153" s="22"/>
      <c r="H1153" s="24"/>
      <c r="I1153" s="25"/>
      <c r="J1153" s="24"/>
      <c r="K1153" s="37">
        <v>6</v>
      </c>
      <c r="L1153" s="20" t="s">
        <v>31</v>
      </c>
      <c r="M1153" s="20"/>
      <c r="N1153" s="21">
        <v>3</v>
      </c>
      <c r="O1153" s="24">
        <v>300</v>
      </c>
      <c r="P1153" s="35">
        <v>100</v>
      </c>
      <c r="Q1153" s="40">
        <v>2550</v>
      </c>
      <c r="R1153" s="77">
        <f t="shared" si="165"/>
        <v>765000</v>
      </c>
      <c r="S1153" s="37">
        <v>4</v>
      </c>
      <c r="T1153" s="28">
        <f t="shared" si="166"/>
        <v>30600</v>
      </c>
      <c r="U1153" s="77">
        <f t="shared" si="167"/>
        <v>734400</v>
      </c>
      <c r="V1153" s="77"/>
      <c r="W1153" s="77"/>
      <c r="X1153" s="28"/>
      <c r="Y1153" s="28"/>
      <c r="Z1153" s="52"/>
    </row>
    <row r="1154" spans="1:26" s="29" customFormat="1" ht="90.75" customHeight="1" x14ac:dyDescent="0.25">
      <c r="A1154" s="20"/>
      <c r="B1154" s="20"/>
      <c r="C1154" s="20"/>
      <c r="D1154" s="21"/>
      <c r="E1154" s="21"/>
      <c r="F1154" s="22"/>
      <c r="G1154" s="22"/>
      <c r="H1154" s="24"/>
      <c r="I1154" s="25"/>
      <c r="J1154" s="24"/>
      <c r="K1154" s="37">
        <v>7</v>
      </c>
      <c r="L1154" s="20" t="s">
        <v>31</v>
      </c>
      <c r="M1154" s="20"/>
      <c r="N1154" s="21">
        <v>3</v>
      </c>
      <c r="O1154" s="24">
        <v>55</v>
      </c>
      <c r="P1154" s="35">
        <v>100</v>
      </c>
      <c r="Q1154" s="40">
        <v>2550</v>
      </c>
      <c r="R1154" s="77">
        <f t="shared" si="165"/>
        <v>140250</v>
      </c>
      <c r="S1154" s="37">
        <v>4</v>
      </c>
      <c r="T1154" s="28">
        <f t="shared" si="166"/>
        <v>5610</v>
      </c>
      <c r="U1154" s="77">
        <f t="shared" si="167"/>
        <v>134640</v>
      </c>
      <c r="V1154" s="77"/>
      <c r="W1154" s="77"/>
      <c r="X1154" s="28"/>
      <c r="Y1154" s="28"/>
      <c r="Z1154" s="52"/>
    </row>
    <row r="1155" spans="1:26" s="29" customFormat="1" ht="90.75" customHeight="1" x14ac:dyDescent="0.25">
      <c r="A1155" s="20"/>
      <c r="B1155" s="20"/>
      <c r="C1155" s="20"/>
      <c r="D1155" s="21"/>
      <c r="E1155" s="21"/>
      <c r="F1155" s="22"/>
      <c r="G1155" s="22"/>
      <c r="H1155" s="24"/>
      <c r="I1155" s="25"/>
      <c r="J1155" s="24"/>
      <c r="K1155" s="37">
        <v>8</v>
      </c>
      <c r="L1155" s="20" t="s">
        <v>31</v>
      </c>
      <c r="M1155" s="20"/>
      <c r="N1155" s="21">
        <v>3</v>
      </c>
      <c r="O1155" s="24">
        <v>55</v>
      </c>
      <c r="P1155" s="35">
        <v>100</v>
      </c>
      <c r="Q1155" s="40">
        <v>2550</v>
      </c>
      <c r="R1155" s="77">
        <f t="shared" si="165"/>
        <v>140250</v>
      </c>
      <c r="S1155" s="37">
        <v>4</v>
      </c>
      <c r="T1155" s="28">
        <f t="shared" si="166"/>
        <v>5610</v>
      </c>
      <c r="U1155" s="77">
        <f t="shared" si="167"/>
        <v>134640</v>
      </c>
      <c r="V1155" s="77"/>
      <c r="W1155" s="77"/>
      <c r="X1155" s="28"/>
      <c r="Y1155" s="28"/>
      <c r="Z1155" s="52"/>
    </row>
    <row r="1156" spans="1:26" s="29" customFormat="1" ht="90.75" customHeight="1" x14ac:dyDescent="0.25">
      <c r="A1156" s="20"/>
      <c r="B1156" s="20"/>
      <c r="C1156" s="20"/>
      <c r="D1156" s="21"/>
      <c r="E1156" s="21"/>
      <c r="F1156" s="22"/>
      <c r="G1156" s="22"/>
      <c r="H1156" s="24"/>
      <c r="I1156" s="25"/>
      <c r="J1156" s="24"/>
      <c r="K1156" s="41"/>
      <c r="L1156" s="31"/>
      <c r="M1156" s="43"/>
      <c r="N1156" s="41"/>
      <c r="O1156" s="45"/>
      <c r="P1156" s="46"/>
      <c r="Q1156" s="44"/>
      <c r="R1156" s="41"/>
      <c r="S1156" s="41"/>
      <c r="T1156" s="47"/>
      <c r="U1156" s="48">
        <f>SUM(U1148:U1155)</f>
        <v>40629744</v>
      </c>
      <c r="V1156" s="48">
        <f>(J1147+U1156)</f>
        <v>45467744</v>
      </c>
      <c r="W1156" s="48">
        <f>(V1156*100/100)</f>
        <v>45467744</v>
      </c>
      <c r="X1156" s="47">
        <v>0</v>
      </c>
      <c r="Y1156" s="48">
        <f>(W1156-X1156)</f>
        <v>45467744</v>
      </c>
      <c r="Z1156" s="49">
        <v>3.0000000000000001E-3</v>
      </c>
    </row>
    <row r="1157" spans="1:26" s="29" customFormat="1" ht="90.75" customHeight="1" x14ac:dyDescent="0.25">
      <c r="A1157" s="20">
        <v>811</v>
      </c>
      <c r="B1157" s="20" t="s">
        <v>0</v>
      </c>
      <c r="C1157" s="20">
        <v>47924</v>
      </c>
      <c r="D1157" s="21">
        <v>4</v>
      </c>
      <c r="E1157" s="21">
        <v>2</v>
      </c>
      <c r="F1157" s="22">
        <v>31</v>
      </c>
      <c r="G1157" s="21" t="s">
        <v>209</v>
      </c>
      <c r="H1157" s="24">
        <f>(D1157*400)+(E1157*100)+F1157</f>
        <v>1831</v>
      </c>
      <c r="I1157" s="25">
        <v>4500</v>
      </c>
      <c r="J1157" s="24">
        <f>(H1157*I1157)</f>
        <v>8239500</v>
      </c>
      <c r="K1157" s="20"/>
      <c r="L1157" s="20"/>
      <c r="M1157" s="20"/>
      <c r="N1157" s="20"/>
      <c r="O1157" s="24"/>
      <c r="P1157" s="24"/>
      <c r="Q1157" s="25"/>
      <c r="R1157" s="24"/>
      <c r="S1157" s="20"/>
      <c r="T1157" s="27"/>
      <c r="U1157" s="20"/>
      <c r="V1157" s="20"/>
      <c r="W1157" s="26"/>
      <c r="X1157" s="27"/>
      <c r="Y1157" s="20"/>
      <c r="Z1157" s="20"/>
    </row>
    <row r="1158" spans="1:26" s="29" customFormat="1" ht="90.75" customHeight="1" x14ac:dyDescent="0.25">
      <c r="A1158" s="20"/>
      <c r="B1158" s="20"/>
      <c r="C1158" s="20"/>
      <c r="D1158" s="21"/>
      <c r="E1158" s="21"/>
      <c r="F1158" s="22"/>
      <c r="G1158" s="22"/>
      <c r="H1158" s="24"/>
      <c r="I1158" s="25"/>
      <c r="J1158" s="24"/>
      <c r="K1158" s="37">
        <v>1</v>
      </c>
      <c r="L1158" s="20" t="s">
        <v>27</v>
      </c>
      <c r="M1158" s="20" t="s">
        <v>13</v>
      </c>
      <c r="N1158" s="62">
        <v>3</v>
      </c>
      <c r="O1158" s="24">
        <v>122</v>
      </c>
      <c r="P1158" s="35">
        <v>100</v>
      </c>
      <c r="Q1158" s="40">
        <v>7100</v>
      </c>
      <c r="R1158" s="77">
        <f t="shared" ref="R1158:R1167" si="168">(O1158*Q1158)</f>
        <v>866200</v>
      </c>
      <c r="S1158" s="37">
        <v>7</v>
      </c>
      <c r="T1158" s="28">
        <f t="shared" ref="T1158:T1167" si="169">(R1158*7/100)</f>
        <v>60634</v>
      </c>
      <c r="U1158" s="77">
        <f t="shared" ref="U1158:U1167" si="170">(R1158-T1158)</f>
        <v>805566</v>
      </c>
      <c r="V1158" s="77"/>
      <c r="W1158" s="77"/>
      <c r="X1158" s="28"/>
      <c r="Y1158" s="28"/>
      <c r="Z1158" s="52"/>
    </row>
    <row r="1159" spans="1:26" s="29" customFormat="1" ht="90.75" customHeight="1" x14ac:dyDescent="0.25">
      <c r="A1159" s="20"/>
      <c r="B1159" s="20"/>
      <c r="C1159" s="20"/>
      <c r="D1159" s="21"/>
      <c r="E1159" s="21"/>
      <c r="F1159" s="22"/>
      <c r="G1159" s="22"/>
      <c r="H1159" s="24"/>
      <c r="I1159" s="25"/>
      <c r="J1159" s="24"/>
      <c r="K1159" s="37">
        <v>2</v>
      </c>
      <c r="L1159" s="20" t="s">
        <v>18</v>
      </c>
      <c r="M1159" s="20" t="s">
        <v>13</v>
      </c>
      <c r="N1159" s="62">
        <v>3</v>
      </c>
      <c r="O1159" s="24">
        <v>96</v>
      </c>
      <c r="P1159" s="35">
        <v>100</v>
      </c>
      <c r="Q1159" s="40">
        <v>7750</v>
      </c>
      <c r="R1159" s="77">
        <f t="shared" si="168"/>
        <v>744000</v>
      </c>
      <c r="S1159" s="37">
        <v>7</v>
      </c>
      <c r="T1159" s="28">
        <f t="shared" si="169"/>
        <v>52080</v>
      </c>
      <c r="U1159" s="77">
        <f t="shared" si="170"/>
        <v>691920</v>
      </c>
      <c r="V1159" s="77"/>
      <c r="W1159" s="77"/>
      <c r="X1159" s="28"/>
      <c r="Y1159" s="28"/>
      <c r="Z1159" s="52"/>
    </row>
    <row r="1160" spans="1:26" s="29" customFormat="1" ht="90.75" customHeight="1" x14ac:dyDescent="0.25">
      <c r="A1160" s="20"/>
      <c r="B1160" s="20"/>
      <c r="C1160" s="20"/>
      <c r="D1160" s="21"/>
      <c r="E1160" s="21"/>
      <c r="F1160" s="22"/>
      <c r="G1160" s="22"/>
      <c r="H1160" s="24"/>
      <c r="I1160" s="25"/>
      <c r="J1160" s="24"/>
      <c r="K1160" s="37">
        <v>3</v>
      </c>
      <c r="L1160" s="20" t="s">
        <v>36</v>
      </c>
      <c r="M1160" s="20" t="s">
        <v>13</v>
      </c>
      <c r="N1160" s="62">
        <v>3</v>
      </c>
      <c r="O1160" s="24">
        <v>32</v>
      </c>
      <c r="P1160" s="35">
        <v>100</v>
      </c>
      <c r="Q1160" s="40">
        <v>5550</v>
      </c>
      <c r="R1160" s="77">
        <f t="shared" si="168"/>
        <v>177600</v>
      </c>
      <c r="S1160" s="37">
        <v>7</v>
      </c>
      <c r="T1160" s="28">
        <f t="shared" si="169"/>
        <v>12432</v>
      </c>
      <c r="U1160" s="77">
        <f t="shared" si="170"/>
        <v>165168</v>
      </c>
      <c r="V1160" s="77"/>
      <c r="W1160" s="77"/>
      <c r="X1160" s="28"/>
      <c r="Y1160" s="28"/>
      <c r="Z1160" s="52"/>
    </row>
    <row r="1161" spans="1:26" s="29" customFormat="1" ht="90.75" customHeight="1" x14ac:dyDescent="0.25">
      <c r="A1161" s="20"/>
      <c r="B1161" s="20"/>
      <c r="C1161" s="20"/>
      <c r="D1161" s="21"/>
      <c r="E1161" s="21"/>
      <c r="F1161" s="22"/>
      <c r="G1161" s="22"/>
      <c r="H1161" s="24"/>
      <c r="I1161" s="25"/>
      <c r="J1161" s="24"/>
      <c r="K1161" s="37">
        <v>4</v>
      </c>
      <c r="L1161" s="20" t="s">
        <v>215</v>
      </c>
      <c r="M1161" s="20" t="s">
        <v>13</v>
      </c>
      <c r="N1161" s="62">
        <v>3</v>
      </c>
      <c r="O1161" s="24">
        <v>20.16</v>
      </c>
      <c r="P1161" s="35">
        <v>100</v>
      </c>
      <c r="Q1161" s="40">
        <v>6450</v>
      </c>
      <c r="R1161" s="77">
        <f t="shared" si="168"/>
        <v>130032</v>
      </c>
      <c r="S1161" s="37">
        <v>7</v>
      </c>
      <c r="T1161" s="28">
        <f t="shared" si="169"/>
        <v>9102.24</v>
      </c>
      <c r="U1161" s="77">
        <f t="shared" si="170"/>
        <v>120929.76</v>
      </c>
      <c r="V1161" s="77"/>
      <c r="W1161" s="77"/>
      <c r="X1161" s="28"/>
      <c r="Y1161" s="28"/>
      <c r="Z1161" s="52"/>
    </row>
    <row r="1162" spans="1:26" s="29" customFormat="1" ht="90.75" customHeight="1" x14ac:dyDescent="0.25">
      <c r="A1162" s="20"/>
      <c r="B1162" s="20"/>
      <c r="C1162" s="20"/>
      <c r="D1162" s="21"/>
      <c r="E1162" s="21"/>
      <c r="F1162" s="22"/>
      <c r="G1162" s="22"/>
      <c r="H1162" s="24"/>
      <c r="I1162" s="25"/>
      <c r="J1162" s="24"/>
      <c r="K1162" s="37">
        <v>5</v>
      </c>
      <c r="L1162" s="20" t="s">
        <v>151</v>
      </c>
      <c r="M1162" s="20"/>
      <c r="N1162" s="62">
        <v>3</v>
      </c>
      <c r="O1162" s="24">
        <v>60</v>
      </c>
      <c r="P1162" s="35">
        <v>100</v>
      </c>
      <c r="Q1162" s="40">
        <v>2550</v>
      </c>
      <c r="R1162" s="77">
        <f t="shared" si="168"/>
        <v>153000</v>
      </c>
      <c r="S1162" s="37">
        <v>7</v>
      </c>
      <c r="T1162" s="28">
        <f t="shared" si="169"/>
        <v>10710</v>
      </c>
      <c r="U1162" s="77">
        <f t="shared" si="170"/>
        <v>142290</v>
      </c>
      <c r="V1162" s="77"/>
      <c r="W1162" s="77"/>
      <c r="X1162" s="28"/>
      <c r="Y1162" s="28"/>
      <c r="Z1162" s="52"/>
    </row>
    <row r="1163" spans="1:26" s="29" customFormat="1" ht="90.75" customHeight="1" x14ac:dyDescent="0.25">
      <c r="A1163" s="20"/>
      <c r="B1163" s="20"/>
      <c r="C1163" s="20"/>
      <c r="D1163" s="21"/>
      <c r="E1163" s="21"/>
      <c r="F1163" s="22"/>
      <c r="G1163" s="22"/>
      <c r="H1163" s="24"/>
      <c r="I1163" s="25"/>
      <c r="J1163" s="24"/>
      <c r="K1163" s="37">
        <v>6</v>
      </c>
      <c r="L1163" s="20" t="s">
        <v>151</v>
      </c>
      <c r="M1163" s="20"/>
      <c r="N1163" s="62">
        <v>3</v>
      </c>
      <c r="O1163" s="24">
        <v>19.25</v>
      </c>
      <c r="P1163" s="35">
        <v>100</v>
      </c>
      <c r="Q1163" s="40">
        <v>2550</v>
      </c>
      <c r="R1163" s="77">
        <f t="shared" si="168"/>
        <v>49087.5</v>
      </c>
      <c r="S1163" s="37">
        <v>7</v>
      </c>
      <c r="T1163" s="28">
        <f t="shared" si="169"/>
        <v>3436.125</v>
      </c>
      <c r="U1163" s="77">
        <f t="shared" si="170"/>
        <v>45651.375</v>
      </c>
      <c r="V1163" s="77"/>
      <c r="W1163" s="77"/>
      <c r="X1163" s="28"/>
      <c r="Y1163" s="28"/>
      <c r="Z1163" s="52"/>
    </row>
    <row r="1164" spans="1:26" s="29" customFormat="1" ht="90.75" customHeight="1" x14ac:dyDescent="0.25">
      <c r="A1164" s="20"/>
      <c r="B1164" s="20"/>
      <c r="C1164" s="20"/>
      <c r="D1164" s="21"/>
      <c r="E1164" s="21"/>
      <c r="F1164" s="22"/>
      <c r="G1164" s="22"/>
      <c r="H1164" s="24"/>
      <c r="I1164" s="25"/>
      <c r="J1164" s="24"/>
      <c r="K1164" s="37">
        <v>7</v>
      </c>
      <c r="L1164" s="20" t="s">
        <v>15</v>
      </c>
      <c r="M1164" s="20" t="s">
        <v>152</v>
      </c>
      <c r="N1164" s="62">
        <v>3</v>
      </c>
      <c r="O1164" s="24">
        <v>300</v>
      </c>
      <c r="P1164" s="35">
        <v>100</v>
      </c>
      <c r="Q1164" s="40">
        <v>5950</v>
      </c>
      <c r="R1164" s="77">
        <f t="shared" si="168"/>
        <v>1785000</v>
      </c>
      <c r="S1164" s="37">
        <v>7</v>
      </c>
      <c r="T1164" s="28">
        <f t="shared" si="169"/>
        <v>124950</v>
      </c>
      <c r="U1164" s="77">
        <f t="shared" si="170"/>
        <v>1660050</v>
      </c>
      <c r="V1164" s="77"/>
      <c r="W1164" s="77"/>
      <c r="X1164" s="28"/>
      <c r="Y1164" s="28"/>
      <c r="Z1164" s="52"/>
    </row>
    <row r="1165" spans="1:26" s="29" customFormat="1" ht="90.75" customHeight="1" x14ac:dyDescent="0.25">
      <c r="A1165" s="20"/>
      <c r="B1165" s="20"/>
      <c r="C1165" s="20"/>
      <c r="D1165" s="21"/>
      <c r="E1165" s="21"/>
      <c r="F1165" s="22"/>
      <c r="G1165" s="22"/>
      <c r="H1165" s="24"/>
      <c r="I1165" s="25"/>
      <c r="J1165" s="24"/>
      <c r="K1165" s="37">
        <v>8</v>
      </c>
      <c r="L1165" s="20" t="s">
        <v>151</v>
      </c>
      <c r="M1165" s="20"/>
      <c r="N1165" s="62">
        <v>3</v>
      </c>
      <c r="O1165" s="24">
        <v>450</v>
      </c>
      <c r="P1165" s="35">
        <v>100</v>
      </c>
      <c r="Q1165" s="40">
        <v>2550</v>
      </c>
      <c r="R1165" s="77">
        <f t="shared" si="168"/>
        <v>1147500</v>
      </c>
      <c r="S1165" s="37">
        <v>7</v>
      </c>
      <c r="T1165" s="28">
        <f t="shared" si="169"/>
        <v>80325</v>
      </c>
      <c r="U1165" s="77">
        <f t="shared" si="170"/>
        <v>1067175</v>
      </c>
      <c r="V1165" s="77"/>
      <c r="W1165" s="77"/>
      <c r="X1165" s="28"/>
      <c r="Y1165" s="28"/>
      <c r="Z1165" s="52"/>
    </row>
    <row r="1166" spans="1:26" s="29" customFormat="1" ht="90.75" customHeight="1" x14ac:dyDescent="0.25">
      <c r="A1166" s="20"/>
      <c r="B1166" s="20"/>
      <c r="C1166" s="20"/>
      <c r="D1166" s="21"/>
      <c r="E1166" s="21"/>
      <c r="F1166" s="22"/>
      <c r="G1166" s="22"/>
      <c r="H1166" s="24"/>
      <c r="I1166" s="25"/>
      <c r="J1166" s="24"/>
      <c r="K1166" s="37">
        <v>9</v>
      </c>
      <c r="L1166" s="20" t="s">
        <v>151</v>
      </c>
      <c r="M1166" s="20"/>
      <c r="N1166" s="62">
        <v>3</v>
      </c>
      <c r="O1166" s="24">
        <v>39.1</v>
      </c>
      <c r="P1166" s="35">
        <v>100</v>
      </c>
      <c r="Q1166" s="40">
        <v>2550</v>
      </c>
      <c r="R1166" s="77">
        <f t="shared" si="168"/>
        <v>99705</v>
      </c>
      <c r="S1166" s="37">
        <v>7</v>
      </c>
      <c r="T1166" s="28">
        <f t="shared" si="169"/>
        <v>6979.35</v>
      </c>
      <c r="U1166" s="77">
        <f t="shared" si="170"/>
        <v>92725.65</v>
      </c>
      <c r="V1166" s="77"/>
      <c r="W1166" s="77"/>
      <c r="X1166" s="28"/>
      <c r="Y1166" s="28"/>
      <c r="Z1166" s="52"/>
    </row>
    <row r="1167" spans="1:26" s="29" customFormat="1" ht="90.75" customHeight="1" x14ac:dyDescent="0.25">
      <c r="A1167" s="20"/>
      <c r="B1167" s="20"/>
      <c r="C1167" s="20"/>
      <c r="D1167" s="21"/>
      <c r="E1167" s="21"/>
      <c r="F1167" s="22"/>
      <c r="G1167" s="22"/>
      <c r="H1167" s="24"/>
      <c r="I1167" s="25"/>
      <c r="J1167" s="24"/>
      <c r="K1167" s="37">
        <v>10</v>
      </c>
      <c r="L1167" s="20" t="s">
        <v>36</v>
      </c>
      <c r="M1167" s="20" t="s">
        <v>13</v>
      </c>
      <c r="N1167" s="62">
        <v>3</v>
      </c>
      <c r="O1167" s="24">
        <v>9</v>
      </c>
      <c r="P1167" s="35">
        <v>100</v>
      </c>
      <c r="Q1167" s="40">
        <v>5550</v>
      </c>
      <c r="R1167" s="77">
        <f t="shared" si="168"/>
        <v>49950</v>
      </c>
      <c r="S1167" s="37">
        <v>7</v>
      </c>
      <c r="T1167" s="28">
        <f t="shared" si="169"/>
        <v>3496.5</v>
      </c>
      <c r="U1167" s="77">
        <f t="shared" si="170"/>
        <v>46453.5</v>
      </c>
      <c r="V1167" s="77"/>
      <c r="W1167" s="77"/>
      <c r="X1167" s="28"/>
      <c r="Y1167" s="28"/>
      <c r="Z1167" s="52"/>
    </row>
    <row r="1168" spans="1:26" s="29" customFormat="1" ht="90.75" customHeight="1" x14ac:dyDescent="0.25">
      <c r="A1168" s="20"/>
      <c r="B1168" s="20"/>
      <c r="C1168" s="20"/>
      <c r="D1168" s="21"/>
      <c r="E1168" s="21"/>
      <c r="F1168" s="22"/>
      <c r="G1168" s="22"/>
      <c r="H1168" s="24"/>
      <c r="I1168" s="25"/>
      <c r="J1168" s="24"/>
      <c r="K1168" s="33"/>
      <c r="L1168" s="31"/>
      <c r="M1168" s="43"/>
      <c r="N1168" s="30"/>
      <c r="O1168" s="88"/>
      <c r="P1168" s="46"/>
      <c r="Q1168" s="44"/>
      <c r="R1168" s="33"/>
      <c r="S1168" s="33"/>
      <c r="T1168" s="89"/>
      <c r="U1168" s="90">
        <f>SUM(U1158:U1167)</f>
        <v>4837929.2850000001</v>
      </c>
      <c r="V1168" s="90">
        <f>(J1157+U1168)</f>
        <v>13077429.285</v>
      </c>
      <c r="W1168" s="90">
        <f t="shared" ref="W1168:W1199" si="171">(V1168*100/100)</f>
        <v>13077429.285</v>
      </c>
      <c r="X1168" s="89">
        <v>0</v>
      </c>
      <c r="Y1168" s="48">
        <f t="shared" ref="Y1168:Y1199" si="172">(W1168-X1168)</f>
        <v>13077429.285</v>
      </c>
      <c r="Z1168" s="49">
        <v>3.0000000000000001E-3</v>
      </c>
    </row>
    <row r="1169" spans="1:26" s="29" customFormat="1" ht="90.75" customHeight="1" x14ac:dyDescent="0.25">
      <c r="A1169" s="20">
        <v>812</v>
      </c>
      <c r="B1169" s="20" t="s">
        <v>0</v>
      </c>
      <c r="C1169" s="20">
        <v>27646</v>
      </c>
      <c r="D1169" s="21">
        <v>0</v>
      </c>
      <c r="E1169" s="21">
        <v>1</v>
      </c>
      <c r="F1169" s="22">
        <v>51</v>
      </c>
      <c r="G1169" s="22" t="s">
        <v>198</v>
      </c>
      <c r="H1169" s="24">
        <f t="shared" ref="H1169:H1199" si="173">(D1169*400)+(E1169*100)+F1169</f>
        <v>151</v>
      </c>
      <c r="I1169" s="25">
        <v>1000</v>
      </c>
      <c r="J1169" s="24">
        <f t="shared" ref="J1169:J1199" si="174">(H1169*I1169)</f>
        <v>151000</v>
      </c>
      <c r="K1169" s="20">
        <v>1</v>
      </c>
      <c r="L1169" s="20" t="s">
        <v>16</v>
      </c>
      <c r="M1169" s="20" t="s">
        <v>13</v>
      </c>
      <c r="N1169" s="20">
        <v>2</v>
      </c>
      <c r="O1169" s="24">
        <v>108</v>
      </c>
      <c r="P1169" s="24">
        <v>100</v>
      </c>
      <c r="Q1169" s="25">
        <v>6450</v>
      </c>
      <c r="R1169" s="77">
        <f>(O1169*Q1169)</f>
        <v>696600</v>
      </c>
      <c r="S1169" s="20">
        <v>18</v>
      </c>
      <c r="T1169" s="28">
        <f>(R1169*26/100)</f>
        <v>181116</v>
      </c>
      <c r="U1169" s="77">
        <f>(R1169-T1169)</f>
        <v>515484</v>
      </c>
      <c r="V1169" s="27">
        <f t="shared" ref="V1169:V1199" si="175">(J1169+U1169)</f>
        <v>666484</v>
      </c>
      <c r="W1169" s="26">
        <f t="shared" si="171"/>
        <v>666484</v>
      </c>
      <c r="X1169" s="27">
        <v>0</v>
      </c>
      <c r="Y1169" s="26">
        <f t="shared" si="172"/>
        <v>666484</v>
      </c>
      <c r="Z1169" s="49">
        <v>2.0000000000000001E-4</v>
      </c>
    </row>
    <row r="1170" spans="1:26" s="29" customFormat="1" ht="90.75" customHeight="1" x14ac:dyDescent="0.25">
      <c r="A1170" s="20">
        <v>813</v>
      </c>
      <c r="B1170" s="20" t="s">
        <v>0</v>
      </c>
      <c r="C1170" s="20">
        <v>14769</v>
      </c>
      <c r="D1170" s="21">
        <v>6</v>
      </c>
      <c r="E1170" s="21">
        <v>3</v>
      </c>
      <c r="F1170" s="22">
        <v>22</v>
      </c>
      <c r="G1170" s="22" t="s">
        <v>198</v>
      </c>
      <c r="H1170" s="24">
        <f t="shared" si="173"/>
        <v>2722</v>
      </c>
      <c r="I1170" s="25" t="s">
        <v>87</v>
      </c>
      <c r="J1170" s="24">
        <f t="shared" si="174"/>
        <v>2245650</v>
      </c>
      <c r="K1170" s="20"/>
      <c r="L1170" s="20"/>
      <c r="M1170" s="20"/>
      <c r="N1170" s="20"/>
      <c r="O1170" s="24"/>
      <c r="P1170" s="24"/>
      <c r="Q1170" s="25"/>
      <c r="R1170" s="24"/>
      <c r="S1170" s="20"/>
      <c r="T1170" s="27"/>
      <c r="U1170" s="20"/>
      <c r="V1170" s="27">
        <f t="shared" si="175"/>
        <v>2245650</v>
      </c>
      <c r="W1170" s="26">
        <f t="shared" si="171"/>
        <v>2245650</v>
      </c>
      <c r="X1170" s="27">
        <v>0</v>
      </c>
      <c r="Y1170" s="26">
        <f t="shared" si="172"/>
        <v>2245650</v>
      </c>
      <c r="Z1170" s="49">
        <v>1E-4</v>
      </c>
    </row>
    <row r="1171" spans="1:26" s="29" customFormat="1" ht="90.75" customHeight="1" x14ac:dyDescent="0.25">
      <c r="A1171" s="20">
        <v>814</v>
      </c>
      <c r="B1171" s="20" t="s">
        <v>0</v>
      </c>
      <c r="C1171" s="20">
        <v>14645</v>
      </c>
      <c r="D1171" s="21">
        <v>18</v>
      </c>
      <c r="E1171" s="21">
        <v>1</v>
      </c>
      <c r="F1171" s="22">
        <v>40</v>
      </c>
      <c r="G1171" s="22" t="s">
        <v>198</v>
      </c>
      <c r="H1171" s="24">
        <f t="shared" si="173"/>
        <v>7340</v>
      </c>
      <c r="I1171" s="25" t="s">
        <v>9</v>
      </c>
      <c r="J1171" s="24">
        <f t="shared" si="174"/>
        <v>2202000</v>
      </c>
      <c r="K1171" s="20"/>
      <c r="L1171" s="20"/>
      <c r="M1171" s="20"/>
      <c r="N1171" s="20"/>
      <c r="O1171" s="24"/>
      <c r="P1171" s="24"/>
      <c r="Q1171" s="25"/>
      <c r="R1171" s="24"/>
      <c r="S1171" s="20"/>
      <c r="T1171" s="27"/>
      <c r="U1171" s="20"/>
      <c r="V1171" s="27">
        <f t="shared" si="175"/>
        <v>2202000</v>
      </c>
      <c r="W1171" s="26">
        <f t="shared" si="171"/>
        <v>2202000</v>
      </c>
      <c r="X1171" s="27">
        <v>0</v>
      </c>
      <c r="Y1171" s="26">
        <f t="shared" si="172"/>
        <v>2202000</v>
      </c>
      <c r="Z1171" s="49">
        <v>1E-4</v>
      </c>
    </row>
    <row r="1172" spans="1:26" s="29" customFormat="1" ht="90.75" customHeight="1" x14ac:dyDescent="0.25">
      <c r="A1172" s="20">
        <v>815</v>
      </c>
      <c r="B1172" s="20" t="s">
        <v>0</v>
      </c>
      <c r="C1172" s="20">
        <v>14797</v>
      </c>
      <c r="D1172" s="21">
        <v>17</v>
      </c>
      <c r="E1172" s="21">
        <v>0</v>
      </c>
      <c r="F1172" s="22">
        <v>0</v>
      </c>
      <c r="G1172" s="22" t="s">
        <v>198</v>
      </c>
      <c r="H1172" s="24">
        <f t="shared" si="173"/>
        <v>6800</v>
      </c>
      <c r="I1172" s="25">
        <v>875</v>
      </c>
      <c r="J1172" s="24">
        <f t="shared" si="174"/>
        <v>5950000</v>
      </c>
      <c r="K1172" s="20"/>
      <c r="L1172" s="20"/>
      <c r="M1172" s="20"/>
      <c r="N1172" s="20"/>
      <c r="O1172" s="24"/>
      <c r="P1172" s="24"/>
      <c r="Q1172" s="25"/>
      <c r="R1172" s="24"/>
      <c r="S1172" s="20"/>
      <c r="T1172" s="27"/>
      <c r="U1172" s="20"/>
      <c r="V1172" s="27">
        <f t="shared" si="175"/>
        <v>5950000</v>
      </c>
      <c r="W1172" s="26">
        <f t="shared" si="171"/>
        <v>5950000</v>
      </c>
      <c r="X1172" s="27">
        <v>0</v>
      </c>
      <c r="Y1172" s="26">
        <f t="shared" si="172"/>
        <v>5950000</v>
      </c>
      <c r="Z1172" s="49">
        <v>1E-4</v>
      </c>
    </row>
    <row r="1173" spans="1:26" s="29" customFormat="1" ht="90.75" customHeight="1" x14ac:dyDescent="0.25">
      <c r="A1173" s="20">
        <v>816</v>
      </c>
      <c r="B1173" s="20" t="s">
        <v>0</v>
      </c>
      <c r="C1173" s="20">
        <v>14603</v>
      </c>
      <c r="D1173" s="21">
        <v>8</v>
      </c>
      <c r="E1173" s="21">
        <v>0</v>
      </c>
      <c r="F1173" s="22">
        <v>10</v>
      </c>
      <c r="G1173" s="22" t="s">
        <v>198</v>
      </c>
      <c r="H1173" s="24">
        <f t="shared" si="173"/>
        <v>3210</v>
      </c>
      <c r="I1173" s="25" t="s">
        <v>75</v>
      </c>
      <c r="J1173" s="24">
        <f t="shared" si="174"/>
        <v>2006250</v>
      </c>
      <c r="K1173" s="20"/>
      <c r="L1173" s="20"/>
      <c r="M1173" s="20"/>
      <c r="N1173" s="20"/>
      <c r="O1173" s="24"/>
      <c r="P1173" s="24"/>
      <c r="Q1173" s="25"/>
      <c r="R1173" s="24"/>
      <c r="S1173" s="20"/>
      <c r="T1173" s="27"/>
      <c r="U1173" s="20"/>
      <c r="V1173" s="27">
        <f t="shared" si="175"/>
        <v>2006250</v>
      </c>
      <c r="W1173" s="26">
        <f t="shared" si="171"/>
        <v>2006250</v>
      </c>
      <c r="X1173" s="27">
        <v>0</v>
      </c>
      <c r="Y1173" s="26">
        <f t="shared" si="172"/>
        <v>2006250</v>
      </c>
      <c r="Z1173" s="49">
        <v>1E-4</v>
      </c>
    </row>
    <row r="1174" spans="1:26" s="29" customFormat="1" ht="90.75" customHeight="1" x14ac:dyDescent="0.25">
      <c r="A1174" s="20">
        <v>817</v>
      </c>
      <c r="B1174" s="20" t="s">
        <v>0</v>
      </c>
      <c r="C1174" s="20">
        <v>14839</v>
      </c>
      <c r="D1174" s="21">
        <v>16</v>
      </c>
      <c r="E1174" s="21">
        <v>2</v>
      </c>
      <c r="F1174" s="22">
        <v>54</v>
      </c>
      <c r="G1174" s="22" t="s">
        <v>198</v>
      </c>
      <c r="H1174" s="24">
        <f t="shared" si="173"/>
        <v>6654</v>
      </c>
      <c r="I1174" s="25" t="s">
        <v>75</v>
      </c>
      <c r="J1174" s="24">
        <f t="shared" si="174"/>
        <v>4158750</v>
      </c>
      <c r="K1174" s="20"/>
      <c r="L1174" s="20"/>
      <c r="M1174" s="20"/>
      <c r="N1174" s="20"/>
      <c r="O1174" s="24"/>
      <c r="P1174" s="24"/>
      <c r="Q1174" s="25"/>
      <c r="R1174" s="24"/>
      <c r="S1174" s="20"/>
      <c r="T1174" s="27"/>
      <c r="U1174" s="20"/>
      <c r="V1174" s="27">
        <f t="shared" si="175"/>
        <v>4158750</v>
      </c>
      <c r="W1174" s="26">
        <f t="shared" si="171"/>
        <v>4158750</v>
      </c>
      <c r="X1174" s="27">
        <v>0</v>
      </c>
      <c r="Y1174" s="26">
        <f t="shared" si="172"/>
        <v>4158750</v>
      </c>
      <c r="Z1174" s="49">
        <v>1E-4</v>
      </c>
    </row>
    <row r="1175" spans="1:26" s="29" customFormat="1" ht="90.75" customHeight="1" x14ac:dyDescent="0.25">
      <c r="A1175" s="20">
        <v>818</v>
      </c>
      <c r="B1175" s="20" t="s">
        <v>0</v>
      </c>
      <c r="C1175" s="20">
        <v>11942</v>
      </c>
      <c r="D1175" s="21">
        <v>20</v>
      </c>
      <c r="E1175" s="21">
        <v>0</v>
      </c>
      <c r="F1175" s="22">
        <v>10</v>
      </c>
      <c r="G1175" s="22" t="s">
        <v>198</v>
      </c>
      <c r="H1175" s="24">
        <f t="shared" si="173"/>
        <v>8010</v>
      </c>
      <c r="I1175" s="25" t="s">
        <v>75</v>
      </c>
      <c r="J1175" s="24">
        <f t="shared" si="174"/>
        <v>5006250</v>
      </c>
      <c r="K1175" s="20"/>
      <c r="L1175" s="20"/>
      <c r="M1175" s="20"/>
      <c r="N1175" s="20"/>
      <c r="O1175" s="24"/>
      <c r="P1175" s="24"/>
      <c r="Q1175" s="25"/>
      <c r="R1175" s="24"/>
      <c r="S1175" s="20"/>
      <c r="T1175" s="27"/>
      <c r="U1175" s="20"/>
      <c r="V1175" s="27">
        <f t="shared" si="175"/>
        <v>5006250</v>
      </c>
      <c r="W1175" s="26">
        <f t="shared" si="171"/>
        <v>5006250</v>
      </c>
      <c r="X1175" s="27">
        <v>0</v>
      </c>
      <c r="Y1175" s="26">
        <f t="shared" si="172"/>
        <v>5006250</v>
      </c>
      <c r="Z1175" s="49">
        <v>1E-4</v>
      </c>
    </row>
    <row r="1176" spans="1:26" s="29" customFormat="1" ht="90.75" customHeight="1" x14ac:dyDescent="0.25">
      <c r="A1176" s="20">
        <v>819</v>
      </c>
      <c r="B1176" s="20" t="s">
        <v>0</v>
      </c>
      <c r="C1176" s="20">
        <v>11947</v>
      </c>
      <c r="D1176" s="21">
        <v>32</v>
      </c>
      <c r="E1176" s="21">
        <v>2</v>
      </c>
      <c r="F1176" s="22">
        <v>92</v>
      </c>
      <c r="G1176" s="22" t="s">
        <v>198</v>
      </c>
      <c r="H1176" s="24">
        <f t="shared" si="173"/>
        <v>13092</v>
      </c>
      <c r="I1176" s="25" t="s">
        <v>75</v>
      </c>
      <c r="J1176" s="24">
        <f t="shared" si="174"/>
        <v>8182500</v>
      </c>
      <c r="K1176" s="20"/>
      <c r="L1176" s="20"/>
      <c r="M1176" s="20"/>
      <c r="N1176" s="20"/>
      <c r="O1176" s="24"/>
      <c r="P1176" s="24"/>
      <c r="Q1176" s="25"/>
      <c r="R1176" s="24"/>
      <c r="S1176" s="20"/>
      <c r="T1176" s="27"/>
      <c r="U1176" s="20"/>
      <c r="V1176" s="27">
        <f t="shared" si="175"/>
        <v>8182500</v>
      </c>
      <c r="W1176" s="26">
        <f t="shared" si="171"/>
        <v>8182500</v>
      </c>
      <c r="X1176" s="27">
        <v>0</v>
      </c>
      <c r="Y1176" s="26">
        <f t="shared" si="172"/>
        <v>8182500</v>
      </c>
      <c r="Z1176" s="49">
        <v>1E-4</v>
      </c>
    </row>
    <row r="1177" spans="1:26" s="29" customFormat="1" ht="90.75" customHeight="1" x14ac:dyDescent="0.25">
      <c r="A1177" s="20">
        <v>820</v>
      </c>
      <c r="B1177" s="20" t="s">
        <v>0</v>
      </c>
      <c r="C1177" s="20">
        <v>13976</v>
      </c>
      <c r="D1177" s="21">
        <v>39</v>
      </c>
      <c r="E1177" s="21">
        <v>0</v>
      </c>
      <c r="F1177" s="22">
        <v>31</v>
      </c>
      <c r="G1177" s="22" t="s">
        <v>198</v>
      </c>
      <c r="H1177" s="24">
        <f t="shared" si="173"/>
        <v>15631</v>
      </c>
      <c r="I1177" s="25" t="s">
        <v>75</v>
      </c>
      <c r="J1177" s="24">
        <f t="shared" si="174"/>
        <v>9769375</v>
      </c>
      <c r="K1177" s="20"/>
      <c r="L1177" s="20"/>
      <c r="M1177" s="20"/>
      <c r="N1177" s="20"/>
      <c r="O1177" s="24"/>
      <c r="P1177" s="24"/>
      <c r="Q1177" s="25"/>
      <c r="R1177" s="24"/>
      <c r="S1177" s="20"/>
      <c r="T1177" s="27"/>
      <c r="U1177" s="20"/>
      <c r="V1177" s="27">
        <f t="shared" si="175"/>
        <v>9769375</v>
      </c>
      <c r="W1177" s="26">
        <f t="shared" si="171"/>
        <v>9769375</v>
      </c>
      <c r="X1177" s="27">
        <v>0</v>
      </c>
      <c r="Y1177" s="26">
        <f t="shared" si="172"/>
        <v>9769375</v>
      </c>
      <c r="Z1177" s="49">
        <v>1E-4</v>
      </c>
    </row>
    <row r="1178" spans="1:26" s="29" customFormat="1" ht="90.75" customHeight="1" x14ac:dyDescent="0.25">
      <c r="A1178" s="20">
        <v>821</v>
      </c>
      <c r="B1178" s="20" t="s">
        <v>0</v>
      </c>
      <c r="C1178" s="20">
        <v>14600</v>
      </c>
      <c r="D1178" s="21">
        <v>33</v>
      </c>
      <c r="E1178" s="21">
        <v>2</v>
      </c>
      <c r="F1178" s="22">
        <v>89</v>
      </c>
      <c r="G1178" s="22" t="s">
        <v>198</v>
      </c>
      <c r="H1178" s="24">
        <f t="shared" si="173"/>
        <v>13489</v>
      </c>
      <c r="I1178" s="25" t="s">
        <v>75</v>
      </c>
      <c r="J1178" s="24">
        <f t="shared" si="174"/>
        <v>8430625</v>
      </c>
      <c r="K1178" s="20"/>
      <c r="L1178" s="20"/>
      <c r="M1178" s="20"/>
      <c r="N1178" s="20"/>
      <c r="O1178" s="24"/>
      <c r="P1178" s="24"/>
      <c r="Q1178" s="25"/>
      <c r="R1178" s="24"/>
      <c r="S1178" s="20"/>
      <c r="T1178" s="27"/>
      <c r="U1178" s="20"/>
      <c r="V1178" s="27">
        <f t="shared" si="175"/>
        <v>8430625</v>
      </c>
      <c r="W1178" s="26">
        <f t="shared" si="171"/>
        <v>8430625</v>
      </c>
      <c r="X1178" s="27">
        <v>0</v>
      </c>
      <c r="Y1178" s="26">
        <f t="shared" si="172"/>
        <v>8430625</v>
      </c>
      <c r="Z1178" s="49">
        <v>1E-4</v>
      </c>
    </row>
    <row r="1179" spans="1:26" s="29" customFormat="1" ht="90.75" customHeight="1" x14ac:dyDescent="0.25">
      <c r="A1179" s="20">
        <v>822</v>
      </c>
      <c r="B1179" s="20" t="s">
        <v>0</v>
      </c>
      <c r="C1179" s="20">
        <v>7465</v>
      </c>
      <c r="D1179" s="21">
        <v>10</v>
      </c>
      <c r="E1179" s="21">
        <v>0</v>
      </c>
      <c r="F1179" s="22">
        <v>89</v>
      </c>
      <c r="G1179" s="22" t="s">
        <v>198</v>
      </c>
      <c r="H1179" s="24">
        <f t="shared" si="173"/>
        <v>4089</v>
      </c>
      <c r="I1179" s="25" t="s">
        <v>19</v>
      </c>
      <c r="J1179" s="24">
        <f t="shared" si="174"/>
        <v>1533375</v>
      </c>
      <c r="K1179" s="20"/>
      <c r="L1179" s="20"/>
      <c r="M1179" s="20"/>
      <c r="N1179" s="20"/>
      <c r="O1179" s="24"/>
      <c r="P1179" s="24"/>
      <c r="Q1179" s="25"/>
      <c r="R1179" s="24"/>
      <c r="S1179" s="20"/>
      <c r="T1179" s="27"/>
      <c r="U1179" s="20"/>
      <c r="V1179" s="27">
        <f t="shared" si="175"/>
        <v>1533375</v>
      </c>
      <c r="W1179" s="26">
        <f t="shared" si="171"/>
        <v>1533375</v>
      </c>
      <c r="X1179" s="27">
        <v>0</v>
      </c>
      <c r="Y1179" s="26">
        <f t="shared" si="172"/>
        <v>1533375</v>
      </c>
      <c r="Z1179" s="49">
        <v>1E-4</v>
      </c>
    </row>
    <row r="1180" spans="1:26" s="29" customFormat="1" ht="90.75" customHeight="1" x14ac:dyDescent="0.25">
      <c r="A1180" s="20">
        <v>823</v>
      </c>
      <c r="B1180" s="20" t="s">
        <v>0</v>
      </c>
      <c r="C1180" s="20">
        <v>7464</v>
      </c>
      <c r="D1180" s="21">
        <v>21</v>
      </c>
      <c r="E1180" s="21">
        <v>1</v>
      </c>
      <c r="F1180" s="22">
        <v>19</v>
      </c>
      <c r="G1180" s="22" t="s">
        <v>198</v>
      </c>
      <c r="H1180" s="24">
        <f t="shared" si="173"/>
        <v>8519</v>
      </c>
      <c r="I1180" s="25" t="s">
        <v>75</v>
      </c>
      <c r="J1180" s="24">
        <f t="shared" si="174"/>
        <v>5324375</v>
      </c>
      <c r="K1180" s="20"/>
      <c r="L1180" s="20"/>
      <c r="M1180" s="20"/>
      <c r="N1180" s="20"/>
      <c r="O1180" s="24"/>
      <c r="P1180" s="24"/>
      <c r="Q1180" s="25"/>
      <c r="R1180" s="24"/>
      <c r="S1180" s="20"/>
      <c r="T1180" s="27"/>
      <c r="U1180" s="20"/>
      <c r="V1180" s="27">
        <f t="shared" si="175"/>
        <v>5324375</v>
      </c>
      <c r="W1180" s="26">
        <f t="shared" si="171"/>
        <v>5324375</v>
      </c>
      <c r="X1180" s="27">
        <v>0</v>
      </c>
      <c r="Y1180" s="26">
        <f t="shared" si="172"/>
        <v>5324375</v>
      </c>
      <c r="Z1180" s="49">
        <v>1E-4</v>
      </c>
    </row>
    <row r="1181" spans="1:26" s="29" customFormat="1" ht="90.75" customHeight="1" x14ac:dyDescent="0.25">
      <c r="A1181" s="20">
        <v>824</v>
      </c>
      <c r="B1181" s="20" t="s">
        <v>0</v>
      </c>
      <c r="C1181" s="20">
        <v>7599</v>
      </c>
      <c r="D1181" s="21">
        <v>23</v>
      </c>
      <c r="E1181" s="21">
        <v>1</v>
      </c>
      <c r="F1181" s="22">
        <v>15</v>
      </c>
      <c r="G1181" s="22" t="s">
        <v>198</v>
      </c>
      <c r="H1181" s="24">
        <f t="shared" si="173"/>
        <v>9315</v>
      </c>
      <c r="I1181" s="25" t="s">
        <v>7</v>
      </c>
      <c r="J1181" s="24">
        <f t="shared" si="174"/>
        <v>3260250</v>
      </c>
      <c r="K1181" s="20"/>
      <c r="L1181" s="20"/>
      <c r="M1181" s="20"/>
      <c r="N1181" s="20"/>
      <c r="O1181" s="24"/>
      <c r="P1181" s="24"/>
      <c r="Q1181" s="25"/>
      <c r="R1181" s="24"/>
      <c r="S1181" s="20"/>
      <c r="T1181" s="27"/>
      <c r="U1181" s="20"/>
      <c r="V1181" s="27">
        <f t="shared" si="175"/>
        <v>3260250</v>
      </c>
      <c r="W1181" s="26">
        <f t="shared" si="171"/>
        <v>3260250</v>
      </c>
      <c r="X1181" s="27">
        <v>0</v>
      </c>
      <c r="Y1181" s="26">
        <f t="shared" si="172"/>
        <v>3260250</v>
      </c>
      <c r="Z1181" s="49">
        <v>1E-4</v>
      </c>
    </row>
    <row r="1182" spans="1:26" s="29" customFormat="1" ht="90.75" customHeight="1" x14ac:dyDescent="0.25">
      <c r="A1182" s="20">
        <v>825</v>
      </c>
      <c r="B1182" s="20" t="s">
        <v>0</v>
      </c>
      <c r="C1182" s="20">
        <v>22543</v>
      </c>
      <c r="D1182" s="21">
        <v>39</v>
      </c>
      <c r="E1182" s="21">
        <v>0</v>
      </c>
      <c r="F1182" s="22">
        <v>24</v>
      </c>
      <c r="G1182" s="22" t="s">
        <v>198</v>
      </c>
      <c r="H1182" s="24">
        <f t="shared" si="173"/>
        <v>15624</v>
      </c>
      <c r="I1182" s="25" t="s">
        <v>19</v>
      </c>
      <c r="J1182" s="24">
        <f t="shared" si="174"/>
        <v>5859000</v>
      </c>
      <c r="K1182" s="20"/>
      <c r="L1182" s="20"/>
      <c r="M1182" s="20"/>
      <c r="N1182" s="20"/>
      <c r="O1182" s="24"/>
      <c r="P1182" s="24"/>
      <c r="Q1182" s="25"/>
      <c r="R1182" s="24"/>
      <c r="S1182" s="20"/>
      <c r="T1182" s="27"/>
      <c r="U1182" s="20"/>
      <c r="V1182" s="27">
        <f t="shared" si="175"/>
        <v>5859000</v>
      </c>
      <c r="W1182" s="26">
        <f t="shared" si="171"/>
        <v>5859000</v>
      </c>
      <c r="X1182" s="27">
        <v>0</v>
      </c>
      <c r="Y1182" s="26">
        <f t="shared" si="172"/>
        <v>5859000</v>
      </c>
      <c r="Z1182" s="49">
        <v>1E-4</v>
      </c>
    </row>
    <row r="1183" spans="1:26" s="29" customFormat="1" ht="90.75" customHeight="1" x14ac:dyDescent="0.25">
      <c r="A1183" s="20">
        <v>826</v>
      </c>
      <c r="B1183" s="20" t="s">
        <v>0</v>
      </c>
      <c r="C1183" s="20">
        <v>22045</v>
      </c>
      <c r="D1183" s="21">
        <v>106</v>
      </c>
      <c r="E1183" s="21">
        <v>1</v>
      </c>
      <c r="F1183" s="22">
        <v>51</v>
      </c>
      <c r="G1183" s="22" t="s">
        <v>198</v>
      </c>
      <c r="H1183" s="24">
        <f t="shared" si="173"/>
        <v>42551</v>
      </c>
      <c r="I1183" s="25" t="s">
        <v>19</v>
      </c>
      <c r="J1183" s="24">
        <f t="shared" si="174"/>
        <v>15956625</v>
      </c>
      <c r="K1183" s="20"/>
      <c r="L1183" s="20"/>
      <c r="M1183" s="20"/>
      <c r="N1183" s="20"/>
      <c r="O1183" s="24"/>
      <c r="P1183" s="24"/>
      <c r="Q1183" s="25"/>
      <c r="R1183" s="24"/>
      <c r="S1183" s="20"/>
      <c r="T1183" s="27"/>
      <c r="U1183" s="20"/>
      <c r="V1183" s="27">
        <f t="shared" si="175"/>
        <v>15956625</v>
      </c>
      <c r="W1183" s="26">
        <f t="shared" si="171"/>
        <v>15956625</v>
      </c>
      <c r="X1183" s="27">
        <v>0</v>
      </c>
      <c r="Y1183" s="26">
        <f t="shared" si="172"/>
        <v>15956625</v>
      </c>
      <c r="Z1183" s="49">
        <v>1E-4</v>
      </c>
    </row>
    <row r="1184" spans="1:26" s="29" customFormat="1" ht="90.75" customHeight="1" x14ac:dyDescent="0.25">
      <c r="A1184" s="20">
        <v>827</v>
      </c>
      <c r="B1184" s="20" t="s">
        <v>0</v>
      </c>
      <c r="C1184" s="20">
        <v>7559</v>
      </c>
      <c r="D1184" s="21">
        <v>18</v>
      </c>
      <c r="E1184" s="21">
        <v>3</v>
      </c>
      <c r="F1184" s="22">
        <v>94</v>
      </c>
      <c r="G1184" s="22" t="s">
        <v>198</v>
      </c>
      <c r="H1184" s="24">
        <f t="shared" si="173"/>
        <v>7594</v>
      </c>
      <c r="I1184" s="25" t="s">
        <v>19</v>
      </c>
      <c r="J1184" s="24">
        <f t="shared" si="174"/>
        <v>2847750</v>
      </c>
      <c r="K1184" s="20"/>
      <c r="L1184" s="20"/>
      <c r="M1184" s="20"/>
      <c r="N1184" s="20"/>
      <c r="O1184" s="24"/>
      <c r="P1184" s="24"/>
      <c r="Q1184" s="25"/>
      <c r="R1184" s="24"/>
      <c r="S1184" s="20"/>
      <c r="T1184" s="27"/>
      <c r="U1184" s="20"/>
      <c r="V1184" s="27">
        <f t="shared" si="175"/>
        <v>2847750</v>
      </c>
      <c r="W1184" s="26">
        <f t="shared" si="171"/>
        <v>2847750</v>
      </c>
      <c r="X1184" s="27">
        <v>0</v>
      </c>
      <c r="Y1184" s="26">
        <f t="shared" si="172"/>
        <v>2847750</v>
      </c>
      <c r="Z1184" s="49">
        <v>1E-4</v>
      </c>
    </row>
    <row r="1185" spans="1:26" s="29" customFormat="1" ht="90.75" customHeight="1" x14ac:dyDescent="0.25">
      <c r="A1185" s="20">
        <v>828</v>
      </c>
      <c r="B1185" s="20" t="s">
        <v>0</v>
      </c>
      <c r="C1185" s="20">
        <v>7560</v>
      </c>
      <c r="D1185" s="21">
        <v>6</v>
      </c>
      <c r="E1185" s="21">
        <v>1</v>
      </c>
      <c r="F1185" s="22">
        <v>82</v>
      </c>
      <c r="G1185" s="22" t="s">
        <v>198</v>
      </c>
      <c r="H1185" s="24">
        <f t="shared" si="173"/>
        <v>2582</v>
      </c>
      <c r="I1185" s="25" t="s">
        <v>53</v>
      </c>
      <c r="J1185" s="24">
        <f t="shared" si="174"/>
        <v>1161900</v>
      </c>
      <c r="K1185" s="20"/>
      <c r="L1185" s="20"/>
      <c r="M1185" s="20"/>
      <c r="N1185" s="20"/>
      <c r="O1185" s="24"/>
      <c r="P1185" s="24"/>
      <c r="Q1185" s="25"/>
      <c r="R1185" s="24"/>
      <c r="S1185" s="20"/>
      <c r="T1185" s="27" t="s">
        <v>285</v>
      </c>
      <c r="U1185" s="20"/>
      <c r="V1185" s="27">
        <f t="shared" si="175"/>
        <v>1161900</v>
      </c>
      <c r="W1185" s="26">
        <f t="shared" si="171"/>
        <v>1161900</v>
      </c>
      <c r="X1185" s="27">
        <v>0</v>
      </c>
      <c r="Y1185" s="26">
        <f t="shared" si="172"/>
        <v>1161900</v>
      </c>
      <c r="Z1185" s="49">
        <v>1E-4</v>
      </c>
    </row>
    <row r="1186" spans="1:26" s="29" customFormat="1" ht="90.75" customHeight="1" x14ac:dyDescent="0.25">
      <c r="A1186" s="20">
        <v>829</v>
      </c>
      <c r="B1186" s="20" t="s">
        <v>0</v>
      </c>
      <c r="C1186" s="20">
        <v>7917</v>
      </c>
      <c r="D1186" s="21">
        <v>10</v>
      </c>
      <c r="E1186" s="21">
        <v>2</v>
      </c>
      <c r="F1186" s="22">
        <v>63</v>
      </c>
      <c r="G1186" s="22" t="s">
        <v>198</v>
      </c>
      <c r="H1186" s="24">
        <f t="shared" si="173"/>
        <v>4263</v>
      </c>
      <c r="I1186" s="25" t="s">
        <v>7</v>
      </c>
      <c r="J1186" s="24">
        <f t="shared" si="174"/>
        <v>1492050</v>
      </c>
      <c r="K1186" s="20"/>
      <c r="L1186" s="20"/>
      <c r="M1186" s="20"/>
      <c r="N1186" s="20"/>
      <c r="O1186" s="24"/>
      <c r="P1186" s="24"/>
      <c r="Q1186" s="25"/>
      <c r="R1186" s="24"/>
      <c r="S1186" s="20"/>
      <c r="T1186" s="27"/>
      <c r="U1186" s="20"/>
      <c r="V1186" s="27">
        <f t="shared" si="175"/>
        <v>1492050</v>
      </c>
      <c r="W1186" s="26">
        <f t="shared" si="171"/>
        <v>1492050</v>
      </c>
      <c r="X1186" s="27">
        <v>0</v>
      </c>
      <c r="Y1186" s="26">
        <f t="shared" si="172"/>
        <v>1492050</v>
      </c>
      <c r="Z1186" s="49">
        <v>1E-4</v>
      </c>
    </row>
    <row r="1187" spans="1:26" s="29" customFormat="1" ht="90.75" customHeight="1" x14ac:dyDescent="0.25">
      <c r="A1187" s="20">
        <v>830</v>
      </c>
      <c r="B1187" s="20" t="s">
        <v>0</v>
      </c>
      <c r="C1187" s="20">
        <v>7563</v>
      </c>
      <c r="D1187" s="21">
        <v>11</v>
      </c>
      <c r="E1187" s="21">
        <v>1</v>
      </c>
      <c r="F1187" s="22">
        <v>66</v>
      </c>
      <c r="G1187" s="22" t="s">
        <v>198</v>
      </c>
      <c r="H1187" s="24">
        <f t="shared" si="173"/>
        <v>4566</v>
      </c>
      <c r="I1187" s="25" t="s">
        <v>22</v>
      </c>
      <c r="J1187" s="24">
        <f t="shared" si="174"/>
        <v>2397150</v>
      </c>
      <c r="K1187" s="20"/>
      <c r="L1187" s="20"/>
      <c r="M1187" s="20"/>
      <c r="N1187" s="20"/>
      <c r="O1187" s="24"/>
      <c r="P1187" s="24"/>
      <c r="Q1187" s="25"/>
      <c r="R1187" s="24"/>
      <c r="S1187" s="20"/>
      <c r="T1187" s="27"/>
      <c r="U1187" s="20"/>
      <c r="V1187" s="27">
        <f t="shared" si="175"/>
        <v>2397150</v>
      </c>
      <c r="W1187" s="26">
        <f t="shared" si="171"/>
        <v>2397150</v>
      </c>
      <c r="X1187" s="27">
        <v>0</v>
      </c>
      <c r="Y1187" s="26">
        <f t="shared" si="172"/>
        <v>2397150</v>
      </c>
      <c r="Z1187" s="49">
        <v>1E-4</v>
      </c>
    </row>
    <row r="1188" spans="1:26" s="29" customFormat="1" ht="90.75" customHeight="1" x14ac:dyDescent="0.25">
      <c r="A1188" s="20">
        <v>831</v>
      </c>
      <c r="B1188" s="20" t="s">
        <v>0</v>
      </c>
      <c r="C1188" s="20">
        <v>9547</v>
      </c>
      <c r="D1188" s="21">
        <v>58</v>
      </c>
      <c r="E1188" s="21">
        <v>1</v>
      </c>
      <c r="F1188" s="22">
        <v>79</v>
      </c>
      <c r="G1188" s="22" t="s">
        <v>198</v>
      </c>
      <c r="H1188" s="24">
        <f t="shared" si="173"/>
        <v>23379</v>
      </c>
      <c r="I1188" s="25" t="s">
        <v>75</v>
      </c>
      <c r="J1188" s="24">
        <f t="shared" si="174"/>
        <v>14611875</v>
      </c>
      <c r="K1188" s="20"/>
      <c r="L1188" s="20"/>
      <c r="M1188" s="20"/>
      <c r="N1188" s="20"/>
      <c r="O1188" s="24"/>
      <c r="P1188" s="24"/>
      <c r="Q1188" s="25"/>
      <c r="R1188" s="24"/>
      <c r="S1188" s="20"/>
      <c r="T1188" s="27"/>
      <c r="U1188" s="20"/>
      <c r="V1188" s="27">
        <f t="shared" si="175"/>
        <v>14611875</v>
      </c>
      <c r="W1188" s="26">
        <f t="shared" si="171"/>
        <v>14611875</v>
      </c>
      <c r="X1188" s="27">
        <v>0</v>
      </c>
      <c r="Y1188" s="26">
        <f t="shared" si="172"/>
        <v>14611875</v>
      </c>
      <c r="Z1188" s="49">
        <v>1E-4</v>
      </c>
    </row>
    <row r="1189" spans="1:26" s="29" customFormat="1" ht="90.75" customHeight="1" x14ac:dyDescent="0.25">
      <c r="A1189" s="20">
        <v>832</v>
      </c>
      <c r="B1189" s="20" t="s">
        <v>0</v>
      </c>
      <c r="C1189" s="20">
        <v>7565</v>
      </c>
      <c r="D1189" s="21">
        <v>26</v>
      </c>
      <c r="E1189" s="21">
        <v>1</v>
      </c>
      <c r="F1189" s="22">
        <v>40</v>
      </c>
      <c r="G1189" s="22" t="s">
        <v>198</v>
      </c>
      <c r="H1189" s="24">
        <f t="shared" si="173"/>
        <v>10540</v>
      </c>
      <c r="I1189" s="25" t="s">
        <v>32</v>
      </c>
      <c r="J1189" s="24">
        <f t="shared" si="174"/>
        <v>2108000</v>
      </c>
      <c r="K1189" s="20"/>
      <c r="L1189" s="20"/>
      <c r="M1189" s="20"/>
      <c r="N1189" s="20"/>
      <c r="O1189" s="24"/>
      <c r="P1189" s="24"/>
      <c r="Q1189" s="25"/>
      <c r="R1189" s="24"/>
      <c r="S1189" s="20"/>
      <c r="T1189" s="27"/>
      <c r="U1189" s="20"/>
      <c r="V1189" s="27">
        <f t="shared" si="175"/>
        <v>2108000</v>
      </c>
      <c r="W1189" s="26">
        <f t="shared" si="171"/>
        <v>2108000</v>
      </c>
      <c r="X1189" s="27">
        <v>0</v>
      </c>
      <c r="Y1189" s="26">
        <f t="shared" si="172"/>
        <v>2108000</v>
      </c>
      <c r="Z1189" s="49">
        <v>1E-4</v>
      </c>
    </row>
    <row r="1190" spans="1:26" s="29" customFormat="1" ht="90.75" customHeight="1" x14ac:dyDescent="0.25">
      <c r="A1190" s="20">
        <v>833</v>
      </c>
      <c r="B1190" s="20" t="s">
        <v>0</v>
      </c>
      <c r="C1190" s="20">
        <v>7564</v>
      </c>
      <c r="D1190" s="21">
        <v>23</v>
      </c>
      <c r="E1190" s="21">
        <v>2</v>
      </c>
      <c r="F1190" s="22">
        <v>11</v>
      </c>
      <c r="G1190" s="22" t="s">
        <v>198</v>
      </c>
      <c r="H1190" s="24">
        <f t="shared" si="173"/>
        <v>9411</v>
      </c>
      <c r="I1190" s="25" t="s">
        <v>32</v>
      </c>
      <c r="J1190" s="24">
        <f t="shared" si="174"/>
        <v>1882200</v>
      </c>
      <c r="K1190" s="20"/>
      <c r="L1190" s="20"/>
      <c r="M1190" s="20"/>
      <c r="N1190" s="20"/>
      <c r="O1190" s="24"/>
      <c r="P1190" s="24"/>
      <c r="Q1190" s="25"/>
      <c r="R1190" s="24"/>
      <c r="S1190" s="20"/>
      <c r="T1190" s="27"/>
      <c r="U1190" s="20"/>
      <c r="V1190" s="27">
        <f t="shared" si="175"/>
        <v>1882200</v>
      </c>
      <c r="W1190" s="26">
        <f t="shared" si="171"/>
        <v>1882200</v>
      </c>
      <c r="X1190" s="27">
        <v>0</v>
      </c>
      <c r="Y1190" s="26">
        <f t="shared" si="172"/>
        <v>1882200</v>
      </c>
      <c r="Z1190" s="49">
        <v>1E-4</v>
      </c>
    </row>
    <row r="1191" spans="1:26" s="29" customFormat="1" ht="90.75" customHeight="1" x14ac:dyDescent="0.25">
      <c r="A1191" s="20">
        <v>834</v>
      </c>
      <c r="B1191" s="20" t="s">
        <v>0</v>
      </c>
      <c r="C1191" s="20">
        <v>11939</v>
      </c>
      <c r="D1191" s="21">
        <v>37</v>
      </c>
      <c r="E1191" s="21">
        <v>3</v>
      </c>
      <c r="F1191" s="22">
        <v>51</v>
      </c>
      <c r="G1191" s="22" t="s">
        <v>198</v>
      </c>
      <c r="H1191" s="24">
        <f t="shared" si="173"/>
        <v>15151</v>
      </c>
      <c r="I1191" s="25" t="s">
        <v>80</v>
      </c>
      <c r="J1191" s="24">
        <f t="shared" si="174"/>
        <v>8711825</v>
      </c>
      <c r="K1191" s="20"/>
      <c r="L1191" s="20"/>
      <c r="M1191" s="20"/>
      <c r="N1191" s="20"/>
      <c r="O1191" s="24"/>
      <c r="P1191" s="24"/>
      <c r="Q1191" s="25"/>
      <c r="R1191" s="24"/>
      <c r="S1191" s="20"/>
      <c r="T1191" s="27"/>
      <c r="U1191" s="20"/>
      <c r="V1191" s="27">
        <f t="shared" si="175"/>
        <v>8711825</v>
      </c>
      <c r="W1191" s="26">
        <f t="shared" si="171"/>
        <v>8711825</v>
      </c>
      <c r="X1191" s="27">
        <v>0</v>
      </c>
      <c r="Y1191" s="26">
        <f t="shared" si="172"/>
        <v>8711825</v>
      </c>
      <c r="Z1191" s="49">
        <v>1E-4</v>
      </c>
    </row>
    <row r="1192" spans="1:26" s="29" customFormat="1" ht="90.75" customHeight="1" x14ac:dyDescent="0.25">
      <c r="A1192" s="20">
        <v>835</v>
      </c>
      <c r="B1192" s="20" t="s">
        <v>0</v>
      </c>
      <c r="C1192" s="20">
        <v>11959</v>
      </c>
      <c r="D1192" s="21">
        <v>34</v>
      </c>
      <c r="E1192" s="21">
        <v>2</v>
      </c>
      <c r="F1192" s="22">
        <v>49</v>
      </c>
      <c r="G1192" s="22" t="s">
        <v>198</v>
      </c>
      <c r="H1192" s="24">
        <f t="shared" si="173"/>
        <v>13849</v>
      </c>
      <c r="I1192" s="25" t="s">
        <v>9</v>
      </c>
      <c r="J1192" s="24">
        <f t="shared" si="174"/>
        <v>4154700</v>
      </c>
      <c r="K1192" s="20"/>
      <c r="L1192" s="20"/>
      <c r="M1192" s="20"/>
      <c r="N1192" s="20"/>
      <c r="O1192" s="24"/>
      <c r="P1192" s="24"/>
      <c r="Q1192" s="25"/>
      <c r="R1192" s="24"/>
      <c r="S1192" s="20"/>
      <c r="T1192" s="27"/>
      <c r="U1192" s="20"/>
      <c r="V1192" s="27">
        <f t="shared" si="175"/>
        <v>4154700</v>
      </c>
      <c r="W1192" s="26">
        <f t="shared" si="171"/>
        <v>4154700</v>
      </c>
      <c r="X1192" s="27">
        <v>0</v>
      </c>
      <c r="Y1192" s="26">
        <f t="shared" si="172"/>
        <v>4154700</v>
      </c>
      <c r="Z1192" s="49">
        <v>1E-4</v>
      </c>
    </row>
    <row r="1193" spans="1:26" s="29" customFormat="1" ht="90.75" customHeight="1" x14ac:dyDescent="0.25">
      <c r="A1193" s="20">
        <v>836</v>
      </c>
      <c r="B1193" s="20" t="s">
        <v>0</v>
      </c>
      <c r="C1193" s="20">
        <v>11940</v>
      </c>
      <c r="D1193" s="21">
        <v>13</v>
      </c>
      <c r="E1193" s="21">
        <v>2</v>
      </c>
      <c r="F1193" s="22">
        <v>92</v>
      </c>
      <c r="G1193" s="22" t="s">
        <v>198</v>
      </c>
      <c r="H1193" s="24">
        <f t="shared" si="173"/>
        <v>5492</v>
      </c>
      <c r="I1193" s="25" t="s">
        <v>75</v>
      </c>
      <c r="J1193" s="24">
        <f t="shared" si="174"/>
        <v>3432500</v>
      </c>
      <c r="K1193" s="20"/>
      <c r="L1193" s="20"/>
      <c r="M1193" s="20"/>
      <c r="N1193" s="20"/>
      <c r="O1193" s="24"/>
      <c r="P1193" s="24"/>
      <c r="Q1193" s="25"/>
      <c r="R1193" s="24"/>
      <c r="S1193" s="20"/>
      <c r="T1193" s="27"/>
      <c r="U1193" s="20"/>
      <c r="V1193" s="27">
        <f t="shared" si="175"/>
        <v>3432500</v>
      </c>
      <c r="W1193" s="26">
        <f t="shared" si="171"/>
        <v>3432500</v>
      </c>
      <c r="X1193" s="27">
        <v>0</v>
      </c>
      <c r="Y1193" s="26">
        <f t="shared" si="172"/>
        <v>3432500</v>
      </c>
      <c r="Z1193" s="49">
        <v>1E-4</v>
      </c>
    </row>
    <row r="1194" spans="1:26" s="29" customFormat="1" ht="90.75" customHeight="1" x14ac:dyDescent="0.25">
      <c r="A1194" s="20">
        <v>837</v>
      </c>
      <c r="B1194" s="20" t="s">
        <v>0</v>
      </c>
      <c r="C1194" s="20">
        <v>11945</v>
      </c>
      <c r="D1194" s="21">
        <v>16</v>
      </c>
      <c r="E1194" s="21">
        <v>2</v>
      </c>
      <c r="F1194" s="22">
        <v>59</v>
      </c>
      <c r="G1194" s="22" t="s">
        <v>198</v>
      </c>
      <c r="H1194" s="24">
        <f t="shared" si="173"/>
        <v>6659</v>
      </c>
      <c r="I1194" s="25" t="s">
        <v>75</v>
      </c>
      <c r="J1194" s="24">
        <f t="shared" si="174"/>
        <v>4161875</v>
      </c>
      <c r="K1194" s="20"/>
      <c r="L1194" s="20"/>
      <c r="M1194" s="20"/>
      <c r="N1194" s="20"/>
      <c r="O1194" s="24"/>
      <c r="P1194" s="24"/>
      <c r="Q1194" s="25"/>
      <c r="R1194" s="24"/>
      <c r="S1194" s="20"/>
      <c r="T1194" s="27"/>
      <c r="U1194" s="20"/>
      <c r="V1194" s="27">
        <f t="shared" si="175"/>
        <v>4161875</v>
      </c>
      <c r="W1194" s="26">
        <f t="shared" si="171"/>
        <v>4161875</v>
      </c>
      <c r="X1194" s="27">
        <v>0</v>
      </c>
      <c r="Y1194" s="26">
        <f t="shared" si="172"/>
        <v>4161875</v>
      </c>
      <c r="Z1194" s="49">
        <v>1E-4</v>
      </c>
    </row>
    <row r="1195" spans="1:26" s="29" customFormat="1" ht="90.75" customHeight="1" x14ac:dyDescent="0.25">
      <c r="A1195" s="20">
        <v>838</v>
      </c>
      <c r="B1195" s="20" t="s">
        <v>0</v>
      </c>
      <c r="C1195" s="20">
        <v>14601</v>
      </c>
      <c r="D1195" s="21">
        <v>36</v>
      </c>
      <c r="E1195" s="21">
        <v>2</v>
      </c>
      <c r="F1195" s="22">
        <v>20</v>
      </c>
      <c r="G1195" s="22" t="s">
        <v>198</v>
      </c>
      <c r="H1195" s="24">
        <f t="shared" si="173"/>
        <v>14620</v>
      </c>
      <c r="I1195" s="25" t="s">
        <v>78</v>
      </c>
      <c r="J1195" s="24">
        <f t="shared" si="174"/>
        <v>12792500</v>
      </c>
      <c r="K1195" s="20"/>
      <c r="L1195" s="20"/>
      <c r="M1195" s="20"/>
      <c r="N1195" s="20"/>
      <c r="O1195" s="24"/>
      <c r="P1195" s="24"/>
      <c r="Q1195" s="25"/>
      <c r="R1195" s="24"/>
      <c r="S1195" s="20"/>
      <c r="T1195" s="27"/>
      <c r="U1195" s="20"/>
      <c r="V1195" s="27">
        <f t="shared" si="175"/>
        <v>12792500</v>
      </c>
      <c r="W1195" s="26">
        <f t="shared" si="171"/>
        <v>12792500</v>
      </c>
      <c r="X1195" s="27">
        <v>0</v>
      </c>
      <c r="Y1195" s="26">
        <f t="shared" si="172"/>
        <v>12792500</v>
      </c>
      <c r="Z1195" s="49">
        <v>1E-4</v>
      </c>
    </row>
    <row r="1196" spans="1:26" s="29" customFormat="1" ht="90.75" customHeight="1" x14ac:dyDescent="0.25">
      <c r="A1196" s="20">
        <v>839</v>
      </c>
      <c r="B1196" s="20" t="s">
        <v>0</v>
      </c>
      <c r="C1196" s="20">
        <v>14602</v>
      </c>
      <c r="D1196" s="21">
        <v>3</v>
      </c>
      <c r="E1196" s="21">
        <v>2</v>
      </c>
      <c r="F1196" s="22">
        <v>10</v>
      </c>
      <c r="G1196" s="22" t="s">
        <v>198</v>
      </c>
      <c r="H1196" s="24">
        <f t="shared" si="173"/>
        <v>1410</v>
      </c>
      <c r="I1196" s="25" t="s">
        <v>23</v>
      </c>
      <c r="J1196" s="24">
        <f t="shared" si="174"/>
        <v>1410000</v>
      </c>
      <c r="K1196" s="20"/>
      <c r="L1196" s="20"/>
      <c r="M1196" s="20"/>
      <c r="N1196" s="20"/>
      <c r="O1196" s="24"/>
      <c r="P1196" s="24"/>
      <c r="Q1196" s="25"/>
      <c r="R1196" s="24"/>
      <c r="S1196" s="20"/>
      <c r="T1196" s="27"/>
      <c r="U1196" s="20"/>
      <c r="V1196" s="27">
        <f t="shared" si="175"/>
        <v>1410000</v>
      </c>
      <c r="W1196" s="26">
        <f t="shared" si="171"/>
        <v>1410000</v>
      </c>
      <c r="X1196" s="27">
        <v>0</v>
      </c>
      <c r="Y1196" s="26">
        <f t="shared" si="172"/>
        <v>1410000</v>
      </c>
      <c r="Z1196" s="49">
        <v>1E-4</v>
      </c>
    </row>
    <row r="1197" spans="1:26" s="29" customFormat="1" ht="90.75" customHeight="1" x14ac:dyDescent="0.25">
      <c r="A1197" s="20">
        <v>840</v>
      </c>
      <c r="B1197" s="20" t="s">
        <v>0</v>
      </c>
      <c r="C1197" s="20">
        <v>7977</v>
      </c>
      <c r="D1197" s="21">
        <v>35</v>
      </c>
      <c r="E1197" s="21">
        <v>0</v>
      </c>
      <c r="F1197" s="22">
        <v>32</v>
      </c>
      <c r="G1197" s="22" t="s">
        <v>198</v>
      </c>
      <c r="H1197" s="24">
        <f t="shared" si="173"/>
        <v>14032</v>
      </c>
      <c r="I1197" s="25">
        <v>425</v>
      </c>
      <c r="J1197" s="24">
        <f t="shared" si="174"/>
        <v>5963600</v>
      </c>
      <c r="K1197" s="20"/>
      <c r="L1197" s="20"/>
      <c r="M1197" s="20"/>
      <c r="N1197" s="20"/>
      <c r="O1197" s="24"/>
      <c r="P1197" s="24"/>
      <c r="Q1197" s="25"/>
      <c r="R1197" s="24"/>
      <c r="S1197" s="20"/>
      <c r="T1197" s="27"/>
      <c r="U1197" s="20"/>
      <c r="V1197" s="27">
        <f t="shared" si="175"/>
        <v>5963600</v>
      </c>
      <c r="W1197" s="26">
        <f t="shared" si="171"/>
        <v>5963600</v>
      </c>
      <c r="X1197" s="27">
        <v>0</v>
      </c>
      <c r="Y1197" s="26">
        <f t="shared" si="172"/>
        <v>5963600</v>
      </c>
      <c r="Z1197" s="49">
        <v>1E-4</v>
      </c>
    </row>
    <row r="1198" spans="1:26" s="29" customFormat="1" ht="90.75" customHeight="1" x14ac:dyDescent="0.25">
      <c r="A1198" s="20">
        <v>841</v>
      </c>
      <c r="B1198" s="20" t="s">
        <v>0</v>
      </c>
      <c r="C1198" s="20">
        <v>31930</v>
      </c>
      <c r="D1198" s="21">
        <v>16</v>
      </c>
      <c r="E1198" s="21">
        <v>2</v>
      </c>
      <c r="F1198" s="22">
        <v>11</v>
      </c>
      <c r="G1198" s="22" t="s">
        <v>198</v>
      </c>
      <c r="H1198" s="24">
        <f t="shared" si="173"/>
        <v>6611</v>
      </c>
      <c r="I1198" s="25">
        <v>200</v>
      </c>
      <c r="J1198" s="24">
        <f t="shared" si="174"/>
        <v>1322200</v>
      </c>
      <c r="K1198" s="20"/>
      <c r="L1198" s="20"/>
      <c r="M1198" s="20"/>
      <c r="N1198" s="20"/>
      <c r="O1198" s="24"/>
      <c r="P1198" s="24"/>
      <c r="Q1198" s="25"/>
      <c r="R1198" s="24"/>
      <c r="S1198" s="20"/>
      <c r="T1198" s="27"/>
      <c r="U1198" s="20"/>
      <c r="V1198" s="27">
        <f t="shared" si="175"/>
        <v>1322200</v>
      </c>
      <c r="W1198" s="26">
        <f t="shared" si="171"/>
        <v>1322200</v>
      </c>
      <c r="X1198" s="27">
        <v>0</v>
      </c>
      <c r="Y1198" s="26">
        <f t="shared" si="172"/>
        <v>1322200</v>
      </c>
      <c r="Z1198" s="49">
        <v>1E-4</v>
      </c>
    </row>
    <row r="1199" spans="1:26" s="29" customFormat="1" ht="90.75" customHeight="1" x14ac:dyDescent="0.25">
      <c r="A1199" s="20">
        <v>842</v>
      </c>
      <c r="B1199" s="20" t="s">
        <v>0</v>
      </c>
      <c r="C1199" s="20">
        <v>52211</v>
      </c>
      <c r="D1199" s="21">
        <v>10</v>
      </c>
      <c r="E1199" s="21">
        <v>0</v>
      </c>
      <c r="F1199" s="22">
        <v>0</v>
      </c>
      <c r="G1199" s="21" t="s">
        <v>209</v>
      </c>
      <c r="H1199" s="24">
        <f t="shared" si="173"/>
        <v>4000</v>
      </c>
      <c r="I1199" s="25">
        <v>4500</v>
      </c>
      <c r="J1199" s="24">
        <f t="shared" si="174"/>
        <v>18000000</v>
      </c>
      <c r="K1199" s="20"/>
      <c r="L1199" s="20"/>
      <c r="M1199" s="20"/>
      <c r="N1199" s="20"/>
      <c r="O1199" s="24"/>
      <c r="P1199" s="24"/>
      <c r="Q1199" s="25"/>
      <c r="R1199" s="24"/>
      <c r="S1199" s="20"/>
      <c r="T1199" s="27"/>
      <c r="U1199" s="20"/>
      <c r="V1199" s="27">
        <f t="shared" si="175"/>
        <v>18000000</v>
      </c>
      <c r="W1199" s="26">
        <f t="shared" si="171"/>
        <v>18000000</v>
      </c>
      <c r="X1199" s="27">
        <v>0</v>
      </c>
      <c r="Y1199" s="80">
        <f t="shared" si="172"/>
        <v>18000000</v>
      </c>
      <c r="Z1199" s="49">
        <v>3.0000000000000001E-3</v>
      </c>
    </row>
    <row r="1200" spans="1:26" s="29" customFormat="1" ht="90.75" customHeight="1" x14ac:dyDescent="0.25">
      <c r="A1200" s="20">
        <v>843</v>
      </c>
      <c r="B1200" s="20" t="s">
        <v>0</v>
      </c>
      <c r="C1200" s="20">
        <v>11286</v>
      </c>
      <c r="D1200" s="21">
        <v>10</v>
      </c>
      <c r="E1200" s="21">
        <v>1</v>
      </c>
      <c r="F1200" s="22">
        <v>24</v>
      </c>
      <c r="G1200" s="22"/>
      <c r="H1200" s="24"/>
      <c r="I1200" s="25" t="s">
        <v>120</v>
      </c>
      <c r="J1200" s="24"/>
      <c r="K1200" s="20"/>
      <c r="L1200" s="20"/>
      <c r="M1200" s="20"/>
      <c r="N1200" s="20"/>
      <c r="O1200" s="24"/>
      <c r="P1200" s="24"/>
      <c r="Q1200" s="25"/>
      <c r="R1200" s="24"/>
      <c r="S1200" s="20"/>
      <c r="T1200" s="27"/>
      <c r="U1200" s="20"/>
      <c r="V1200" s="20"/>
      <c r="W1200" s="26"/>
      <c r="X1200" s="27"/>
      <c r="Y1200" s="20"/>
      <c r="Z1200" s="20"/>
    </row>
    <row r="1201" spans="1:26" s="29" customFormat="1" ht="90.75" customHeight="1" x14ac:dyDescent="0.25">
      <c r="A1201" s="20"/>
      <c r="B1201" s="20" t="s">
        <v>0</v>
      </c>
      <c r="C1201" s="20">
        <v>11286</v>
      </c>
      <c r="D1201" s="21"/>
      <c r="E1201" s="21"/>
      <c r="F1201" s="22"/>
      <c r="G1201" s="21" t="s">
        <v>209</v>
      </c>
      <c r="H1201" s="24">
        <v>504</v>
      </c>
      <c r="I1201" s="25">
        <v>1100</v>
      </c>
      <c r="J1201" s="24">
        <f t="shared" ref="J1201:J1206" si="176">(H1201*I1201)</f>
        <v>554400</v>
      </c>
      <c r="K1201" s="20"/>
      <c r="L1201" s="20"/>
      <c r="M1201" s="20"/>
      <c r="N1201" s="20"/>
      <c r="O1201" s="24"/>
      <c r="P1201" s="24"/>
      <c r="Q1201" s="25"/>
      <c r="R1201" s="24"/>
      <c r="S1201" s="20"/>
      <c r="T1201" s="27"/>
      <c r="U1201" s="20"/>
      <c r="V1201" s="27">
        <f>(J1201+U1201)</f>
        <v>554400</v>
      </c>
      <c r="W1201" s="26">
        <f>(V1201*100/100)</f>
        <v>554400</v>
      </c>
      <c r="X1201" s="27">
        <v>0</v>
      </c>
      <c r="Y1201" s="78">
        <f>(W1201-X1201)</f>
        <v>554400</v>
      </c>
      <c r="Z1201" s="49">
        <v>3.0000000000000001E-3</v>
      </c>
    </row>
    <row r="1202" spans="1:26" s="29" customFormat="1" ht="90.75" customHeight="1" x14ac:dyDescent="0.25">
      <c r="A1202" s="20">
        <v>844</v>
      </c>
      <c r="B1202" s="20" t="s">
        <v>0</v>
      </c>
      <c r="C1202" s="20">
        <v>41105</v>
      </c>
      <c r="D1202" s="21">
        <v>9</v>
      </c>
      <c r="E1202" s="21">
        <v>2</v>
      </c>
      <c r="F1202" s="22">
        <v>8</v>
      </c>
      <c r="G1202" s="22" t="s">
        <v>211</v>
      </c>
      <c r="H1202" s="24">
        <f>(D1202*400)+(E1202*100)+F1202</f>
        <v>3808</v>
      </c>
      <c r="I1202" s="25">
        <v>400</v>
      </c>
      <c r="J1202" s="24">
        <f t="shared" si="176"/>
        <v>1523200</v>
      </c>
      <c r="K1202" s="20"/>
      <c r="L1202" s="20"/>
      <c r="M1202" s="20"/>
      <c r="N1202" s="20"/>
      <c r="O1202" s="24"/>
      <c r="P1202" s="24"/>
      <c r="Q1202" s="25"/>
      <c r="R1202" s="24"/>
      <c r="S1202" s="20"/>
      <c r="T1202" s="27"/>
      <c r="U1202" s="20"/>
      <c r="V1202" s="20"/>
      <c r="W1202" s="26"/>
      <c r="X1202" s="27"/>
      <c r="Y1202" s="20"/>
      <c r="Z1202" s="20"/>
    </row>
    <row r="1203" spans="1:26" s="29" customFormat="1" ht="90.75" customHeight="1" x14ac:dyDescent="0.25">
      <c r="A1203" s="20"/>
      <c r="B1203" s="20" t="s">
        <v>0</v>
      </c>
      <c r="C1203" s="20">
        <v>41105</v>
      </c>
      <c r="D1203" s="21"/>
      <c r="E1203" s="21"/>
      <c r="F1203" s="22"/>
      <c r="G1203" s="21" t="s">
        <v>209</v>
      </c>
      <c r="H1203" s="24">
        <v>504</v>
      </c>
      <c r="I1203" s="25">
        <v>400</v>
      </c>
      <c r="J1203" s="24">
        <f t="shared" si="176"/>
        <v>201600</v>
      </c>
      <c r="K1203" s="20"/>
      <c r="L1203" s="20"/>
      <c r="M1203" s="20"/>
      <c r="N1203" s="20"/>
      <c r="O1203" s="24"/>
      <c r="P1203" s="24"/>
      <c r="Q1203" s="25"/>
      <c r="R1203" s="24"/>
      <c r="S1203" s="20"/>
      <c r="T1203" s="27"/>
      <c r="U1203" s="20"/>
      <c r="V1203" s="27">
        <f>(J1203+U1203)</f>
        <v>201600</v>
      </c>
      <c r="W1203" s="26">
        <f>(V1203*100/100)</f>
        <v>201600</v>
      </c>
      <c r="X1203" s="27">
        <v>0</v>
      </c>
      <c r="Y1203" s="78">
        <f>(W1203-X1203)</f>
        <v>201600</v>
      </c>
      <c r="Z1203" s="49">
        <v>3.0000000000000001E-3</v>
      </c>
    </row>
    <row r="1204" spans="1:26" s="29" customFormat="1" ht="90.75" customHeight="1" x14ac:dyDescent="0.25">
      <c r="A1204" s="20"/>
      <c r="B1204" s="20"/>
      <c r="C1204" s="20"/>
      <c r="D1204" s="21"/>
      <c r="E1204" s="21"/>
      <c r="F1204" s="22"/>
      <c r="G1204" s="21" t="s">
        <v>209</v>
      </c>
      <c r="H1204" s="24">
        <v>16</v>
      </c>
      <c r="I1204" s="25">
        <v>400</v>
      </c>
      <c r="J1204" s="24">
        <f t="shared" si="176"/>
        <v>6400</v>
      </c>
      <c r="K1204" s="20">
        <v>2</v>
      </c>
      <c r="L1204" s="20" t="s">
        <v>43</v>
      </c>
      <c r="M1204" s="20" t="s">
        <v>13</v>
      </c>
      <c r="N1204" s="20">
        <v>2</v>
      </c>
      <c r="O1204" s="27">
        <v>64</v>
      </c>
      <c r="P1204" s="35">
        <v>100</v>
      </c>
      <c r="Q1204" s="64">
        <v>7700</v>
      </c>
      <c r="R1204" s="77">
        <f>(O1204*Q1204)</f>
        <v>492800</v>
      </c>
      <c r="S1204" s="20">
        <v>1</v>
      </c>
      <c r="T1204" s="28">
        <f>(R1204*1/100)</f>
        <v>4928</v>
      </c>
      <c r="U1204" s="90">
        <f>(R1204-T1204)</f>
        <v>487872</v>
      </c>
      <c r="V1204" s="90">
        <f>(J1204+U1204)</f>
        <v>494272</v>
      </c>
      <c r="W1204" s="90">
        <f>(V1204*100/100)</f>
        <v>494272</v>
      </c>
      <c r="X1204" s="89">
        <v>0</v>
      </c>
      <c r="Y1204" s="45">
        <f>(W1204-X1204)</f>
        <v>494272</v>
      </c>
      <c r="Z1204" s="49">
        <v>2.0000000000000001E-4</v>
      </c>
    </row>
    <row r="1205" spans="1:26" s="29" customFormat="1" ht="90.75" customHeight="1" x14ac:dyDescent="0.25">
      <c r="A1205" s="20"/>
      <c r="B1205" s="20"/>
      <c r="C1205" s="20"/>
      <c r="D1205" s="21"/>
      <c r="E1205" s="21"/>
      <c r="F1205" s="22"/>
      <c r="G1205" s="21" t="s">
        <v>209</v>
      </c>
      <c r="H1205" s="24">
        <v>80</v>
      </c>
      <c r="I1205" s="25">
        <v>400</v>
      </c>
      <c r="J1205" s="24">
        <f t="shared" si="176"/>
        <v>32000</v>
      </c>
      <c r="K1205" s="20">
        <v>3</v>
      </c>
      <c r="L1205" s="20" t="s">
        <v>43</v>
      </c>
      <c r="M1205" s="20" t="s">
        <v>13</v>
      </c>
      <c r="N1205" s="20">
        <v>2</v>
      </c>
      <c r="O1205" s="27">
        <v>320</v>
      </c>
      <c r="P1205" s="35">
        <v>100</v>
      </c>
      <c r="Q1205" s="64">
        <v>7700</v>
      </c>
      <c r="R1205" s="77">
        <f>(O1205*Q1205)</f>
        <v>2464000</v>
      </c>
      <c r="S1205" s="20">
        <v>1</v>
      </c>
      <c r="T1205" s="28">
        <f>(R1205*1/100)</f>
        <v>24640</v>
      </c>
      <c r="U1205" s="90">
        <f>SUM(U1202:U1204)</f>
        <v>487872</v>
      </c>
      <c r="V1205" s="90">
        <f>(J1202+U1205)</f>
        <v>2011072</v>
      </c>
      <c r="W1205" s="90">
        <f>(V1205*100/100)</f>
        <v>2011072</v>
      </c>
      <c r="X1205" s="89">
        <v>0</v>
      </c>
      <c r="Y1205" s="48">
        <f>(W1205-X1205)</f>
        <v>2011072</v>
      </c>
      <c r="Z1205" s="49">
        <v>2.0000000000000001E-4</v>
      </c>
    </row>
    <row r="1206" spans="1:26" s="29" customFormat="1" ht="90.75" customHeight="1" x14ac:dyDescent="0.25">
      <c r="A1206" s="20">
        <v>845</v>
      </c>
      <c r="B1206" s="20" t="s">
        <v>0</v>
      </c>
      <c r="C1206" s="20">
        <v>47947</v>
      </c>
      <c r="D1206" s="21">
        <v>2</v>
      </c>
      <c r="E1206" s="21">
        <v>0</v>
      </c>
      <c r="F1206" s="22">
        <v>0</v>
      </c>
      <c r="G1206" s="21" t="s">
        <v>209</v>
      </c>
      <c r="H1206" s="24">
        <f>(D1206*400)+(E1206*100)+F1206</f>
        <v>800</v>
      </c>
      <c r="I1206" s="25" t="s">
        <v>123</v>
      </c>
      <c r="J1206" s="24">
        <f t="shared" si="176"/>
        <v>3600000</v>
      </c>
      <c r="K1206" s="37">
        <v>1</v>
      </c>
      <c r="L1206" s="20" t="s">
        <v>215</v>
      </c>
      <c r="M1206" s="20" t="s">
        <v>13</v>
      </c>
      <c r="N1206" s="62">
        <v>3</v>
      </c>
      <c r="O1206" s="24">
        <v>44</v>
      </c>
      <c r="P1206" s="35">
        <v>100</v>
      </c>
      <c r="Q1206" s="40">
        <v>6450</v>
      </c>
      <c r="R1206" s="77">
        <f>(O1206*Q1206)</f>
        <v>283800</v>
      </c>
      <c r="S1206" s="37">
        <v>7</v>
      </c>
      <c r="T1206" s="28">
        <f>(R1206*7/100)</f>
        <v>19866</v>
      </c>
      <c r="U1206" s="77">
        <f>(R1206-T1206)</f>
        <v>263934</v>
      </c>
      <c r="V1206" s="77"/>
      <c r="W1206" s="36"/>
      <c r="X1206" s="28"/>
      <c r="Y1206" s="28"/>
      <c r="Z1206" s="52"/>
    </row>
    <row r="1207" spans="1:26" s="29" customFormat="1" ht="90.75" customHeight="1" x14ac:dyDescent="0.25">
      <c r="A1207" s="20"/>
      <c r="B1207" s="20"/>
      <c r="C1207" s="20"/>
      <c r="D1207" s="21"/>
      <c r="E1207" s="21"/>
      <c r="F1207" s="22"/>
      <c r="G1207" s="23"/>
      <c r="H1207" s="24"/>
      <c r="I1207" s="25"/>
      <c r="J1207" s="24"/>
      <c r="K1207" s="37">
        <v>2</v>
      </c>
      <c r="L1207" s="20" t="s">
        <v>31</v>
      </c>
      <c r="M1207" s="20"/>
      <c r="N1207" s="62">
        <v>3</v>
      </c>
      <c r="O1207" s="24">
        <v>16</v>
      </c>
      <c r="P1207" s="35">
        <v>100</v>
      </c>
      <c r="Q1207" s="40">
        <v>2550</v>
      </c>
      <c r="R1207" s="77">
        <f>(O1207*Q1207)</f>
        <v>40800</v>
      </c>
      <c r="S1207" s="37">
        <v>7</v>
      </c>
      <c r="T1207" s="28">
        <f>(R1207*7/100)</f>
        <v>2856</v>
      </c>
      <c r="U1207" s="77">
        <f>(R1207-T1207)</f>
        <v>37944</v>
      </c>
      <c r="V1207" s="77"/>
      <c r="W1207" s="36"/>
      <c r="X1207" s="28"/>
      <c r="Y1207" s="28"/>
      <c r="Z1207" s="52"/>
    </row>
    <row r="1208" spans="1:26" s="29" customFormat="1" ht="90.75" customHeight="1" x14ac:dyDescent="0.25">
      <c r="A1208" s="20"/>
      <c r="B1208" s="20"/>
      <c r="C1208" s="20"/>
      <c r="D1208" s="21"/>
      <c r="E1208" s="21"/>
      <c r="F1208" s="22"/>
      <c r="G1208" s="23"/>
      <c r="H1208" s="24"/>
      <c r="I1208" s="25"/>
      <c r="J1208" s="24"/>
      <c r="K1208" s="37">
        <v>3</v>
      </c>
      <c r="L1208" s="20" t="s">
        <v>31</v>
      </c>
      <c r="M1208" s="20"/>
      <c r="N1208" s="62">
        <v>3</v>
      </c>
      <c r="O1208" s="24">
        <v>330</v>
      </c>
      <c r="P1208" s="35">
        <v>100</v>
      </c>
      <c r="Q1208" s="40">
        <v>2550</v>
      </c>
      <c r="R1208" s="77">
        <f>(O1208*Q1208)</f>
        <v>841500</v>
      </c>
      <c r="S1208" s="37">
        <v>7</v>
      </c>
      <c r="T1208" s="28">
        <f>(R1208*7/100)</f>
        <v>58905</v>
      </c>
      <c r="U1208" s="77">
        <f>(R1208-T1208)</f>
        <v>782595</v>
      </c>
      <c r="V1208" s="77"/>
      <c r="W1208" s="36"/>
      <c r="X1208" s="28"/>
      <c r="Y1208" s="28"/>
      <c r="Z1208" s="52"/>
    </row>
    <row r="1209" spans="1:26" s="29" customFormat="1" ht="90.75" customHeight="1" x14ac:dyDescent="0.25">
      <c r="A1209" s="20"/>
      <c r="B1209" s="20"/>
      <c r="C1209" s="20"/>
      <c r="D1209" s="21"/>
      <c r="E1209" s="21"/>
      <c r="F1209" s="22"/>
      <c r="G1209" s="23"/>
      <c r="H1209" s="24"/>
      <c r="I1209" s="25"/>
      <c r="J1209" s="24"/>
      <c r="K1209" s="33"/>
      <c r="L1209" s="31"/>
      <c r="M1209" s="43"/>
      <c r="N1209" s="30"/>
      <c r="O1209" s="88"/>
      <c r="P1209" s="82"/>
      <c r="Q1209" s="83"/>
      <c r="R1209" s="33"/>
      <c r="S1209" s="33"/>
      <c r="T1209" s="89"/>
      <c r="U1209" s="90">
        <f>SUM(U1206:U1208)</f>
        <v>1084473</v>
      </c>
      <c r="V1209" s="90">
        <f>(J1206+U1209)</f>
        <v>4684473</v>
      </c>
      <c r="W1209" s="90">
        <f>(V1209*100/100)</f>
        <v>4684473</v>
      </c>
      <c r="X1209" s="89">
        <v>0</v>
      </c>
      <c r="Y1209" s="48">
        <f>(W1209-X1209)</f>
        <v>4684473</v>
      </c>
      <c r="Z1209" s="49">
        <v>3.0000000000000001E-3</v>
      </c>
    </row>
    <row r="1210" spans="1:26" s="29" customFormat="1" ht="90.75" customHeight="1" x14ac:dyDescent="0.25">
      <c r="A1210" s="20">
        <v>846</v>
      </c>
      <c r="B1210" s="20" t="s">
        <v>0</v>
      </c>
      <c r="C1210" s="20">
        <v>67524</v>
      </c>
      <c r="D1210" s="21">
        <v>0</v>
      </c>
      <c r="E1210" s="21">
        <v>2</v>
      </c>
      <c r="F1210" s="22">
        <v>60.5</v>
      </c>
      <c r="G1210" s="21" t="s">
        <v>209</v>
      </c>
      <c r="H1210" s="24">
        <f>(D1210*400)+(E1210*100)+F1210</f>
        <v>260.5</v>
      </c>
      <c r="I1210" s="25">
        <v>450</v>
      </c>
      <c r="J1210" s="24">
        <f>(H1210*I1210)</f>
        <v>117225</v>
      </c>
      <c r="K1210" s="20"/>
      <c r="L1210" s="20"/>
      <c r="M1210" s="20"/>
      <c r="N1210" s="20"/>
      <c r="O1210" s="24"/>
      <c r="P1210" s="24"/>
      <c r="Q1210" s="25"/>
      <c r="R1210" s="24"/>
      <c r="S1210" s="20"/>
      <c r="T1210" s="27"/>
      <c r="U1210" s="20"/>
      <c r="V1210" s="20"/>
      <c r="W1210" s="26"/>
      <c r="X1210" s="27"/>
      <c r="Y1210" s="20"/>
      <c r="Z1210" s="20"/>
    </row>
    <row r="1211" spans="1:26" s="29" customFormat="1" ht="90.75" customHeight="1" x14ac:dyDescent="0.25">
      <c r="A1211" s="20"/>
      <c r="B1211" s="20"/>
      <c r="C1211" s="20"/>
      <c r="D1211" s="21"/>
      <c r="E1211" s="21"/>
      <c r="F1211" s="22"/>
      <c r="G1211" s="23"/>
      <c r="H1211" s="24"/>
      <c r="I1211" s="25"/>
      <c r="J1211" s="24"/>
      <c r="K1211" s="37">
        <v>1</v>
      </c>
      <c r="L1211" s="31" t="s">
        <v>63</v>
      </c>
      <c r="M1211" s="32"/>
      <c r="N1211" s="33">
        <v>3</v>
      </c>
      <c r="O1211" s="88">
        <v>186</v>
      </c>
      <c r="P1211" s="35">
        <v>100</v>
      </c>
      <c r="Q1211" s="40">
        <v>5150</v>
      </c>
      <c r="R1211" s="36">
        <f>(O1211*Q1211)</f>
        <v>957900</v>
      </c>
      <c r="S1211" s="37">
        <v>4</v>
      </c>
      <c r="T1211" s="28">
        <f>(R1211*4/100)</f>
        <v>38316</v>
      </c>
      <c r="U1211" s="36">
        <f>(R1211-T1211)</f>
        <v>919584</v>
      </c>
      <c r="V1211" s="36"/>
      <c r="W1211" s="26"/>
      <c r="X1211" s="27"/>
      <c r="Y1211" s="20"/>
      <c r="Z1211" s="20"/>
    </row>
    <row r="1212" spans="1:26" s="29" customFormat="1" ht="90.75" customHeight="1" x14ac:dyDescent="0.25">
      <c r="A1212" s="20"/>
      <c r="B1212" s="20"/>
      <c r="C1212" s="20"/>
      <c r="D1212" s="21"/>
      <c r="E1212" s="21"/>
      <c r="F1212" s="22"/>
      <c r="G1212" s="23"/>
      <c r="H1212" s="24"/>
      <c r="I1212" s="25"/>
      <c r="J1212" s="24"/>
      <c r="K1212" s="37">
        <v>2</v>
      </c>
      <c r="L1212" s="31" t="s">
        <v>43</v>
      </c>
      <c r="M1212" s="32" t="s">
        <v>13</v>
      </c>
      <c r="N1212" s="33">
        <v>3</v>
      </c>
      <c r="O1212" s="88">
        <v>52</v>
      </c>
      <c r="P1212" s="35">
        <v>100</v>
      </c>
      <c r="Q1212" s="40">
        <v>7700</v>
      </c>
      <c r="R1212" s="36">
        <f>(O1212*Q1212)</f>
        <v>400400</v>
      </c>
      <c r="S1212" s="37">
        <v>4</v>
      </c>
      <c r="T1212" s="28">
        <f>(R1212*4/100)</f>
        <v>16016</v>
      </c>
      <c r="U1212" s="36">
        <f>(R1212-T1212)</f>
        <v>384384</v>
      </c>
      <c r="V1212" s="36"/>
      <c r="W1212" s="26"/>
      <c r="X1212" s="27"/>
      <c r="Y1212" s="20"/>
      <c r="Z1212" s="20"/>
    </row>
    <row r="1213" spans="1:26" s="29" customFormat="1" ht="90.75" customHeight="1" x14ac:dyDescent="0.25">
      <c r="A1213" s="20"/>
      <c r="B1213" s="20"/>
      <c r="C1213" s="20"/>
      <c r="D1213" s="21"/>
      <c r="E1213" s="21"/>
      <c r="F1213" s="22"/>
      <c r="G1213" s="23"/>
      <c r="H1213" s="24"/>
      <c r="I1213" s="25"/>
      <c r="J1213" s="24"/>
      <c r="K1213" s="37">
        <v>3</v>
      </c>
      <c r="L1213" s="31" t="s">
        <v>17</v>
      </c>
      <c r="M1213" s="32" t="s">
        <v>13</v>
      </c>
      <c r="N1213" s="33">
        <v>3</v>
      </c>
      <c r="O1213" s="88">
        <v>62</v>
      </c>
      <c r="P1213" s="35">
        <v>100</v>
      </c>
      <c r="Q1213" s="40">
        <v>5900</v>
      </c>
      <c r="R1213" s="36">
        <f>(O1213*Q1213)</f>
        <v>365800</v>
      </c>
      <c r="S1213" s="37">
        <v>4</v>
      </c>
      <c r="T1213" s="28">
        <f>(R1213*4/100)</f>
        <v>14632</v>
      </c>
      <c r="U1213" s="36">
        <f>(R1213-T1213)</f>
        <v>351168</v>
      </c>
      <c r="V1213" s="36"/>
      <c r="W1213" s="26"/>
      <c r="X1213" s="27"/>
      <c r="Y1213" s="20"/>
      <c r="Z1213" s="20"/>
    </row>
    <row r="1214" spans="1:26" s="29" customFormat="1" ht="90.75" customHeight="1" x14ac:dyDescent="0.25">
      <c r="A1214" s="20"/>
      <c r="B1214" s="20"/>
      <c r="C1214" s="20"/>
      <c r="D1214" s="21"/>
      <c r="E1214" s="21"/>
      <c r="F1214" s="22"/>
      <c r="G1214" s="23"/>
      <c r="H1214" s="24"/>
      <c r="I1214" s="25"/>
      <c r="J1214" s="24"/>
      <c r="K1214" s="20"/>
      <c r="L1214" s="20"/>
      <c r="M1214" s="20"/>
      <c r="N1214" s="20"/>
      <c r="O1214" s="24"/>
      <c r="P1214" s="24"/>
      <c r="Q1214" s="25"/>
      <c r="R1214" s="24"/>
      <c r="S1214" s="20"/>
      <c r="T1214" s="27"/>
      <c r="U1214" s="78">
        <f>SUM(U1211:U1213)</f>
        <v>1655136</v>
      </c>
      <c r="V1214" s="27">
        <f>(J1210+U1214)</f>
        <v>1772361</v>
      </c>
      <c r="W1214" s="26">
        <f t="shared" ref="W1214:W1240" si="177">(V1214*100/100)</f>
        <v>1772361</v>
      </c>
      <c r="X1214" s="27">
        <v>0</v>
      </c>
      <c r="Y1214" s="48">
        <f t="shared" ref="Y1214:Y1240" si="178">(W1214-X1214)</f>
        <v>1772361</v>
      </c>
      <c r="Z1214" s="49">
        <v>3.0000000000000001E-3</v>
      </c>
    </row>
    <row r="1215" spans="1:26" s="29" customFormat="1" ht="90.75" customHeight="1" x14ac:dyDescent="0.25">
      <c r="A1215" s="20">
        <v>847</v>
      </c>
      <c r="B1215" s="20" t="s">
        <v>0</v>
      </c>
      <c r="C1215" s="20">
        <v>12626</v>
      </c>
      <c r="D1215" s="21">
        <v>24</v>
      </c>
      <c r="E1215" s="21">
        <v>1</v>
      </c>
      <c r="F1215" s="22">
        <v>36</v>
      </c>
      <c r="G1215" s="23" t="s">
        <v>198</v>
      </c>
      <c r="H1215" s="24">
        <f t="shared" ref="H1215:H1241" si="179">(D1215*400)+(E1215*100)+F1215</f>
        <v>9736</v>
      </c>
      <c r="I1215" s="25" t="s">
        <v>22</v>
      </c>
      <c r="J1215" s="24">
        <f t="shared" ref="J1215:J1241" si="180">(H1215*I1215)</f>
        <v>5111400</v>
      </c>
      <c r="K1215" s="20"/>
      <c r="L1215" s="20"/>
      <c r="M1215" s="20"/>
      <c r="N1215" s="20"/>
      <c r="O1215" s="24"/>
      <c r="P1215" s="24"/>
      <c r="Q1215" s="25"/>
      <c r="R1215" s="24"/>
      <c r="S1215" s="20"/>
      <c r="T1215" s="27"/>
      <c r="U1215" s="20"/>
      <c r="V1215" s="27">
        <f t="shared" ref="V1215:V1240" si="181">(J1215+U1215)</f>
        <v>5111400</v>
      </c>
      <c r="W1215" s="26">
        <f t="shared" si="177"/>
        <v>5111400</v>
      </c>
      <c r="X1215" s="27">
        <v>0</v>
      </c>
      <c r="Y1215" s="26">
        <f t="shared" si="178"/>
        <v>5111400</v>
      </c>
      <c r="Z1215" s="49">
        <v>1E-4</v>
      </c>
    </row>
    <row r="1216" spans="1:26" s="29" customFormat="1" ht="90.75" customHeight="1" x14ac:dyDescent="0.25">
      <c r="A1216" s="20">
        <v>848</v>
      </c>
      <c r="B1216" s="20" t="s">
        <v>0</v>
      </c>
      <c r="C1216" s="20">
        <v>12531</v>
      </c>
      <c r="D1216" s="21">
        <v>18</v>
      </c>
      <c r="E1216" s="21">
        <v>1</v>
      </c>
      <c r="F1216" s="22">
        <v>72</v>
      </c>
      <c r="G1216" s="23" t="s">
        <v>198</v>
      </c>
      <c r="H1216" s="24">
        <f t="shared" si="179"/>
        <v>7372</v>
      </c>
      <c r="I1216" s="25" t="s">
        <v>22</v>
      </c>
      <c r="J1216" s="24">
        <f t="shared" si="180"/>
        <v>3870300</v>
      </c>
      <c r="K1216" s="20"/>
      <c r="L1216" s="20"/>
      <c r="M1216" s="20"/>
      <c r="N1216" s="20"/>
      <c r="O1216" s="24"/>
      <c r="P1216" s="24"/>
      <c r="Q1216" s="25"/>
      <c r="R1216" s="24"/>
      <c r="S1216" s="20"/>
      <c r="T1216" s="27"/>
      <c r="U1216" s="20"/>
      <c r="V1216" s="27">
        <f t="shared" si="181"/>
        <v>3870300</v>
      </c>
      <c r="W1216" s="26">
        <f t="shared" si="177"/>
        <v>3870300</v>
      </c>
      <c r="X1216" s="27">
        <v>0</v>
      </c>
      <c r="Y1216" s="26">
        <f t="shared" si="178"/>
        <v>3870300</v>
      </c>
      <c r="Z1216" s="49">
        <v>1E-4</v>
      </c>
    </row>
    <row r="1217" spans="1:26" s="29" customFormat="1" ht="90.75" customHeight="1" x14ac:dyDescent="0.25">
      <c r="A1217" s="20">
        <v>849</v>
      </c>
      <c r="B1217" s="20" t="s">
        <v>0</v>
      </c>
      <c r="C1217" s="20">
        <v>12530</v>
      </c>
      <c r="D1217" s="21">
        <v>25</v>
      </c>
      <c r="E1217" s="21">
        <v>1</v>
      </c>
      <c r="F1217" s="22">
        <v>16</v>
      </c>
      <c r="G1217" s="23" t="s">
        <v>198</v>
      </c>
      <c r="H1217" s="24">
        <f t="shared" si="179"/>
        <v>10116</v>
      </c>
      <c r="I1217" s="25" t="s">
        <v>62</v>
      </c>
      <c r="J1217" s="24">
        <f t="shared" si="180"/>
        <v>5058000</v>
      </c>
      <c r="K1217" s="20"/>
      <c r="L1217" s="20"/>
      <c r="M1217" s="20"/>
      <c r="N1217" s="20"/>
      <c r="O1217" s="24"/>
      <c r="P1217" s="24"/>
      <c r="Q1217" s="25"/>
      <c r="R1217" s="24"/>
      <c r="S1217" s="20"/>
      <c r="T1217" s="27"/>
      <c r="U1217" s="20"/>
      <c r="V1217" s="27">
        <f t="shared" si="181"/>
        <v>5058000</v>
      </c>
      <c r="W1217" s="26">
        <f t="shared" si="177"/>
        <v>5058000</v>
      </c>
      <c r="X1217" s="27">
        <v>0</v>
      </c>
      <c r="Y1217" s="26">
        <f t="shared" si="178"/>
        <v>5058000</v>
      </c>
      <c r="Z1217" s="49">
        <v>1E-4</v>
      </c>
    </row>
    <row r="1218" spans="1:26" s="29" customFormat="1" ht="90.75" customHeight="1" x14ac:dyDescent="0.25">
      <c r="A1218" s="20">
        <v>850</v>
      </c>
      <c r="B1218" s="20" t="s">
        <v>0</v>
      </c>
      <c r="C1218" s="20">
        <v>12535</v>
      </c>
      <c r="D1218" s="21">
        <v>30</v>
      </c>
      <c r="E1218" s="21">
        <v>2</v>
      </c>
      <c r="F1218" s="22">
        <v>47</v>
      </c>
      <c r="G1218" s="23" t="s">
        <v>198</v>
      </c>
      <c r="H1218" s="24">
        <f t="shared" si="179"/>
        <v>12247</v>
      </c>
      <c r="I1218" s="25" t="s">
        <v>79</v>
      </c>
      <c r="J1218" s="24">
        <f t="shared" si="180"/>
        <v>7960550</v>
      </c>
      <c r="K1218" s="20"/>
      <c r="L1218" s="20"/>
      <c r="M1218" s="20"/>
      <c r="N1218" s="20"/>
      <c r="O1218" s="24"/>
      <c r="P1218" s="24"/>
      <c r="Q1218" s="25"/>
      <c r="R1218" s="24"/>
      <c r="S1218" s="20"/>
      <c r="T1218" s="27"/>
      <c r="U1218" s="20"/>
      <c r="V1218" s="27">
        <f t="shared" si="181"/>
        <v>7960550</v>
      </c>
      <c r="W1218" s="26">
        <f t="shared" si="177"/>
        <v>7960550</v>
      </c>
      <c r="X1218" s="27">
        <v>0</v>
      </c>
      <c r="Y1218" s="26">
        <f t="shared" si="178"/>
        <v>7960550</v>
      </c>
      <c r="Z1218" s="49">
        <v>1E-4</v>
      </c>
    </row>
    <row r="1219" spans="1:26" s="29" customFormat="1" ht="90.75" customHeight="1" x14ac:dyDescent="0.25">
      <c r="A1219" s="20">
        <v>851</v>
      </c>
      <c r="B1219" s="20" t="s">
        <v>0</v>
      </c>
      <c r="C1219" s="20">
        <v>12536</v>
      </c>
      <c r="D1219" s="21">
        <v>18</v>
      </c>
      <c r="E1219" s="21">
        <v>0</v>
      </c>
      <c r="F1219" s="22">
        <v>24</v>
      </c>
      <c r="G1219" s="23" t="s">
        <v>198</v>
      </c>
      <c r="H1219" s="24">
        <f t="shared" si="179"/>
        <v>7224</v>
      </c>
      <c r="I1219" s="25" t="s">
        <v>87</v>
      </c>
      <c r="J1219" s="24">
        <f t="shared" si="180"/>
        <v>5959800</v>
      </c>
      <c r="K1219" s="20"/>
      <c r="L1219" s="20"/>
      <c r="M1219" s="20"/>
      <c r="N1219" s="20"/>
      <c r="O1219" s="24"/>
      <c r="P1219" s="24"/>
      <c r="Q1219" s="25"/>
      <c r="R1219" s="24"/>
      <c r="S1219" s="20"/>
      <c r="T1219" s="27"/>
      <c r="U1219" s="20"/>
      <c r="V1219" s="27">
        <f t="shared" si="181"/>
        <v>5959800</v>
      </c>
      <c r="W1219" s="26">
        <f t="shared" si="177"/>
        <v>5959800</v>
      </c>
      <c r="X1219" s="27">
        <v>0</v>
      </c>
      <c r="Y1219" s="26">
        <f t="shared" si="178"/>
        <v>5959800</v>
      </c>
      <c r="Z1219" s="49">
        <v>1E-4</v>
      </c>
    </row>
    <row r="1220" spans="1:26" s="29" customFormat="1" ht="90.75" customHeight="1" x14ac:dyDescent="0.25">
      <c r="A1220" s="20">
        <v>852</v>
      </c>
      <c r="B1220" s="20" t="s">
        <v>0</v>
      </c>
      <c r="C1220" s="20">
        <v>12537</v>
      </c>
      <c r="D1220" s="21">
        <v>27</v>
      </c>
      <c r="E1220" s="21">
        <v>2</v>
      </c>
      <c r="F1220" s="22">
        <v>32</v>
      </c>
      <c r="G1220" s="23" t="s">
        <v>198</v>
      </c>
      <c r="H1220" s="24">
        <f t="shared" si="179"/>
        <v>11032</v>
      </c>
      <c r="I1220" s="25" t="s">
        <v>77</v>
      </c>
      <c r="J1220" s="24">
        <f t="shared" si="180"/>
        <v>8274000</v>
      </c>
      <c r="K1220" s="20"/>
      <c r="L1220" s="20"/>
      <c r="M1220" s="20"/>
      <c r="N1220" s="20"/>
      <c r="O1220" s="24"/>
      <c r="P1220" s="24"/>
      <c r="Q1220" s="25"/>
      <c r="R1220" s="24"/>
      <c r="S1220" s="20"/>
      <c r="T1220" s="27"/>
      <c r="U1220" s="20"/>
      <c r="V1220" s="27">
        <f t="shared" si="181"/>
        <v>8274000</v>
      </c>
      <c r="W1220" s="26">
        <f t="shared" si="177"/>
        <v>8274000</v>
      </c>
      <c r="X1220" s="27">
        <v>0</v>
      </c>
      <c r="Y1220" s="26">
        <f t="shared" si="178"/>
        <v>8274000</v>
      </c>
      <c r="Z1220" s="49">
        <v>1E-4</v>
      </c>
    </row>
    <row r="1221" spans="1:26" s="29" customFormat="1" ht="90.75" customHeight="1" x14ac:dyDescent="0.25">
      <c r="A1221" s="20">
        <v>853</v>
      </c>
      <c r="B1221" s="20" t="s">
        <v>0</v>
      </c>
      <c r="C1221" s="20">
        <v>12573</v>
      </c>
      <c r="D1221" s="21">
        <v>16</v>
      </c>
      <c r="E1221" s="21">
        <v>2</v>
      </c>
      <c r="F1221" s="22">
        <v>17</v>
      </c>
      <c r="G1221" s="23" t="s">
        <v>198</v>
      </c>
      <c r="H1221" s="24">
        <f t="shared" si="179"/>
        <v>6617</v>
      </c>
      <c r="I1221" s="25" t="s">
        <v>22</v>
      </c>
      <c r="J1221" s="24">
        <f t="shared" si="180"/>
        <v>3473925</v>
      </c>
      <c r="K1221" s="20"/>
      <c r="L1221" s="20"/>
      <c r="M1221" s="20"/>
      <c r="N1221" s="20"/>
      <c r="O1221" s="24"/>
      <c r="P1221" s="24"/>
      <c r="Q1221" s="25"/>
      <c r="R1221" s="24"/>
      <c r="S1221" s="20"/>
      <c r="T1221" s="27"/>
      <c r="U1221" s="20"/>
      <c r="V1221" s="27">
        <f t="shared" si="181"/>
        <v>3473925</v>
      </c>
      <c r="W1221" s="26">
        <f t="shared" si="177"/>
        <v>3473925</v>
      </c>
      <c r="X1221" s="27">
        <v>0</v>
      </c>
      <c r="Y1221" s="26">
        <f t="shared" si="178"/>
        <v>3473925</v>
      </c>
      <c r="Z1221" s="49">
        <v>1E-4</v>
      </c>
    </row>
    <row r="1222" spans="1:26" s="29" customFormat="1" ht="90.75" customHeight="1" x14ac:dyDescent="0.25">
      <c r="A1222" s="20">
        <v>854</v>
      </c>
      <c r="B1222" s="20" t="s">
        <v>0</v>
      </c>
      <c r="C1222" s="20">
        <v>12538</v>
      </c>
      <c r="D1222" s="21">
        <v>49</v>
      </c>
      <c r="E1222" s="21">
        <v>0</v>
      </c>
      <c r="F1222" s="22">
        <v>9</v>
      </c>
      <c r="G1222" s="23" t="s">
        <v>198</v>
      </c>
      <c r="H1222" s="24">
        <f t="shared" si="179"/>
        <v>19609</v>
      </c>
      <c r="I1222" s="25" t="s">
        <v>22</v>
      </c>
      <c r="J1222" s="24">
        <f t="shared" si="180"/>
        <v>10294725</v>
      </c>
      <c r="K1222" s="20"/>
      <c r="L1222" s="20"/>
      <c r="M1222" s="20"/>
      <c r="N1222" s="20"/>
      <c r="O1222" s="24"/>
      <c r="P1222" s="24"/>
      <c r="Q1222" s="25"/>
      <c r="R1222" s="24"/>
      <c r="S1222" s="20" t="s">
        <v>2</v>
      </c>
      <c r="T1222" s="27"/>
      <c r="U1222" s="20"/>
      <c r="V1222" s="27">
        <f t="shared" si="181"/>
        <v>10294725</v>
      </c>
      <c r="W1222" s="26">
        <f t="shared" si="177"/>
        <v>10294725</v>
      </c>
      <c r="X1222" s="27">
        <v>0</v>
      </c>
      <c r="Y1222" s="26">
        <f t="shared" si="178"/>
        <v>10294725</v>
      </c>
      <c r="Z1222" s="49">
        <v>1E-4</v>
      </c>
    </row>
    <row r="1223" spans="1:26" s="29" customFormat="1" ht="90.75" customHeight="1" x14ac:dyDescent="0.25">
      <c r="A1223" s="20">
        <v>855</v>
      </c>
      <c r="B1223" s="20" t="s">
        <v>0</v>
      </c>
      <c r="C1223" s="20">
        <v>12539</v>
      </c>
      <c r="D1223" s="21">
        <v>49</v>
      </c>
      <c r="E1223" s="21">
        <v>2</v>
      </c>
      <c r="F1223" s="22">
        <v>83</v>
      </c>
      <c r="G1223" s="23" t="s">
        <v>198</v>
      </c>
      <c r="H1223" s="24">
        <f t="shared" si="179"/>
        <v>19883</v>
      </c>
      <c r="I1223" s="25" t="s">
        <v>22</v>
      </c>
      <c r="J1223" s="24">
        <f t="shared" si="180"/>
        <v>10438575</v>
      </c>
      <c r="K1223" s="20"/>
      <c r="L1223" s="20"/>
      <c r="M1223" s="20"/>
      <c r="N1223" s="20"/>
      <c r="O1223" s="24"/>
      <c r="P1223" s="24"/>
      <c r="Q1223" s="25"/>
      <c r="R1223" s="24"/>
      <c r="S1223" s="20" t="s">
        <v>2</v>
      </c>
      <c r="T1223" s="27"/>
      <c r="U1223" s="20"/>
      <c r="V1223" s="27">
        <f t="shared" si="181"/>
        <v>10438575</v>
      </c>
      <c r="W1223" s="26">
        <f t="shared" si="177"/>
        <v>10438575</v>
      </c>
      <c r="X1223" s="27">
        <v>0</v>
      </c>
      <c r="Y1223" s="26">
        <f t="shared" si="178"/>
        <v>10438575</v>
      </c>
      <c r="Z1223" s="49">
        <v>1E-4</v>
      </c>
    </row>
    <row r="1224" spans="1:26" s="29" customFormat="1" ht="90.75" customHeight="1" x14ac:dyDescent="0.25">
      <c r="A1224" s="20">
        <v>856</v>
      </c>
      <c r="B1224" s="20" t="s">
        <v>0</v>
      </c>
      <c r="C1224" s="20">
        <v>12540</v>
      </c>
      <c r="D1224" s="21">
        <v>47</v>
      </c>
      <c r="E1224" s="21">
        <v>2</v>
      </c>
      <c r="F1224" s="22">
        <v>66</v>
      </c>
      <c r="G1224" s="23" t="s">
        <v>198</v>
      </c>
      <c r="H1224" s="24">
        <f t="shared" si="179"/>
        <v>19066</v>
      </c>
      <c r="I1224" s="25" t="s">
        <v>22</v>
      </c>
      <c r="J1224" s="24">
        <f t="shared" si="180"/>
        <v>10009650</v>
      </c>
      <c r="K1224" s="20"/>
      <c r="L1224" s="20"/>
      <c r="M1224" s="20"/>
      <c r="N1224" s="20"/>
      <c r="O1224" s="24"/>
      <c r="P1224" s="24"/>
      <c r="Q1224" s="25"/>
      <c r="R1224" s="24"/>
      <c r="S1224" s="20" t="s">
        <v>2</v>
      </c>
      <c r="T1224" s="27"/>
      <c r="U1224" s="20"/>
      <c r="V1224" s="27">
        <f t="shared" si="181"/>
        <v>10009650</v>
      </c>
      <c r="W1224" s="26">
        <f t="shared" si="177"/>
        <v>10009650</v>
      </c>
      <c r="X1224" s="27">
        <v>0</v>
      </c>
      <c r="Y1224" s="26">
        <f t="shared" si="178"/>
        <v>10009650</v>
      </c>
      <c r="Z1224" s="49">
        <v>1E-4</v>
      </c>
    </row>
    <row r="1225" spans="1:26" s="29" customFormat="1" ht="90.75" customHeight="1" x14ac:dyDescent="0.25">
      <c r="A1225" s="20">
        <v>857</v>
      </c>
      <c r="B1225" s="20" t="s">
        <v>0</v>
      </c>
      <c r="C1225" s="20">
        <v>12541</v>
      </c>
      <c r="D1225" s="21">
        <v>44</v>
      </c>
      <c r="E1225" s="21">
        <v>2</v>
      </c>
      <c r="F1225" s="22">
        <v>85</v>
      </c>
      <c r="G1225" s="23" t="s">
        <v>198</v>
      </c>
      <c r="H1225" s="24">
        <f t="shared" si="179"/>
        <v>17885</v>
      </c>
      <c r="I1225" s="25" t="s">
        <v>22</v>
      </c>
      <c r="J1225" s="24">
        <f t="shared" si="180"/>
        <v>9389625</v>
      </c>
      <c r="K1225" s="20"/>
      <c r="L1225" s="20"/>
      <c r="M1225" s="20"/>
      <c r="N1225" s="20"/>
      <c r="O1225" s="24"/>
      <c r="P1225" s="24"/>
      <c r="Q1225" s="25"/>
      <c r="R1225" s="24"/>
      <c r="S1225" s="20" t="s">
        <v>2</v>
      </c>
      <c r="T1225" s="27"/>
      <c r="U1225" s="20"/>
      <c r="V1225" s="27">
        <f t="shared" si="181"/>
        <v>9389625</v>
      </c>
      <c r="W1225" s="26">
        <f t="shared" si="177"/>
        <v>9389625</v>
      </c>
      <c r="X1225" s="27">
        <v>0</v>
      </c>
      <c r="Y1225" s="26">
        <f t="shared" si="178"/>
        <v>9389625</v>
      </c>
      <c r="Z1225" s="49">
        <v>1E-4</v>
      </c>
    </row>
    <row r="1226" spans="1:26" s="29" customFormat="1" ht="90.75" customHeight="1" x14ac:dyDescent="0.25">
      <c r="A1226" s="20">
        <v>858</v>
      </c>
      <c r="B1226" s="20" t="s">
        <v>0</v>
      </c>
      <c r="C1226" s="20">
        <v>12542</v>
      </c>
      <c r="D1226" s="21">
        <v>48</v>
      </c>
      <c r="E1226" s="21">
        <v>2</v>
      </c>
      <c r="F1226" s="22">
        <v>20</v>
      </c>
      <c r="G1226" s="23" t="s">
        <v>198</v>
      </c>
      <c r="H1226" s="24">
        <f t="shared" si="179"/>
        <v>19420</v>
      </c>
      <c r="I1226" s="25" t="s">
        <v>22</v>
      </c>
      <c r="J1226" s="24">
        <f t="shared" si="180"/>
        <v>10195500</v>
      </c>
      <c r="K1226" s="20"/>
      <c r="L1226" s="20"/>
      <c r="M1226" s="20"/>
      <c r="N1226" s="20"/>
      <c r="O1226" s="24"/>
      <c r="P1226" s="24"/>
      <c r="Q1226" s="25"/>
      <c r="R1226" s="24"/>
      <c r="S1226" s="20" t="s">
        <v>2</v>
      </c>
      <c r="T1226" s="27"/>
      <c r="U1226" s="20"/>
      <c r="V1226" s="27">
        <f t="shared" si="181"/>
        <v>10195500</v>
      </c>
      <c r="W1226" s="26">
        <f t="shared" si="177"/>
        <v>10195500</v>
      </c>
      <c r="X1226" s="27">
        <v>0</v>
      </c>
      <c r="Y1226" s="26">
        <f t="shared" si="178"/>
        <v>10195500</v>
      </c>
      <c r="Z1226" s="49">
        <v>1E-4</v>
      </c>
    </row>
    <row r="1227" spans="1:26" s="29" customFormat="1" ht="90.75" customHeight="1" x14ac:dyDescent="0.25">
      <c r="A1227" s="20">
        <v>859</v>
      </c>
      <c r="B1227" s="20" t="s">
        <v>0</v>
      </c>
      <c r="C1227" s="20">
        <v>12543</v>
      </c>
      <c r="D1227" s="21">
        <v>50</v>
      </c>
      <c r="E1227" s="21">
        <v>1</v>
      </c>
      <c r="F1227" s="22">
        <v>97</v>
      </c>
      <c r="G1227" s="23" t="s">
        <v>198</v>
      </c>
      <c r="H1227" s="24">
        <f t="shared" si="179"/>
        <v>20197</v>
      </c>
      <c r="I1227" s="25" t="s">
        <v>22</v>
      </c>
      <c r="J1227" s="24">
        <f t="shared" si="180"/>
        <v>10603425</v>
      </c>
      <c r="K1227" s="20"/>
      <c r="L1227" s="20"/>
      <c r="M1227" s="20"/>
      <c r="N1227" s="20"/>
      <c r="O1227" s="24"/>
      <c r="P1227" s="24"/>
      <c r="Q1227" s="25"/>
      <c r="R1227" s="24"/>
      <c r="S1227" s="20" t="s">
        <v>2</v>
      </c>
      <c r="T1227" s="27"/>
      <c r="U1227" s="20"/>
      <c r="V1227" s="27">
        <f t="shared" si="181"/>
        <v>10603425</v>
      </c>
      <c r="W1227" s="26">
        <f t="shared" si="177"/>
        <v>10603425</v>
      </c>
      <c r="X1227" s="27">
        <v>0</v>
      </c>
      <c r="Y1227" s="26">
        <f t="shared" si="178"/>
        <v>10603425</v>
      </c>
      <c r="Z1227" s="49">
        <v>1E-4</v>
      </c>
    </row>
    <row r="1228" spans="1:26" s="29" customFormat="1" ht="90.75" customHeight="1" x14ac:dyDescent="0.25">
      <c r="A1228" s="20">
        <v>860</v>
      </c>
      <c r="B1228" s="20" t="s">
        <v>0</v>
      </c>
      <c r="C1228" s="20">
        <v>12544</v>
      </c>
      <c r="D1228" s="21">
        <v>47</v>
      </c>
      <c r="E1228" s="21">
        <v>2</v>
      </c>
      <c r="F1228" s="22">
        <v>90</v>
      </c>
      <c r="G1228" s="23" t="s">
        <v>198</v>
      </c>
      <c r="H1228" s="24">
        <f t="shared" si="179"/>
        <v>19090</v>
      </c>
      <c r="I1228" s="25" t="s">
        <v>22</v>
      </c>
      <c r="J1228" s="24">
        <f t="shared" si="180"/>
        <v>10022250</v>
      </c>
      <c r="K1228" s="20"/>
      <c r="L1228" s="20"/>
      <c r="M1228" s="20"/>
      <c r="N1228" s="20"/>
      <c r="O1228" s="24"/>
      <c r="P1228" s="24"/>
      <c r="Q1228" s="25"/>
      <c r="R1228" s="24"/>
      <c r="S1228" s="20" t="s">
        <v>2</v>
      </c>
      <c r="T1228" s="27"/>
      <c r="U1228" s="20"/>
      <c r="V1228" s="27">
        <f t="shared" si="181"/>
        <v>10022250</v>
      </c>
      <c r="W1228" s="26">
        <f t="shared" si="177"/>
        <v>10022250</v>
      </c>
      <c r="X1228" s="27">
        <v>0</v>
      </c>
      <c r="Y1228" s="26">
        <f t="shared" si="178"/>
        <v>10022250</v>
      </c>
      <c r="Z1228" s="49">
        <v>1E-4</v>
      </c>
    </row>
    <row r="1229" spans="1:26" s="29" customFormat="1" ht="90.75" customHeight="1" x14ac:dyDescent="0.25">
      <c r="A1229" s="20">
        <v>861</v>
      </c>
      <c r="B1229" s="20" t="s">
        <v>0</v>
      </c>
      <c r="C1229" s="20">
        <v>12545</v>
      </c>
      <c r="D1229" s="21">
        <v>48</v>
      </c>
      <c r="E1229" s="21">
        <v>2</v>
      </c>
      <c r="F1229" s="22">
        <v>98</v>
      </c>
      <c r="G1229" s="23" t="s">
        <v>198</v>
      </c>
      <c r="H1229" s="24">
        <f t="shared" si="179"/>
        <v>19498</v>
      </c>
      <c r="I1229" s="25" t="s">
        <v>22</v>
      </c>
      <c r="J1229" s="24">
        <f t="shared" si="180"/>
        <v>10236450</v>
      </c>
      <c r="K1229" s="20"/>
      <c r="L1229" s="20"/>
      <c r="M1229" s="20"/>
      <c r="N1229" s="20"/>
      <c r="O1229" s="24"/>
      <c r="P1229" s="24"/>
      <c r="Q1229" s="25"/>
      <c r="R1229" s="24"/>
      <c r="S1229" s="20" t="s">
        <v>2</v>
      </c>
      <c r="T1229" s="27"/>
      <c r="U1229" s="20"/>
      <c r="V1229" s="27">
        <f t="shared" si="181"/>
        <v>10236450</v>
      </c>
      <c r="W1229" s="26">
        <f t="shared" si="177"/>
        <v>10236450</v>
      </c>
      <c r="X1229" s="27">
        <v>0</v>
      </c>
      <c r="Y1229" s="26">
        <f t="shared" si="178"/>
        <v>10236450</v>
      </c>
      <c r="Z1229" s="49">
        <v>1E-4</v>
      </c>
    </row>
    <row r="1230" spans="1:26" s="29" customFormat="1" ht="90.75" customHeight="1" x14ac:dyDescent="0.25">
      <c r="A1230" s="20">
        <v>862</v>
      </c>
      <c r="B1230" s="20" t="s">
        <v>0</v>
      </c>
      <c r="C1230" s="20">
        <v>12546</v>
      </c>
      <c r="D1230" s="21">
        <v>44</v>
      </c>
      <c r="E1230" s="21">
        <v>1</v>
      </c>
      <c r="F1230" s="22">
        <v>3</v>
      </c>
      <c r="G1230" s="23" t="s">
        <v>198</v>
      </c>
      <c r="H1230" s="24">
        <f t="shared" si="179"/>
        <v>17703</v>
      </c>
      <c r="I1230" s="25" t="s">
        <v>22</v>
      </c>
      <c r="J1230" s="24">
        <f t="shared" si="180"/>
        <v>9294075</v>
      </c>
      <c r="K1230" s="20"/>
      <c r="L1230" s="20"/>
      <c r="M1230" s="20"/>
      <c r="N1230" s="20"/>
      <c r="O1230" s="24"/>
      <c r="P1230" s="24"/>
      <c r="Q1230" s="25"/>
      <c r="R1230" s="24"/>
      <c r="S1230" s="20" t="s">
        <v>2</v>
      </c>
      <c r="T1230" s="27"/>
      <c r="U1230" s="20"/>
      <c r="V1230" s="27">
        <f t="shared" si="181"/>
        <v>9294075</v>
      </c>
      <c r="W1230" s="26">
        <f t="shared" si="177"/>
        <v>9294075</v>
      </c>
      <c r="X1230" s="27">
        <v>0</v>
      </c>
      <c r="Y1230" s="26">
        <f t="shared" si="178"/>
        <v>9294075</v>
      </c>
      <c r="Z1230" s="49">
        <v>1E-4</v>
      </c>
    </row>
    <row r="1231" spans="1:26" s="29" customFormat="1" ht="90.75" customHeight="1" x14ac:dyDescent="0.25">
      <c r="A1231" s="20">
        <v>863</v>
      </c>
      <c r="B1231" s="20" t="s">
        <v>0</v>
      </c>
      <c r="C1231" s="20">
        <v>12547</v>
      </c>
      <c r="D1231" s="21">
        <v>45</v>
      </c>
      <c r="E1231" s="21">
        <v>3</v>
      </c>
      <c r="F1231" s="22">
        <v>18</v>
      </c>
      <c r="G1231" s="23" t="s">
        <v>198</v>
      </c>
      <c r="H1231" s="24">
        <f t="shared" si="179"/>
        <v>18318</v>
      </c>
      <c r="I1231" s="25" t="s">
        <v>22</v>
      </c>
      <c r="J1231" s="24">
        <f t="shared" si="180"/>
        <v>9616950</v>
      </c>
      <c r="K1231" s="20"/>
      <c r="L1231" s="20"/>
      <c r="M1231" s="20"/>
      <c r="N1231" s="20"/>
      <c r="O1231" s="24"/>
      <c r="P1231" s="24"/>
      <c r="Q1231" s="25"/>
      <c r="R1231" s="24"/>
      <c r="S1231" s="20" t="s">
        <v>2</v>
      </c>
      <c r="T1231" s="27"/>
      <c r="U1231" s="20"/>
      <c r="V1231" s="27">
        <f t="shared" si="181"/>
        <v>9616950</v>
      </c>
      <c r="W1231" s="26">
        <f t="shared" si="177"/>
        <v>9616950</v>
      </c>
      <c r="X1231" s="27">
        <v>0</v>
      </c>
      <c r="Y1231" s="26">
        <f t="shared" si="178"/>
        <v>9616950</v>
      </c>
      <c r="Z1231" s="49">
        <v>1E-4</v>
      </c>
    </row>
    <row r="1232" spans="1:26" s="29" customFormat="1" ht="90.75" customHeight="1" x14ac:dyDescent="0.25">
      <c r="A1232" s="20">
        <v>864</v>
      </c>
      <c r="B1232" s="20" t="s">
        <v>0</v>
      </c>
      <c r="C1232" s="20">
        <v>11316</v>
      </c>
      <c r="D1232" s="21">
        <v>45</v>
      </c>
      <c r="E1232" s="21">
        <v>1</v>
      </c>
      <c r="F1232" s="22">
        <v>83</v>
      </c>
      <c r="G1232" s="23" t="s">
        <v>198</v>
      </c>
      <c r="H1232" s="24">
        <f t="shared" si="179"/>
        <v>18183</v>
      </c>
      <c r="I1232" s="25" t="s">
        <v>22</v>
      </c>
      <c r="J1232" s="24">
        <f t="shared" si="180"/>
        <v>9546075</v>
      </c>
      <c r="K1232" s="20"/>
      <c r="L1232" s="20"/>
      <c r="M1232" s="20"/>
      <c r="N1232" s="20"/>
      <c r="O1232" s="24"/>
      <c r="P1232" s="24"/>
      <c r="Q1232" s="25"/>
      <c r="R1232" s="24"/>
      <c r="S1232" s="20" t="s">
        <v>2</v>
      </c>
      <c r="T1232" s="27"/>
      <c r="U1232" s="20"/>
      <c r="V1232" s="27">
        <f t="shared" si="181"/>
        <v>9546075</v>
      </c>
      <c r="W1232" s="26">
        <f t="shared" si="177"/>
        <v>9546075</v>
      </c>
      <c r="X1232" s="27">
        <v>0</v>
      </c>
      <c r="Y1232" s="26">
        <f t="shared" si="178"/>
        <v>9546075</v>
      </c>
      <c r="Z1232" s="49">
        <v>1E-4</v>
      </c>
    </row>
    <row r="1233" spans="1:26" s="29" customFormat="1" ht="90.75" customHeight="1" x14ac:dyDescent="0.25">
      <c r="A1233" s="20">
        <v>865</v>
      </c>
      <c r="B1233" s="20" t="s">
        <v>0</v>
      </c>
      <c r="C1233" s="20">
        <v>11315</v>
      </c>
      <c r="D1233" s="21">
        <v>45</v>
      </c>
      <c r="E1233" s="21">
        <v>3</v>
      </c>
      <c r="F1233" s="22">
        <v>58</v>
      </c>
      <c r="G1233" s="23" t="s">
        <v>198</v>
      </c>
      <c r="H1233" s="24">
        <f t="shared" si="179"/>
        <v>18358</v>
      </c>
      <c r="I1233" s="25" t="s">
        <v>22</v>
      </c>
      <c r="J1233" s="24">
        <f t="shared" si="180"/>
        <v>9637950</v>
      </c>
      <c r="K1233" s="20"/>
      <c r="L1233" s="20"/>
      <c r="M1233" s="20"/>
      <c r="N1233" s="20"/>
      <c r="O1233" s="24"/>
      <c r="P1233" s="24"/>
      <c r="Q1233" s="25"/>
      <c r="R1233" s="24"/>
      <c r="S1233" s="20" t="s">
        <v>2</v>
      </c>
      <c r="T1233" s="27"/>
      <c r="U1233" s="20"/>
      <c r="V1233" s="27">
        <f t="shared" si="181"/>
        <v>9637950</v>
      </c>
      <c r="W1233" s="26">
        <f t="shared" si="177"/>
        <v>9637950</v>
      </c>
      <c r="X1233" s="27">
        <v>0</v>
      </c>
      <c r="Y1233" s="26">
        <f t="shared" si="178"/>
        <v>9637950</v>
      </c>
      <c r="Z1233" s="49">
        <v>1E-4</v>
      </c>
    </row>
    <row r="1234" spans="1:26" s="29" customFormat="1" ht="90.75" customHeight="1" x14ac:dyDescent="0.25">
      <c r="A1234" s="20">
        <v>866</v>
      </c>
      <c r="B1234" s="20" t="s">
        <v>0</v>
      </c>
      <c r="C1234" s="20">
        <v>11314</v>
      </c>
      <c r="D1234" s="21">
        <v>12</v>
      </c>
      <c r="E1234" s="21">
        <v>1</v>
      </c>
      <c r="F1234" s="22">
        <v>24</v>
      </c>
      <c r="G1234" s="23" t="s">
        <v>198</v>
      </c>
      <c r="H1234" s="24">
        <f t="shared" si="179"/>
        <v>4924</v>
      </c>
      <c r="I1234" s="25" t="s">
        <v>9</v>
      </c>
      <c r="J1234" s="24">
        <f t="shared" si="180"/>
        <v>1477200</v>
      </c>
      <c r="K1234" s="20"/>
      <c r="L1234" s="20"/>
      <c r="M1234" s="20"/>
      <c r="N1234" s="20"/>
      <c r="O1234" s="24"/>
      <c r="P1234" s="24"/>
      <c r="Q1234" s="25"/>
      <c r="R1234" s="24"/>
      <c r="S1234" s="20" t="s">
        <v>2</v>
      </c>
      <c r="T1234" s="27"/>
      <c r="U1234" s="20"/>
      <c r="V1234" s="27">
        <f t="shared" si="181"/>
        <v>1477200</v>
      </c>
      <c r="W1234" s="26">
        <f t="shared" si="177"/>
        <v>1477200</v>
      </c>
      <c r="X1234" s="27">
        <v>0</v>
      </c>
      <c r="Y1234" s="26">
        <f t="shared" si="178"/>
        <v>1477200</v>
      </c>
      <c r="Z1234" s="49">
        <v>1E-4</v>
      </c>
    </row>
    <row r="1235" spans="1:26" s="29" customFormat="1" ht="90.75" customHeight="1" x14ac:dyDescent="0.25">
      <c r="A1235" s="20">
        <v>867</v>
      </c>
      <c r="B1235" s="20" t="s">
        <v>0</v>
      </c>
      <c r="C1235" s="20">
        <v>11313</v>
      </c>
      <c r="D1235" s="21">
        <v>46</v>
      </c>
      <c r="E1235" s="21">
        <v>2</v>
      </c>
      <c r="F1235" s="22">
        <v>66</v>
      </c>
      <c r="G1235" s="23" t="s">
        <v>198</v>
      </c>
      <c r="H1235" s="24">
        <f t="shared" si="179"/>
        <v>18666</v>
      </c>
      <c r="I1235" s="25" t="s">
        <v>22</v>
      </c>
      <c r="J1235" s="24">
        <f t="shared" si="180"/>
        <v>9799650</v>
      </c>
      <c r="K1235" s="20"/>
      <c r="L1235" s="20"/>
      <c r="M1235" s="20"/>
      <c r="N1235" s="20"/>
      <c r="O1235" s="24"/>
      <c r="P1235" s="24"/>
      <c r="Q1235" s="25"/>
      <c r="R1235" s="24"/>
      <c r="S1235" s="20" t="s">
        <v>2</v>
      </c>
      <c r="T1235" s="27"/>
      <c r="U1235" s="20"/>
      <c r="V1235" s="27">
        <f t="shared" si="181"/>
        <v>9799650</v>
      </c>
      <c r="W1235" s="26">
        <f t="shared" si="177"/>
        <v>9799650</v>
      </c>
      <c r="X1235" s="27">
        <v>0</v>
      </c>
      <c r="Y1235" s="26">
        <f t="shared" si="178"/>
        <v>9799650</v>
      </c>
      <c r="Z1235" s="49">
        <v>1E-4</v>
      </c>
    </row>
    <row r="1236" spans="1:26" s="29" customFormat="1" ht="90.75" customHeight="1" x14ac:dyDescent="0.25">
      <c r="A1236" s="20">
        <v>868</v>
      </c>
      <c r="B1236" s="20" t="s">
        <v>0</v>
      </c>
      <c r="C1236" s="20">
        <v>11592</v>
      </c>
      <c r="D1236" s="21">
        <v>49</v>
      </c>
      <c r="E1236" s="21">
        <v>0</v>
      </c>
      <c r="F1236" s="22">
        <v>14</v>
      </c>
      <c r="G1236" s="23" t="s">
        <v>198</v>
      </c>
      <c r="H1236" s="24">
        <f t="shared" si="179"/>
        <v>19614</v>
      </c>
      <c r="I1236" s="25" t="s">
        <v>22</v>
      </c>
      <c r="J1236" s="24">
        <f t="shared" si="180"/>
        <v>10297350</v>
      </c>
      <c r="K1236" s="20"/>
      <c r="L1236" s="20"/>
      <c r="M1236" s="20"/>
      <c r="N1236" s="20"/>
      <c r="O1236" s="24"/>
      <c r="P1236" s="24"/>
      <c r="Q1236" s="25"/>
      <c r="R1236" s="24"/>
      <c r="S1236" s="20" t="s">
        <v>2</v>
      </c>
      <c r="T1236" s="27"/>
      <c r="U1236" s="20"/>
      <c r="V1236" s="27">
        <f t="shared" si="181"/>
        <v>10297350</v>
      </c>
      <c r="W1236" s="26">
        <f t="shared" si="177"/>
        <v>10297350</v>
      </c>
      <c r="X1236" s="27">
        <v>0</v>
      </c>
      <c r="Y1236" s="26">
        <f t="shared" si="178"/>
        <v>10297350</v>
      </c>
      <c r="Z1236" s="49">
        <v>1E-4</v>
      </c>
    </row>
    <row r="1237" spans="1:26" s="29" customFormat="1" ht="90.75" customHeight="1" x14ac:dyDescent="0.25">
      <c r="A1237" s="20">
        <v>869</v>
      </c>
      <c r="B1237" s="20" t="s">
        <v>0</v>
      </c>
      <c r="C1237" s="20">
        <v>11593</v>
      </c>
      <c r="D1237" s="21">
        <v>52</v>
      </c>
      <c r="E1237" s="21">
        <v>1</v>
      </c>
      <c r="F1237" s="22">
        <v>59</v>
      </c>
      <c r="G1237" s="23" t="s">
        <v>198</v>
      </c>
      <c r="H1237" s="24">
        <f t="shared" si="179"/>
        <v>20959</v>
      </c>
      <c r="I1237" s="25" t="s">
        <v>22</v>
      </c>
      <c r="J1237" s="24">
        <f t="shared" si="180"/>
        <v>11003475</v>
      </c>
      <c r="K1237" s="20"/>
      <c r="L1237" s="20"/>
      <c r="M1237" s="20"/>
      <c r="N1237" s="20"/>
      <c r="O1237" s="24"/>
      <c r="P1237" s="24"/>
      <c r="Q1237" s="25"/>
      <c r="R1237" s="24"/>
      <c r="S1237" s="20" t="s">
        <v>2</v>
      </c>
      <c r="T1237" s="27"/>
      <c r="U1237" s="20"/>
      <c r="V1237" s="27">
        <f t="shared" si="181"/>
        <v>11003475</v>
      </c>
      <c r="W1237" s="26">
        <f t="shared" si="177"/>
        <v>11003475</v>
      </c>
      <c r="X1237" s="27">
        <v>0</v>
      </c>
      <c r="Y1237" s="26">
        <f t="shared" si="178"/>
        <v>11003475</v>
      </c>
      <c r="Z1237" s="49">
        <v>1E-4</v>
      </c>
    </row>
    <row r="1238" spans="1:26" s="29" customFormat="1" ht="90.75" customHeight="1" x14ac:dyDescent="0.25">
      <c r="A1238" s="20">
        <v>870</v>
      </c>
      <c r="B1238" s="20" t="s">
        <v>0</v>
      </c>
      <c r="C1238" s="20">
        <v>11594</v>
      </c>
      <c r="D1238" s="21">
        <v>46</v>
      </c>
      <c r="E1238" s="21">
        <v>2</v>
      </c>
      <c r="F1238" s="22">
        <v>59</v>
      </c>
      <c r="G1238" s="23" t="s">
        <v>198</v>
      </c>
      <c r="H1238" s="24">
        <f t="shared" si="179"/>
        <v>18659</v>
      </c>
      <c r="I1238" s="25" t="s">
        <v>117</v>
      </c>
      <c r="J1238" s="24">
        <f t="shared" si="180"/>
        <v>17259575</v>
      </c>
      <c r="K1238" s="20"/>
      <c r="L1238" s="20"/>
      <c r="M1238" s="20"/>
      <c r="N1238" s="20"/>
      <c r="O1238" s="24"/>
      <c r="P1238" s="24"/>
      <c r="Q1238" s="25"/>
      <c r="R1238" s="24"/>
      <c r="S1238" s="20" t="s">
        <v>2</v>
      </c>
      <c r="T1238" s="27"/>
      <c r="U1238" s="20"/>
      <c r="V1238" s="27">
        <f t="shared" si="181"/>
        <v>17259575</v>
      </c>
      <c r="W1238" s="26">
        <f t="shared" si="177"/>
        <v>17259575</v>
      </c>
      <c r="X1238" s="27">
        <v>0</v>
      </c>
      <c r="Y1238" s="26">
        <f t="shared" si="178"/>
        <v>17259575</v>
      </c>
      <c r="Z1238" s="49">
        <v>1E-4</v>
      </c>
    </row>
    <row r="1239" spans="1:26" s="29" customFormat="1" ht="90.75" customHeight="1" x14ac:dyDescent="0.25">
      <c r="A1239" s="20">
        <v>871</v>
      </c>
      <c r="B1239" s="20" t="s">
        <v>0</v>
      </c>
      <c r="C1239" s="20">
        <v>12548</v>
      </c>
      <c r="D1239" s="21">
        <v>45</v>
      </c>
      <c r="E1239" s="21">
        <v>2</v>
      </c>
      <c r="F1239" s="22">
        <v>45</v>
      </c>
      <c r="G1239" s="23" t="s">
        <v>198</v>
      </c>
      <c r="H1239" s="24">
        <f t="shared" si="179"/>
        <v>18245</v>
      </c>
      <c r="I1239" s="25" t="s">
        <v>78</v>
      </c>
      <c r="J1239" s="24">
        <f t="shared" si="180"/>
        <v>15964375</v>
      </c>
      <c r="K1239" s="20"/>
      <c r="L1239" s="20"/>
      <c r="M1239" s="20"/>
      <c r="N1239" s="20"/>
      <c r="O1239" s="24"/>
      <c r="P1239" s="24"/>
      <c r="Q1239" s="25"/>
      <c r="R1239" s="24"/>
      <c r="S1239" s="20" t="s">
        <v>2</v>
      </c>
      <c r="T1239" s="27"/>
      <c r="U1239" s="20"/>
      <c r="V1239" s="27">
        <f t="shared" si="181"/>
        <v>15964375</v>
      </c>
      <c r="W1239" s="26">
        <f t="shared" si="177"/>
        <v>15964375</v>
      </c>
      <c r="X1239" s="27">
        <v>0</v>
      </c>
      <c r="Y1239" s="26">
        <f t="shared" si="178"/>
        <v>15964375</v>
      </c>
      <c r="Z1239" s="49">
        <v>1E-4</v>
      </c>
    </row>
    <row r="1240" spans="1:26" s="29" customFormat="1" ht="90.75" customHeight="1" x14ac:dyDescent="0.25">
      <c r="A1240" s="20">
        <v>872</v>
      </c>
      <c r="B1240" s="37" t="s">
        <v>213</v>
      </c>
      <c r="C1240" s="37">
        <v>2777</v>
      </c>
      <c r="D1240" s="37">
        <v>41</v>
      </c>
      <c r="E1240" s="37">
        <v>3</v>
      </c>
      <c r="F1240" s="37">
        <v>11</v>
      </c>
      <c r="G1240" s="23" t="s">
        <v>198</v>
      </c>
      <c r="H1240" s="24">
        <f t="shared" si="179"/>
        <v>16711</v>
      </c>
      <c r="I1240" s="40">
        <v>525</v>
      </c>
      <c r="J1240" s="24">
        <f t="shared" si="180"/>
        <v>8773275</v>
      </c>
      <c r="K1240" s="37"/>
      <c r="L1240" s="37"/>
      <c r="M1240" s="37"/>
      <c r="N1240" s="37"/>
      <c r="O1240" s="27"/>
      <c r="P1240" s="20"/>
      <c r="Q1240" s="64"/>
      <c r="R1240" s="20"/>
      <c r="S1240" s="37"/>
      <c r="T1240" s="65"/>
      <c r="U1240" s="37"/>
      <c r="V1240" s="27">
        <f t="shared" si="181"/>
        <v>8773275</v>
      </c>
      <c r="W1240" s="26">
        <f t="shared" si="177"/>
        <v>8773275</v>
      </c>
      <c r="X1240" s="27">
        <v>0</v>
      </c>
      <c r="Y1240" s="26">
        <f t="shared" si="178"/>
        <v>8773275</v>
      </c>
      <c r="Z1240" s="49">
        <v>1E-4</v>
      </c>
    </row>
    <row r="1241" spans="1:26" s="29" customFormat="1" ht="90.75" customHeight="1" x14ac:dyDescent="0.25">
      <c r="A1241" s="20">
        <v>873</v>
      </c>
      <c r="B1241" s="20" t="s">
        <v>0</v>
      </c>
      <c r="C1241" s="20">
        <v>47916</v>
      </c>
      <c r="D1241" s="21">
        <v>3</v>
      </c>
      <c r="E1241" s="21">
        <v>0</v>
      </c>
      <c r="F1241" s="22">
        <v>63</v>
      </c>
      <c r="G1241" s="21" t="s">
        <v>209</v>
      </c>
      <c r="H1241" s="24">
        <f t="shared" si="179"/>
        <v>1263</v>
      </c>
      <c r="I1241" s="25">
        <v>4500</v>
      </c>
      <c r="J1241" s="24">
        <f t="shared" si="180"/>
        <v>5683500</v>
      </c>
      <c r="K1241" s="37"/>
      <c r="L1241" s="20"/>
      <c r="M1241" s="20"/>
      <c r="N1241" s="62"/>
      <c r="O1241" s="24"/>
      <c r="P1241" s="35"/>
      <c r="Q1241" s="40"/>
      <c r="R1241" s="77"/>
      <c r="S1241" s="37"/>
      <c r="T1241" s="28"/>
      <c r="U1241" s="77"/>
      <c r="V1241" s="20"/>
      <c r="W1241" s="26"/>
      <c r="X1241" s="27"/>
      <c r="Y1241" s="20"/>
      <c r="Z1241" s="20"/>
    </row>
    <row r="1242" spans="1:26" s="29" customFormat="1" ht="90.75" customHeight="1" x14ac:dyDescent="0.25">
      <c r="A1242" s="20"/>
      <c r="B1242" s="20"/>
      <c r="C1242" s="20"/>
      <c r="D1242" s="21"/>
      <c r="E1242" s="21"/>
      <c r="F1242" s="22"/>
      <c r="G1242" s="23"/>
      <c r="H1242" s="24"/>
      <c r="I1242" s="25"/>
      <c r="J1242" s="24"/>
      <c r="K1242" s="37">
        <v>1</v>
      </c>
      <c r="L1242" s="20" t="s">
        <v>76</v>
      </c>
      <c r="M1242" s="20" t="s">
        <v>13</v>
      </c>
      <c r="N1242" s="62">
        <v>3</v>
      </c>
      <c r="O1242" s="24">
        <v>432</v>
      </c>
      <c r="P1242" s="35">
        <v>100</v>
      </c>
      <c r="Q1242" s="40">
        <v>9150</v>
      </c>
      <c r="R1242" s="77">
        <f>(O1242*Q1242)</f>
        <v>3952800</v>
      </c>
      <c r="S1242" s="37">
        <v>6</v>
      </c>
      <c r="T1242" s="28">
        <f>(R1242*6/100)</f>
        <v>237168</v>
      </c>
      <c r="U1242" s="77">
        <f>(R1242-T1242)</f>
        <v>3715632</v>
      </c>
      <c r="V1242" s="20"/>
      <c r="W1242" s="26"/>
      <c r="X1242" s="27"/>
      <c r="Y1242" s="20"/>
      <c r="Z1242" s="20"/>
    </row>
    <row r="1243" spans="1:26" s="29" customFormat="1" ht="90.75" customHeight="1" x14ac:dyDescent="0.25">
      <c r="A1243" s="20"/>
      <c r="B1243" s="20"/>
      <c r="C1243" s="20"/>
      <c r="D1243" s="21"/>
      <c r="E1243" s="21"/>
      <c r="F1243" s="22"/>
      <c r="G1243" s="23"/>
      <c r="H1243" s="24"/>
      <c r="I1243" s="25"/>
      <c r="J1243" s="24"/>
      <c r="K1243" s="37">
        <v>2</v>
      </c>
      <c r="L1243" s="20" t="s">
        <v>14</v>
      </c>
      <c r="M1243" s="20" t="s">
        <v>13</v>
      </c>
      <c r="N1243" s="62">
        <v>3</v>
      </c>
      <c r="O1243" s="24">
        <v>1512</v>
      </c>
      <c r="P1243" s="35">
        <v>100</v>
      </c>
      <c r="Q1243" s="40">
        <v>3500</v>
      </c>
      <c r="R1243" s="77">
        <f>(O1243*Q1243)</f>
        <v>5292000</v>
      </c>
      <c r="S1243" s="37">
        <v>6</v>
      </c>
      <c r="T1243" s="28">
        <f>(R1243*6/100)</f>
        <v>317520</v>
      </c>
      <c r="U1243" s="77">
        <f>(R1243-T1243)</f>
        <v>4974480</v>
      </c>
      <c r="V1243" s="20"/>
      <c r="W1243" s="26"/>
      <c r="X1243" s="27"/>
      <c r="Y1243" s="20"/>
      <c r="Z1243" s="20"/>
    </row>
    <row r="1244" spans="1:26" s="29" customFormat="1" ht="90.75" customHeight="1" x14ac:dyDescent="0.25">
      <c r="A1244" s="20"/>
      <c r="B1244" s="20"/>
      <c r="C1244" s="20"/>
      <c r="D1244" s="21"/>
      <c r="E1244" s="21"/>
      <c r="F1244" s="22"/>
      <c r="G1244" s="23"/>
      <c r="H1244" s="24"/>
      <c r="I1244" s="25"/>
      <c r="J1244" s="24"/>
      <c r="K1244" s="37">
        <v>3</v>
      </c>
      <c r="L1244" s="20" t="s">
        <v>17</v>
      </c>
      <c r="M1244" s="20"/>
      <c r="N1244" s="62">
        <v>3</v>
      </c>
      <c r="O1244" s="24">
        <v>125</v>
      </c>
      <c r="P1244" s="35">
        <v>100</v>
      </c>
      <c r="Q1244" s="40">
        <v>5900</v>
      </c>
      <c r="R1244" s="77">
        <f>(O1244*Q1244)</f>
        <v>737500</v>
      </c>
      <c r="S1244" s="37">
        <v>6</v>
      </c>
      <c r="T1244" s="28">
        <f>(R1244*6/100)</f>
        <v>44250</v>
      </c>
      <c r="U1244" s="77">
        <f>(R1244-T1244)</f>
        <v>693250</v>
      </c>
      <c r="V1244" s="20"/>
      <c r="W1244" s="26"/>
      <c r="X1244" s="27"/>
      <c r="Y1244" s="20"/>
      <c r="Z1244" s="20"/>
    </row>
    <row r="1245" spans="1:26" s="29" customFormat="1" ht="90.75" customHeight="1" x14ac:dyDescent="0.25">
      <c r="A1245" s="20"/>
      <c r="B1245" s="20"/>
      <c r="C1245" s="20"/>
      <c r="D1245" s="21"/>
      <c r="E1245" s="21"/>
      <c r="F1245" s="22"/>
      <c r="G1245" s="23"/>
      <c r="H1245" s="24"/>
      <c r="I1245" s="25"/>
      <c r="J1245" s="24"/>
      <c r="K1245" s="37">
        <v>4</v>
      </c>
      <c r="L1245" s="20" t="s">
        <v>215</v>
      </c>
      <c r="M1245" s="20" t="s">
        <v>13</v>
      </c>
      <c r="N1245" s="62">
        <v>3</v>
      </c>
      <c r="O1245" s="24">
        <v>4</v>
      </c>
      <c r="P1245" s="35">
        <v>100</v>
      </c>
      <c r="Q1245" s="40">
        <v>6450</v>
      </c>
      <c r="R1245" s="77">
        <f>(O1245*Q1245)</f>
        <v>25800</v>
      </c>
      <c r="S1245" s="37">
        <v>6</v>
      </c>
      <c r="T1245" s="28">
        <f>(R1245*6/100)</f>
        <v>1548</v>
      </c>
      <c r="U1245" s="77">
        <f>(R1245-T1245)</f>
        <v>24252</v>
      </c>
      <c r="V1245" s="20"/>
      <c r="W1245" s="26"/>
      <c r="X1245" s="27"/>
      <c r="Y1245" s="20"/>
      <c r="Z1245" s="20"/>
    </row>
    <row r="1246" spans="1:26" s="29" customFormat="1" ht="90.75" customHeight="1" x14ac:dyDescent="0.25">
      <c r="A1246" s="20"/>
      <c r="B1246" s="20"/>
      <c r="C1246" s="20"/>
      <c r="D1246" s="21"/>
      <c r="E1246" s="21"/>
      <c r="F1246" s="22"/>
      <c r="G1246" s="23"/>
      <c r="H1246" s="24"/>
      <c r="I1246" s="25"/>
      <c r="J1246" s="24"/>
      <c r="K1246" s="37"/>
      <c r="L1246" s="20"/>
      <c r="M1246" s="20"/>
      <c r="N1246" s="62"/>
      <c r="O1246" s="24"/>
      <c r="P1246" s="35"/>
      <c r="Q1246" s="40"/>
      <c r="R1246" s="77"/>
      <c r="S1246" s="37"/>
      <c r="T1246" s="28"/>
      <c r="U1246" s="77">
        <f>SUM(U1242:U1245)</f>
        <v>9407614</v>
      </c>
      <c r="V1246" s="27">
        <f>(J1241+U1246)</f>
        <v>15091114</v>
      </c>
      <c r="W1246" s="26">
        <f t="shared" ref="W1246:W1268" si="182">(V1246*100/100)</f>
        <v>15091114</v>
      </c>
      <c r="X1246" s="27">
        <v>0</v>
      </c>
      <c r="Y1246" s="26">
        <f t="shared" ref="Y1246:Y1268" si="183">(W1246-X1246)</f>
        <v>15091114</v>
      </c>
      <c r="Z1246" s="49">
        <v>3.0000000000000001E-3</v>
      </c>
    </row>
    <row r="1247" spans="1:26" s="29" customFormat="1" ht="90.75" customHeight="1" x14ac:dyDescent="0.25">
      <c r="A1247" s="20">
        <v>874</v>
      </c>
      <c r="B1247" s="20" t="s">
        <v>0</v>
      </c>
      <c r="C1247" s="20">
        <v>11298</v>
      </c>
      <c r="D1247" s="21">
        <v>15</v>
      </c>
      <c r="E1247" s="21">
        <v>2</v>
      </c>
      <c r="F1247" s="22">
        <v>49.1</v>
      </c>
      <c r="G1247" s="23" t="s">
        <v>198</v>
      </c>
      <c r="H1247" s="24">
        <f t="shared" ref="H1247:H1269" si="184">(D1247*400)+(E1247*100)+F1247</f>
        <v>6249.1</v>
      </c>
      <c r="I1247" s="25">
        <v>750</v>
      </c>
      <c r="J1247" s="24">
        <f t="shared" ref="J1247:J1269" si="185">(H1247*I1247)</f>
        <v>4686825</v>
      </c>
      <c r="K1247" s="20"/>
      <c r="L1247" s="20"/>
      <c r="M1247" s="20"/>
      <c r="N1247" s="20"/>
      <c r="O1247" s="24"/>
      <c r="P1247" s="24"/>
      <c r="Q1247" s="25"/>
      <c r="R1247" s="24"/>
      <c r="S1247" s="20" t="s">
        <v>2</v>
      </c>
      <c r="T1247" s="27"/>
      <c r="U1247" s="20"/>
      <c r="V1247" s="27">
        <f t="shared" ref="V1247:V1268" si="186">(J1247+U1247)</f>
        <v>4686825</v>
      </c>
      <c r="W1247" s="26">
        <f t="shared" si="182"/>
        <v>4686825</v>
      </c>
      <c r="X1247" s="27">
        <v>0</v>
      </c>
      <c r="Y1247" s="26">
        <f t="shared" si="183"/>
        <v>4686825</v>
      </c>
      <c r="Z1247" s="49">
        <v>1E-4</v>
      </c>
    </row>
    <row r="1248" spans="1:26" s="29" customFormat="1" ht="90.75" customHeight="1" x14ac:dyDescent="0.25">
      <c r="A1248" s="20">
        <v>875</v>
      </c>
      <c r="B1248" s="20" t="s">
        <v>0</v>
      </c>
      <c r="C1248" s="20">
        <v>11293</v>
      </c>
      <c r="D1248" s="21">
        <v>12</v>
      </c>
      <c r="E1248" s="21">
        <v>2</v>
      </c>
      <c r="F1248" s="22">
        <v>53</v>
      </c>
      <c r="G1248" s="23" t="s">
        <v>198</v>
      </c>
      <c r="H1248" s="24">
        <f t="shared" si="184"/>
        <v>5053</v>
      </c>
      <c r="I1248" s="25" t="s">
        <v>177</v>
      </c>
      <c r="J1248" s="24">
        <f t="shared" si="185"/>
        <v>1111660</v>
      </c>
      <c r="K1248" s="20"/>
      <c r="L1248" s="20"/>
      <c r="M1248" s="20"/>
      <c r="N1248" s="20"/>
      <c r="O1248" s="24"/>
      <c r="P1248" s="24"/>
      <c r="Q1248" s="25"/>
      <c r="R1248" s="24"/>
      <c r="S1248" s="20" t="s">
        <v>2</v>
      </c>
      <c r="T1248" s="27"/>
      <c r="U1248" s="20"/>
      <c r="V1248" s="27">
        <f t="shared" si="186"/>
        <v>1111660</v>
      </c>
      <c r="W1248" s="26">
        <f t="shared" si="182"/>
        <v>1111660</v>
      </c>
      <c r="X1248" s="27">
        <v>0</v>
      </c>
      <c r="Y1248" s="26">
        <f t="shared" si="183"/>
        <v>1111660</v>
      </c>
      <c r="Z1248" s="49">
        <v>1E-4</v>
      </c>
    </row>
    <row r="1249" spans="1:26" s="29" customFormat="1" ht="90.75" customHeight="1" x14ac:dyDescent="0.25">
      <c r="A1249" s="20">
        <v>876</v>
      </c>
      <c r="B1249" s="20" t="s">
        <v>0</v>
      </c>
      <c r="C1249" s="20">
        <v>11661</v>
      </c>
      <c r="D1249" s="21">
        <v>30</v>
      </c>
      <c r="E1249" s="21">
        <v>0</v>
      </c>
      <c r="F1249" s="22">
        <v>25</v>
      </c>
      <c r="G1249" s="23" t="s">
        <v>198</v>
      </c>
      <c r="H1249" s="24">
        <f t="shared" si="184"/>
        <v>12025</v>
      </c>
      <c r="I1249" s="25" t="s">
        <v>75</v>
      </c>
      <c r="J1249" s="24">
        <f t="shared" si="185"/>
        <v>7515625</v>
      </c>
      <c r="K1249" s="20"/>
      <c r="L1249" s="20"/>
      <c r="M1249" s="20"/>
      <c r="N1249" s="20"/>
      <c r="O1249" s="24"/>
      <c r="P1249" s="24"/>
      <c r="Q1249" s="25"/>
      <c r="R1249" s="24"/>
      <c r="S1249" s="20" t="s">
        <v>2</v>
      </c>
      <c r="T1249" s="27"/>
      <c r="U1249" s="20"/>
      <c r="V1249" s="27">
        <f t="shared" si="186"/>
        <v>7515625</v>
      </c>
      <c r="W1249" s="26">
        <f t="shared" si="182"/>
        <v>7515625</v>
      </c>
      <c r="X1249" s="27">
        <v>0</v>
      </c>
      <c r="Y1249" s="26">
        <f t="shared" si="183"/>
        <v>7515625</v>
      </c>
      <c r="Z1249" s="49">
        <v>1E-4</v>
      </c>
    </row>
    <row r="1250" spans="1:26" s="29" customFormat="1" ht="90.75" customHeight="1" x14ac:dyDescent="0.25">
      <c r="A1250" s="20">
        <v>877</v>
      </c>
      <c r="B1250" s="20" t="s">
        <v>0</v>
      </c>
      <c r="C1250" s="20">
        <v>12791</v>
      </c>
      <c r="D1250" s="21">
        <v>14</v>
      </c>
      <c r="E1250" s="21">
        <v>2</v>
      </c>
      <c r="F1250" s="22">
        <v>75</v>
      </c>
      <c r="G1250" s="23" t="s">
        <v>198</v>
      </c>
      <c r="H1250" s="24">
        <f t="shared" si="184"/>
        <v>5875</v>
      </c>
      <c r="I1250" s="25" t="s">
        <v>80</v>
      </c>
      <c r="J1250" s="24">
        <f t="shared" si="185"/>
        <v>3378125</v>
      </c>
      <c r="K1250" s="20"/>
      <c r="L1250" s="20"/>
      <c r="M1250" s="20"/>
      <c r="N1250" s="20"/>
      <c r="O1250" s="24"/>
      <c r="P1250" s="24"/>
      <c r="Q1250" s="25"/>
      <c r="R1250" s="24"/>
      <c r="S1250" s="20" t="s">
        <v>2</v>
      </c>
      <c r="T1250" s="27"/>
      <c r="U1250" s="20"/>
      <c r="V1250" s="27">
        <f t="shared" si="186"/>
        <v>3378125</v>
      </c>
      <c r="W1250" s="26">
        <f t="shared" si="182"/>
        <v>3378125</v>
      </c>
      <c r="X1250" s="27">
        <v>0</v>
      </c>
      <c r="Y1250" s="26">
        <f t="shared" si="183"/>
        <v>3378125</v>
      </c>
      <c r="Z1250" s="49">
        <v>1E-4</v>
      </c>
    </row>
    <row r="1251" spans="1:26" s="29" customFormat="1" ht="90.75" customHeight="1" x14ac:dyDescent="0.25">
      <c r="A1251" s="20">
        <v>878</v>
      </c>
      <c r="B1251" s="20" t="s">
        <v>0</v>
      </c>
      <c r="C1251" s="20">
        <v>12790</v>
      </c>
      <c r="D1251" s="21">
        <v>7</v>
      </c>
      <c r="E1251" s="21">
        <v>2</v>
      </c>
      <c r="F1251" s="22">
        <v>43</v>
      </c>
      <c r="G1251" s="23" t="s">
        <v>198</v>
      </c>
      <c r="H1251" s="24">
        <f t="shared" si="184"/>
        <v>3043</v>
      </c>
      <c r="I1251" s="25" t="s">
        <v>9</v>
      </c>
      <c r="J1251" s="24">
        <f t="shared" si="185"/>
        <v>912900</v>
      </c>
      <c r="K1251" s="20"/>
      <c r="L1251" s="20"/>
      <c r="M1251" s="20"/>
      <c r="N1251" s="20"/>
      <c r="O1251" s="24"/>
      <c r="P1251" s="24"/>
      <c r="Q1251" s="25"/>
      <c r="R1251" s="24"/>
      <c r="S1251" s="20" t="s">
        <v>2</v>
      </c>
      <c r="T1251" s="27"/>
      <c r="U1251" s="20"/>
      <c r="V1251" s="27">
        <f t="shared" si="186"/>
        <v>912900</v>
      </c>
      <c r="W1251" s="26">
        <f t="shared" si="182"/>
        <v>912900</v>
      </c>
      <c r="X1251" s="27">
        <v>0</v>
      </c>
      <c r="Y1251" s="26">
        <f t="shared" si="183"/>
        <v>912900</v>
      </c>
      <c r="Z1251" s="49">
        <v>1E-4</v>
      </c>
    </row>
    <row r="1252" spans="1:26" s="29" customFormat="1" ht="90.75" customHeight="1" x14ac:dyDescent="0.25">
      <c r="A1252" s="20">
        <v>879</v>
      </c>
      <c r="B1252" s="20" t="s">
        <v>0</v>
      </c>
      <c r="C1252" s="20">
        <v>12789</v>
      </c>
      <c r="D1252" s="21">
        <v>26</v>
      </c>
      <c r="E1252" s="21">
        <v>0</v>
      </c>
      <c r="F1252" s="22">
        <v>79</v>
      </c>
      <c r="G1252" s="23" t="s">
        <v>198</v>
      </c>
      <c r="H1252" s="24">
        <f t="shared" si="184"/>
        <v>10479</v>
      </c>
      <c r="I1252" s="25" t="s">
        <v>9</v>
      </c>
      <c r="J1252" s="24">
        <f t="shared" si="185"/>
        <v>3143700</v>
      </c>
      <c r="K1252" s="20"/>
      <c r="L1252" s="20"/>
      <c r="M1252" s="20"/>
      <c r="N1252" s="20"/>
      <c r="O1252" s="24"/>
      <c r="P1252" s="24"/>
      <c r="Q1252" s="25"/>
      <c r="R1252" s="24"/>
      <c r="S1252" s="20" t="s">
        <v>2</v>
      </c>
      <c r="T1252" s="27"/>
      <c r="U1252" s="20"/>
      <c r="V1252" s="27">
        <f t="shared" si="186"/>
        <v>3143700</v>
      </c>
      <c r="W1252" s="26">
        <f t="shared" si="182"/>
        <v>3143700</v>
      </c>
      <c r="X1252" s="27">
        <v>0</v>
      </c>
      <c r="Y1252" s="26">
        <f t="shared" si="183"/>
        <v>3143700</v>
      </c>
      <c r="Z1252" s="49">
        <v>1E-4</v>
      </c>
    </row>
    <row r="1253" spans="1:26" s="29" customFormat="1" ht="90.75" customHeight="1" x14ac:dyDescent="0.25">
      <c r="A1253" s="20">
        <v>880</v>
      </c>
      <c r="B1253" s="20" t="s">
        <v>0</v>
      </c>
      <c r="C1253" s="20">
        <v>11297</v>
      </c>
      <c r="D1253" s="21">
        <v>12</v>
      </c>
      <c r="E1253" s="21">
        <v>2</v>
      </c>
      <c r="F1253" s="22">
        <v>58.6</v>
      </c>
      <c r="G1253" s="23" t="s">
        <v>198</v>
      </c>
      <c r="H1253" s="24">
        <f t="shared" si="184"/>
        <v>5058.6000000000004</v>
      </c>
      <c r="I1253" s="25" t="s">
        <v>9</v>
      </c>
      <c r="J1253" s="24">
        <f t="shared" si="185"/>
        <v>1517580</v>
      </c>
      <c r="K1253" s="20"/>
      <c r="L1253" s="20"/>
      <c r="M1253" s="20"/>
      <c r="N1253" s="20"/>
      <c r="O1253" s="24"/>
      <c r="P1253" s="24"/>
      <c r="Q1253" s="25"/>
      <c r="R1253" s="24"/>
      <c r="S1253" s="20" t="s">
        <v>2</v>
      </c>
      <c r="T1253" s="27"/>
      <c r="U1253" s="20"/>
      <c r="V1253" s="27">
        <f t="shared" si="186"/>
        <v>1517580</v>
      </c>
      <c r="W1253" s="26">
        <f t="shared" si="182"/>
        <v>1517580</v>
      </c>
      <c r="X1253" s="27">
        <v>0</v>
      </c>
      <c r="Y1253" s="26">
        <f t="shared" si="183"/>
        <v>1517580</v>
      </c>
      <c r="Z1253" s="49">
        <v>1E-4</v>
      </c>
    </row>
    <row r="1254" spans="1:26" s="29" customFormat="1" ht="90.75" customHeight="1" x14ac:dyDescent="0.25">
      <c r="A1254" s="20">
        <v>881</v>
      </c>
      <c r="B1254" s="20" t="s">
        <v>0</v>
      </c>
      <c r="C1254" s="20">
        <v>11494</v>
      </c>
      <c r="D1254" s="21">
        <v>10</v>
      </c>
      <c r="E1254" s="21">
        <v>2</v>
      </c>
      <c r="F1254" s="22">
        <v>88.6</v>
      </c>
      <c r="G1254" s="23" t="s">
        <v>198</v>
      </c>
      <c r="H1254" s="24">
        <f t="shared" si="184"/>
        <v>4288.6000000000004</v>
      </c>
      <c r="I1254" s="25" t="s">
        <v>155</v>
      </c>
      <c r="J1254" s="24">
        <f t="shared" si="185"/>
        <v>13294660.000000002</v>
      </c>
      <c r="K1254" s="20"/>
      <c r="L1254" s="20"/>
      <c r="M1254" s="20"/>
      <c r="N1254" s="20"/>
      <c r="O1254" s="24"/>
      <c r="P1254" s="24"/>
      <c r="Q1254" s="25"/>
      <c r="R1254" s="24"/>
      <c r="S1254" s="20" t="s">
        <v>2</v>
      </c>
      <c r="T1254" s="27"/>
      <c r="U1254" s="20"/>
      <c r="V1254" s="27">
        <f t="shared" si="186"/>
        <v>13294660.000000002</v>
      </c>
      <c r="W1254" s="26">
        <f t="shared" si="182"/>
        <v>13294660.000000002</v>
      </c>
      <c r="X1254" s="27">
        <v>0</v>
      </c>
      <c r="Y1254" s="26">
        <f t="shared" si="183"/>
        <v>13294660.000000002</v>
      </c>
      <c r="Z1254" s="49">
        <v>1E-4</v>
      </c>
    </row>
    <row r="1255" spans="1:26" s="29" customFormat="1" ht="90.75" customHeight="1" x14ac:dyDescent="0.25">
      <c r="A1255" s="20">
        <v>882</v>
      </c>
      <c r="B1255" s="20" t="s">
        <v>0</v>
      </c>
      <c r="C1255" s="20">
        <v>57770</v>
      </c>
      <c r="D1255" s="21">
        <v>0</v>
      </c>
      <c r="E1255" s="21">
        <v>0</v>
      </c>
      <c r="F1255" s="22">
        <v>60</v>
      </c>
      <c r="G1255" s="23" t="s">
        <v>56</v>
      </c>
      <c r="H1255" s="24">
        <f t="shared" si="184"/>
        <v>60</v>
      </c>
      <c r="I1255" s="25" t="s">
        <v>32</v>
      </c>
      <c r="J1255" s="24">
        <f t="shared" si="185"/>
        <v>12000</v>
      </c>
      <c r="K1255" s="20">
        <v>1</v>
      </c>
      <c r="L1255" s="20" t="s">
        <v>16</v>
      </c>
      <c r="M1255" s="20" t="s">
        <v>13</v>
      </c>
      <c r="N1255" s="20">
        <v>2</v>
      </c>
      <c r="O1255" s="24">
        <v>112</v>
      </c>
      <c r="P1255" s="24">
        <v>100</v>
      </c>
      <c r="Q1255" s="25">
        <v>6450</v>
      </c>
      <c r="R1255" s="24">
        <f t="shared" ref="R1255:R1268" si="187">(O1255*Q1255)</f>
        <v>722400</v>
      </c>
      <c r="S1255" s="20">
        <v>3</v>
      </c>
      <c r="T1255" s="27">
        <f t="shared" ref="T1255:T1268" si="188">(R1255*3/100)</f>
        <v>21672</v>
      </c>
      <c r="U1255" s="27">
        <f t="shared" ref="U1255:U1268" si="189">(R1255-T1255)</f>
        <v>700728</v>
      </c>
      <c r="V1255" s="27">
        <f t="shared" si="186"/>
        <v>712728</v>
      </c>
      <c r="W1255" s="26">
        <f t="shared" si="182"/>
        <v>712728</v>
      </c>
      <c r="X1255" s="27">
        <v>0</v>
      </c>
      <c r="Y1255" s="26">
        <f t="shared" si="183"/>
        <v>712728</v>
      </c>
      <c r="Z1255" s="49">
        <v>3.0000000000000001E-3</v>
      </c>
    </row>
    <row r="1256" spans="1:26" s="29" customFormat="1" ht="90.75" customHeight="1" x14ac:dyDescent="0.25">
      <c r="A1256" s="20">
        <v>883</v>
      </c>
      <c r="B1256" s="20" t="s">
        <v>0</v>
      </c>
      <c r="C1256" s="20">
        <v>57773</v>
      </c>
      <c r="D1256" s="21">
        <v>0</v>
      </c>
      <c r="E1256" s="21">
        <v>0</v>
      </c>
      <c r="F1256" s="22">
        <v>61</v>
      </c>
      <c r="G1256" s="23" t="s">
        <v>56</v>
      </c>
      <c r="H1256" s="24">
        <f t="shared" si="184"/>
        <v>61</v>
      </c>
      <c r="I1256" s="25" t="s">
        <v>32</v>
      </c>
      <c r="J1256" s="24">
        <f t="shared" si="185"/>
        <v>12200</v>
      </c>
      <c r="K1256" s="20">
        <v>1</v>
      </c>
      <c r="L1256" s="20" t="s">
        <v>16</v>
      </c>
      <c r="M1256" s="20" t="s">
        <v>13</v>
      </c>
      <c r="N1256" s="20">
        <v>2</v>
      </c>
      <c r="O1256" s="24">
        <v>112</v>
      </c>
      <c r="P1256" s="24">
        <v>100</v>
      </c>
      <c r="Q1256" s="25">
        <v>6450</v>
      </c>
      <c r="R1256" s="24">
        <f t="shared" si="187"/>
        <v>722400</v>
      </c>
      <c r="S1256" s="20">
        <v>3</v>
      </c>
      <c r="T1256" s="27">
        <f t="shared" si="188"/>
        <v>21672</v>
      </c>
      <c r="U1256" s="27">
        <f t="shared" si="189"/>
        <v>700728</v>
      </c>
      <c r="V1256" s="27">
        <f t="shared" si="186"/>
        <v>712928</v>
      </c>
      <c r="W1256" s="26">
        <f t="shared" si="182"/>
        <v>712928</v>
      </c>
      <c r="X1256" s="27">
        <v>0</v>
      </c>
      <c r="Y1256" s="26">
        <f t="shared" si="183"/>
        <v>712928</v>
      </c>
      <c r="Z1256" s="49">
        <v>3.0000000000000001E-3</v>
      </c>
    </row>
    <row r="1257" spans="1:26" s="29" customFormat="1" ht="90.75" customHeight="1" x14ac:dyDescent="0.25">
      <c r="A1257" s="20">
        <v>884</v>
      </c>
      <c r="B1257" s="20" t="s">
        <v>0</v>
      </c>
      <c r="C1257" s="20">
        <v>57774</v>
      </c>
      <c r="D1257" s="21">
        <v>0</v>
      </c>
      <c r="E1257" s="21">
        <v>0</v>
      </c>
      <c r="F1257" s="22">
        <v>62</v>
      </c>
      <c r="G1257" s="23" t="s">
        <v>56</v>
      </c>
      <c r="H1257" s="24">
        <f t="shared" si="184"/>
        <v>62</v>
      </c>
      <c r="I1257" s="25" t="s">
        <v>32</v>
      </c>
      <c r="J1257" s="24">
        <f t="shared" si="185"/>
        <v>12400</v>
      </c>
      <c r="K1257" s="20">
        <v>1</v>
      </c>
      <c r="L1257" s="20" t="s">
        <v>16</v>
      </c>
      <c r="M1257" s="20" t="s">
        <v>13</v>
      </c>
      <c r="N1257" s="20">
        <v>2</v>
      </c>
      <c r="O1257" s="24">
        <v>112</v>
      </c>
      <c r="P1257" s="24">
        <v>100</v>
      </c>
      <c r="Q1257" s="25">
        <v>6450</v>
      </c>
      <c r="R1257" s="24">
        <f t="shared" si="187"/>
        <v>722400</v>
      </c>
      <c r="S1257" s="20">
        <v>3</v>
      </c>
      <c r="T1257" s="27">
        <f t="shared" si="188"/>
        <v>21672</v>
      </c>
      <c r="U1257" s="27">
        <f t="shared" si="189"/>
        <v>700728</v>
      </c>
      <c r="V1257" s="27">
        <f t="shared" si="186"/>
        <v>713128</v>
      </c>
      <c r="W1257" s="26">
        <f t="shared" si="182"/>
        <v>713128</v>
      </c>
      <c r="X1257" s="27">
        <v>0</v>
      </c>
      <c r="Y1257" s="26">
        <f t="shared" si="183"/>
        <v>713128</v>
      </c>
      <c r="Z1257" s="49">
        <v>3.0000000000000001E-3</v>
      </c>
    </row>
    <row r="1258" spans="1:26" s="29" customFormat="1" ht="90.75" customHeight="1" x14ac:dyDescent="0.25">
      <c r="A1258" s="20">
        <v>885</v>
      </c>
      <c r="B1258" s="20" t="s">
        <v>0</v>
      </c>
      <c r="C1258" s="20">
        <v>57775</v>
      </c>
      <c r="D1258" s="21">
        <v>0</v>
      </c>
      <c r="E1258" s="21">
        <v>0</v>
      </c>
      <c r="F1258" s="22">
        <v>64</v>
      </c>
      <c r="G1258" s="23" t="s">
        <v>56</v>
      </c>
      <c r="H1258" s="24">
        <f t="shared" si="184"/>
        <v>64</v>
      </c>
      <c r="I1258" s="25" t="s">
        <v>32</v>
      </c>
      <c r="J1258" s="24">
        <f t="shared" si="185"/>
        <v>12800</v>
      </c>
      <c r="K1258" s="20">
        <v>1</v>
      </c>
      <c r="L1258" s="20" t="s">
        <v>16</v>
      </c>
      <c r="M1258" s="20" t="s">
        <v>13</v>
      </c>
      <c r="N1258" s="20">
        <v>2</v>
      </c>
      <c r="O1258" s="24">
        <v>112</v>
      </c>
      <c r="P1258" s="24">
        <v>100</v>
      </c>
      <c r="Q1258" s="25">
        <v>6450</v>
      </c>
      <c r="R1258" s="24">
        <f t="shared" si="187"/>
        <v>722400</v>
      </c>
      <c r="S1258" s="20">
        <v>3</v>
      </c>
      <c r="T1258" s="27">
        <f t="shared" si="188"/>
        <v>21672</v>
      </c>
      <c r="U1258" s="27">
        <f t="shared" si="189"/>
        <v>700728</v>
      </c>
      <c r="V1258" s="27">
        <f t="shared" si="186"/>
        <v>713528</v>
      </c>
      <c r="W1258" s="26">
        <f t="shared" si="182"/>
        <v>713528</v>
      </c>
      <c r="X1258" s="27">
        <v>0</v>
      </c>
      <c r="Y1258" s="26">
        <f t="shared" si="183"/>
        <v>713528</v>
      </c>
      <c r="Z1258" s="49">
        <v>3.0000000000000001E-3</v>
      </c>
    </row>
    <row r="1259" spans="1:26" s="29" customFormat="1" ht="90.75" customHeight="1" x14ac:dyDescent="0.25">
      <c r="A1259" s="20">
        <v>886</v>
      </c>
      <c r="B1259" s="20" t="s">
        <v>0</v>
      </c>
      <c r="C1259" s="20">
        <v>57776</v>
      </c>
      <c r="D1259" s="21">
        <v>0</v>
      </c>
      <c r="E1259" s="21">
        <v>0</v>
      </c>
      <c r="F1259" s="22">
        <v>65</v>
      </c>
      <c r="G1259" s="23" t="s">
        <v>56</v>
      </c>
      <c r="H1259" s="24">
        <f t="shared" si="184"/>
        <v>65</v>
      </c>
      <c r="I1259" s="25" t="s">
        <v>32</v>
      </c>
      <c r="J1259" s="24">
        <f t="shared" si="185"/>
        <v>13000</v>
      </c>
      <c r="K1259" s="20">
        <v>1</v>
      </c>
      <c r="L1259" s="20" t="s">
        <v>16</v>
      </c>
      <c r="M1259" s="20" t="s">
        <v>13</v>
      </c>
      <c r="N1259" s="20">
        <v>2</v>
      </c>
      <c r="O1259" s="24">
        <v>112</v>
      </c>
      <c r="P1259" s="24">
        <v>100</v>
      </c>
      <c r="Q1259" s="25">
        <v>6450</v>
      </c>
      <c r="R1259" s="24">
        <f t="shared" si="187"/>
        <v>722400</v>
      </c>
      <c r="S1259" s="20">
        <v>3</v>
      </c>
      <c r="T1259" s="27">
        <f t="shared" si="188"/>
        <v>21672</v>
      </c>
      <c r="U1259" s="27">
        <f t="shared" si="189"/>
        <v>700728</v>
      </c>
      <c r="V1259" s="27">
        <f t="shared" si="186"/>
        <v>713728</v>
      </c>
      <c r="W1259" s="26">
        <f t="shared" si="182"/>
        <v>713728</v>
      </c>
      <c r="X1259" s="27">
        <v>0</v>
      </c>
      <c r="Y1259" s="26">
        <f t="shared" si="183"/>
        <v>713728</v>
      </c>
      <c r="Z1259" s="49">
        <v>3.0000000000000001E-3</v>
      </c>
    </row>
    <row r="1260" spans="1:26" s="29" customFormat="1" ht="90.75" customHeight="1" x14ac:dyDescent="0.25">
      <c r="A1260" s="20">
        <v>887</v>
      </c>
      <c r="B1260" s="20" t="s">
        <v>0</v>
      </c>
      <c r="C1260" s="20">
        <v>57786</v>
      </c>
      <c r="D1260" s="21">
        <v>0</v>
      </c>
      <c r="E1260" s="21">
        <v>0</v>
      </c>
      <c r="F1260" s="22">
        <v>59</v>
      </c>
      <c r="G1260" s="23" t="s">
        <v>56</v>
      </c>
      <c r="H1260" s="24">
        <f t="shared" si="184"/>
        <v>59</v>
      </c>
      <c r="I1260" s="25" t="s">
        <v>32</v>
      </c>
      <c r="J1260" s="24">
        <f t="shared" si="185"/>
        <v>11800</v>
      </c>
      <c r="K1260" s="20">
        <v>1</v>
      </c>
      <c r="L1260" s="20" t="s">
        <v>16</v>
      </c>
      <c r="M1260" s="20" t="s">
        <v>13</v>
      </c>
      <c r="N1260" s="20">
        <v>2</v>
      </c>
      <c r="O1260" s="24">
        <v>112</v>
      </c>
      <c r="P1260" s="24">
        <v>100</v>
      </c>
      <c r="Q1260" s="25">
        <v>6450</v>
      </c>
      <c r="R1260" s="24">
        <f t="shared" si="187"/>
        <v>722400</v>
      </c>
      <c r="S1260" s="20">
        <v>3</v>
      </c>
      <c r="T1260" s="27">
        <f t="shared" si="188"/>
        <v>21672</v>
      </c>
      <c r="U1260" s="27">
        <f t="shared" si="189"/>
        <v>700728</v>
      </c>
      <c r="V1260" s="27">
        <f t="shared" si="186"/>
        <v>712528</v>
      </c>
      <c r="W1260" s="26">
        <f t="shared" si="182"/>
        <v>712528</v>
      </c>
      <c r="X1260" s="27">
        <v>0</v>
      </c>
      <c r="Y1260" s="26">
        <f t="shared" si="183"/>
        <v>712528</v>
      </c>
      <c r="Z1260" s="49">
        <v>3.0000000000000001E-3</v>
      </c>
    </row>
    <row r="1261" spans="1:26" s="29" customFormat="1" ht="90.75" customHeight="1" x14ac:dyDescent="0.25">
      <c r="A1261" s="20">
        <v>888</v>
      </c>
      <c r="B1261" s="20" t="s">
        <v>0</v>
      </c>
      <c r="C1261" s="20">
        <v>57785</v>
      </c>
      <c r="D1261" s="21">
        <v>0</v>
      </c>
      <c r="E1261" s="21">
        <v>0</v>
      </c>
      <c r="F1261" s="22">
        <v>60</v>
      </c>
      <c r="G1261" s="23" t="s">
        <v>56</v>
      </c>
      <c r="H1261" s="24">
        <f t="shared" si="184"/>
        <v>60</v>
      </c>
      <c r="I1261" s="25" t="s">
        <v>32</v>
      </c>
      <c r="J1261" s="24">
        <f t="shared" si="185"/>
        <v>12000</v>
      </c>
      <c r="K1261" s="20">
        <v>1</v>
      </c>
      <c r="L1261" s="20" t="s">
        <v>16</v>
      </c>
      <c r="M1261" s="20" t="s">
        <v>13</v>
      </c>
      <c r="N1261" s="20">
        <v>2</v>
      </c>
      <c r="O1261" s="24">
        <v>112</v>
      </c>
      <c r="P1261" s="24">
        <v>100</v>
      </c>
      <c r="Q1261" s="25">
        <v>6450</v>
      </c>
      <c r="R1261" s="24">
        <f t="shared" si="187"/>
        <v>722400</v>
      </c>
      <c r="S1261" s="20">
        <v>3</v>
      </c>
      <c r="T1261" s="27">
        <f t="shared" si="188"/>
        <v>21672</v>
      </c>
      <c r="U1261" s="27">
        <f t="shared" si="189"/>
        <v>700728</v>
      </c>
      <c r="V1261" s="27">
        <f t="shared" si="186"/>
        <v>712728</v>
      </c>
      <c r="W1261" s="26">
        <f t="shared" si="182"/>
        <v>712728</v>
      </c>
      <c r="X1261" s="27">
        <v>0</v>
      </c>
      <c r="Y1261" s="26">
        <f t="shared" si="183"/>
        <v>712728</v>
      </c>
      <c r="Z1261" s="49">
        <v>3.0000000000000001E-3</v>
      </c>
    </row>
    <row r="1262" spans="1:26" s="29" customFormat="1" ht="90.75" customHeight="1" x14ac:dyDescent="0.25">
      <c r="A1262" s="20">
        <v>889</v>
      </c>
      <c r="B1262" s="20" t="s">
        <v>0</v>
      </c>
      <c r="C1262" s="20">
        <v>57784</v>
      </c>
      <c r="D1262" s="21">
        <v>0</v>
      </c>
      <c r="E1262" s="21">
        <v>0</v>
      </c>
      <c r="F1262" s="22">
        <v>61</v>
      </c>
      <c r="G1262" s="23" t="s">
        <v>56</v>
      </c>
      <c r="H1262" s="24">
        <f t="shared" si="184"/>
        <v>61</v>
      </c>
      <c r="I1262" s="25" t="s">
        <v>32</v>
      </c>
      <c r="J1262" s="24">
        <f t="shared" si="185"/>
        <v>12200</v>
      </c>
      <c r="K1262" s="20">
        <v>1</v>
      </c>
      <c r="L1262" s="20" t="s">
        <v>16</v>
      </c>
      <c r="M1262" s="20" t="s">
        <v>13</v>
      </c>
      <c r="N1262" s="20">
        <v>2</v>
      </c>
      <c r="O1262" s="24">
        <v>112</v>
      </c>
      <c r="P1262" s="24">
        <v>100</v>
      </c>
      <c r="Q1262" s="25">
        <v>6450</v>
      </c>
      <c r="R1262" s="24">
        <f t="shared" si="187"/>
        <v>722400</v>
      </c>
      <c r="S1262" s="20">
        <v>3</v>
      </c>
      <c r="T1262" s="27">
        <f t="shared" si="188"/>
        <v>21672</v>
      </c>
      <c r="U1262" s="27">
        <f t="shared" si="189"/>
        <v>700728</v>
      </c>
      <c r="V1262" s="27">
        <f t="shared" si="186"/>
        <v>712928</v>
      </c>
      <c r="W1262" s="26">
        <f t="shared" si="182"/>
        <v>712928</v>
      </c>
      <c r="X1262" s="27">
        <v>0</v>
      </c>
      <c r="Y1262" s="26">
        <f t="shared" si="183"/>
        <v>712928</v>
      </c>
      <c r="Z1262" s="49">
        <v>3.0000000000000001E-3</v>
      </c>
    </row>
    <row r="1263" spans="1:26" s="29" customFormat="1" ht="90.75" customHeight="1" x14ac:dyDescent="0.25">
      <c r="A1263" s="20">
        <v>890</v>
      </c>
      <c r="B1263" s="20" t="s">
        <v>0</v>
      </c>
      <c r="C1263" s="20">
        <v>57783</v>
      </c>
      <c r="D1263" s="21">
        <v>0</v>
      </c>
      <c r="E1263" s="21">
        <v>0</v>
      </c>
      <c r="F1263" s="22">
        <v>61</v>
      </c>
      <c r="G1263" s="23" t="s">
        <v>56</v>
      </c>
      <c r="H1263" s="24">
        <f t="shared" si="184"/>
        <v>61</v>
      </c>
      <c r="I1263" s="25" t="s">
        <v>32</v>
      </c>
      <c r="J1263" s="24">
        <f t="shared" si="185"/>
        <v>12200</v>
      </c>
      <c r="K1263" s="20">
        <v>1</v>
      </c>
      <c r="L1263" s="20" t="s">
        <v>16</v>
      </c>
      <c r="M1263" s="20" t="s">
        <v>13</v>
      </c>
      <c r="N1263" s="20">
        <v>2</v>
      </c>
      <c r="O1263" s="24">
        <v>112</v>
      </c>
      <c r="P1263" s="24">
        <v>100</v>
      </c>
      <c r="Q1263" s="25">
        <v>6450</v>
      </c>
      <c r="R1263" s="24">
        <f t="shared" si="187"/>
        <v>722400</v>
      </c>
      <c r="S1263" s="20">
        <v>3</v>
      </c>
      <c r="T1263" s="27">
        <f t="shared" si="188"/>
        <v>21672</v>
      </c>
      <c r="U1263" s="27">
        <f t="shared" si="189"/>
        <v>700728</v>
      </c>
      <c r="V1263" s="27">
        <f t="shared" si="186"/>
        <v>712928</v>
      </c>
      <c r="W1263" s="26">
        <f t="shared" si="182"/>
        <v>712928</v>
      </c>
      <c r="X1263" s="27">
        <v>0</v>
      </c>
      <c r="Y1263" s="26">
        <f t="shared" si="183"/>
        <v>712928</v>
      </c>
      <c r="Z1263" s="49">
        <v>3.0000000000000001E-3</v>
      </c>
    </row>
    <row r="1264" spans="1:26" s="29" customFormat="1" ht="90.75" customHeight="1" x14ac:dyDescent="0.25">
      <c r="A1264" s="20">
        <v>891</v>
      </c>
      <c r="B1264" s="20" t="s">
        <v>0</v>
      </c>
      <c r="C1264" s="20">
        <v>57782</v>
      </c>
      <c r="D1264" s="21">
        <v>0</v>
      </c>
      <c r="E1264" s="21">
        <v>0</v>
      </c>
      <c r="F1264" s="22">
        <v>66</v>
      </c>
      <c r="G1264" s="23" t="s">
        <v>56</v>
      </c>
      <c r="H1264" s="24">
        <f t="shared" si="184"/>
        <v>66</v>
      </c>
      <c r="I1264" s="25" t="s">
        <v>32</v>
      </c>
      <c r="J1264" s="24">
        <f t="shared" si="185"/>
        <v>13200</v>
      </c>
      <c r="K1264" s="20">
        <v>1</v>
      </c>
      <c r="L1264" s="20" t="s">
        <v>16</v>
      </c>
      <c r="M1264" s="20" t="s">
        <v>13</v>
      </c>
      <c r="N1264" s="20">
        <v>2</v>
      </c>
      <c r="O1264" s="24">
        <v>112</v>
      </c>
      <c r="P1264" s="24">
        <v>100</v>
      </c>
      <c r="Q1264" s="25">
        <v>6450</v>
      </c>
      <c r="R1264" s="24">
        <f t="shared" si="187"/>
        <v>722400</v>
      </c>
      <c r="S1264" s="20">
        <v>3</v>
      </c>
      <c r="T1264" s="27">
        <f t="shared" si="188"/>
        <v>21672</v>
      </c>
      <c r="U1264" s="27">
        <f t="shared" si="189"/>
        <v>700728</v>
      </c>
      <c r="V1264" s="27">
        <f t="shared" si="186"/>
        <v>713928</v>
      </c>
      <c r="W1264" s="26">
        <f t="shared" si="182"/>
        <v>713928</v>
      </c>
      <c r="X1264" s="27">
        <v>0</v>
      </c>
      <c r="Y1264" s="26">
        <f t="shared" si="183"/>
        <v>713928</v>
      </c>
      <c r="Z1264" s="49">
        <v>3.0000000000000001E-3</v>
      </c>
    </row>
    <row r="1265" spans="1:26" s="29" customFormat="1" ht="90.75" customHeight="1" x14ac:dyDescent="0.25">
      <c r="A1265" s="20">
        <v>892</v>
      </c>
      <c r="B1265" s="20" t="s">
        <v>0</v>
      </c>
      <c r="C1265" s="20">
        <v>57781</v>
      </c>
      <c r="D1265" s="21">
        <v>0</v>
      </c>
      <c r="E1265" s="21">
        <v>0</v>
      </c>
      <c r="F1265" s="22">
        <v>65</v>
      </c>
      <c r="G1265" s="23" t="s">
        <v>56</v>
      </c>
      <c r="H1265" s="24">
        <f t="shared" si="184"/>
        <v>65</v>
      </c>
      <c r="I1265" s="25" t="s">
        <v>32</v>
      </c>
      <c r="J1265" s="24">
        <f t="shared" si="185"/>
        <v>13000</v>
      </c>
      <c r="K1265" s="20">
        <v>1</v>
      </c>
      <c r="L1265" s="20" t="s">
        <v>16</v>
      </c>
      <c r="M1265" s="20" t="s">
        <v>13</v>
      </c>
      <c r="N1265" s="20">
        <v>2</v>
      </c>
      <c r="O1265" s="24">
        <v>112</v>
      </c>
      <c r="P1265" s="24">
        <v>100</v>
      </c>
      <c r="Q1265" s="25">
        <v>6450</v>
      </c>
      <c r="R1265" s="24">
        <f t="shared" si="187"/>
        <v>722400</v>
      </c>
      <c r="S1265" s="20">
        <v>3</v>
      </c>
      <c r="T1265" s="27">
        <f t="shared" si="188"/>
        <v>21672</v>
      </c>
      <c r="U1265" s="27">
        <f t="shared" si="189"/>
        <v>700728</v>
      </c>
      <c r="V1265" s="27">
        <f t="shared" si="186"/>
        <v>713728</v>
      </c>
      <c r="W1265" s="26">
        <f t="shared" si="182"/>
        <v>713728</v>
      </c>
      <c r="X1265" s="27">
        <v>0</v>
      </c>
      <c r="Y1265" s="26">
        <f t="shared" si="183"/>
        <v>713728</v>
      </c>
      <c r="Z1265" s="49">
        <v>3.0000000000000001E-3</v>
      </c>
    </row>
    <row r="1266" spans="1:26" s="29" customFormat="1" ht="90.75" customHeight="1" x14ac:dyDescent="0.25">
      <c r="A1266" s="20">
        <v>893</v>
      </c>
      <c r="B1266" s="20" t="s">
        <v>0</v>
      </c>
      <c r="C1266" s="20">
        <v>57780</v>
      </c>
      <c r="D1266" s="21">
        <v>0</v>
      </c>
      <c r="E1266" s="21">
        <v>0</v>
      </c>
      <c r="F1266" s="22">
        <v>64</v>
      </c>
      <c r="G1266" s="23" t="s">
        <v>56</v>
      </c>
      <c r="H1266" s="24">
        <f t="shared" si="184"/>
        <v>64</v>
      </c>
      <c r="I1266" s="25" t="s">
        <v>32</v>
      </c>
      <c r="J1266" s="24">
        <f t="shared" si="185"/>
        <v>12800</v>
      </c>
      <c r="K1266" s="20">
        <v>1</v>
      </c>
      <c r="L1266" s="20" t="s">
        <v>16</v>
      </c>
      <c r="M1266" s="20" t="s">
        <v>13</v>
      </c>
      <c r="N1266" s="20">
        <v>2</v>
      </c>
      <c r="O1266" s="24">
        <v>124</v>
      </c>
      <c r="P1266" s="24">
        <v>100</v>
      </c>
      <c r="Q1266" s="25">
        <v>6450</v>
      </c>
      <c r="R1266" s="24">
        <f t="shared" si="187"/>
        <v>799800</v>
      </c>
      <c r="S1266" s="20">
        <v>3</v>
      </c>
      <c r="T1266" s="27">
        <f t="shared" si="188"/>
        <v>23994</v>
      </c>
      <c r="U1266" s="27">
        <f t="shared" si="189"/>
        <v>775806</v>
      </c>
      <c r="V1266" s="27">
        <f t="shared" si="186"/>
        <v>788606</v>
      </c>
      <c r="W1266" s="26">
        <f t="shared" si="182"/>
        <v>788606</v>
      </c>
      <c r="X1266" s="27">
        <v>0</v>
      </c>
      <c r="Y1266" s="26">
        <f t="shared" si="183"/>
        <v>788606</v>
      </c>
      <c r="Z1266" s="49">
        <v>3.0000000000000001E-3</v>
      </c>
    </row>
    <row r="1267" spans="1:26" s="29" customFormat="1" ht="90.75" customHeight="1" x14ac:dyDescent="0.25">
      <c r="A1267" s="20">
        <v>894</v>
      </c>
      <c r="B1267" s="20" t="s">
        <v>0</v>
      </c>
      <c r="C1267" s="20">
        <v>57778</v>
      </c>
      <c r="D1267" s="21">
        <v>0</v>
      </c>
      <c r="E1267" s="21">
        <v>0</v>
      </c>
      <c r="F1267" s="22">
        <v>69</v>
      </c>
      <c r="G1267" s="23" t="s">
        <v>56</v>
      </c>
      <c r="H1267" s="24">
        <f t="shared" si="184"/>
        <v>69</v>
      </c>
      <c r="I1267" s="25" t="s">
        <v>32</v>
      </c>
      <c r="J1267" s="24">
        <f t="shared" si="185"/>
        <v>13800</v>
      </c>
      <c r="K1267" s="20">
        <v>1</v>
      </c>
      <c r="L1267" s="20" t="s">
        <v>16</v>
      </c>
      <c r="M1267" s="20" t="s">
        <v>13</v>
      </c>
      <c r="N1267" s="20">
        <v>2</v>
      </c>
      <c r="O1267" s="24">
        <v>124</v>
      </c>
      <c r="P1267" s="24">
        <v>100</v>
      </c>
      <c r="Q1267" s="25">
        <v>6450</v>
      </c>
      <c r="R1267" s="24">
        <f t="shared" si="187"/>
        <v>799800</v>
      </c>
      <c r="S1267" s="20">
        <v>3</v>
      </c>
      <c r="T1267" s="27">
        <f t="shared" si="188"/>
        <v>23994</v>
      </c>
      <c r="U1267" s="27">
        <f t="shared" si="189"/>
        <v>775806</v>
      </c>
      <c r="V1267" s="27">
        <f t="shared" si="186"/>
        <v>789606</v>
      </c>
      <c r="W1267" s="26">
        <f t="shared" si="182"/>
        <v>789606</v>
      </c>
      <c r="X1267" s="27">
        <v>0</v>
      </c>
      <c r="Y1267" s="26">
        <f t="shared" si="183"/>
        <v>789606</v>
      </c>
      <c r="Z1267" s="49">
        <v>3.0000000000000001E-3</v>
      </c>
    </row>
    <row r="1268" spans="1:26" s="29" customFormat="1" ht="90.75" customHeight="1" x14ac:dyDescent="0.25">
      <c r="A1268" s="20">
        <v>895</v>
      </c>
      <c r="B1268" s="20" t="s">
        <v>0</v>
      </c>
      <c r="C1268" s="20">
        <v>50060</v>
      </c>
      <c r="D1268" s="21">
        <v>0</v>
      </c>
      <c r="E1268" s="21">
        <v>2</v>
      </c>
      <c r="F1268" s="22">
        <v>57</v>
      </c>
      <c r="G1268" s="23" t="s">
        <v>56</v>
      </c>
      <c r="H1268" s="24">
        <f t="shared" si="184"/>
        <v>257</v>
      </c>
      <c r="I1268" s="25">
        <v>875</v>
      </c>
      <c r="J1268" s="24">
        <f t="shared" si="185"/>
        <v>224875</v>
      </c>
      <c r="K1268" s="20">
        <v>1</v>
      </c>
      <c r="L1268" s="20" t="s">
        <v>16</v>
      </c>
      <c r="M1268" s="20" t="s">
        <v>13</v>
      </c>
      <c r="N1268" s="20">
        <v>2</v>
      </c>
      <c r="O1268" s="24">
        <v>124</v>
      </c>
      <c r="P1268" s="24">
        <v>100</v>
      </c>
      <c r="Q1268" s="25">
        <v>6450</v>
      </c>
      <c r="R1268" s="24">
        <f t="shared" si="187"/>
        <v>799800</v>
      </c>
      <c r="S1268" s="20">
        <v>3</v>
      </c>
      <c r="T1268" s="27">
        <f t="shared" si="188"/>
        <v>23994</v>
      </c>
      <c r="U1268" s="27">
        <f t="shared" si="189"/>
        <v>775806</v>
      </c>
      <c r="V1268" s="27">
        <f t="shared" si="186"/>
        <v>1000681</v>
      </c>
      <c r="W1268" s="26">
        <f t="shared" si="182"/>
        <v>1000681</v>
      </c>
      <c r="X1268" s="27">
        <v>0</v>
      </c>
      <c r="Y1268" s="26">
        <f t="shared" si="183"/>
        <v>1000681</v>
      </c>
      <c r="Z1268" s="49">
        <v>3.0000000000000001E-3</v>
      </c>
    </row>
    <row r="1269" spans="1:26" s="29" customFormat="1" ht="90.75" customHeight="1" x14ac:dyDescent="0.25">
      <c r="A1269" s="20">
        <v>896</v>
      </c>
      <c r="B1269" s="20" t="s">
        <v>0</v>
      </c>
      <c r="C1269" s="20">
        <v>48029</v>
      </c>
      <c r="D1269" s="21">
        <v>21</v>
      </c>
      <c r="E1269" s="21">
        <v>2</v>
      </c>
      <c r="F1269" s="22">
        <v>73</v>
      </c>
      <c r="G1269" s="23"/>
      <c r="H1269" s="24">
        <f t="shared" si="184"/>
        <v>8673</v>
      </c>
      <c r="I1269" s="25" t="s">
        <v>123</v>
      </c>
      <c r="J1269" s="24">
        <f t="shared" si="185"/>
        <v>39028500</v>
      </c>
      <c r="K1269" s="20"/>
      <c r="L1269" s="20"/>
      <c r="M1269" s="20"/>
      <c r="N1269" s="20"/>
      <c r="O1269" s="24"/>
      <c r="P1269" s="24"/>
      <c r="Q1269" s="25"/>
      <c r="R1269" s="24"/>
      <c r="S1269" s="20" t="s">
        <v>2</v>
      </c>
      <c r="T1269" s="27"/>
      <c r="U1269" s="20"/>
      <c r="V1269" s="27"/>
      <c r="W1269" s="26"/>
      <c r="X1269" s="27"/>
      <c r="Y1269" s="78"/>
      <c r="Z1269" s="49"/>
    </row>
    <row r="1270" spans="1:26" s="29" customFormat="1" ht="90.75" customHeight="1" x14ac:dyDescent="0.25">
      <c r="A1270" s="20"/>
      <c r="B1270" s="20"/>
      <c r="C1270" s="20"/>
      <c r="D1270" s="21"/>
      <c r="E1270" s="21"/>
      <c r="F1270" s="22"/>
      <c r="G1270" s="23"/>
      <c r="H1270" s="24"/>
      <c r="I1270" s="25"/>
      <c r="J1270" s="24"/>
      <c r="K1270" s="20">
        <v>1</v>
      </c>
      <c r="L1270" s="20" t="s">
        <v>25</v>
      </c>
      <c r="M1270" s="20" t="s">
        <v>13</v>
      </c>
      <c r="N1270" s="20">
        <v>3</v>
      </c>
      <c r="O1270" s="24">
        <v>5040</v>
      </c>
      <c r="P1270" s="24">
        <v>100</v>
      </c>
      <c r="Q1270" s="25">
        <v>5950</v>
      </c>
      <c r="R1270" s="24">
        <f>(O1270*Q1270)</f>
        <v>29988000</v>
      </c>
      <c r="S1270" s="20">
        <v>1</v>
      </c>
      <c r="T1270" s="27">
        <f>(R1270*1/100)</f>
        <v>299880</v>
      </c>
      <c r="U1270" s="27">
        <f>(R1270-T1270)</f>
        <v>29688120</v>
      </c>
      <c r="V1270" s="27"/>
      <c r="W1270" s="26"/>
      <c r="X1270" s="27"/>
      <c r="Y1270" s="78"/>
      <c r="Z1270" s="49"/>
    </row>
    <row r="1271" spans="1:26" s="29" customFormat="1" ht="90.75" customHeight="1" x14ac:dyDescent="0.25">
      <c r="A1271" s="20"/>
      <c r="B1271" s="20"/>
      <c r="C1271" s="20"/>
      <c r="D1271" s="21"/>
      <c r="E1271" s="21"/>
      <c r="F1271" s="22"/>
      <c r="G1271" s="23"/>
      <c r="H1271" s="24"/>
      <c r="I1271" s="25"/>
      <c r="J1271" s="24"/>
      <c r="K1271" s="20">
        <v>2</v>
      </c>
      <c r="L1271" s="20" t="s">
        <v>16</v>
      </c>
      <c r="M1271" s="20" t="s">
        <v>13</v>
      </c>
      <c r="N1271" s="20">
        <v>3</v>
      </c>
      <c r="O1271" s="24">
        <v>8</v>
      </c>
      <c r="P1271" s="24">
        <v>100</v>
      </c>
      <c r="Q1271" s="25">
        <v>6450</v>
      </c>
      <c r="R1271" s="24">
        <f>(O1271*Q1271)</f>
        <v>51600</v>
      </c>
      <c r="S1271" s="20">
        <v>1</v>
      </c>
      <c r="T1271" s="27">
        <f>(R1271*1/100)</f>
        <v>516</v>
      </c>
      <c r="U1271" s="27">
        <f>(R1271-T1271)</f>
        <v>51084</v>
      </c>
      <c r="V1271" s="27"/>
      <c r="W1271" s="26"/>
      <c r="X1271" s="27"/>
      <c r="Y1271" s="78"/>
      <c r="Z1271" s="49"/>
    </row>
    <row r="1272" spans="1:26" s="29" customFormat="1" ht="90.75" customHeight="1" x14ac:dyDescent="0.25">
      <c r="A1272" s="20"/>
      <c r="B1272" s="20"/>
      <c r="C1272" s="20"/>
      <c r="D1272" s="21"/>
      <c r="E1272" s="21"/>
      <c r="F1272" s="22"/>
      <c r="G1272" s="23"/>
      <c r="H1272" s="24"/>
      <c r="I1272" s="25"/>
      <c r="J1272" s="24"/>
      <c r="K1272" s="20"/>
      <c r="L1272" s="20"/>
      <c r="M1272" s="20"/>
      <c r="N1272" s="20"/>
      <c r="O1272" s="24"/>
      <c r="P1272" s="24"/>
      <c r="Q1272" s="25"/>
      <c r="R1272" s="24"/>
      <c r="S1272" s="20"/>
      <c r="T1272" s="27"/>
      <c r="U1272" s="27">
        <f>SUM(U1270:U1271)</f>
        <v>29739204</v>
      </c>
      <c r="V1272" s="27">
        <f>(J1269+U1272)</f>
        <v>68767704</v>
      </c>
      <c r="W1272" s="26">
        <f>(V1272*100/100)</f>
        <v>68767704</v>
      </c>
      <c r="X1272" s="27">
        <v>0</v>
      </c>
      <c r="Y1272" s="78">
        <f>(W1272-X1272)</f>
        <v>68767704</v>
      </c>
      <c r="Z1272" s="49" t="s">
        <v>264</v>
      </c>
    </row>
    <row r="1273" spans="1:26" s="29" customFormat="1" ht="90.75" customHeight="1" x14ac:dyDescent="0.25">
      <c r="A1273" s="20">
        <v>897</v>
      </c>
      <c r="B1273" s="20" t="s">
        <v>0</v>
      </c>
      <c r="C1273" s="20">
        <v>55486</v>
      </c>
      <c r="D1273" s="21">
        <v>13</v>
      </c>
      <c r="E1273" s="21">
        <v>3</v>
      </c>
      <c r="F1273" s="22">
        <v>60</v>
      </c>
      <c r="G1273" s="21" t="s">
        <v>209</v>
      </c>
      <c r="H1273" s="24">
        <f>(D1273*400)+(E1273*100)+F1273</f>
        <v>5560</v>
      </c>
      <c r="I1273" s="25">
        <v>4500</v>
      </c>
      <c r="J1273" s="24">
        <f>(H1273*I1273)</f>
        <v>25020000</v>
      </c>
      <c r="K1273" s="37">
        <v>1</v>
      </c>
      <c r="L1273" s="20" t="s">
        <v>15</v>
      </c>
      <c r="M1273" s="20" t="s">
        <v>13</v>
      </c>
      <c r="N1273" s="62">
        <v>3</v>
      </c>
      <c r="O1273" s="24">
        <v>4215</v>
      </c>
      <c r="P1273" s="35">
        <v>100</v>
      </c>
      <c r="Q1273" s="40">
        <v>5950</v>
      </c>
      <c r="R1273" s="77">
        <f>(O1273*Q1273)</f>
        <v>25079250</v>
      </c>
      <c r="S1273" s="37">
        <v>3</v>
      </c>
      <c r="T1273" s="28">
        <f>(R1273*3/100)</f>
        <v>752377.5</v>
      </c>
      <c r="U1273" s="77">
        <f>(R1273-T1273)</f>
        <v>24326872.5</v>
      </c>
      <c r="V1273" s="77"/>
      <c r="W1273" s="36"/>
      <c r="X1273" s="28"/>
      <c r="Y1273" s="77"/>
      <c r="Z1273" s="52"/>
    </row>
    <row r="1274" spans="1:26" s="29" customFormat="1" ht="90.75" customHeight="1" x14ac:dyDescent="0.25">
      <c r="A1274" s="20"/>
      <c r="B1274" s="20"/>
      <c r="C1274" s="20"/>
      <c r="D1274" s="21"/>
      <c r="E1274" s="21"/>
      <c r="F1274" s="22"/>
      <c r="G1274" s="23"/>
      <c r="H1274" s="24"/>
      <c r="I1274" s="25"/>
      <c r="J1274" s="24"/>
      <c r="K1274" s="37">
        <v>2</v>
      </c>
      <c r="L1274" s="20" t="s">
        <v>215</v>
      </c>
      <c r="M1274" s="20" t="s">
        <v>13</v>
      </c>
      <c r="N1274" s="62">
        <v>3</v>
      </c>
      <c r="O1274" s="24">
        <v>26</v>
      </c>
      <c r="P1274" s="35">
        <v>100</v>
      </c>
      <c r="Q1274" s="40">
        <v>6450</v>
      </c>
      <c r="R1274" s="77">
        <f>(O1274*Q1274)</f>
        <v>167700</v>
      </c>
      <c r="S1274" s="37">
        <v>3</v>
      </c>
      <c r="T1274" s="28">
        <f>(R1274*3/100)</f>
        <v>5031</v>
      </c>
      <c r="U1274" s="77">
        <f>(R1274-T1274)</f>
        <v>162669</v>
      </c>
      <c r="V1274" s="77"/>
      <c r="W1274" s="36"/>
      <c r="X1274" s="28"/>
      <c r="Y1274" s="77"/>
      <c r="Z1274" s="52"/>
    </row>
    <row r="1275" spans="1:26" s="29" customFormat="1" ht="90.75" customHeight="1" x14ac:dyDescent="0.25">
      <c r="A1275" s="20"/>
      <c r="B1275" s="20"/>
      <c r="C1275" s="20"/>
      <c r="D1275" s="21"/>
      <c r="E1275" s="21"/>
      <c r="F1275" s="22"/>
      <c r="G1275" s="23"/>
      <c r="H1275" s="24"/>
      <c r="I1275" s="25"/>
      <c r="J1275" s="24"/>
      <c r="K1275" s="37">
        <v>3</v>
      </c>
      <c r="L1275" s="20" t="s">
        <v>31</v>
      </c>
      <c r="M1275" s="20"/>
      <c r="N1275" s="62">
        <v>3</v>
      </c>
      <c r="O1275" s="24">
        <v>240</v>
      </c>
      <c r="P1275" s="35">
        <v>100</v>
      </c>
      <c r="Q1275" s="40">
        <v>2550</v>
      </c>
      <c r="R1275" s="77">
        <f>(O1275*Q1275)</f>
        <v>612000</v>
      </c>
      <c r="S1275" s="37">
        <v>3</v>
      </c>
      <c r="T1275" s="28">
        <f>(R1275*3/100)</f>
        <v>18360</v>
      </c>
      <c r="U1275" s="77">
        <f>(R1275-T1275)</f>
        <v>593640</v>
      </c>
      <c r="V1275" s="77"/>
      <c r="W1275" s="36"/>
      <c r="X1275" s="28"/>
      <c r="Y1275" s="77"/>
      <c r="Z1275" s="52"/>
    </row>
    <row r="1276" spans="1:26" s="29" customFormat="1" ht="90.75" customHeight="1" x14ac:dyDescent="0.25">
      <c r="A1276" s="20"/>
      <c r="B1276" s="20"/>
      <c r="C1276" s="20"/>
      <c r="D1276" s="21"/>
      <c r="E1276" s="21"/>
      <c r="F1276" s="22"/>
      <c r="G1276" s="23"/>
      <c r="H1276" s="24"/>
      <c r="I1276" s="25"/>
      <c r="J1276" s="24"/>
      <c r="K1276" s="41"/>
      <c r="L1276" s="31"/>
      <c r="M1276" s="43"/>
      <c r="N1276" s="41"/>
      <c r="O1276" s="45"/>
      <c r="P1276" s="46"/>
      <c r="Q1276" s="44"/>
      <c r="R1276" s="41"/>
      <c r="S1276" s="41"/>
      <c r="T1276" s="47"/>
      <c r="U1276" s="48">
        <f>SUM(U1273:U1275)</f>
        <v>25083181.5</v>
      </c>
      <c r="V1276" s="48">
        <f>(J1273+U1276)</f>
        <v>50103181.5</v>
      </c>
      <c r="W1276" s="48">
        <f>(V1276*100/100)</f>
        <v>50103181.5</v>
      </c>
      <c r="X1276" s="47">
        <v>0</v>
      </c>
      <c r="Y1276" s="48">
        <f>(W1276-X1276)</f>
        <v>50103181.5</v>
      </c>
      <c r="Z1276" s="49" t="s">
        <v>286</v>
      </c>
    </row>
    <row r="1277" spans="1:26" s="29" customFormat="1" ht="90.75" customHeight="1" x14ac:dyDescent="0.25">
      <c r="A1277" s="20">
        <v>898</v>
      </c>
      <c r="B1277" s="20" t="s">
        <v>0</v>
      </c>
      <c r="C1277" s="20">
        <v>47927</v>
      </c>
      <c r="D1277" s="21">
        <v>2</v>
      </c>
      <c r="E1277" s="21">
        <v>2</v>
      </c>
      <c r="F1277" s="22">
        <v>22</v>
      </c>
      <c r="G1277" s="22" t="s">
        <v>210</v>
      </c>
      <c r="H1277" s="24">
        <f>(D1277*400)+(E1277*100)+F1277</f>
        <v>1022</v>
      </c>
      <c r="I1277" s="25" t="s">
        <v>123</v>
      </c>
      <c r="J1277" s="24">
        <f>(H1277*I1277)</f>
        <v>4599000</v>
      </c>
      <c r="K1277" s="20"/>
      <c r="L1277" s="20" t="s">
        <v>2</v>
      </c>
      <c r="M1277" s="20" t="s">
        <v>2</v>
      </c>
      <c r="N1277" s="20"/>
      <c r="O1277" s="24"/>
      <c r="P1277" s="24"/>
      <c r="Q1277" s="25"/>
      <c r="R1277" s="24"/>
      <c r="S1277" s="20"/>
      <c r="T1277" s="27"/>
      <c r="U1277" s="20"/>
      <c r="V1277" s="48">
        <f>(J1277+U1277)</f>
        <v>4599000</v>
      </c>
      <c r="W1277" s="48">
        <f>(V1277*100/100)</f>
        <v>4599000</v>
      </c>
      <c r="X1277" s="47">
        <v>0</v>
      </c>
      <c r="Y1277" s="48">
        <f>(W1277-X1277)</f>
        <v>4599000</v>
      </c>
      <c r="Z1277" s="49">
        <v>3.0000000000000001E-3</v>
      </c>
    </row>
    <row r="1278" spans="1:26" s="29" customFormat="1" ht="90.75" customHeight="1" x14ac:dyDescent="0.25">
      <c r="A1278" s="20">
        <v>899</v>
      </c>
      <c r="B1278" s="20" t="s">
        <v>0</v>
      </c>
      <c r="C1278" s="20">
        <v>57986</v>
      </c>
      <c r="D1278" s="21">
        <v>13</v>
      </c>
      <c r="E1278" s="21">
        <v>3</v>
      </c>
      <c r="F1278" s="22">
        <v>5</v>
      </c>
      <c r="G1278" s="21" t="s">
        <v>209</v>
      </c>
      <c r="H1278" s="24">
        <f>(D1278*400)+(E1278*100)+F1278</f>
        <v>5505</v>
      </c>
      <c r="I1278" s="25" t="s">
        <v>123</v>
      </c>
      <c r="J1278" s="24">
        <f>(H1278*I1278)</f>
        <v>24772500</v>
      </c>
      <c r="K1278" s="20"/>
      <c r="L1278" s="20"/>
      <c r="M1278" s="20"/>
      <c r="N1278" s="20"/>
      <c r="O1278" s="24"/>
      <c r="P1278" s="24"/>
      <c r="Q1278" s="25"/>
      <c r="R1278" s="24"/>
      <c r="S1278" s="20"/>
      <c r="T1278" s="27"/>
      <c r="U1278" s="20"/>
      <c r="V1278" s="20"/>
      <c r="W1278" s="26"/>
      <c r="X1278" s="27"/>
      <c r="Y1278" s="20"/>
      <c r="Z1278" s="20"/>
    </row>
    <row r="1279" spans="1:26" s="29" customFormat="1" ht="90.75" customHeight="1" x14ac:dyDescent="0.25">
      <c r="A1279" s="20"/>
      <c r="B1279" s="20"/>
      <c r="C1279" s="20"/>
      <c r="D1279" s="21"/>
      <c r="E1279" s="21"/>
      <c r="F1279" s="22"/>
      <c r="G1279" s="23"/>
      <c r="H1279" s="24"/>
      <c r="I1279" s="25"/>
      <c r="J1279" s="24"/>
      <c r="K1279" s="20">
        <v>1</v>
      </c>
      <c r="L1279" s="20" t="s">
        <v>15</v>
      </c>
      <c r="M1279" s="20" t="s">
        <v>202</v>
      </c>
      <c r="N1279" s="20">
        <v>3</v>
      </c>
      <c r="O1279" s="24">
        <v>6361</v>
      </c>
      <c r="P1279" s="24">
        <v>100</v>
      </c>
      <c r="Q1279" s="25">
        <v>5950</v>
      </c>
      <c r="R1279" s="77">
        <f>(O1279*Q1279)</f>
        <v>37847950</v>
      </c>
      <c r="S1279" s="20">
        <v>1</v>
      </c>
      <c r="T1279" s="28">
        <f>(R1279*1/100)</f>
        <v>378479.5</v>
      </c>
      <c r="U1279" s="77">
        <f>(R1279-T1279)</f>
        <v>37469470.5</v>
      </c>
      <c r="V1279" s="20"/>
      <c r="W1279" s="26"/>
      <c r="X1279" s="27"/>
      <c r="Y1279" s="20"/>
      <c r="Z1279" s="20"/>
    </row>
    <row r="1280" spans="1:26" s="29" customFormat="1" ht="90.75" customHeight="1" x14ac:dyDescent="0.25">
      <c r="A1280" s="20"/>
      <c r="B1280" s="20"/>
      <c r="C1280" s="20"/>
      <c r="D1280" s="21"/>
      <c r="E1280" s="21"/>
      <c r="F1280" s="22"/>
      <c r="G1280" s="23"/>
      <c r="H1280" s="24"/>
      <c r="I1280" s="25"/>
      <c r="J1280" s="24"/>
      <c r="K1280" s="20">
        <v>2</v>
      </c>
      <c r="L1280" s="20" t="s">
        <v>27</v>
      </c>
      <c r="M1280" s="20" t="s">
        <v>13</v>
      </c>
      <c r="N1280" s="20">
        <v>3</v>
      </c>
      <c r="O1280" s="24">
        <v>2419</v>
      </c>
      <c r="P1280" s="24">
        <v>100</v>
      </c>
      <c r="Q1280" s="25">
        <v>9150</v>
      </c>
      <c r="R1280" s="77">
        <f>(O1280*Q1280)</f>
        <v>22133850</v>
      </c>
      <c r="S1280" s="20">
        <v>1</v>
      </c>
      <c r="T1280" s="28">
        <f>(R1280*1/100)</f>
        <v>221338.5</v>
      </c>
      <c r="U1280" s="77">
        <f>(R1280-T1280)</f>
        <v>21912511.5</v>
      </c>
      <c r="V1280" s="20"/>
      <c r="W1280" s="26"/>
      <c r="X1280" s="27"/>
      <c r="Y1280" s="20"/>
      <c r="Z1280" s="20"/>
    </row>
    <row r="1281" spans="1:26" s="29" customFormat="1" ht="90.75" customHeight="1" x14ac:dyDescent="0.25">
      <c r="A1281" s="20"/>
      <c r="B1281" s="20"/>
      <c r="C1281" s="20"/>
      <c r="D1281" s="21"/>
      <c r="E1281" s="21"/>
      <c r="F1281" s="22"/>
      <c r="G1281" s="23"/>
      <c r="H1281" s="24"/>
      <c r="I1281" s="25"/>
      <c r="J1281" s="24"/>
      <c r="K1281" s="20">
        <v>3</v>
      </c>
      <c r="L1281" s="20" t="s">
        <v>16</v>
      </c>
      <c r="M1281" s="20" t="s">
        <v>13</v>
      </c>
      <c r="N1281" s="20">
        <v>3</v>
      </c>
      <c r="O1281" s="24">
        <v>6</v>
      </c>
      <c r="P1281" s="24">
        <v>100</v>
      </c>
      <c r="Q1281" s="25">
        <v>6450</v>
      </c>
      <c r="R1281" s="77">
        <f>(O1281*Q1281)</f>
        <v>38700</v>
      </c>
      <c r="S1281" s="20">
        <v>1</v>
      </c>
      <c r="T1281" s="28">
        <f>(R1281*1/100)</f>
        <v>387</v>
      </c>
      <c r="U1281" s="77">
        <f>(R1281-T1281)</f>
        <v>38313</v>
      </c>
      <c r="V1281" s="20"/>
      <c r="W1281" s="26"/>
      <c r="X1281" s="27"/>
      <c r="Y1281" s="20"/>
      <c r="Z1281" s="20"/>
    </row>
    <row r="1282" spans="1:26" s="29" customFormat="1" ht="90.75" customHeight="1" x14ac:dyDescent="0.25">
      <c r="A1282" s="20"/>
      <c r="B1282" s="20"/>
      <c r="C1282" s="20"/>
      <c r="D1282" s="21"/>
      <c r="E1282" s="21"/>
      <c r="F1282" s="22"/>
      <c r="G1282" s="23"/>
      <c r="H1282" s="24"/>
      <c r="I1282" s="25"/>
      <c r="J1282" s="24"/>
      <c r="K1282" s="20"/>
      <c r="L1282" s="20"/>
      <c r="M1282" s="20"/>
      <c r="N1282" s="20"/>
      <c r="O1282" s="24"/>
      <c r="P1282" s="24"/>
      <c r="Q1282" s="25"/>
      <c r="R1282" s="24"/>
      <c r="S1282" s="20"/>
      <c r="T1282" s="27"/>
      <c r="U1282" s="80">
        <f>SUM(U1279:U1281)</f>
        <v>59420295</v>
      </c>
      <c r="V1282" s="80">
        <f>(J1278+U1282)</f>
        <v>84192795</v>
      </c>
      <c r="W1282" s="48">
        <f>(V1282*100/100)</f>
        <v>84192795</v>
      </c>
      <c r="X1282" s="47">
        <v>0</v>
      </c>
      <c r="Y1282" s="48">
        <f>(W1282-X1282)</f>
        <v>84192795</v>
      </c>
      <c r="Z1282" s="49" t="s">
        <v>286</v>
      </c>
    </row>
    <row r="1283" spans="1:26" s="29" customFormat="1" ht="90.75" customHeight="1" x14ac:dyDescent="0.25">
      <c r="A1283" s="20">
        <v>900</v>
      </c>
      <c r="B1283" s="20" t="s">
        <v>0</v>
      </c>
      <c r="C1283" s="20">
        <v>14073</v>
      </c>
      <c r="D1283" s="21">
        <v>55</v>
      </c>
      <c r="E1283" s="21">
        <v>3</v>
      </c>
      <c r="F1283" s="22">
        <v>55</v>
      </c>
      <c r="G1283" s="21" t="s">
        <v>209</v>
      </c>
      <c r="H1283" s="24">
        <f>(D1283*400)+(E1283*100)+F1283</f>
        <v>22355</v>
      </c>
      <c r="I1283" s="25">
        <v>625</v>
      </c>
      <c r="J1283" s="24">
        <f>(H1283*I1283)</f>
        <v>13971875</v>
      </c>
      <c r="K1283" s="20"/>
      <c r="L1283" s="20"/>
      <c r="M1283" s="20"/>
      <c r="N1283" s="20"/>
      <c r="O1283" s="24"/>
      <c r="P1283" s="24"/>
      <c r="Q1283" s="25"/>
      <c r="R1283" s="24"/>
      <c r="S1283" s="20"/>
      <c r="T1283" s="27"/>
      <c r="U1283" s="20"/>
      <c r="V1283" s="20"/>
      <c r="W1283" s="26"/>
      <c r="X1283" s="27"/>
      <c r="Y1283" s="20"/>
      <c r="Z1283" s="20"/>
    </row>
    <row r="1284" spans="1:26" s="29" customFormat="1" ht="90.75" customHeight="1" x14ac:dyDescent="0.25">
      <c r="A1284" s="20"/>
      <c r="B1284" s="20"/>
      <c r="C1284" s="20"/>
      <c r="D1284" s="21"/>
      <c r="E1284" s="21"/>
      <c r="F1284" s="22"/>
      <c r="G1284" s="23"/>
      <c r="H1284" s="24"/>
      <c r="I1284" s="25"/>
      <c r="J1284" s="24"/>
      <c r="K1284" s="20">
        <v>1</v>
      </c>
      <c r="L1284" s="20" t="s">
        <v>14</v>
      </c>
      <c r="M1284" s="20" t="s">
        <v>13</v>
      </c>
      <c r="N1284" s="20">
        <v>3</v>
      </c>
      <c r="O1284" s="24">
        <v>3060</v>
      </c>
      <c r="P1284" s="24">
        <v>100</v>
      </c>
      <c r="Q1284" s="25">
        <v>3500</v>
      </c>
      <c r="R1284" s="77">
        <f>(O1284*Q1284)</f>
        <v>10710000</v>
      </c>
      <c r="S1284" s="20">
        <v>17</v>
      </c>
      <c r="T1284" s="28">
        <f>(R1284*17/100)</f>
        <v>1820700</v>
      </c>
      <c r="U1284" s="77">
        <f>(R1284-T1284)</f>
        <v>8889300</v>
      </c>
      <c r="V1284" s="20"/>
      <c r="W1284" s="26"/>
      <c r="X1284" s="27"/>
      <c r="Y1284" s="20"/>
      <c r="Z1284" s="20"/>
    </row>
    <row r="1285" spans="1:26" s="29" customFormat="1" ht="90.75" customHeight="1" x14ac:dyDescent="0.25">
      <c r="A1285" s="20"/>
      <c r="B1285" s="20"/>
      <c r="C1285" s="20"/>
      <c r="D1285" s="21"/>
      <c r="E1285" s="21"/>
      <c r="F1285" s="22"/>
      <c r="G1285" s="23"/>
      <c r="H1285" s="24"/>
      <c r="I1285" s="25"/>
      <c r="J1285" s="24"/>
      <c r="K1285" s="20">
        <v>2</v>
      </c>
      <c r="L1285" s="20" t="s">
        <v>15</v>
      </c>
      <c r="M1285" s="20" t="s">
        <v>13</v>
      </c>
      <c r="N1285" s="20">
        <v>3</v>
      </c>
      <c r="O1285" s="24">
        <v>4500</v>
      </c>
      <c r="P1285" s="24">
        <v>100</v>
      </c>
      <c r="Q1285" s="25">
        <v>5950</v>
      </c>
      <c r="R1285" s="77">
        <f>(O1285*Q1285)</f>
        <v>26775000</v>
      </c>
      <c r="S1285" s="20">
        <v>17</v>
      </c>
      <c r="T1285" s="28">
        <f>(R1285*17/100)</f>
        <v>4551750</v>
      </c>
      <c r="U1285" s="77">
        <f>(R1285-T1285)</f>
        <v>22223250</v>
      </c>
      <c r="V1285" s="20"/>
      <c r="W1285" s="26"/>
      <c r="X1285" s="27"/>
      <c r="Y1285" s="20"/>
      <c r="Z1285" s="20"/>
    </row>
    <row r="1286" spans="1:26" s="29" customFormat="1" ht="90.75" customHeight="1" x14ac:dyDescent="0.25">
      <c r="A1286" s="20"/>
      <c r="B1286" s="20"/>
      <c r="C1286" s="20"/>
      <c r="D1286" s="21"/>
      <c r="E1286" s="21"/>
      <c r="F1286" s="22"/>
      <c r="G1286" s="23"/>
      <c r="H1286" s="24"/>
      <c r="I1286" s="25"/>
      <c r="J1286" s="24"/>
      <c r="K1286" s="20">
        <v>3</v>
      </c>
      <c r="L1286" s="20" t="s">
        <v>15</v>
      </c>
      <c r="M1286" s="20" t="s">
        <v>13</v>
      </c>
      <c r="N1286" s="20">
        <v>3</v>
      </c>
      <c r="O1286" s="24">
        <v>4500</v>
      </c>
      <c r="P1286" s="24">
        <v>100</v>
      </c>
      <c r="Q1286" s="25">
        <v>5950</v>
      </c>
      <c r="R1286" s="77">
        <f>(O1286*Q1286)</f>
        <v>26775000</v>
      </c>
      <c r="S1286" s="20">
        <v>17</v>
      </c>
      <c r="T1286" s="28">
        <f>(R1286*17/100)</f>
        <v>4551750</v>
      </c>
      <c r="U1286" s="77">
        <f>(R1286-T1286)</f>
        <v>22223250</v>
      </c>
      <c r="V1286" s="20"/>
      <c r="W1286" s="26"/>
      <c r="X1286" s="27"/>
      <c r="Y1286" s="20"/>
      <c r="Z1286" s="20"/>
    </row>
    <row r="1287" spans="1:26" s="29" customFormat="1" ht="90.75" customHeight="1" x14ac:dyDescent="0.25">
      <c r="A1287" s="20"/>
      <c r="B1287" s="20"/>
      <c r="C1287" s="20"/>
      <c r="D1287" s="21"/>
      <c r="E1287" s="21"/>
      <c r="F1287" s="22"/>
      <c r="G1287" s="23"/>
      <c r="H1287" s="24"/>
      <c r="I1287" s="25"/>
      <c r="J1287" s="24"/>
      <c r="K1287" s="20"/>
      <c r="L1287" s="20"/>
      <c r="M1287" s="20"/>
      <c r="N1287" s="20"/>
      <c r="O1287" s="24"/>
      <c r="P1287" s="24"/>
      <c r="Q1287" s="25"/>
      <c r="R1287" s="24"/>
      <c r="S1287" s="20"/>
      <c r="T1287" s="27"/>
      <c r="U1287" s="80">
        <f>SUM(U1284:U1286)</f>
        <v>53335800</v>
      </c>
      <c r="V1287" s="80">
        <f>(J1283+U1287)</f>
        <v>67307675</v>
      </c>
      <c r="W1287" s="26">
        <f>(V1287*100/100)</f>
        <v>67307675</v>
      </c>
      <c r="X1287" s="27">
        <v>0</v>
      </c>
      <c r="Y1287" s="80">
        <f>(W1287-X1287)</f>
        <v>67307675</v>
      </c>
      <c r="Z1287" s="49" t="s">
        <v>286</v>
      </c>
    </row>
    <row r="1288" spans="1:26" s="29" customFormat="1" ht="90.75" customHeight="1" x14ac:dyDescent="0.25">
      <c r="A1288" s="20">
        <v>901</v>
      </c>
      <c r="B1288" s="20" t="s">
        <v>0</v>
      </c>
      <c r="C1288" s="20">
        <v>14615</v>
      </c>
      <c r="D1288" s="21">
        <v>48</v>
      </c>
      <c r="E1288" s="21">
        <v>3</v>
      </c>
      <c r="F1288" s="22">
        <v>17</v>
      </c>
      <c r="G1288" s="21" t="s">
        <v>209</v>
      </c>
      <c r="H1288" s="24">
        <f>(D1288*400)+(E1288*100)+F1288</f>
        <v>19517</v>
      </c>
      <c r="I1288" s="25">
        <v>625</v>
      </c>
      <c r="J1288" s="24">
        <f>(H1288*I1288)</f>
        <v>12198125</v>
      </c>
      <c r="K1288" s="20"/>
      <c r="L1288" s="20"/>
      <c r="M1288" s="20"/>
      <c r="N1288" s="20"/>
      <c r="O1288" s="24"/>
      <c r="P1288" s="24"/>
      <c r="Q1288" s="25"/>
      <c r="R1288" s="24"/>
      <c r="S1288" s="20"/>
      <c r="T1288" s="27"/>
      <c r="U1288" s="20"/>
      <c r="V1288" s="20"/>
      <c r="W1288" s="26"/>
      <c r="X1288" s="27"/>
      <c r="Y1288" s="20"/>
      <c r="Z1288" s="20"/>
    </row>
    <row r="1289" spans="1:26" s="29" customFormat="1" ht="90.75" customHeight="1" x14ac:dyDescent="0.25">
      <c r="A1289" s="20"/>
      <c r="B1289" s="20"/>
      <c r="C1289" s="20"/>
      <c r="D1289" s="21"/>
      <c r="E1289" s="21"/>
      <c r="F1289" s="22"/>
      <c r="G1289" s="23"/>
      <c r="H1289" s="24"/>
      <c r="I1289" s="25"/>
      <c r="J1289" s="24"/>
      <c r="K1289" s="20">
        <v>1</v>
      </c>
      <c r="L1289" s="20" t="s">
        <v>15</v>
      </c>
      <c r="M1289" s="20" t="s">
        <v>30</v>
      </c>
      <c r="N1289" s="20">
        <v>3</v>
      </c>
      <c r="O1289" s="24">
        <v>8000</v>
      </c>
      <c r="P1289" s="24">
        <v>100</v>
      </c>
      <c r="Q1289" s="25">
        <v>5950</v>
      </c>
      <c r="R1289" s="77">
        <f>(O1289*Q1289)</f>
        <v>47600000</v>
      </c>
      <c r="S1289" s="20">
        <v>17</v>
      </c>
      <c r="T1289" s="28">
        <f>(R1289*17/100)</f>
        <v>8092000</v>
      </c>
      <c r="U1289" s="77">
        <f>(R1289-T1289)</f>
        <v>39508000</v>
      </c>
      <c r="V1289" s="20"/>
      <c r="W1289" s="26"/>
      <c r="X1289" s="27"/>
      <c r="Y1289" s="20"/>
      <c r="Z1289" s="20"/>
    </row>
    <row r="1290" spans="1:26" s="29" customFormat="1" ht="90.75" customHeight="1" x14ac:dyDescent="0.25">
      <c r="A1290" s="20"/>
      <c r="B1290" s="20"/>
      <c r="C1290" s="20"/>
      <c r="D1290" s="21"/>
      <c r="E1290" s="21"/>
      <c r="F1290" s="22"/>
      <c r="G1290" s="23"/>
      <c r="H1290" s="24"/>
      <c r="I1290" s="25"/>
      <c r="J1290" s="24"/>
      <c r="K1290" s="20">
        <v>2</v>
      </c>
      <c r="L1290" s="20" t="s">
        <v>15</v>
      </c>
      <c r="M1290" s="20" t="s">
        <v>30</v>
      </c>
      <c r="N1290" s="20">
        <v>3</v>
      </c>
      <c r="O1290" s="24">
        <v>1680</v>
      </c>
      <c r="P1290" s="24">
        <v>100</v>
      </c>
      <c r="Q1290" s="25">
        <v>5950</v>
      </c>
      <c r="R1290" s="77">
        <f>(O1290*Q1290)</f>
        <v>9996000</v>
      </c>
      <c r="S1290" s="20">
        <v>17</v>
      </c>
      <c r="T1290" s="28">
        <f>(R1290*17/100)</f>
        <v>1699320</v>
      </c>
      <c r="U1290" s="77">
        <f>(R1290-T1290)</f>
        <v>8296680</v>
      </c>
      <c r="V1290" s="20"/>
      <c r="W1290" s="26"/>
      <c r="X1290" s="27"/>
      <c r="Y1290" s="20"/>
      <c r="Z1290" s="20"/>
    </row>
    <row r="1291" spans="1:26" s="29" customFormat="1" ht="90.75" customHeight="1" x14ac:dyDescent="0.25">
      <c r="A1291" s="20"/>
      <c r="B1291" s="20"/>
      <c r="C1291" s="20"/>
      <c r="D1291" s="21"/>
      <c r="E1291" s="21"/>
      <c r="F1291" s="22"/>
      <c r="G1291" s="23"/>
      <c r="H1291" s="24"/>
      <c r="I1291" s="25"/>
      <c r="J1291" s="24"/>
      <c r="K1291" s="20">
        <v>3</v>
      </c>
      <c r="L1291" s="20" t="s">
        <v>15</v>
      </c>
      <c r="M1291" s="20" t="s">
        <v>30</v>
      </c>
      <c r="N1291" s="20">
        <v>3</v>
      </c>
      <c r="O1291" s="24">
        <v>4000</v>
      </c>
      <c r="P1291" s="24">
        <v>100</v>
      </c>
      <c r="Q1291" s="25">
        <v>5950</v>
      </c>
      <c r="R1291" s="77">
        <f>(O1291*Q1291)</f>
        <v>23800000</v>
      </c>
      <c r="S1291" s="20">
        <v>17</v>
      </c>
      <c r="T1291" s="28">
        <f>(R1291*17/100)</f>
        <v>4046000</v>
      </c>
      <c r="U1291" s="77">
        <f>(R1291-T1291)</f>
        <v>19754000</v>
      </c>
      <c r="V1291" s="20"/>
      <c r="W1291" s="26"/>
      <c r="X1291" s="27"/>
      <c r="Y1291" s="20"/>
      <c r="Z1291" s="20"/>
    </row>
    <row r="1292" spans="1:26" s="29" customFormat="1" ht="90.75" customHeight="1" x14ac:dyDescent="0.25">
      <c r="A1292" s="20"/>
      <c r="B1292" s="20"/>
      <c r="C1292" s="20"/>
      <c r="D1292" s="21"/>
      <c r="E1292" s="21"/>
      <c r="F1292" s="22"/>
      <c r="G1292" s="23"/>
      <c r="H1292" s="24"/>
      <c r="I1292" s="25"/>
      <c r="J1292" s="24"/>
      <c r="K1292" s="20">
        <v>4</v>
      </c>
      <c r="L1292" s="20" t="s">
        <v>15</v>
      </c>
      <c r="M1292" s="20" t="s">
        <v>30</v>
      </c>
      <c r="N1292" s="20">
        <v>3</v>
      </c>
      <c r="O1292" s="24">
        <v>1122</v>
      </c>
      <c r="P1292" s="24">
        <v>100</v>
      </c>
      <c r="Q1292" s="25">
        <v>5950</v>
      </c>
      <c r="R1292" s="77">
        <f>(O1292*Q1292)</f>
        <v>6675900</v>
      </c>
      <c r="S1292" s="20">
        <v>17</v>
      </c>
      <c r="T1292" s="28">
        <f>(R1292*17/100)</f>
        <v>1134903</v>
      </c>
      <c r="U1292" s="77">
        <f>(R1292-T1292)</f>
        <v>5540997</v>
      </c>
      <c r="V1292" s="20"/>
      <c r="W1292" s="26"/>
      <c r="X1292" s="27"/>
      <c r="Y1292" s="20"/>
      <c r="Z1292" s="20"/>
    </row>
    <row r="1293" spans="1:26" s="29" customFormat="1" ht="90.75" customHeight="1" x14ac:dyDescent="0.25">
      <c r="A1293" s="20"/>
      <c r="B1293" s="20"/>
      <c r="C1293" s="20"/>
      <c r="D1293" s="21"/>
      <c r="E1293" s="21"/>
      <c r="F1293" s="22"/>
      <c r="G1293" s="23"/>
      <c r="H1293" s="24"/>
      <c r="I1293" s="25"/>
      <c r="J1293" s="24"/>
      <c r="K1293" s="20"/>
      <c r="L1293" s="20"/>
      <c r="M1293" s="20"/>
      <c r="N1293" s="20"/>
      <c r="O1293" s="24"/>
      <c r="P1293" s="24"/>
      <c r="Q1293" s="25"/>
      <c r="R1293" s="24"/>
      <c r="S1293" s="20"/>
      <c r="T1293" s="27"/>
      <c r="U1293" s="80">
        <f>SUM(U1289:U1292)</f>
        <v>73099677</v>
      </c>
      <c r="V1293" s="80">
        <f>(J1288+U1293)</f>
        <v>85297802</v>
      </c>
      <c r="W1293" s="26">
        <f>(V1293*100/100)</f>
        <v>85297802</v>
      </c>
      <c r="X1293" s="27">
        <v>0</v>
      </c>
      <c r="Y1293" s="80">
        <f>(W1293-X1293)</f>
        <v>85297802</v>
      </c>
      <c r="Z1293" s="49" t="s">
        <v>286</v>
      </c>
    </row>
    <row r="1294" spans="1:26" s="29" customFormat="1" ht="90.75" customHeight="1" x14ac:dyDescent="0.25">
      <c r="A1294" s="20">
        <v>902</v>
      </c>
      <c r="B1294" s="20" t="s">
        <v>0</v>
      </c>
      <c r="C1294" s="20">
        <v>14636</v>
      </c>
      <c r="D1294" s="21">
        <v>49</v>
      </c>
      <c r="E1294" s="21">
        <v>1</v>
      </c>
      <c r="F1294" s="22">
        <v>21</v>
      </c>
      <c r="G1294" s="21" t="s">
        <v>209</v>
      </c>
      <c r="H1294" s="24">
        <f>(D1294*400)+(E1294*100)+F1294</f>
        <v>19721</v>
      </c>
      <c r="I1294" s="25">
        <v>625</v>
      </c>
      <c r="J1294" s="24">
        <f>(H1294*I1294)</f>
        <v>12325625</v>
      </c>
      <c r="K1294" s="37"/>
      <c r="L1294" s="37"/>
      <c r="M1294" s="37"/>
      <c r="N1294" s="37"/>
      <c r="O1294" s="65"/>
      <c r="P1294" s="37"/>
      <c r="Q1294" s="79"/>
      <c r="R1294" s="37"/>
      <c r="S1294" s="37"/>
      <c r="T1294" s="65"/>
      <c r="U1294" s="37"/>
      <c r="V1294" s="20"/>
      <c r="W1294" s="26"/>
      <c r="X1294" s="27"/>
      <c r="Y1294" s="20"/>
      <c r="Z1294" s="20"/>
    </row>
    <row r="1295" spans="1:26" s="29" customFormat="1" ht="90.75" customHeight="1" x14ac:dyDescent="0.25">
      <c r="A1295" s="20"/>
      <c r="B1295" s="20"/>
      <c r="C1295" s="20"/>
      <c r="D1295" s="21"/>
      <c r="E1295" s="21"/>
      <c r="F1295" s="22"/>
      <c r="G1295" s="23"/>
      <c r="H1295" s="24"/>
      <c r="I1295" s="25"/>
      <c r="J1295" s="24"/>
      <c r="K1295" s="20">
        <v>1</v>
      </c>
      <c r="L1295" s="20" t="s">
        <v>15</v>
      </c>
      <c r="M1295" s="20" t="s">
        <v>30</v>
      </c>
      <c r="N1295" s="20">
        <v>3</v>
      </c>
      <c r="O1295" s="24">
        <v>18400</v>
      </c>
      <c r="P1295" s="24">
        <v>100</v>
      </c>
      <c r="Q1295" s="25">
        <v>5950</v>
      </c>
      <c r="R1295" s="77">
        <f>(O1295*Q1295)</f>
        <v>109480000</v>
      </c>
      <c r="S1295" s="20">
        <v>17</v>
      </c>
      <c r="T1295" s="28">
        <f>(R1295*17/100)</f>
        <v>18611600</v>
      </c>
      <c r="U1295" s="77">
        <f>(R1295-T1295)</f>
        <v>90868400</v>
      </c>
      <c r="V1295" s="20"/>
      <c r="W1295" s="26"/>
      <c r="X1295" s="27"/>
      <c r="Y1295" s="20"/>
      <c r="Z1295" s="20"/>
    </row>
    <row r="1296" spans="1:26" s="29" customFormat="1" ht="90.75" customHeight="1" x14ac:dyDescent="0.25">
      <c r="A1296" s="20"/>
      <c r="B1296" s="20"/>
      <c r="C1296" s="20"/>
      <c r="D1296" s="21"/>
      <c r="E1296" s="21"/>
      <c r="F1296" s="22"/>
      <c r="G1296" s="23"/>
      <c r="H1296" s="24"/>
      <c r="I1296" s="25"/>
      <c r="J1296" s="24"/>
      <c r="K1296" s="20">
        <v>2</v>
      </c>
      <c r="L1296" s="20" t="s">
        <v>15</v>
      </c>
      <c r="M1296" s="20" t="s">
        <v>30</v>
      </c>
      <c r="N1296" s="20">
        <v>3</v>
      </c>
      <c r="O1296" s="24">
        <v>4500</v>
      </c>
      <c r="P1296" s="24">
        <v>100</v>
      </c>
      <c r="Q1296" s="25">
        <v>5950</v>
      </c>
      <c r="R1296" s="77">
        <f>(O1296*Q1296)</f>
        <v>26775000</v>
      </c>
      <c r="S1296" s="20">
        <v>17</v>
      </c>
      <c r="T1296" s="28">
        <f>(R1296*17/100)</f>
        <v>4551750</v>
      </c>
      <c r="U1296" s="77">
        <f>(R1296-T1296)</f>
        <v>22223250</v>
      </c>
      <c r="V1296" s="20"/>
      <c r="W1296" s="26"/>
      <c r="X1296" s="27"/>
      <c r="Y1296" s="20"/>
      <c r="Z1296" s="20"/>
    </row>
    <row r="1297" spans="1:26" s="29" customFormat="1" ht="90.75" customHeight="1" x14ac:dyDescent="0.25">
      <c r="A1297" s="20"/>
      <c r="B1297" s="20"/>
      <c r="C1297" s="20"/>
      <c r="D1297" s="21"/>
      <c r="E1297" s="21"/>
      <c r="F1297" s="22"/>
      <c r="G1297" s="23"/>
      <c r="H1297" s="24"/>
      <c r="I1297" s="25"/>
      <c r="J1297" s="24"/>
      <c r="K1297" s="20"/>
      <c r="L1297" s="20"/>
      <c r="M1297" s="20"/>
      <c r="N1297" s="20"/>
      <c r="O1297" s="24"/>
      <c r="P1297" s="24"/>
      <c r="Q1297" s="25"/>
      <c r="R1297" s="24"/>
      <c r="S1297" s="20"/>
      <c r="T1297" s="27"/>
      <c r="U1297" s="80">
        <f>SUM(U1295:U1296)</f>
        <v>113091650</v>
      </c>
      <c r="V1297" s="80">
        <f>(J1294+U1297)</f>
        <v>125417275</v>
      </c>
      <c r="W1297" s="26">
        <f t="shared" ref="W1297:W1303" si="190">(V1297*100/100)</f>
        <v>125417275</v>
      </c>
      <c r="X1297" s="27">
        <v>0</v>
      </c>
      <c r="Y1297" s="80">
        <f t="shared" ref="Y1297:Y1303" si="191">(W1297-X1297)</f>
        <v>125417275</v>
      </c>
      <c r="Z1297" s="49" t="s">
        <v>286</v>
      </c>
    </row>
    <row r="1298" spans="1:26" s="29" customFormat="1" ht="90.75" customHeight="1" x14ac:dyDescent="0.25">
      <c r="A1298" s="20">
        <v>903</v>
      </c>
      <c r="B1298" s="20" t="s">
        <v>0</v>
      </c>
      <c r="C1298" s="20">
        <v>6820</v>
      </c>
      <c r="D1298" s="21">
        <v>16</v>
      </c>
      <c r="E1298" s="21">
        <v>3</v>
      </c>
      <c r="F1298" s="22">
        <v>63</v>
      </c>
      <c r="G1298" s="23" t="s">
        <v>198</v>
      </c>
      <c r="H1298" s="24">
        <f t="shared" ref="H1298:H1304" si="192">(D1298*400)+(E1298*100)+F1298</f>
        <v>6763</v>
      </c>
      <c r="I1298" s="25" t="s">
        <v>8</v>
      </c>
      <c r="J1298" s="24">
        <f t="shared" ref="J1298:J1304" si="193">(H1298*I1298)</f>
        <v>2705200</v>
      </c>
      <c r="K1298" s="20"/>
      <c r="L1298" s="20"/>
      <c r="M1298" s="20"/>
      <c r="N1298" s="20"/>
      <c r="O1298" s="24"/>
      <c r="P1298" s="24"/>
      <c r="Q1298" s="25"/>
      <c r="R1298" s="24"/>
      <c r="S1298" s="20"/>
      <c r="T1298" s="27"/>
      <c r="U1298" s="20"/>
      <c r="V1298" s="90">
        <f t="shared" ref="V1298:V1303" si="194">(J1298+U1298)</f>
        <v>2705200</v>
      </c>
      <c r="W1298" s="90">
        <f t="shared" si="190"/>
        <v>2705200</v>
      </c>
      <c r="X1298" s="89">
        <v>0</v>
      </c>
      <c r="Y1298" s="48">
        <f t="shared" si="191"/>
        <v>2705200</v>
      </c>
      <c r="Z1298" s="49">
        <v>1E-4</v>
      </c>
    </row>
    <row r="1299" spans="1:26" s="29" customFormat="1" ht="90.75" customHeight="1" x14ac:dyDescent="0.25">
      <c r="A1299" s="20">
        <v>904</v>
      </c>
      <c r="B1299" s="20" t="s">
        <v>0</v>
      </c>
      <c r="C1299" s="20">
        <v>11588</v>
      </c>
      <c r="D1299" s="21">
        <v>18</v>
      </c>
      <c r="E1299" s="21">
        <v>1</v>
      </c>
      <c r="F1299" s="22">
        <v>56</v>
      </c>
      <c r="G1299" s="23" t="s">
        <v>198</v>
      </c>
      <c r="H1299" s="24">
        <f t="shared" si="192"/>
        <v>7356</v>
      </c>
      <c r="I1299" s="25" t="s">
        <v>22</v>
      </c>
      <c r="J1299" s="24">
        <f t="shared" si="193"/>
        <v>3861900</v>
      </c>
      <c r="K1299" s="20"/>
      <c r="L1299" s="20"/>
      <c r="M1299" s="20"/>
      <c r="N1299" s="20"/>
      <c r="O1299" s="24"/>
      <c r="P1299" s="24"/>
      <c r="Q1299" s="25"/>
      <c r="R1299" s="24"/>
      <c r="S1299" s="20"/>
      <c r="T1299" s="27"/>
      <c r="U1299" s="20"/>
      <c r="V1299" s="90">
        <f t="shared" si="194"/>
        <v>3861900</v>
      </c>
      <c r="W1299" s="90">
        <f t="shared" si="190"/>
        <v>3861900</v>
      </c>
      <c r="X1299" s="89">
        <v>0</v>
      </c>
      <c r="Y1299" s="48">
        <f t="shared" si="191"/>
        <v>3861900</v>
      </c>
      <c r="Z1299" s="49">
        <v>1E-4</v>
      </c>
    </row>
    <row r="1300" spans="1:26" s="29" customFormat="1" ht="90.75" customHeight="1" x14ac:dyDescent="0.25">
      <c r="A1300" s="20">
        <v>905</v>
      </c>
      <c r="B1300" s="20" t="s">
        <v>0</v>
      </c>
      <c r="C1300" s="20">
        <v>15250</v>
      </c>
      <c r="D1300" s="21">
        <v>20</v>
      </c>
      <c r="E1300" s="21">
        <v>1</v>
      </c>
      <c r="F1300" s="22">
        <v>14</v>
      </c>
      <c r="G1300" s="23" t="s">
        <v>198</v>
      </c>
      <c r="H1300" s="24">
        <f t="shared" si="192"/>
        <v>8114</v>
      </c>
      <c r="I1300" s="25" t="s">
        <v>157</v>
      </c>
      <c r="J1300" s="24">
        <f t="shared" si="193"/>
        <v>23936300</v>
      </c>
      <c r="K1300" s="20"/>
      <c r="L1300" s="20" t="s">
        <v>2</v>
      </c>
      <c r="M1300" s="20" t="s">
        <v>2</v>
      </c>
      <c r="N1300" s="20"/>
      <c r="O1300" s="24"/>
      <c r="P1300" s="24"/>
      <c r="Q1300" s="25"/>
      <c r="R1300" s="24"/>
      <c r="S1300" s="20" t="s">
        <v>2</v>
      </c>
      <c r="T1300" s="27"/>
      <c r="U1300" s="20"/>
      <c r="V1300" s="90">
        <f t="shared" si="194"/>
        <v>23936300</v>
      </c>
      <c r="W1300" s="90">
        <f t="shared" si="190"/>
        <v>23936300</v>
      </c>
      <c r="X1300" s="89">
        <v>0</v>
      </c>
      <c r="Y1300" s="48">
        <f t="shared" si="191"/>
        <v>23936300</v>
      </c>
      <c r="Z1300" s="49">
        <v>1E-4</v>
      </c>
    </row>
    <row r="1301" spans="1:26" s="29" customFormat="1" ht="90.75" customHeight="1" x14ac:dyDescent="0.25">
      <c r="A1301" s="20">
        <v>906</v>
      </c>
      <c r="B1301" s="20" t="s">
        <v>0</v>
      </c>
      <c r="C1301" s="20">
        <v>15249</v>
      </c>
      <c r="D1301" s="21">
        <v>47</v>
      </c>
      <c r="E1301" s="21">
        <v>1</v>
      </c>
      <c r="F1301" s="22">
        <v>8</v>
      </c>
      <c r="G1301" s="23" t="s">
        <v>198</v>
      </c>
      <c r="H1301" s="24">
        <f t="shared" si="192"/>
        <v>18908</v>
      </c>
      <c r="I1301" s="25" t="s">
        <v>155</v>
      </c>
      <c r="J1301" s="24">
        <f t="shared" si="193"/>
        <v>58614800</v>
      </c>
      <c r="K1301" s="20"/>
      <c r="L1301" s="20" t="s">
        <v>2</v>
      </c>
      <c r="M1301" s="20" t="s">
        <v>2</v>
      </c>
      <c r="N1301" s="20"/>
      <c r="O1301" s="24"/>
      <c r="P1301" s="24"/>
      <c r="Q1301" s="25"/>
      <c r="R1301" s="24"/>
      <c r="S1301" s="20" t="s">
        <v>2</v>
      </c>
      <c r="T1301" s="27"/>
      <c r="U1301" s="20"/>
      <c r="V1301" s="90">
        <f t="shared" si="194"/>
        <v>58614800</v>
      </c>
      <c r="W1301" s="90">
        <f t="shared" si="190"/>
        <v>58614800</v>
      </c>
      <c r="X1301" s="89">
        <v>0</v>
      </c>
      <c r="Y1301" s="48">
        <f t="shared" si="191"/>
        <v>58614800</v>
      </c>
      <c r="Z1301" s="49">
        <v>1E-4</v>
      </c>
    </row>
    <row r="1302" spans="1:26" s="29" customFormat="1" ht="90.75" customHeight="1" x14ac:dyDescent="0.25">
      <c r="A1302" s="20">
        <v>907</v>
      </c>
      <c r="B1302" s="20" t="s">
        <v>0</v>
      </c>
      <c r="C1302" s="20">
        <v>15254</v>
      </c>
      <c r="D1302" s="21">
        <v>4</v>
      </c>
      <c r="E1302" s="21">
        <v>0</v>
      </c>
      <c r="F1302" s="22">
        <v>64</v>
      </c>
      <c r="G1302" s="23" t="s">
        <v>198</v>
      </c>
      <c r="H1302" s="24">
        <f t="shared" si="192"/>
        <v>1664</v>
      </c>
      <c r="I1302" s="25" t="s">
        <v>9</v>
      </c>
      <c r="J1302" s="24">
        <f t="shared" si="193"/>
        <v>499200</v>
      </c>
      <c r="K1302" s="20"/>
      <c r="L1302" s="20" t="s">
        <v>2</v>
      </c>
      <c r="M1302" s="20" t="s">
        <v>2</v>
      </c>
      <c r="N1302" s="20"/>
      <c r="O1302" s="24"/>
      <c r="P1302" s="24"/>
      <c r="Q1302" s="25"/>
      <c r="R1302" s="24"/>
      <c r="S1302" s="20" t="s">
        <v>2</v>
      </c>
      <c r="T1302" s="27"/>
      <c r="U1302" s="20"/>
      <c r="V1302" s="90">
        <f t="shared" si="194"/>
        <v>499200</v>
      </c>
      <c r="W1302" s="90">
        <f t="shared" si="190"/>
        <v>499200</v>
      </c>
      <c r="X1302" s="89">
        <v>0</v>
      </c>
      <c r="Y1302" s="48">
        <f t="shared" si="191"/>
        <v>499200</v>
      </c>
      <c r="Z1302" s="49">
        <v>1E-4</v>
      </c>
    </row>
    <row r="1303" spans="1:26" s="29" customFormat="1" ht="90.75" customHeight="1" x14ac:dyDescent="0.25">
      <c r="A1303" s="20">
        <v>908</v>
      </c>
      <c r="B1303" s="20" t="s">
        <v>0</v>
      </c>
      <c r="C1303" s="20">
        <v>15255</v>
      </c>
      <c r="D1303" s="21">
        <v>31</v>
      </c>
      <c r="E1303" s="21">
        <v>0</v>
      </c>
      <c r="F1303" s="22">
        <v>44</v>
      </c>
      <c r="G1303" s="23" t="s">
        <v>198</v>
      </c>
      <c r="H1303" s="24">
        <f t="shared" si="192"/>
        <v>12444</v>
      </c>
      <c r="I1303" s="25" t="s">
        <v>9</v>
      </c>
      <c r="J1303" s="24">
        <f t="shared" si="193"/>
        <v>3733200</v>
      </c>
      <c r="K1303" s="20"/>
      <c r="L1303" s="20" t="s">
        <v>2</v>
      </c>
      <c r="M1303" s="20" t="s">
        <v>2</v>
      </c>
      <c r="N1303" s="20"/>
      <c r="O1303" s="24"/>
      <c r="P1303" s="24"/>
      <c r="Q1303" s="25"/>
      <c r="R1303" s="24"/>
      <c r="S1303" s="20" t="s">
        <v>2</v>
      </c>
      <c r="T1303" s="27"/>
      <c r="U1303" s="20"/>
      <c r="V1303" s="90">
        <f t="shared" si="194"/>
        <v>3733200</v>
      </c>
      <c r="W1303" s="90">
        <f t="shared" si="190"/>
        <v>3733200</v>
      </c>
      <c r="X1303" s="89">
        <v>0</v>
      </c>
      <c r="Y1303" s="48">
        <f t="shared" si="191"/>
        <v>3733200</v>
      </c>
      <c r="Z1303" s="49">
        <v>1E-4</v>
      </c>
    </row>
    <row r="1304" spans="1:26" s="29" customFormat="1" ht="90.75" customHeight="1" x14ac:dyDescent="0.25">
      <c r="A1304" s="20">
        <v>909</v>
      </c>
      <c r="B1304" s="20" t="s">
        <v>0</v>
      </c>
      <c r="C1304" s="20">
        <v>47950</v>
      </c>
      <c r="D1304" s="21">
        <v>13</v>
      </c>
      <c r="E1304" s="21">
        <v>0</v>
      </c>
      <c r="F1304" s="22">
        <v>8</v>
      </c>
      <c r="G1304" s="21" t="s">
        <v>209</v>
      </c>
      <c r="H1304" s="24">
        <f t="shared" si="192"/>
        <v>5208</v>
      </c>
      <c r="I1304" s="25" t="s">
        <v>123</v>
      </c>
      <c r="J1304" s="24">
        <f t="shared" si="193"/>
        <v>23436000</v>
      </c>
      <c r="K1304" s="37">
        <v>1</v>
      </c>
      <c r="L1304" s="20" t="s">
        <v>93</v>
      </c>
      <c r="M1304" s="20" t="s">
        <v>24</v>
      </c>
      <c r="N1304" s="62">
        <v>3</v>
      </c>
      <c r="O1304" s="24">
        <v>780</v>
      </c>
      <c r="P1304" s="35">
        <v>100</v>
      </c>
      <c r="Q1304" s="40">
        <v>7100</v>
      </c>
      <c r="R1304" s="77">
        <f t="shared" ref="R1304:R1309" si="195">(O1304*Q1304)</f>
        <v>5538000</v>
      </c>
      <c r="S1304" s="37">
        <v>8</v>
      </c>
      <c r="T1304" s="28">
        <f>(R1304*8/100)</f>
        <v>443040</v>
      </c>
      <c r="U1304" s="77">
        <f t="shared" ref="U1304:U1309" si="196">(R1304-T1304)</f>
        <v>5094960</v>
      </c>
      <c r="V1304" s="77"/>
      <c r="W1304" s="36"/>
      <c r="X1304" s="28"/>
      <c r="Y1304" s="77"/>
      <c r="Z1304" s="20"/>
    </row>
    <row r="1305" spans="1:26" s="29" customFormat="1" ht="90.75" customHeight="1" x14ac:dyDescent="0.25">
      <c r="A1305" s="20"/>
      <c r="B1305" s="20"/>
      <c r="C1305" s="20"/>
      <c r="D1305" s="21"/>
      <c r="E1305" s="21"/>
      <c r="F1305" s="22"/>
      <c r="G1305" s="23"/>
      <c r="H1305" s="24"/>
      <c r="I1305" s="25"/>
      <c r="J1305" s="24"/>
      <c r="K1305" s="37">
        <v>2</v>
      </c>
      <c r="L1305" s="20" t="s">
        <v>14</v>
      </c>
      <c r="M1305" s="20" t="s">
        <v>13</v>
      </c>
      <c r="N1305" s="62">
        <v>3</v>
      </c>
      <c r="O1305" s="24">
        <v>9072</v>
      </c>
      <c r="P1305" s="35">
        <v>100</v>
      </c>
      <c r="Q1305" s="40">
        <v>3500</v>
      </c>
      <c r="R1305" s="77">
        <f t="shared" si="195"/>
        <v>31752000</v>
      </c>
      <c r="S1305" s="37">
        <v>8</v>
      </c>
      <c r="T1305" s="28">
        <f>(R1305*8/100)</f>
        <v>2540160</v>
      </c>
      <c r="U1305" s="77">
        <f t="shared" si="196"/>
        <v>29211840</v>
      </c>
      <c r="V1305" s="77"/>
      <c r="W1305" s="36"/>
      <c r="X1305" s="28"/>
      <c r="Y1305" s="77"/>
      <c r="Z1305" s="20"/>
    </row>
    <row r="1306" spans="1:26" s="29" customFormat="1" ht="90.75" customHeight="1" x14ac:dyDescent="0.25">
      <c r="A1306" s="20"/>
      <c r="B1306" s="20"/>
      <c r="C1306" s="20"/>
      <c r="D1306" s="21"/>
      <c r="E1306" s="21"/>
      <c r="F1306" s="22"/>
      <c r="G1306" s="23"/>
      <c r="H1306" s="24"/>
      <c r="I1306" s="25"/>
      <c r="J1306" s="24"/>
      <c r="K1306" s="37">
        <v>3</v>
      </c>
      <c r="L1306" s="20" t="s">
        <v>215</v>
      </c>
      <c r="M1306" s="20" t="s">
        <v>13</v>
      </c>
      <c r="N1306" s="62">
        <v>3</v>
      </c>
      <c r="O1306" s="24">
        <v>14</v>
      </c>
      <c r="P1306" s="35">
        <v>100</v>
      </c>
      <c r="Q1306" s="40">
        <v>6450</v>
      </c>
      <c r="R1306" s="77">
        <f t="shared" si="195"/>
        <v>90300</v>
      </c>
      <c r="S1306" s="37">
        <v>8</v>
      </c>
      <c r="T1306" s="28">
        <f>(R1306*8/100)</f>
        <v>7224</v>
      </c>
      <c r="U1306" s="77">
        <f t="shared" si="196"/>
        <v>83076</v>
      </c>
      <c r="V1306" s="77"/>
      <c r="W1306" s="36"/>
      <c r="X1306" s="28"/>
      <c r="Y1306" s="77"/>
      <c r="Z1306" s="20"/>
    </row>
    <row r="1307" spans="1:26" s="29" customFormat="1" ht="90.75" customHeight="1" x14ac:dyDescent="0.25">
      <c r="A1307" s="20"/>
      <c r="B1307" s="20"/>
      <c r="C1307" s="20"/>
      <c r="D1307" s="21"/>
      <c r="E1307" s="21"/>
      <c r="F1307" s="22"/>
      <c r="G1307" s="23"/>
      <c r="H1307" s="24"/>
      <c r="I1307" s="25"/>
      <c r="J1307" s="24"/>
      <c r="K1307" s="37">
        <v>4</v>
      </c>
      <c r="L1307" s="20" t="s">
        <v>215</v>
      </c>
      <c r="M1307" s="20" t="s">
        <v>13</v>
      </c>
      <c r="N1307" s="62">
        <v>3</v>
      </c>
      <c r="O1307" s="24">
        <v>14</v>
      </c>
      <c r="P1307" s="35">
        <v>100</v>
      </c>
      <c r="Q1307" s="40">
        <v>6450</v>
      </c>
      <c r="R1307" s="77">
        <f t="shared" si="195"/>
        <v>90300</v>
      </c>
      <c r="S1307" s="37">
        <v>8</v>
      </c>
      <c r="T1307" s="28">
        <f>(R1307*8/100)</f>
        <v>7224</v>
      </c>
      <c r="U1307" s="77">
        <f t="shared" si="196"/>
        <v>83076</v>
      </c>
      <c r="V1307" s="77"/>
      <c r="W1307" s="36"/>
      <c r="X1307" s="28"/>
      <c r="Y1307" s="77"/>
      <c r="Z1307" s="20"/>
    </row>
    <row r="1308" spans="1:26" s="29" customFormat="1" ht="90.75" customHeight="1" x14ac:dyDescent="0.25">
      <c r="A1308" s="20"/>
      <c r="B1308" s="20"/>
      <c r="C1308" s="20"/>
      <c r="D1308" s="21"/>
      <c r="E1308" s="21"/>
      <c r="F1308" s="22"/>
      <c r="G1308" s="23"/>
      <c r="H1308" s="24"/>
      <c r="I1308" s="25"/>
      <c r="J1308" s="24"/>
      <c r="K1308" s="37">
        <v>5</v>
      </c>
      <c r="L1308" s="20" t="s">
        <v>31</v>
      </c>
      <c r="M1308" s="20" t="s">
        <v>13</v>
      </c>
      <c r="N1308" s="62">
        <v>3</v>
      </c>
      <c r="O1308" s="24">
        <v>168</v>
      </c>
      <c r="P1308" s="35">
        <v>100</v>
      </c>
      <c r="Q1308" s="40">
        <v>2550</v>
      </c>
      <c r="R1308" s="77">
        <f t="shared" si="195"/>
        <v>428400</v>
      </c>
      <c r="S1308" s="37">
        <v>3</v>
      </c>
      <c r="T1308" s="28">
        <f>(R1308*3/100)</f>
        <v>12852</v>
      </c>
      <c r="U1308" s="77">
        <f t="shared" si="196"/>
        <v>415548</v>
      </c>
      <c r="V1308" s="77"/>
      <c r="W1308" s="36"/>
      <c r="X1308" s="28"/>
      <c r="Y1308" s="77"/>
      <c r="Z1308" s="20"/>
    </row>
    <row r="1309" spans="1:26" s="29" customFormat="1" ht="90.75" customHeight="1" x14ac:dyDescent="0.25">
      <c r="A1309" s="20"/>
      <c r="B1309" s="20"/>
      <c r="C1309" s="20"/>
      <c r="D1309" s="21"/>
      <c r="E1309" s="21"/>
      <c r="F1309" s="22"/>
      <c r="G1309" s="23"/>
      <c r="H1309" s="24"/>
      <c r="I1309" s="25"/>
      <c r="J1309" s="24"/>
      <c r="K1309" s="37">
        <v>6</v>
      </c>
      <c r="L1309" s="20" t="s">
        <v>31</v>
      </c>
      <c r="M1309" s="20"/>
      <c r="N1309" s="62">
        <v>3</v>
      </c>
      <c r="O1309" s="24">
        <v>82.5</v>
      </c>
      <c r="P1309" s="35">
        <v>100</v>
      </c>
      <c r="Q1309" s="40">
        <v>2550</v>
      </c>
      <c r="R1309" s="77">
        <f t="shared" si="195"/>
        <v>210375</v>
      </c>
      <c r="S1309" s="37">
        <v>3</v>
      </c>
      <c r="T1309" s="28">
        <f>(R1309*3/100)</f>
        <v>6311.25</v>
      </c>
      <c r="U1309" s="77">
        <f t="shared" si="196"/>
        <v>204063.75</v>
      </c>
      <c r="V1309" s="77"/>
      <c r="W1309" s="36"/>
      <c r="X1309" s="28"/>
      <c r="Y1309" s="77"/>
      <c r="Z1309" s="20"/>
    </row>
    <row r="1310" spans="1:26" s="29" customFormat="1" ht="90.75" customHeight="1" x14ac:dyDescent="0.25">
      <c r="A1310" s="20"/>
      <c r="B1310" s="20"/>
      <c r="C1310" s="20"/>
      <c r="D1310" s="21"/>
      <c r="E1310" s="21"/>
      <c r="F1310" s="22"/>
      <c r="G1310" s="23"/>
      <c r="H1310" s="24"/>
      <c r="I1310" s="25"/>
      <c r="J1310" s="24"/>
      <c r="K1310" s="33"/>
      <c r="L1310" s="31"/>
      <c r="M1310" s="43"/>
      <c r="N1310" s="30"/>
      <c r="O1310" s="88"/>
      <c r="P1310" s="82"/>
      <c r="Q1310" s="83"/>
      <c r="R1310" s="33"/>
      <c r="S1310" s="33"/>
      <c r="T1310" s="89"/>
      <c r="U1310" s="90">
        <f>SUM(U1304:U1309)</f>
        <v>35092563.75</v>
      </c>
      <c r="V1310" s="90">
        <f>(J1304+U1310)</f>
        <v>58528563.75</v>
      </c>
      <c r="W1310" s="90">
        <f>(V1310*100/100)</f>
        <v>58528563.75</v>
      </c>
      <c r="X1310" s="89">
        <v>0</v>
      </c>
      <c r="Y1310" s="48">
        <f>(W1310-X1310)</f>
        <v>58528563.75</v>
      </c>
      <c r="Z1310" s="20" t="s">
        <v>283</v>
      </c>
    </row>
    <row r="1311" spans="1:26" s="29" customFormat="1" ht="90.75" customHeight="1" x14ac:dyDescent="0.25">
      <c r="A1311" s="37">
        <v>910</v>
      </c>
      <c r="B1311" s="37" t="s">
        <v>213</v>
      </c>
      <c r="C1311" s="37">
        <v>751</v>
      </c>
      <c r="D1311" s="37">
        <v>10</v>
      </c>
      <c r="E1311" s="37">
        <v>2</v>
      </c>
      <c r="F1311" s="37">
        <v>10</v>
      </c>
      <c r="G1311" s="91" t="s">
        <v>198</v>
      </c>
      <c r="H1311" s="24">
        <f>(D1311*400)+(E1311*100)+F1311</f>
        <v>4210</v>
      </c>
      <c r="I1311" s="25">
        <v>200</v>
      </c>
      <c r="J1311" s="24">
        <f t="shared" ref="J1311:J1335" si="197">(H1311*I1311)</f>
        <v>842000</v>
      </c>
      <c r="K1311" s="37"/>
      <c r="L1311" s="37"/>
      <c r="M1311" s="37"/>
      <c r="N1311" s="37"/>
      <c r="O1311" s="27"/>
      <c r="P1311" s="20"/>
      <c r="Q1311" s="64"/>
      <c r="R1311" s="20"/>
      <c r="S1311" s="37"/>
      <c r="T1311" s="65"/>
      <c r="U1311" s="37"/>
      <c r="V1311" s="90">
        <f>(J1311+U1311)</f>
        <v>842000</v>
      </c>
      <c r="W1311" s="90">
        <f>(V1311*100/100)</f>
        <v>842000</v>
      </c>
      <c r="X1311" s="89">
        <v>0</v>
      </c>
      <c r="Y1311" s="48">
        <f>(W1311-X1311)</f>
        <v>842000</v>
      </c>
      <c r="Z1311" s="49">
        <v>1E-4</v>
      </c>
    </row>
    <row r="1312" spans="1:26" s="29" customFormat="1" ht="90.75" customHeight="1" x14ac:dyDescent="0.25">
      <c r="A1312" s="20">
        <v>911</v>
      </c>
      <c r="B1312" s="37" t="s">
        <v>213</v>
      </c>
      <c r="C1312" s="37">
        <v>752</v>
      </c>
      <c r="D1312" s="37">
        <v>12</v>
      </c>
      <c r="E1312" s="37">
        <v>3</v>
      </c>
      <c r="F1312" s="37">
        <v>30</v>
      </c>
      <c r="G1312" s="91" t="s">
        <v>198</v>
      </c>
      <c r="H1312" s="24">
        <f>(D1312*400)+(E1312*100)+F1312</f>
        <v>5130</v>
      </c>
      <c r="I1312" s="25">
        <v>200</v>
      </c>
      <c r="J1312" s="24">
        <f t="shared" si="197"/>
        <v>1026000</v>
      </c>
      <c r="K1312" s="37"/>
      <c r="L1312" s="37"/>
      <c r="M1312" s="37"/>
      <c r="N1312" s="37"/>
      <c r="O1312" s="27"/>
      <c r="P1312" s="20"/>
      <c r="Q1312" s="64"/>
      <c r="R1312" s="20"/>
      <c r="S1312" s="37"/>
      <c r="T1312" s="65"/>
      <c r="U1312" s="37"/>
      <c r="V1312" s="90">
        <f>(J1312+U1312)</f>
        <v>1026000</v>
      </c>
      <c r="W1312" s="90">
        <f>(V1312*100/100)</f>
        <v>1026000</v>
      </c>
      <c r="X1312" s="89">
        <v>0</v>
      </c>
      <c r="Y1312" s="48">
        <f>(W1312-X1312)</f>
        <v>1026000</v>
      </c>
      <c r="Z1312" s="49">
        <v>1E-4</v>
      </c>
    </row>
    <row r="1313" spans="1:26" s="29" customFormat="1" ht="90.75" customHeight="1" x14ac:dyDescent="0.25">
      <c r="A1313" s="37">
        <v>912</v>
      </c>
      <c r="B1313" s="37" t="s">
        <v>213</v>
      </c>
      <c r="C1313" s="37">
        <v>2590</v>
      </c>
      <c r="D1313" s="37">
        <v>18</v>
      </c>
      <c r="E1313" s="37">
        <v>1</v>
      </c>
      <c r="F1313" s="37">
        <v>24</v>
      </c>
      <c r="G1313" s="91" t="s">
        <v>198</v>
      </c>
      <c r="H1313" s="24">
        <f>(D1313*400)+(E1313*100)+F1313</f>
        <v>7324</v>
      </c>
      <c r="I1313" s="25">
        <v>1150</v>
      </c>
      <c r="J1313" s="24">
        <f t="shared" si="197"/>
        <v>8422600</v>
      </c>
      <c r="K1313" s="37"/>
      <c r="L1313" s="37"/>
      <c r="M1313" s="37"/>
      <c r="N1313" s="37"/>
      <c r="O1313" s="27"/>
      <c r="P1313" s="20"/>
      <c r="Q1313" s="64"/>
      <c r="R1313" s="20"/>
      <c r="S1313" s="37"/>
      <c r="T1313" s="65"/>
      <c r="U1313" s="37"/>
      <c r="V1313" s="90">
        <f>(J1313+U1313)</f>
        <v>8422600</v>
      </c>
      <c r="W1313" s="90">
        <f>(V1313*100/100)</f>
        <v>8422600</v>
      </c>
      <c r="X1313" s="89">
        <v>0</v>
      </c>
      <c r="Y1313" s="48">
        <f>(W1313-X1313)</f>
        <v>8422600</v>
      </c>
      <c r="Z1313" s="49">
        <v>1E-4</v>
      </c>
    </row>
    <row r="1314" spans="1:26" s="29" customFormat="1" ht="90.75" customHeight="1" x14ac:dyDescent="0.25">
      <c r="A1314" s="20">
        <v>913</v>
      </c>
      <c r="B1314" s="20" t="s">
        <v>0</v>
      </c>
      <c r="C1314" s="20">
        <v>42190</v>
      </c>
      <c r="D1314" s="21">
        <v>26</v>
      </c>
      <c r="E1314" s="21">
        <v>0</v>
      </c>
      <c r="F1314" s="22">
        <v>0</v>
      </c>
      <c r="G1314" s="21" t="s">
        <v>209</v>
      </c>
      <c r="H1314" s="24">
        <f>(D1314*400)+(E1314*100)+F1314</f>
        <v>10400</v>
      </c>
      <c r="I1314" s="25">
        <v>200</v>
      </c>
      <c r="J1314" s="24">
        <f t="shared" si="197"/>
        <v>2080000</v>
      </c>
      <c r="K1314" s="20"/>
      <c r="L1314" s="20"/>
      <c r="M1314" s="20"/>
      <c r="N1314" s="20"/>
      <c r="O1314" s="24"/>
      <c r="P1314" s="24"/>
      <c r="Q1314" s="25"/>
      <c r="R1314" s="24"/>
      <c r="S1314" s="20"/>
      <c r="T1314" s="27"/>
      <c r="U1314" s="20"/>
      <c r="V1314" s="36">
        <f>(J1314)</f>
        <v>2080000</v>
      </c>
      <c r="W1314" s="36">
        <f>(V1314*100/100)</f>
        <v>2080000</v>
      </c>
      <c r="X1314" s="28">
        <v>0</v>
      </c>
      <c r="Y1314" s="28">
        <f>(W1314-X1314)</f>
        <v>2080000</v>
      </c>
      <c r="Z1314" s="49">
        <v>3.0000000000000001E-3</v>
      </c>
    </row>
    <row r="1315" spans="1:26" s="29" customFormat="1" ht="90.75" customHeight="1" x14ac:dyDescent="0.25">
      <c r="A1315" s="37">
        <v>914</v>
      </c>
      <c r="B1315" s="20" t="s">
        <v>0</v>
      </c>
      <c r="C1315" s="20">
        <v>42191</v>
      </c>
      <c r="D1315" s="21">
        <v>25</v>
      </c>
      <c r="E1315" s="21">
        <v>1</v>
      </c>
      <c r="F1315" s="22">
        <v>87</v>
      </c>
      <c r="G1315" s="21" t="s">
        <v>209</v>
      </c>
      <c r="H1315" s="24">
        <f>(D1315*400)+(E1315*100)+F1315</f>
        <v>10187</v>
      </c>
      <c r="I1315" s="25">
        <v>200</v>
      </c>
      <c r="J1315" s="24">
        <f t="shared" si="197"/>
        <v>2037400</v>
      </c>
      <c r="K1315" s="20"/>
      <c r="L1315" s="20"/>
      <c r="M1315" s="20"/>
      <c r="N1315" s="20"/>
      <c r="O1315" s="24"/>
      <c r="P1315" s="24"/>
      <c r="Q1315" s="25"/>
      <c r="R1315" s="24"/>
      <c r="S1315" s="20"/>
      <c r="T1315" s="27"/>
      <c r="U1315" s="20"/>
      <c r="V1315" s="20"/>
      <c r="W1315" s="26"/>
      <c r="X1315" s="27"/>
      <c r="Y1315" s="20"/>
      <c r="Z1315" s="20"/>
    </row>
    <row r="1316" spans="1:26" s="29" customFormat="1" ht="90.75" customHeight="1" x14ac:dyDescent="0.25">
      <c r="A1316" s="20"/>
      <c r="B1316" s="20"/>
      <c r="C1316" s="20"/>
      <c r="D1316" s="21"/>
      <c r="E1316" s="21"/>
      <c r="F1316" s="22"/>
      <c r="G1316" s="23"/>
      <c r="H1316" s="36">
        <f>(O1316*0.25)</f>
        <v>7.7</v>
      </c>
      <c r="I1316" s="40">
        <v>200</v>
      </c>
      <c r="J1316" s="28">
        <f t="shared" si="197"/>
        <v>1540</v>
      </c>
      <c r="K1316" s="30">
        <v>1</v>
      </c>
      <c r="L1316" s="31" t="s">
        <v>31</v>
      </c>
      <c r="M1316" s="31"/>
      <c r="N1316" s="51">
        <v>3</v>
      </c>
      <c r="O1316" s="45">
        <v>30.8</v>
      </c>
      <c r="P1316" s="35">
        <v>100</v>
      </c>
      <c r="Q1316" s="40">
        <v>2550</v>
      </c>
      <c r="R1316" s="36">
        <f>(O1316*Q1316)</f>
        <v>78540</v>
      </c>
      <c r="S1316" s="37">
        <v>6</v>
      </c>
      <c r="T1316" s="28">
        <f>(R1316*6/100)</f>
        <v>4712.3999999999996</v>
      </c>
      <c r="U1316" s="36">
        <f>(R1316-T1316)</f>
        <v>73827.600000000006</v>
      </c>
      <c r="V1316" s="36">
        <f>(J1316+U1316)</f>
        <v>75367.600000000006</v>
      </c>
      <c r="W1316" s="36">
        <f>(V1316*100/100)</f>
        <v>75367.600000000006</v>
      </c>
      <c r="X1316" s="28">
        <v>0</v>
      </c>
      <c r="Y1316" s="28">
        <f>(W1316-X1316)</f>
        <v>75367.600000000006</v>
      </c>
      <c r="Z1316" s="49">
        <v>3.0000000000000001E-3</v>
      </c>
    </row>
    <row r="1317" spans="1:26" s="29" customFormat="1" ht="90.75" customHeight="1" x14ac:dyDescent="0.25">
      <c r="A1317" s="20"/>
      <c r="B1317" s="20"/>
      <c r="C1317" s="20"/>
      <c r="D1317" s="21"/>
      <c r="E1317" s="21"/>
      <c r="F1317" s="22"/>
      <c r="G1317" s="23"/>
      <c r="H1317" s="36">
        <f>(O1317*0.25)</f>
        <v>7.7</v>
      </c>
      <c r="I1317" s="40">
        <v>200</v>
      </c>
      <c r="J1317" s="28">
        <f t="shared" si="197"/>
        <v>1540</v>
      </c>
      <c r="K1317" s="30">
        <v>2</v>
      </c>
      <c r="L1317" s="31" t="s">
        <v>31</v>
      </c>
      <c r="M1317" s="31"/>
      <c r="N1317" s="51">
        <v>3</v>
      </c>
      <c r="O1317" s="45">
        <v>30.8</v>
      </c>
      <c r="P1317" s="35">
        <v>100</v>
      </c>
      <c r="Q1317" s="40">
        <v>2550</v>
      </c>
      <c r="R1317" s="36">
        <f>(O1317*Q1317)</f>
        <v>78540</v>
      </c>
      <c r="S1317" s="37">
        <v>6</v>
      </c>
      <c r="T1317" s="28">
        <f>(R1317*6/100)</f>
        <v>4712.3999999999996</v>
      </c>
      <c r="U1317" s="36">
        <f>(R1317-T1317)</f>
        <v>73827.600000000006</v>
      </c>
      <c r="V1317" s="36">
        <f>(J1317+U1317)</f>
        <v>75367.600000000006</v>
      </c>
      <c r="W1317" s="36">
        <f>(V1317*100/100)</f>
        <v>75367.600000000006</v>
      </c>
      <c r="X1317" s="28">
        <v>0</v>
      </c>
      <c r="Y1317" s="28">
        <f>(W1317-X1317)</f>
        <v>75367.600000000006</v>
      </c>
      <c r="Z1317" s="49">
        <v>3.0000000000000001E-3</v>
      </c>
    </row>
    <row r="1318" spans="1:26" s="29" customFormat="1" ht="90.75" customHeight="1" x14ac:dyDescent="0.25">
      <c r="A1318" s="20"/>
      <c r="B1318" s="20"/>
      <c r="C1318" s="20"/>
      <c r="D1318" s="21"/>
      <c r="E1318" s="21"/>
      <c r="F1318" s="22"/>
      <c r="G1318" s="23"/>
      <c r="H1318" s="36">
        <v>10171.6</v>
      </c>
      <c r="I1318" s="40">
        <v>200</v>
      </c>
      <c r="J1318" s="28">
        <f t="shared" si="197"/>
        <v>2034320</v>
      </c>
      <c r="K1318" s="30"/>
      <c r="L1318" s="31"/>
      <c r="M1318" s="31"/>
      <c r="N1318" s="51"/>
      <c r="O1318" s="45"/>
      <c r="P1318" s="35"/>
      <c r="Q1318" s="40"/>
      <c r="R1318" s="36"/>
      <c r="S1318" s="37"/>
      <c r="T1318" s="28"/>
      <c r="U1318" s="36"/>
      <c r="V1318" s="36">
        <f>(J1318+U1318)</f>
        <v>2034320</v>
      </c>
      <c r="W1318" s="36">
        <f>(V1318*100/100)</f>
        <v>2034320</v>
      </c>
      <c r="X1318" s="28">
        <v>0</v>
      </c>
      <c r="Y1318" s="28">
        <f>(W1318-X1318)</f>
        <v>2034320</v>
      </c>
      <c r="Z1318" s="49">
        <v>3.0000000000000001E-3</v>
      </c>
    </row>
    <row r="1319" spans="1:26" s="29" customFormat="1" ht="90.75" customHeight="1" x14ac:dyDescent="0.25">
      <c r="A1319" s="20">
        <v>915</v>
      </c>
      <c r="B1319" s="20" t="s">
        <v>0</v>
      </c>
      <c r="C1319" s="20">
        <v>42192</v>
      </c>
      <c r="D1319" s="21">
        <v>20</v>
      </c>
      <c r="E1319" s="21">
        <v>0</v>
      </c>
      <c r="F1319" s="22">
        <v>0</v>
      </c>
      <c r="G1319" s="21" t="s">
        <v>209</v>
      </c>
      <c r="H1319" s="24">
        <f>(D1319*400)+(E1319*100)+F1319</f>
        <v>8000</v>
      </c>
      <c r="I1319" s="25">
        <v>200</v>
      </c>
      <c r="J1319" s="24">
        <f t="shared" si="197"/>
        <v>1600000</v>
      </c>
      <c r="K1319" s="20">
        <v>1</v>
      </c>
      <c r="L1319" s="20" t="s">
        <v>31</v>
      </c>
      <c r="M1319" s="20"/>
      <c r="N1319" s="20"/>
      <c r="O1319" s="45">
        <v>30.8</v>
      </c>
      <c r="P1319" s="35">
        <v>100</v>
      </c>
      <c r="Q1319" s="40">
        <v>2550</v>
      </c>
      <c r="R1319" s="36">
        <f>(O1319*Q1319)</f>
        <v>78540</v>
      </c>
      <c r="S1319" s="37">
        <v>6</v>
      </c>
      <c r="T1319" s="28">
        <f>(R1319*6/100)</f>
        <v>4712.3999999999996</v>
      </c>
      <c r="U1319" s="36">
        <f>(R1319-T1319)</f>
        <v>73827.600000000006</v>
      </c>
      <c r="V1319" s="36">
        <f>(J1319+U1319)</f>
        <v>1673827.6</v>
      </c>
      <c r="W1319" s="36">
        <f>(V1319*100/100)</f>
        <v>1673827.6</v>
      </c>
      <c r="X1319" s="28">
        <v>0</v>
      </c>
      <c r="Y1319" s="28">
        <f>(W1319-X1319)</f>
        <v>1673827.6</v>
      </c>
      <c r="Z1319" s="49">
        <v>3.0000000000000001E-3</v>
      </c>
    </row>
    <row r="1320" spans="1:26" s="29" customFormat="1" ht="90.75" customHeight="1" x14ac:dyDescent="0.25">
      <c r="A1320" s="20">
        <v>916</v>
      </c>
      <c r="B1320" s="20" t="s">
        <v>0</v>
      </c>
      <c r="C1320" s="20">
        <v>18658</v>
      </c>
      <c r="D1320" s="21">
        <v>15</v>
      </c>
      <c r="E1320" s="21">
        <v>3</v>
      </c>
      <c r="F1320" s="22">
        <v>59</v>
      </c>
      <c r="G1320" s="21" t="s">
        <v>209</v>
      </c>
      <c r="H1320" s="24">
        <f>(D1320*400)+(E1320*100)+F1320</f>
        <v>6359</v>
      </c>
      <c r="I1320" s="25">
        <v>375</v>
      </c>
      <c r="J1320" s="24">
        <f t="shared" si="197"/>
        <v>2384625</v>
      </c>
      <c r="K1320" s="20"/>
      <c r="L1320" s="20"/>
      <c r="M1320" s="20"/>
      <c r="N1320" s="20"/>
      <c r="O1320" s="24"/>
      <c r="P1320" s="24"/>
      <c r="Q1320" s="25"/>
      <c r="R1320" s="24"/>
      <c r="S1320" s="20"/>
      <c r="T1320" s="27"/>
      <c r="U1320" s="20"/>
      <c r="V1320" s="20"/>
      <c r="W1320" s="26"/>
      <c r="X1320" s="27"/>
      <c r="Y1320" s="20"/>
      <c r="Z1320" s="20"/>
    </row>
    <row r="1321" spans="1:26" s="29" customFormat="1" ht="90.75" customHeight="1" x14ac:dyDescent="0.25">
      <c r="A1321" s="20"/>
      <c r="B1321" s="20"/>
      <c r="C1321" s="20"/>
      <c r="D1321" s="21"/>
      <c r="E1321" s="21"/>
      <c r="F1321" s="22"/>
      <c r="G1321" s="23"/>
      <c r="H1321" s="36">
        <f>(O1321*0.25)</f>
        <v>28.774999999999999</v>
      </c>
      <c r="I1321" s="40">
        <v>375</v>
      </c>
      <c r="J1321" s="28">
        <f t="shared" si="197"/>
        <v>10790.625</v>
      </c>
      <c r="K1321" s="30">
        <v>1</v>
      </c>
      <c r="L1321" s="31" t="s">
        <v>189</v>
      </c>
      <c r="M1321" s="31" t="s">
        <v>13</v>
      </c>
      <c r="N1321" s="51">
        <v>3</v>
      </c>
      <c r="O1321" s="45">
        <v>115.1</v>
      </c>
      <c r="P1321" s="35">
        <v>100</v>
      </c>
      <c r="Q1321" s="40">
        <v>5550</v>
      </c>
      <c r="R1321" s="36">
        <f>(O1321*Q1321)</f>
        <v>638805</v>
      </c>
      <c r="S1321" s="37">
        <v>6</v>
      </c>
      <c r="T1321" s="28">
        <f>(R1321*6/100)</f>
        <v>38328.300000000003</v>
      </c>
      <c r="U1321" s="36">
        <f>(R1321-T1321)</f>
        <v>600476.69999999995</v>
      </c>
      <c r="V1321" s="36">
        <f t="shared" ref="V1321:V1330" si="198">(J1321+U1321)</f>
        <v>611267.32499999995</v>
      </c>
      <c r="W1321" s="36">
        <f t="shared" ref="W1321:W1330" si="199">(V1321*100/100)</f>
        <v>611267.32499999995</v>
      </c>
      <c r="X1321" s="28">
        <v>0</v>
      </c>
      <c r="Y1321" s="28">
        <f t="shared" ref="Y1321:Y1330" si="200">(W1321-X1321)</f>
        <v>611267.32499999995</v>
      </c>
      <c r="Z1321" s="49">
        <v>3.0000000000000001E-3</v>
      </c>
    </row>
    <row r="1322" spans="1:26" s="29" customFormat="1" ht="90.75" customHeight="1" x14ac:dyDescent="0.25">
      <c r="A1322" s="20"/>
      <c r="B1322" s="20"/>
      <c r="C1322" s="20"/>
      <c r="D1322" s="21"/>
      <c r="E1322" s="21"/>
      <c r="F1322" s="22"/>
      <c r="G1322" s="23"/>
      <c r="H1322" s="36">
        <f>(O1322*0.25)</f>
        <v>28.774999999999999</v>
      </c>
      <c r="I1322" s="40">
        <v>375</v>
      </c>
      <c r="J1322" s="28">
        <f t="shared" si="197"/>
        <v>10790.625</v>
      </c>
      <c r="K1322" s="30">
        <v>2</v>
      </c>
      <c r="L1322" s="31" t="s">
        <v>189</v>
      </c>
      <c r="M1322" s="31" t="s">
        <v>13</v>
      </c>
      <c r="N1322" s="51">
        <v>3</v>
      </c>
      <c r="O1322" s="45">
        <v>115.1</v>
      </c>
      <c r="P1322" s="35">
        <v>100</v>
      </c>
      <c r="Q1322" s="40">
        <v>5550</v>
      </c>
      <c r="R1322" s="36">
        <f>(O1322*Q1322)</f>
        <v>638805</v>
      </c>
      <c r="S1322" s="37">
        <v>6</v>
      </c>
      <c r="T1322" s="28">
        <f>(R1322*6/100)</f>
        <v>38328.300000000003</v>
      </c>
      <c r="U1322" s="36">
        <f>(R1322-T1322)</f>
        <v>600476.69999999995</v>
      </c>
      <c r="V1322" s="36">
        <f t="shared" si="198"/>
        <v>611267.32499999995</v>
      </c>
      <c r="W1322" s="36">
        <f t="shared" si="199"/>
        <v>611267.32499999995</v>
      </c>
      <c r="X1322" s="28">
        <v>0</v>
      </c>
      <c r="Y1322" s="28">
        <f t="shared" si="200"/>
        <v>611267.32499999995</v>
      </c>
      <c r="Z1322" s="49">
        <v>3.0000000000000001E-3</v>
      </c>
    </row>
    <row r="1323" spans="1:26" s="29" customFormat="1" ht="90.75" customHeight="1" x14ac:dyDescent="0.25">
      <c r="A1323" s="20"/>
      <c r="B1323" s="20"/>
      <c r="C1323" s="20"/>
      <c r="D1323" s="21"/>
      <c r="E1323" s="21"/>
      <c r="F1323" s="22"/>
      <c r="G1323" s="23"/>
      <c r="H1323" s="36">
        <f>(O1323*0.25)</f>
        <v>7.7</v>
      </c>
      <c r="I1323" s="40">
        <v>375</v>
      </c>
      <c r="J1323" s="28">
        <f t="shared" si="197"/>
        <v>2887.5</v>
      </c>
      <c r="K1323" s="30">
        <v>3</v>
      </c>
      <c r="L1323" s="31" t="s">
        <v>31</v>
      </c>
      <c r="M1323" s="31"/>
      <c r="N1323" s="51">
        <v>3</v>
      </c>
      <c r="O1323" s="45">
        <v>30.8</v>
      </c>
      <c r="P1323" s="35">
        <v>100</v>
      </c>
      <c r="Q1323" s="40">
        <v>2550</v>
      </c>
      <c r="R1323" s="36">
        <f>(O1323*Q1323)</f>
        <v>78540</v>
      </c>
      <c r="S1323" s="37">
        <v>6</v>
      </c>
      <c r="T1323" s="28">
        <f>(R1323*6/100)</f>
        <v>4712.3999999999996</v>
      </c>
      <c r="U1323" s="36">
        <f>(R1323-T1323)</f>
        <v>73827.600000000006</v>
      </c>
      <c r="V1323" s="36">
        <f t="shared" si="198"/>
        <v>76715.100000000006</v>
      </c>
      <c r="W1323" s="36">
        <f t="shared" si="199"/>
        <v>76715.100000000006</v>
      </c>
      <c r="X1323" s="28">
        <v>0</v>
      </c>
      <c r="Y1323" s="28">
        <f t="shared" si="200"/>
        <v>76715.100000000006</v>
      </c>
      <c r="Z1323" s="49">
        <v>3.0000000000000001E-3</v>
      </c>
    </row>
    <row r="1324" spans="1:26" s="29" customFormat="1" ht="90.75" customHeight="1" x14ac:dyDescent="0.25">
      <c r="A1324" s="20"/>
      <c r="B1324" s="20"/>
      <c r="C1324" s="20"/>
      <c r="D1324" s="21"/>
      <c r="E1324" s="21"/>
      <c r="F1324" s="22"/>
      <c r="G1324" s="23"/>
      <c r="H1324" s="36">
        <f>(O1324*0.25)</f>
        <v>7.7</v>
      </c>
      <c r="I1324" s="40">
        <v>375</v>
      </c>
      <c r="J1324" s="28">
        <f t="shared" si="197"/>
        <v>2887.5</v>
      </c>
      <c r="K1324" s="30">
        <v>4</v>
      </c>
      <c r="L1324" s="31" t="s">
        <v>31</v>
      </c>
      <c r="M1324" s="31"/>
      <c r="N1324" s="51">
        <v>3</v>
      </c>
      <c r="O1324" s="45">
        <v>30.8</v>
      </c>
      <c r="P1324" s="35">
        <v>100</v>
      </c>
      <c r="Q1324" s="40">
        <v>2550</v>
      </c>
      <c r="R1324" s="36">
        <f>(O1324*Q1324)</f>
        <v>78540</v>
      </c>
      <c r="S1324" s="37">
        <v>6</v>
      </c>
      <c r="T1324" s="28">
        <f>(R1324*6/100)</f>
        <v>4712.3999999999996</v>
      </c>
      <c r="U1324" s="36">
        <f>(R1324-T1324)</f>
        <v>73827.600000000006</v>
      </c>
      <c r="V1324" s="36">
        <f t="shared" si="198"/>
        <v>76715.100000000006</v>
      </c>
      <c r="W1324" s="36">
        <f t="shared" si="199"/>
        <v>76715.100000000006</v>
      </c>
      <c r="X1324" s="28">
        <v>0</v>
      </c>
      <c r="Y1324" s="28">
        <f t="shared" si="200"/>
        <v>76715.100000000006</v>
      </c>
      <c r="Z1324" s="49">
        <v>3.0000000000000001E-3</v>
      </c>
    </row>
    <row r="1325" spans="1:26" s="29" customFormat="1" ht="90.75" customHeight="1" x14ac:dyDescent="0.25">
      <c r="A1325" s="20"/>
      <c r="B1325" s="20"/>
      <c r="C1325" s="20"/>
      <c r="D1325" s="21"/>
      <c r="E1325" s="21"/>
      <c r="F1325" s="22"/>
      <c r="G1325" s="23"/>
      <c r="H1325" s="36">
        <f>(O1325*0.25)</f>
        <v>20.227499999999999</v>
      </c>
      <c r="I1325" s="40">
        <v>375</v>
      </c>
      <c r="J1325" s="28">
        <f t="shared" si="197"/>
        <v>7585.3125</v>
      </c>
      <c r="K1325" s="30">
        <v>5</v>
      </c>
      <c r="L1325" s="31" t="s">
        <v>189</v>
      </c>
      <c r="M1325" s="31" t="s">
        <v>13</v>
      </c>
      <c r="N1325" s="51">
        <v>3</v>
      </c>
      <c r="O1325" s="45">
        <v>80.91</v>
      </c>
      <c r="P1325" s="35">
        <v>100</v>
      </c>
      <c r="Q1325" s="40">
        <v>5550</v>
      </c>
      <c r="R1325" s="36">
        <f>(O1325*Q1325)</f>
        <v>449050.5</v>
      </c>
      <c r="S1325" s="37">
        <v>6</v>
      </c>
      <c r="T1325" s="28">
        <f>(R1325*6/100)</f>
        <v>26943.03</v>
      </c>
      <c r="U1325" s="36">
        <f>(R1325-T1325)</f>
        <v>422107.47</v>
      </c>
      <c r="V1325" s="36">
        <f t="shared" si="198"/>
        <v>429692.78249999997</v>
      </c>
      <c r="W1325" s="36">
        <f t="shared" si="199"/>
        <v>429692.78249999997</v>
      </c>
      <c r="X1325" s="28">
        <v>0</v>
      </c>
      <c r="Y1325" s="28">
        <f t="shared" si="200"/>
        <v>429692.78249999997</v>
      </c>
      <c r="Z1325" s="49">
        <v>3.0000000000000001E-3</v>
      </c>
    </row>
    <row r="1326" spans="1:26" s="29" customFormat="1" ht="90.75" customHeight="1" x14ac:dyDescent="0.25">
      <c r="A1326" s="20"/>
      <c r="B1326" s="20"/>
      <c r="C1326" s="20"/>
      <c r="D1326" s="21"/>
      <c r="E1326" s="21"/>
      <c r="F1326" s="22"/>
      <c r="G1326" s="23"/>
      <c r="H1326" s="36">
        <v>6265.82</v>
      </c>
      <c r="I1326" s="40">
        <v>375</v>
      </c>
      <c r="J1326" s="28">
        <f t="shared" si="197"/>
        <v>2349682.5</v>
      </c>
      <c r="K1326" s="30"/>
      <c r="L1326" s="31"/>
      <c r="M1326" s="31"/>
      <c r="N1326" s="51"/>
      <c r="O1326" s="45"/>
      <c r="P1326" s="35"/>
      <c r="Q1326" s="40"/>
      <c r="R1326" s="36"/>
      <c r="S1326" s="37"/>
      <c r="T1326" s="28"/>
      <c r="U1326" s="36"/>
      <c r="V1326" s="36">
        <f t="shared" si="198"/>
        <v>2349682.5</v>
      </c>
      <c r="W1326" s="36">
        <f t="shared" si="199"/>
        <v>2349682.5</v>
      </c>
      <c r="X1326" s="28">
        <v>0</v>
      </c>
      <c r="Y1326" s="28">
        <f t="shared" si="200"/>
        <v>2349682.5</v>
      </c>
      <c r="Z1326" s="49">
        <v>3.0000000000000001E-3</v>
      </c>
    </row>
    <row r="1327" spans="1:26" s="29" customFormat="1" ht="90.75" customHeight="1" x14ac:dyDescent="0.25">
      <c r="A1327" s="20">
        <v>917</v>
      </c>
      <c r="B1327" s="20" t="s">
        <v>0</v>
      </c>
      <c r="C1327" s="20">
        <v>18659</v>
      </c>
      <c r="D1327" s="21">
        <v>28</v>
      </c>
      <c r="E1327" s="21">
        <v>2</v>
      </c>
      <c r="F1327" s="22">
        <v>79</v>
      </c>
      <c r="G1327" s="21" t="s">
        <v>209</v>
      </c>
      <c r="H1327" s="36">
        <f>(D1327*400)+(E1327*100)+F1327</f>
        <v>11479</v>
      </c>
      <c r="I1327" s="44">
        <v>350</v>
      </c>
      <c r="J1327" s="65">
        <f t="shared" si="197"/>
        <v>4017650</v>
      </c>
      <c r="K1327" s="30">
        <v>1</v>
      </c>
      <c r="L1327" s="31" t="s">
        <v>31</v>
      </c>
      <c r="M1327" s="31"/>
      <c r="N1327" s="51">
        <v>3</v>
      </c>
      <c r="O1327" s="45">
        <v>30.8</v>
      </c>
      <c r="P1327" s="35">
        <v>100</v>
      </c>
      <c r="Q1327" s="40">
        <v>2550</v>
      </c>
      <c r="R1327" s="36">
        <f>(O1327*Q1327)</f>
        <v>78540</v>
      </c>
      <c r="S1327" s="37">
        <v>6</v>
      </c>
      <c r="T1327" s="28">
        <f>(R1327*6/100)</f>
        <v>4712.3999999999996</v>
      </c>
      <c r="U1327" s="36">
        <f>(R1327-T1327)</f>
        <v>73827.600000000006</v>
      </c>
      <c r="V1327" s="36">
        <f t="shared" si="198"/>
        <v>4091477.6</v>
      </c>
      <c r="W1327" s="36">
        <f t="shared" si="199"/>
        <v>4091477.6</v>
      </c>
      <c r="X1327" s="28">
        <v>0</v>
      </c>
      <c r="Y1327" s="28">
        <f t="shared" si="200"/>
        <v>4091477.6</v>
      </c>
      <c r="Z1327" s="49">
        <v>3.0000000000000001E-3</v>
      </c>
    </row>
    <row r="1328" spans="1:26" s="29" customFormat="1" ht="90.75" customHeight="1" x14ac:dyDescent="0.25">
      <c r="A1328" s="20">
        <v>918</v>
      </c>
      <c r="B1328" s="20" t="s">
        <v>0</v>
      </c>
      <c r="C1328" s="20">
        <v>18660</v>
      </c>
      <c r="D1328" s="21">
        <v>8</v>
      </c>
      <c r="E1328" s="21">
        <v>0</v>
      </c>
      <c r="F1328" s="22">
        <v>76</v>
      </c>
      <c r="G1328" s="21" t="s">
        <v>209</v>
      </c>
      <c r="H1328" s="36">
        <f>(D1328*400)+(E1328*100)+F1328</f>
        <v>3276</v>
      </c>
      <c r="I1328" s="44">
        <v>350</v>
      </c>
      <c r="J1328" s="65">
        <f t="shared" si="197"/>
        <v>1146600</v>
      </c>
      <c r="K1328" s="30">
        <v>1</v>
      </c>
      <c r="L1328" s="31" t="s">
        <v>31</v>
      </c>
      <c r="M1328" s="31"/>
      <c r="N1328" s="51">
        <v>3</v>
      </c>
      <c r="O1328" s="45">
        <v>30.8</v>
      </c>
      <c r="P1328" s="35">
        <v>100</v>
      </c>
      <c r="Q1328" s="40">
        <v>2550</v>
      </c>
      <c r="R1328" s="36">
        <f>(O1328*Q1328)</f>
        <v>78540</v>
      </c>
      <c r="S1328" s="37">
        <v>6</v>
      </c>
      <c r="T1328" s="28">
        <f>(R1328*6/100)</f>
        <v>4712.3999999999996</v>
      </c>
      <c r="U1328" s="36">
        <f>(R1328-T1328)</f>
        <v>73827.600000000006</v>
      </c>
      <c r="V1328" s="36">
        <f t="shared" si="198"/>
        <v>1220427.6000000001</v>
      </c>
      <c r="W1328" s="36">
        <f t="shared" si="199"/>
        <v>1220427.6000000001</v>
      </c>
      <c r="X1328" s="28">
        <v>0</v>
      </c>
      <c r="Y1328" s="28">
        <f t="shared" si="200"/>
        <v>1220427.6000000001</v>
      </c>
      <c r="Z1328" s="49">
        <v>3.0000000000000001E-3</v>
      </c>
    </row>
    <row r="1329" spans="1:26" s="29" customFormat="1" ht="90.75" customHeight="1" x14ac:dyDescent="0.25">
      <c r="A1329" s="20">
        <v>919</v>
      </c>
      <c r="B1329" s="20" t="s">
        <v>0</v>
      </c>
      <c r="C1329" s="20">
        <v>17378</v>
      </c>
      <c r="D1329" s="21">
        <v>7</v>
      </c>
      <c r="E1329" s="21">
        <v>0</v>
      </c>
      <c r="F1329" s="22">
        <v>0</v>
      </c>
      <c r="G1329" s="21" t="s">
        <v>209</v>
      </c>
      <c r="H1329" s="36">
        <f>(D1329*400)+(E1329*100)+F1329</f>
        <v>2800</v>
      </c>
      <c r="I1329" s="44">
        <v>200</v>
      </c>
      <c r="J1329" s="65">
        <f t="shared" si="197"/>
        <v>560000</v>
      </c>
      <c r="K1329" s="30">
        <v>1</v>
      </c>
      <c r="L1329" s="31" t="s">
        <v>31</v>
      </c>
      <c r="M1329" s="31"/>
      <c r="N1329" s="51">
        <v>3</v>
      </c>
      <c r="O1329" s="45">
        <v>30.8</v>
      </c>
      <c r="P1329" s="35">
        <v>100</v>
      </c>
      <c r="Q1329" s="40">
        <v>2550</v>
      </c>
      <c r="R1329" s="36">
        <f>(O1329*Q1329)</f>
        <v>78540</v>
      </c>
      <c r="S1329" s="37">
        <v>6</v>
      </c>
      <c r="T1329" s="28">
        <f>(R1329*6/100)</f>
        <v>4712.3999999999996</v>
      </c>
      <c r="U1329" s="36">
        <f>(R1329-T1329)</f>
        <v>73827.600000000006</v>
      </c>
      <c r="V1329" s="36">
        <f t="shared" si="198"/>
        <v>633827.6</v>
      </c>
      <c r="W1329" s="36">
        <f t="shared" si="199"/>
        <v>633827.6</v>
      </c>
      <c r="X1329" s="28">
        <v>0</v>
      </c>
      <c r="Y1329" s="28">
        <f t="shared" si="200"/>
        <v>633827.6</v>
      </c>
      <c r="Z1329" s="49">
        <v>3.0000000000000001E-3</v>
      </c>
    </row>
    <row r="1330" spans="1:26" s="29" customFormat="1" ht="90.75" customHeight="1" x14ac:dyDescent="0.25">
      <c r="A1330" s="20">
        <v>920</v>
      </c>
      <c r="B1330" s="20" t="s">
        <v>0</v>
      </c>
      <c r="C1330" s="20">
        <v>17380</v>
      </c>
      <c r="D1330" s="21">
        <v>38</v>
      </c>
      <c r="E1330" s="21">
        <v>0</v>
      </c>
      <c r="F1330" s="22">
        <v>5</v>
      </c>
      <c r="G1330" s="21" t="s">
        <v>209</v>
      </c>
      <c r="H1330" s="36">
        <f>(D1330*400)+(E1330*100)+F1330</f>
        <v>15205</v>
      </c>
      <c r="I1330" s="44">
        <v>200</v>
      </c>
      <c r="J1330" s="65">
        <f t="shared" si="197"/>
        <v>3041000</v>
      </c>
      <c r="K1330" s="41"/>
      <c r="L1330" s="31"/>
      <c r="M1330" s="43"/>
      <c r="N1330" s="30"/>
      <c r="O1330" s="45"/>
      <c r="P1330" s="46"/>
      <c r="Q1330" s="44"/>
      <c r="R1330" s="41"/>
      <c r="S1330" s="41"/>
      <c r="T1330" s="47"/>
      <c r="U1330" s="41"/>
      <c r="V1330" s="36">
        <f t="shared" si="198"/>
        <v>3041000</v>
      </c>
      <c r="W1330" s="36">
        <f t="shared" si="199"/>
        <v>3041000</v>
      </c>
      <c r="X1330" s="28">
        <v>0</v>
      </c>
      <c r="Y1330" s="28">
        <f t="shared" si="200"/>
        <v>3041000</v>
      </c>
      <c r="Z1330" s="49">
        <v>3.0000000000000001E-3</v>
      </c>
    </row>
    <row r="1331" spans="1:26" s="29" customFormat="1" ht="90.75" customHeight="1" x14ac:dyDescent="0.25">
      <c r="A1331" s="20">
        <v>921</v>
      </c>
      <c r="B1331" s="20" t="s">
        <v>0</v>
      </c>
      <c r="C1331" s="20">
        <v>8435</v>
      </c>
      <c r="D1331" s="21">
        <v>14</v>
      </c>
      <c r="E1331" s="21">
        <v>0</v>
      </c>
      <c r="F1331" s="22">
        <v>26</v>
      </c>
      <c r="G1331" s="21" t="s">
        <v>209</v>
      </c>
      <c r="H1331" s="36">
        <f>(D1331*400)+(E1331*100)+F1331</f>
        <v>5626</v>
      </c>
      <c r="I1331" s="44">
        <v>525</v>
      </c>
      <c r="J1331" s="65">
        <f t="shared" si="197"/>
        <v>2953650</v>
      </c>
      <c r="K1331" s="41"/>
      <c r="L1331" s="31"/>
      <c r="M1331" s="43"/>
      <c r="N1331" s="30"/>
      <c r="O1331" s="45"/>
      <c r="P1331" s="46"/>
      <c r="Q1331" s="44"/>
      <c r="R1331" s="41"/>
      <c r="S1331" s="41"/>
      <c r="T1331" s="47"/>
      <c r="U1331" s="41"/>
      <c r="V1331" s="48"/>
      <c r="W1331" s="48"/>
      <c r="X1331" s="47"/>
      <c r="Y1331" s="48"/>
      <c r="Z1331" s="49"/>
    </row>
    <row r="1332" spans="1:26" s="29" customFormat="1" ht="90.75" customHeight="1" x14ac:dyDescent="0.25">
      <c r="A1332" s="20"/>
      <c r="B1332" s="20"/>
      <c r="C1332" s="20"/>
      <c r="D1332" s="21"/>
      <c r="E1332" s="21"/>
      <c r="F1332" s="22"/>
      <c r="G1332" s="23"/>
      <c r="H1332" s="36">
        <f>(O1332*0.25)</f>
        <v>1.4375</v>
      </c>
      <c r="I1332" s="40">
        <v>525</v>
      </c>
      <c r="J1332" s="28">
        <f t="shared" si="197"/>
        <v>754.6875</v>
      </c>
      <c r="K1332" s="30">
        <v>1</v>
      </c>
      <c r="L1332" s="31" t="s">
        <v>215</v>
      </c>
      <c r="M1332" s="31" t="s">
        <v>13</v>
      </c>
      <c r="N1332" s="51">
        <v>3</v>
      </c>
      <c r="O1332" s="45">
        <v>5.75</v>
      </c>
      <c r="P1332" s="35">
        <v>100</v>
      </c>
      <c r="Q1332" s="40">
        <v>6450</v>
      </c>
      <c r="R1332" s="36">
        <f>(O1332*Q1332)</f>
        <v>37087.5</v>
      </c>
      <c r="S1332" s="37">
        <v>6</v>
      </c>
      <c r="T1332" s="28">
        <f>(R1332*6/100)</f>
        <v>2225.25</v>
      </c>
      <c r="U1332" s="36">
        <f>(R1332-T1332)</f>
        <v>34862.25</v>
      </c>
      <c r="V1332" s="36">
        <f>(J1332+U1332)</f>
        <v>35616.9375</v>
      </c>
      <c r="W1332" s="36">
        <f>(V1332*100/100)</f>
        <v>35616.9375</v>
      </c>
      <c r="X1332" s="28">
        <v>0</v>
      </c>
      <c r="Y1332" s="28">
        <f>(W1332-X1332)</f>
        <v>35616.9375</v>
      </c>
      <c r="Z1332" s="49">
        <v>3.0000000000000001E-3</v>
      </c>
    </row>
    <row r="1333" spans="1:26" s="29" customFormat="1" ht="90.75" customHeight="1" x14ac:dyDescent="0.25">
      <c r="A1333" s="20"/>
      <c r="B1333" s="20"/>
      <c r="C1333" s="20"/>
      <c r="D1333" s="21"/>
      <c r="E1333" s="21"/>
      <c r="F1333" s="22"/>
      <c r="G1333" s="23"/>
      <c r="H1333" s="36">
        <v>5624.56</v>
      </c>
      <c r="I1333" s="40">
        <v>525</v>
      </c>
      <c r="J1333" s="28">
        <f t="shared" si="197"/>
        <v>2952894</v>
      </c>
      <c r="K1333" s="30"/>
      <c r="L1333" s="31"/>
      <c r="M1333" s="31"/>
      <c r="N1333" s="51"/>
      <c r="O1333" s="45"/>
      <c r="P1333" s="35"/>
      <c r="Q1333" s="40"/>
      <c r="R1333" s="36"/>
      <c r="S1333" s="37"/>
      <c r="T1333" s="28"/>
      <c r="U1333" s="36"/>
      <c r="V1333" s="36">
        <f>(J1333+U1333)</f>
        <v>2952894</v>
      </c>
      <c r="W1333" s="36">
        <f>(V1333*100/100)</f>
        <v>2952894</v>
      </c>
      <c r="X1333" s="28">
        <v>0</v>
      </c>
      <c r="Y1333" s="28">
        <f>(W1333-X1333)</f>
        <v>2952894</v>
      </c>
      <c r="Z1333" s="49">
        <v>3.0000000000000001E-3</v>
      </c>
    </row>
    <row r="1334" spans="1:26" s="29" customFormat="1" ht="90.75" customHeight="1" x14ac:dyDescent="0.25">
      <c r="A1334" s="20">
        <v>922</v>
      </c>
      <c r="B1334" s="20" t="s">
        <v>0</v>
      </c>
      <c r="C1334" s="20">
        <v>47953</v>
      </c>
      <c r="D1334" s="21">
        <v>19</v>
      </c>
      <c r="E1334" s="21">
        <v>0</v>
      </c>
      <c r="F1334" s="22">
        <v>11</v>
      </c>
      <c r="G1334" s="21" t="s">
        <v>209</v>
      </c>
      <c r="H1334" s="24">
        <f>(D1334*400)+(E1334*100)+F1334</f>
        <v>7611</v>
      </c>
      <c r="I1334" s="25">
        <v>4500</v>
      </c>
      <c r="J1334" s="24">
        <f t="shared" si="197"/>
        <v>34249500</v>
      </c>
      <c r="K1334" s="20"/>
      <c r="L1334" s="20"/>
      <c r="M1334" s="20"/>
      <c r="N1334" s="20"/>
      <c r="O1334" s="24"/>
      <c r="P1334" s="24"/>
      <c r="Q1334" s="25"/>
      <c r="R1334" s="24"/>
      <c r="S1334" s="20"/>
      <c r="T1334" s="27"/>
      <c r="U1334" s="20"/>
      <c r="V1334" s="90">
        <f>(J1334+U1334)</f>
        <v>34249500</v>
      </c>
      <c r="W1334" s="90">
        <f>(V1334*100/100)</f>
        <v>34249500</v>
      </c>
      <c r="X1334" s="89">
        <v>0</v>
      </c>
      <c r="Y1334" s="48">
        <f>(W1334-X1334)</f>
        <v>34249500</v>
      </c>
      <c r="Z1334" s="49">
        <v>3.0000000000000001E-3</v>
      </c>
    </row>
    <row r="1335" spans="1:26" s="29" customFormat="1" ht="90.75" customHeight="1" x14ac:dyDescent="0.25">
      <c r="A1335" s="20"/>
      <c r="B1335" s="20"/>
      <c r="C1335" s="20"/>
      <c r="D1335" s="21"/>
      <c r="E1335" s="21"/>
      <c r="F1335" s="22"/>
      <c r="G1335" s="23"/>
      <c r="H1335" s="24">
        <v>3345</v>
      </c>
      <c r="I1335" s="25">
        <v>4500</v>
      </c>
      <c r="J1335" s="24">
        <f t="shared" si="197"/>
        <v>15052500</v>
      </c>
      <c r="K1335" s="37">
        <v>1</v>
      </c>
      <c r="L1335" s="20" t="s">
        <v>76</v>
      </c>
      <c r="M1335" s="20" t="s">
        <v>13</v>
      </c>
      <c r="N1335" s="62">
        <v>3</v>
      </c>
      <c r="O1335" s="24">
        <v>612</v>
      </c>
      <c r="P1335" s="35">
        <v>100</v>
      </c>
      <c r="Q1335" s="40">
        <v>7100</v>
      </c>
      <c r="R1335" s="77">
        <f t="shared" ref="R1335:R1343" si="201">(O1335*Q1335)</f>
        <v>4345200</v>
      </c>
      <c r="S1335" s="37">
        <v>5</v>
      </c>
      <c r="T1335" s="28">
        <f t="shared" ref="T1335:T1343" si="202">(R1335*5/100)</f>
        <v>217260</v>
      </c>
      <c r="U1335" s="77">
        <f t="shared" ref="U1335:U1343" si="203">(R1335-T1335)</f>
        <v>4127940</v>
      </c>
      <c r="V1335" s="77"/>
      <c r="W1335" s="36"/>
      <c r="X1335" s="28"/>
      <c r="Y1335" s="77"/>
      <c r="Z1335" s="52"/>
    </row>
    <row r="1336" spans="1:26" s="29" customFormat="1" ht="90.75" customHeight="1" x14ac:dyDescent="0.25">
      <c r="A1336" s="20"/>
      <c r="B1336" s="20"/>
      <c r="C1336" s="20"/>
      <c r="D1336" s="21"/>
      <c r="E1336" s="21"/>
      <c r="F1336" s="22"/>
      <c r="G1336" s="23"/>
      <c r="H1336" s="24"/>
      <c r="I1336" s="25"/>
      <c r="J1336" s="24"/>
      <c r="K1336" s="37">
        <v>2</v>
      </c>
      <c r="L1336" s="20" t="s">
        <v>266</v>
      </c>
      <c r="M1336" s="20" t="s">
        <v>13</v>
      </c>
      <c r="N1336" s="62">
        <v>3</v>
      </c>
      <c r="O1336" s="24">
        <v>6366</v>
      </c>
      <c r="P1336" s="35">
        <v>100</v>
      </c>
      <c r="Q1336" s="40">
        <v>3500</v>
      </c>
      <c r="R1336" s="77">
        <f t="shared" si="201"/>
        <v>22281000</v>
      </c>
      <c r="S1336" s="37">
        <v>5</v>
      </c>
      <c r="T1336" s="28">
        <f t="shared" si="202"/>
        <v>1114050</v>
      </c>
      <c r="U1336" s="77">
        <f t="shared" si="203"/>
        <v>21166950</v>
      </c>
      <c r="V1336" s="77"/>
      <c r="W1336" s="36"/>
      <c r="X1336" s="28"/>
      <c r="Y1336" s="77"/>
      <c r="Z1336" s="52"/>
    </row>
    <row r="1337" spans="1:26" s="29" customFormat="1" ht="90.75" customHeight="1" x14ac:dyDescent="0.25">
      <c r="A1337" s="20"/>
      <c r="B1337" s="20"/>
      <c r="C1337" s="20"/>
      <c r="D1337" s="21"/>
      <c r="E1337" s="21"/>
      <c r="F1337" s="22"/>
      <c r="G1337" s="23"/>
      <c r="H1337" s="24"/>
      <c r="I1337" s="25"/>
      <c r="J1337" s="24"/>
      <c r="K1337" s="37">
        <v>3</v>
      </c>
      <c r="L1337" s="20" t="s">
        <v>41</v>
      </c>
      <c r="M1337" s="20" t="s">
        <v>13</v>
      </c>
      <c r="N1337" s="62">
        <v>3</v>
      </c>
      <c r="O1337" s="24">
        <v>288</v>
      </c>
      <c r="P1337" s="35">
        <v>100</v>
      </c>
      <c r="Q1337" s="40">
        <v>6400</v>
      </c>
      <c r="R1337" s="77">
        <f t="shared" si="201"/>
        <v>1843200</v>
      </c>
      <c r="S1337" s="37">
        <v>5</v>
      </c>
      <c r="T1337" s="28">
        <f t="shared" si="202"/>
        <v>92160</v>
      </c>
      <c r="U1337" s="77">
        <f t="shared" si="203"/>
        <v>1751040</v>
      </c>
      <c r="V1337" s="77"/>
      <c r="W1337" s="36"/>
      <c r="X1337" s="28"/>
      <c r="Y1337" s="77"/>
      <c r="Z1337" s="52"/>
    </row>
    <row r="1338" spans="1:26" s="29" customFormat="1" ht="90.75" customHeight="1" x14ac:dyDescent="0.25">
      <c r="A1338" s="20"/>
      <c r="B1338" s="20"/>
      <c r="C1338" s="20"/>
      <c r="D1338" s="21"/>
      <c r="E1338" s="21"/>
      <c r="F1338" s="22"/>
      <c r="G1338" s="23"/>
      <c r="H1338" s="24"/>
      <c r="I1338" s="25"/>
      <c r="J1338" s="24"/>
      <c r="K1338" s="37">
        <v>4</v>
      </c>
      <c r="L1338" s="20" t="s">
        <v>215</v>
      </c>
      <c r="M1338" s="20" t="s">
        <v>13</v>
      </c>
      <c r="N1338" s="62">
        <v>3</v>
      </c>
      <c r="O1338" s="24">
        <v>18</v>
      </c>
      <c r="P1338" s="35">
        <v>100</v>
      </c>
      <c r="Q1338" s="40">
        <v>6450</v>
      </c>
      <c r="R1338" s="77">
        <f t="shared" si="201"/>
        <v>116100</v>
      </c>
      <c r="S1338" s="37">
        <v>5</v>
      </c>
      <c r="T1338" s="28">
        <f t="shared" si="202"/>
        <v>5805</v>
      </c>
      <c r="U1338" s="77">
        <f t="shared" si="203"/>
        <v>110295</v>
      </c>
      <c r="V1338" s="77"/>
      <c r="W1338" s="36"/>
      <c r="X1338" s="28"/>
      <c r="Y1338" s="77"/>
      <c r="Z1338" s="52"/>
    </row>
    <row r="1339" spans="1:26" s="29" customFormat="1" ht="90.75" customHeight="1" x14ac:dyDescent="0.25">
      <c r="A1339" s="20"/>
      <c r="B1339" s="20"/>
      <c r="C1339" s="20"/>
      <c r="D1339" s="21"/>
      <c r="E1339" s="21"/>
      <c r="F1339" s="22"/>
      <c r="G1339" s="23"/>
      <c r="H1339" s="24"/>
      <c r="I1339" s="25"/>
      <c r="J1339" s="24"/>
      <c r="K1339" s="37">
        <v>5</v>
      </c>
      <c r="L1339" s="20" t="s">
        <v>31</v>
      </c>
      <c r="M1339" s="20" t="s">
        <v>13</v>
      </c>
      <c r="N1339" s="62">
        <v>3</v>
      </c>
      <c r="O1339" s="24">
        <v>5400</v>
      </c>
      <c r="P1339" s="35">
        <v>100</v>
      </c>
      <c r="Q1339" s="40">
        <v>2550</v>
      </c>
      <c r="R1339" s="77">
        <f t="shared" si="201"/>
        <v>13770000</v>
      </c>
      <c r="S1339" s="37">
        <v>5</v>
      </c>
      <c r="T1339" s="28">
        <f t="shared" si="202"/>
        <v>688500</v>
      </c>
      <c r="U1339" s="77">
        <f t="shared" si="203"/>
        <v>13081500</v>
      </c>
      <c r="V1339" s="77"/>
      <c r="W1339" s="36"/>
      <c r="X1339" s="28"/>
      <c r="Y1339" s="77"/>
      <c r="Z1339" s="52"/>
    </row>
    <row r="1340" spans="1:26" s="29" customFormat="1" ht="90.75" customHeight="1" x14ac:dyDescent="0.25">
      <c r="A1340" s="20"/>
      <c r="B1340" s="20"/>
      <c r="C1340" s="20"/>
      <c r="D1340" s="21"/>
      <c r="E1340" s="21"/>
      <c r="F1340" s="22"/>
      <c r="G1340" s="23"/>
      <c r="H1340" s="24"/>
      <c r="I1340" s="25"/>
      <c r="J1340" s="24"/>
      <c r="K1340" s="37">
        <v>6</v>
      </c>
      <c r="L1340" s="20" t="s">
        <v>31</v>
      </c>
      <c r="M1340" s="20" t="s">
        <v>13</v>
      </c>
      <c r="N1340" s="62">
        <v>3</v>
      </c>
      <c r="O1340" s="24">
        <v>560</v>
      </c>
      <c r="P1340" s="35">
        <v>100</v>
      </c>
      <c r="Q1340" s="40">
        <v>2550</v>
      </c>
      <c r="R1340" s="77">
        <f t="shared" si="201"/>
        <v>1428000</v>
      </c>
      <c r="S1340" s="37">
        <v>5</v>
      </c>
      <c r="T1340" s="28">
        <f t="shared" si="202"/>
        <v>71400</v>
      </c>
      <c r="U1340" s="77">
        <f t="shared" si="203"/>
        <v>1356600</v>
      </c>
      <c r="V1340" s="77"/>
      <c r="W1340" s="36"/>
      <c r="X1340" s="28"/>
      <c r="Y1340" s="77"/>
      <c r="Z1340" s="52"/>
    </row>
    <row r="1341" spans="1:26" s="29" customFormat="1" ht="90.75" customHeight="1" x14ac:dyDescent="0.25">
      <c r="A1341" s="20"/>
      <c r="B1341" s="20"/>
      <c r="C1341" s="20"/>
      <c r="D1341" s="21"/>
      <c r="E1341" s="21"/>
      <c r="F1341" s="22"/>
      <c r="G1341" s="23"/>
      <c r="H1341" s="24"/>
      <c r="I1341" s="25"/>
      <c r="J1341" s="24"/>
      <c r="K1341" s="37">
        <v>7</v>
      </c>
      <c r="L1341" s="20" t="s">
        <v>31</v>
      </c>
      <c r="M1341" s="20" t="s">
        <v>13</v>
      </c>
      <c r="N1341" s="62">
        <v>3</v>
      </c>
      <c r="O1341" s="24">
        <v>55</v>
      </c>
      <c r="P1341" s="35">
        <v>100</v>
      </c>
      <c r="Q1341" s="40">
        <v>2550</v>
      </c>
      <c r="R1341" s="77">
        <f t="shared" si="201"/>
        <v>140250</v>
      </c>
      <c r="S1341" s="37">
        <v>5</v>
      </c>
      <c r="T1341" s="28">
        <f t="shared" si="202"/>
        <v>7012.5</v>
      </c>
      <c r="U1341" s="77">
        <f t="shared" si="203"/>
        <v>133237.5</v>
      </c>
      <c r="V1341" s="77"/>
      <c r="W1341" s="36"/>
      <c r="X1341" s="28"/>
      <c r="Y1341" s="77"/>
      <c r="Z1341" s="52"/>
    </row>
    <row r="1342" spans="1:26" s="29" customFormat="1" ht="90.75" customHeight="1" x14ac:dyDescent="0.25">
      <c r="A1342" s="20"/>
      <c r="B1342" s="20"/>
      <c r="C1342" s="20"/>
      <c r="D1342" s="21"/>
      <c r="E1342" s="21"/>
      <c r="F1342" s="22"/>
      <c r="G1342" s="23"/>
      <c r="H1342" s="24"/>
      <c r="I1342" s="25"/>
      <c r="J1342" s="24"/>
      <c r="K1342" s="37">
        <v>8</v>
      </c>
      <c r="L1342" s="20" t="s">
        <v>31</v>
      </c>
      <c r="M1342" s="20" t="s">
        <v>13</v>
      </c>
      <c r="N1342" s="62">
        <v>3</v>
      </c>
      <c r="O1342" s="24">
        <v>72</v>
      </c>
      <c r="P1342" s="35">
        <v>100</v>
      </c>
      <c r="Q1342" s="40">
        <v>2550</v>
      </c>
      <c r="R1342" s="77">
        <f t="shared" si="201"/>
        <v>183600</v>
      </c>
      <c r="S1342" s="37">
        <v>5</v>
      </c>
      <c r="T1342" s="28">
        <f t="shared" si="202"/>
        <v>9180</v>
      </c>
      <c r="U1342" s="77">
        <f t="shared" si="203"/>
        <v>174420</v>
      </c>
      <c r="V1342" s="77"/>
      <c r="W1342" s="36"/>
      <c r="X1342" s="28"/>
      <c r="Y1342" s="77"/>
      <c r="Z1342" s="52"/>
    </row>
    <row r="1343" spans="1:26" s="29" customFormat="1" ht="90.75" customHeight="1" x14ac:dyDescent="0.25">
      <c r="A1343" s="20"/>
      <c r="B1343" s="20"/>
      <c r="C1343" s="20"/>
      <c r="D1343" s="21"/>
      <c r="E1343" s="21"/>
      <c r="F1343" s="22"/>
      <c r="G1343" s="23"/>
      <c r="H1343" s="24"/>
      <c r="I1343" s="25"/>
      <c r="J1343" s="24"/>
      <c r="K1343" s="37">
        <v>9</v>
      </c>
      <c r="L1343" s="20" t="s">
        <v>31</v>
      </c>
      <c r="M1343" s="20"/>
      <c r="N1343" s="62">
        <v>3</v>
      </c>
      <c r="O1343" s="24">
        <v>9</v>
      </c>
      <c r="P1343" s="35">
        <v>100</v>
      </c>
      <c r="Q1343" s="40">
        <v>2550</v>
      </c>
      <c r="R1343" s="77">
        <f t="shared" si="201"/>
        <v>22950</v>
      </c>
      <c r="S1343" s="37">
        <v>5</v>
      </c>
      <c r="T1343" s="28">
        <f t="shared" si="202"/>
        <v>1147.5</v>
      </c>
      <c r="U1343" s="77">
        <f t="shared" si="203"/>
        <v>21802.5</v>
      </c>
      <c r="V1343" s="77"/>
      <c r="W1343" s="36"/>
      <c r="X1343" s="28"/>
      <c r="Y1343" s="77"/>
      <c r="Z1343" s="52"/>
    </row>
    <row r="1344" spans="1:26" s="29" customFormat="1" ht="90.75" customHeight="1" x14ac:dyDescent="0.25">
      <c r="A1344" s="20"/>
      <c r="B1344" s="20"/>
      <c r="C1344" s="20"/>
      <c r="D1344" s="21"/>
      <c r="E1344" s="21"/>
      <c r="F1344" s="22"/>
      <c r="G1344" s="23"/>
      <c r="H1344" s="24"/>
      <c r="I1344" s="25"/>
      <c r="J1344" s="24"/>
      <c r="K1344" s="33"/>
      <c r="L1344" s="31"/>
      <c r="M1344" s="43"/>
      <c r="N1344" s="30"/>
      <c r="O1344" s="88"/>
      <c r="P1344" s="82"/>
      <c r="Q1344" s="83"/>
      <c r="R1344" s="33"/>
      <c r="S1344" s="33"/>
      <c r="T1344" s="89"/>
      <c r="U1344" s="90">
        <f>SUM(U1335:U1343)</f>
        <v>41923785</v>
      </c>
      <c r="V1344" s="90">
        <f>(J1335+U1344)</f>
        <v>56976285</v>
      </c>
      <c r="W1344" s="90">
        <f t="shared" ref="W1344:W1364" si="204">(V1344*100/100)</f>
        <v>56976285</v>
      </c>
      <c r="X1344" s="89">
        <v>0</v>
      </c>
      <c r="Y1344" s="48">
        <f t="shared" ref="Y1344:Y1364" si="205">(W1344-X1344)</f>
        <v>56976285</v>
      </c>
      <c r="Z1344" s="52" t="s">
        <v>264</v>
      </c>
    </row>
    <row r="1345" spans="1:26" s="29" customFormat="1" ht="90.75" customHeight="1" x14ac:dyDescent="0.25">
      <c r="A1345" s="20">
        <v>923</v>
      </c>
      <c r="B1345" s="20" t="s">
        <v>0</v>
      </c>
      <c r="C1345" s="20">
        <v>47952</v>
      </c>
      <c r="D1345" s="21">
        <v>18</v>
      </c>
      <c r="E1345" s="21">
        <v>3</v>
      </c>
      <c r="F1345" s="22">
        <v>30</v>
      </c>
      <c r="G1345" s="22" t="s">
        <v>210</v>
      </c>
      <c r="H1345" s="24">
        <f>(D1345*400)+(E1345*100)+F1345</f>
        <v>7530</v>
      </c>
      <c r="I1345" s="25">
        <v>4500</v>
      </c>
      <c r="J1345" s="24">
        <f t="shared" ref="J1345:J1365" si="206">(H1345*I1345)</f>
        <v>33885000</v>
      </c>
      <c r="K1345" s="20"/>
      <c r="L1345" s="20"/>
      <c r="M1345" s="20"/>
      <c r="N1345" s="20"/>
      <c r="O1345" s="24"/>
      <c r="P1345" s="24"/>
      <c r="Q1345" s="25"/>
      <c r="R1345" s="24"/>
      <c r="S1345" s="20"/>
      <c r="T1345" s="27"/>
      <c r="U1345" s="20"/>
      <c r="V1345" s="90">
        <f t="shared" ref="V1345:V1364" si="207">(J1345+U1345)</f>
        <v>33885000</v>
      </c>
      <c r="W1345" s="90">
        <f t="shared" si="204"/>
        <v>33885000</v>
      </c>
      <c r="X1345" s="89">
        <v>0</v>
      </c>
      <c r="Y1345" s="48">
        <f t="shared" si="205"/>
        <v>33885000</v>
      </c>
      <c r="Z1345" s="49">
        <v>3.0000000000000001E-3</v>
      </c>
    </row>
    <row r="1346" spans="1:26" s="29" customFormat="1" ht="90.75" customHeight="1" x14ac:dyDescent="0.25">
      <c r="A1346" s="20">
        <v>924</v>
      </c>
      <c r="B1346" s="20" t="s">
        <v>0</v>
      </c>
      <c r="C1346" s="20">
        <v>47946</v>
      </c>
      <c r="D1346" s="21">
        <v>54</v>
      </c>
      <c r="E1346" s="21">
        <v>3</v>
      </c>
      <c r="F1346" s="22">
        <v>38</v>
      </c>
      <c r="G1346" s="21" t="s">
        <v>209</v>
      </c>
      <c r="H1346" s="24">
        <f>(D1346*400)+(E1346*100)+F1346</f>
        <v>21938</v>
      </c>
      <c r="I1346" s="25" t="s">
        <v>123</v>
      </c>
      <c r="J1346" s="24">
        <f t="shared" si="206"/>
        <v>98721000</v>
      </c>
      <c r="K1346" s="20"/>
      <c r="L1346" s="20"/>
      <c r="M1346" s="20"/>
      <c r="N1346" s="20"/>
      <c r="O1346" s="24"/>
      <c r="P1346" s="24"/>
      <c r="Q1346" s="25"/>
      <c r="R1346" s="24"/>
      <c r="S1346" s="20"/>
      <c r="T1346" s="27"/>
      <c r="U1346" s="20"/>
      <c r="V1346" s="90">
        <f t="shared" si="207"/>
        <v>98721000</v>
      </c>
      <c r="W1346" s="90">
        <f t="shared" si="204"/>
        <v>98721000</v>
      </c>
      <c r="X1346" s="89">
        <v>0</v>
      </c>
      <c r="Y1346" s="48">
        <f t="shared" si="205"/>
        <v>98721000</v>
      </c>
      <c r="Z1346" s="52" t="s">
        <v>264</v>
      </c>
    </row>
    <row r="1347" spans="1:26" s="29" customFormat="1" ht="90.75" customHeight="1" x14ac:dyDescent="0.25">
      <c r="A1347" s="20"/>
      <c r="B1347" s="20" t="s">
        <v>0</v>
      </c>
      <c r="C1347" s="20">
        <v>47946</v>
      </c>
      <c r="D1347" s="21"/>
      <c r="E1347" s="21"/>
      <c r="F1347" s="22"/>
      <c r="G1347" s="23"/>
      <c r="H1347" s="36">
        <f t="shared" ref="H1347:H1364" si="208">(O1347*0.25)</f>
        <v>225</v>
      </c>
      <c r="I1347" s="40">
        <v>4500</v>
      </c>
      <c r="J1347" s="28">
        <f t="shared" si="206"/>
        <v>1012500</v>
      </c>
      <c r="K1347" s="30">
        <v>1</v>
      </c>
      <c r="L1347" s="31" t="s">
        <v>27</v>
      </c>
      <c r="M1347" s="31" t="s">
        <v>24</v>
      </c>
      <c r="N1347" s="51">
        <v>3</v>
      </c>
      <c r="O1347" s="45">
        <v>900</v>
      </c>
      <c r="P1347" s="35">
        <v>100</v>
      </c>
      <c r="Q1347" s="40">
        <v>7100</v>
      </c>
      <c r="R1347" s="36">
        <f t="shared" ref="R1347:R1364" si="209">(O1347*Q1347)</f>
        <v>6390000</v>
      </c>
      <c r="S1347" s="31">
        <v>6</v>
      </c>
      <c r="T1347" s="28">
        <f t="shared" ref="T1347:T1353" si="210">(R1347*6/100)</f>
        <v>383400</v>
      </c>
      <c r="U1347" s="36">
        <f t="shared" ref="U1347:U1364" si="211">(R1347-T1347)</f>
        <v>6006600</v>
      </c>
      <c r="V1347" s="36">
        <f t="shared" si="207"/>
        <v>7019100</v>
      </c>
      <c r="W1347" s="36">
        <f t="shared" si="204"/>
        <v>7019100</v>
      </c>
      <c r="X1347" s="28">
        <v>0</v>
      </c>
      <c r="Y1347" s="28">
        <f t="shared" si="205"/>
        <v>7019100</v>
      </c>
      <c r="Z1347" s="49">
        <v>3.0000000000000001E-3</v>
      </c>
    </row>
    <row r="1348" spans="1:26" s="29" customFormat="1" ht="90.75" customHeight="1" x14ac:dyDescent="0.25">
      <c r="A1348" s="20"/>
      <c r="B1348" s="20"/>
      <c r="C1348" s="20"/>
      <c r="D1348" s="21"/>
      <c r="E1348" s="21"/>
      <c r="F1348" s="22"/>
      <c r="G1348" s="23"/>
      <c r="H1348" s="36">
        <f t="shared" si="208"/>
        <v>3911.5</v>
      </c>
      <c r="I1348" s="40">
        <v>4500</v>
      </c>
      <c r="J1348" s="28">
        <f t="shared" si="206"/>
        <v>17601750</v>
      </c>
      <c r="K1348" s="30">
        <v>2</v>
      </c>
      <c r="L1348" s="31" t="s">
        <v>95</v>
      </c>
      <c r="M1348" s="31" t="s">
        <v>13</v>
      </c>
      <c r="N1348" s="51">
        <v>3</v>
      </c>
      <c r="O1348" s="45">
        <v>15646</v>
      </c>
      <c r="P1348" s="35">
        <v>100</v>
      </c>
      <c r="Q1348" s="40">
        <v>3500</v>
      </c>
      <c r="R1348" s="36">
        <f t="shared" si="209"/>
        <v>54761000</v>
      </c>
      <c r="S1348" s="31">
        <v>6</v>
      </c>
      <c r="T1348" s="28">
        <f t="shared" si="210"/>
        <v>3285660</v>
      </c>
      <c r="U1348" s="36">
        <f t="shared" si="211"/>
        <v>51475340</v>
      </c>
      <c r="V1348" s="36">
        <f t="shared" si="207"/>
        <v>69077090</v>
      </c>
      <c r="W1348" s="36">
        <f t="shared" si="204"/>
        <v>69077090</v>
      </c>
      <c r="X1348" s="28">
        <v>0</v>
      </c>
      <c r="Y1348" s="28">
        <f t="shared" si="205"/>
        <v>69077090</v>
      </c>
      <c r="Z1348" s="52" t="s">
        <v>264</v>
      </c>
    </row>
    <row r="1349" spans="1:26" s="29" customFormat="1" ht="90.75" customHeight="1" x14ac:dyDescent="0.25">
      <c r="A1349" s="20"/>
      <c r="B1349" s="20"/>
      <c r="C1349" s="20"/>
      <c r="D1349" s="21"/>
      <c r="E1349" s="21"/>
      <c r="F1349" s="22"/>
      <c r="G1349" s="23"/>
      <c r="H1349" s="36">
        <f t="shared" si="208"/>
        <v>155.5</v>
      </c>
      <c r="I1349" s="40">
        <v>4500</v>
      </c>
      <c r="J1349" s="28">
        <f t="shared" si="206"/>
        <v>699750</v>
      </c>
      <c r="K1349" s="30">
        <v>3</v>
      </c>
      <c r="L1349" s="31" t="s">
        <v>41</v>
      </c>
      <c r="M1349" s="31" t="s">
        <v>13</v>
      </c>
      <c r="N1349" s="51">
        <v>3</v>
      </c>
      <c r="O1349" s="45">
        <v>622</v>
      </c>
      <c r="P1349" s="35">
        <v>100</v>
      </c>
      <c r="Q1349" s="40">
        <v>6400</v>
      </c>
      <c r="R1349" s="36">
        <f t="shared" si="209"/>
        <v>3980800</v>
      </c>
      <c r="S1349" s="31">
        <v>6</v>
      </c>
      <c r="T1349" s="28">
        <f t="shared" si="210"/>
        <v>238848</v>
      </c>
      <c r="U1349" s="36">
        <f t="shared" si="211"/>
        <v>3741952</v>
      </c>
      <c r="V1349" s="36">
        <f t="shared" si="207"/>
        <v>4441702</v>
      </c>
      <c r="W1349" s="36">
        <f t="shared" si="204"/>
        <v>4441702</v>
      </c>
      <c r="X1349" s="28">
        <v>0</v>
      </c>
      <c r="Y1349" s="28">
        <f t="shared" si="205"/>
        <v>4441702</v>
      </c>
      <c r="Z1349" s="49">
        <v>3.0000000000000001E-3</v>
      </c>
    </row>
    <row r="1350" spans="1:26" s="29" customFormat="1" ht="90.75" customHeight="1" x14ac:dyDescent="0.25">
      <c r="A1350" s="20"/>
      <c r="B1350" s="20"/>
      <c r="C1350" s="20"/>
      <c r="D1350" s="21"/>
      <c r="E1350" s="21"/>
      <c r="F1350" s="22"/>
      <c r="G1350" s="23"/>
      <c r="H1350" s="36">
        <f t="shared" si="208"/>
        <v>4</v>
      </c>
      <c r="I1350" s="40">
        <v>4500</v>
      </c>
      <c r="J1350" s="28">
        <f t="shared" si="206"/>
        <v>18000</v>
      </c>
      <c r="K1350" s="30">
        <v>4</v>
      </c>
      <c r="L1350" s="31" t="s">
        <v>215</v>
      </c>
      <c r="M1350" s="31" t="s">
        <v>13</v>
      </c>
      <c r="N1350" s="51">
        <v>3</v>
      </c>
      <c r="O1350" s="45">
        <v>16</v>
      </c>
      <c r="P1350" s="35">
        <v>100</v>
      </c>
      <c r="Q1350" s="40">
        <v>6450</v>
      </c>
      <c r="R1350" s="36">
        <f t="shared" si="209"/>
        <v>103200</v>
      </c>
      <c r="S1350" s="31">
        <v>6</v>
      </c>
      <c r="T1350" s="28">
        <f t="shared" si="210"/>
        <v>6192</v>
      </c>
      <c r="U1350" s="36">
        <f t="shared" si="211"/>
        <v>97008</v>
      </c>
      <c r="V1350" s="36">
        <f t="shared" si="207"/>
        <v>115008</v>
      </c>
      <c r="W1350" s="36">
        <f t="shared" si="204"/>
        <v>115008</v>
      </c>
      <c r="X1350" s="28">
        <v>0</v>
      </c>
      <c r="Y1350" s="28">
        <f t="shared" si="205"/>
        <v>115008</v>
      </c>
      <c r="Z1350" s="49">
        <v>3.0000000000000001E-3</v>
      </c>
    </row>
    <row r="1351" spans="1:26" s="29" customFormat="1" ht="90.75" customHeight="1" x14ac:dyDescent="0.25">
      <c r="A1351" s="20"/>
      <c r="B1351" s="20"/>
      <c r="C1351" s="20"/>
      <c r="D1351" s="21"/>
      <c r="E1351" s="21"/>
      <c r="F1351" s="22"/>
      <c r="G1351" s="23"/>
      <c r="H1351" s="36">
        <f t="shared" si="208"/>
        <v>4</v>
      </c>
      <c r="I1351" s="40">
        <v>4500</v>
      </c>
      <c r="J1351" s="28">
        <f t="shared" si="206"/>
        <v>18000</v>
      </c>
      <c r="K1351" s="30">
        <v>5</v>
      </c>
      <c r="L1351" s="31" t="s">
        <v>215</v>
      </c>
      <c r="M1351" s="31" t="s">
        <v>13</v>
      </c>
      <c r="N1351" s="51">
        <v>3</v>
      </c>
      <c r="O1351" s="45">
        <v>16</v>
      </c>
      <c r="P1351" s="35">
        <v>100</v>
      </c>
      <c r="Q1351" s="40">
        <v>6450</v>
      </c>
      <c r="R1351" s="36">
        <f t="shared" si="209"/>
        <v>103200</v>
      </c>
      <c r="S1351" s="31">
        <v>6</v>
      </c>
      <c r="T1351" s="28">
        <f t="shared" si="210"/>
        <v>6192</v>
      </c>
      <c r="U1351" s="36">
        <f t="shared" si="211"/>
        <v>97008</v>
      </c>
      <c r="V1351" s="36">
        <f t="shared" si="207"/>
        <v>115008</v>
      </c>
      <c r="W1351" s="36">
        <f t="shared" si="204"/>
        <v>115008</v>
      </c>
      <c r="X1351" s="28">
        <v>0</v>
      </c>
      <c r="Y1351" s="28">
        <f t="shared" si="205"/>
        <v>115008</v>
      </c>
      <c r="Z1351" s="49">
        <v>3.0000000000000001E-3</v>
      </c>
    </row>
    <row r="1352" spans="1:26" s="29" customFormat="1" ht="90.75" customHeight="1" x14ac:dyDescent="0.25">
      <c r="A1352" s="20"/>
      <c r="B1352" s="20"/>
      <c r="C1352" s="20"/>
      <c r="D1352" s="21"/>
      <c r="E1352" s="21"/>
      <c r="F1352" s="22"/>
      <c r="G1352" s="23"/>
      <c r="H1352" s="36">
        <f t="shared" si="208"/>
        <v>39</v>
      </c>
      <c r="I1352" s="40">
        <v>4500</v>
      </c>
      <c r="J1352" s="28">
        <f t="shared" si="206"/>
        <v>175500</v>
      </c>
      <c r="K1352" s="30">
        <v>6</v>
      </c>
      <c r="L1352" s="31" t="s">
        <v>31</v>
      </c>
      <c r="M1352" s="31"/>
      <c r="N1352" s="51">
        <v>3</v>
      </c>
      <c r="O1352" s="45">
        <v>156</v>
      </c>
      <c r="P1352" s="35">
        <v>100</v>
      </c>
      <c r="Q1352" s="40">
        <v>2550</v>
      </c>
      <c r="R1352" s="36">
        <f t="shared" si="209"/>
        <v>397800</v>
      </c>
      <c r="S1352" s="31">
        <v>6</v>
      </c>
      <c r="T1352" s="28">
        <f t="shared" si="210"/>
        <v>23868</v>
      </c>
      <c r="U1352" s="36">
        <f t="shared" si="211"/>
        <v>373932</v>
      </c>
      <c r="V1352" s="36">
        <f t="shared" si="207"/>
        <v>549432</v>
      </c>
      <c r="W1352" s="36">
        <f t="shared" si="204"/>
        <v>549432</v>
      </c>
      <c r="X1352" s="28">
        <v>0</v>
      </c>
      <c r="Y1352" s="28">
        <f t="shared" si="205"/>
        <v>549432</v>
      </c>
      <c r="Z1352" s="49">
        <v>3.0000000000000001E-3</v>
      </c>
    </row>
    <row r="1353" spans="1:26" s="29" customFormat="1" ht="90.75" customHeight="1" x14ac:dyDescent="0.25">
      <c r="A1353" s="20"/>
      <c r="B1353" s="20"/>
      <c r="C1353" s="20"/>
      <c r="D1353" s="21"/>
      <c r="E1353" s="21"/>
      <c r="F1353" s="22"/>
      <c r="G1353" s="23"/>
      <c r="H1353" s="36">
        <f t="shared" si="208"/>
        <v>39</v>
      </c>
      <c r="I1353" s="40">
        <v>4500</v>
      </c>
      <c r="J1353" s="28">
        <f t="shared" si="206"/>
        <v>175500</v>
      </c>
      <c r="K1353" s="30">
        <v>7</v>
      </c>
      <c r="L1353" s="31" t="s">
        <v>31</v>
      </c>
      <c r="M1353" s="31"/>
      <c r="N1353" s="51">
        <v>3</v>
      </c>
      <c r="O1353" s="45">
        <v>156</v>
      </c>
      <c r="P1353" s="35">
        <v>100</v>
      </c>
      <c r="Q1353" s="40">
        <v>2550</v>
      </c>
      <c r="R1353" s="36">
        <f t="shared" si="209"/>
        <v>397800</v>
      </c>
      <c r="S1353" s="31">
        <v>6</v>
      </c>
      <c r="T1353" s="28">
        <f t="shared" si="210"/>
        <v>23868</v>
      </c>
      <c r="U1353" s="36">
        <f t="shared" si="211"/>
        <v>373932</v>
      </c>
      <c r="V1353" s="36">
        <f t="shared" si="207"/>
        <v>549432</v>
      </c>
      <c r="W1353" s="36">
        <f t="shared" si="204"/>
        <v>549432</v>
      </c>
      <c r="X1353" s="28">
        <v>0</v>
      </c>
      <c r="Y1353" s="28">
        <f t="shared" si="205"/>
        <v>549432</v>
      </c>
      <c r="Z1353" s="49">
        <v>3.0000000000000001E-3</v>
      </c>
    </row>
    <row r="1354" spans="1:26" s="29" customFormat="1" ht="90.75" customHeight="1" x14ac:dyDescent="0.25">
      <c r="A1354" s="20"/>
      <c r="B1354" s="20"/>
      <c r="C1354" s="20"/>
      <c r="D1354" s="21"/>
      <c r="E1354" s="21"/>
      <c r="F1354" s="22"/>
      <c r="G1354" s="23"/>
      <c r="H1354" s="36">
        <f t="shared" si="208"/>
        <v>29</v>
      </c>
      <c r="I1354" s="40">
        <v>4500</v>
      </c>
      <c r="J1354" s="28">
        <f t="shared" si="206"/>
        <v>130500</v>
      </c>
      <c r="K1354" s="30">
        <v>8</v>
      </c>
      <c r="L1354" s="31" t="s">
        <v>31</v>
      </c>
      <c r="M1354" s="31"/>
      <c r="N1354" s="51">
        <v>3</v>
      </c>
      <c r="O1354" s="45">
        <v>116</v>
      </c>
      <c r="P1354" s="35">
        <v>100</v>
      </c>
      <c r="Q1354" s="40">
        <v>2550</v>
      </c>
      <c r="R1354" s="36">
        <f t="shared" si="209"/>
        <v>295800</v>
      </c>
      <c r="S1354" s="31">
        <v>4</v>
      </c>
      <c r="T1354" s="28">
        <f t="shared" ref="T1354:T1364" si="212">(R1354*4/100)</f>
        <v>11832</v>
      </c>
      <c r="U1354" s="36">
        <f t="shared" si="211"/>
        <v>283968</v>
      </c>
      <c r="V1354" s="36">
        <f t="shared" si="207"/>
        <v>414468</v>
      </c>
      <c r="W1354" s="36">
        <f t="shared" si="204"/>
        <v>414468</v>
      </c>
      <c r="X1354" s="28">
        <v>0</v>
      </c>
      <c r="Y1354" s="28">
        <f t="shared" si="205"/>
        <v>414468</v>
      </c>
      <c r="Z1354" s="49">
        <v>3.0000000000000001E-3</v>
      </c>
    </row>
    <row r="1355" spans="1:26" s="29" customFormat="1" ht="90.75" customHeight="1" x14ac:dyDescent="0.25">
      <c r="A1355" s="20"/>
      <c r="B1355" s="20"/>
      <c r="C1355" s="20"/>
      <c r="D1355" s="21"/>
      <c r="E1355" s="21"/>
      <c r="F1355" s="22"/>
      <c r="G1355" s="23"/>
      <c r="H1355" s="36">
        <f t="shared" si="208"/>
        <v>29</v>
      </c>
      <c r="I1355" s="40">
        <v>4500</v>
      </c>
      <c r="J1355" s="28">
        <f t="shared" si="206"/>
        <v>130500</v>
      </c>
      <c r="K1355" s="30">
        <v>9</v>
      </c>
      <c r="L1355" s="31" t="s">
        <v>31</v>
      </c>
      <c r="M1355" s="31"/>
      <c r="N1355" s="51">
        <v>3</v>
      </c>
      <c r="O1355" s="45">
        <v>116</v>
      </c>
      <c r="P1355" s="35">
        <v>100</v>
      </c>
      <c r="Q1355" s="40">
        <v>2550</v>
      </c>
      <c r="R1355" s="36">
        <f t="shared" si="209"/>
        <v>295800</v>
      </c>
      <c r="S1355" s="31">
        <v>4</v>
      </c>
      <c r="T1355" s="28">
        <f t="shared" si="212"/>
        <v>11832</v>
      </c>
      <c r="U1355" s="36">
        <f t="shared" si="211"/>
        <v>283968</v>
      </c>
      <c r="V1355" s="36">
        <f t="shared" si="207"/>
        <v>414468</v>
      </c>
      <c r="W1355" s="36">
        <f t="shared" si="204"/>
        <v>414468</v>
      </c>
      <c r="X1355" s="28">
        <v>0</v>
      </c>
      <c r="Y1355" s="28">
        <f t="shared" si="205"/>
        <v>414468</v>
      </c>
      <c r="Z1355" s="49">
        <v>3.0000000000000001E-3</v>
      </c>
    </row>
    <row r="1356" spans="1:26" s="29" customFormat="1" ht="90.75" customHeight="1" x14ac:dyDescent="0.25">
      <c r="A1356" s="20"/>
      <c r="B1356" s="20"/>
      <c r="C1356" s="20"/>
      <c r="D1356" s="21"/>
      <c r="E1356" s="21"/>
      <c r="F1356" s="22"/>
      <c r="G1356" s="23"/>
      <c r="H1356" s="36">
        <f t="shared" si="208"/>
        <v>29</v>
      </c>
      <c r="I1356" s="40">
        <v>4500</v>
      </c>
      <c r="J1356" s="28">
        <f t="shared" si="206"/>
        <v>130500</v>
      </c>
      <c r="K1356" s="30">
        <v>10</v>
      </c>
      <c r="L1356" s="31" t="s">
        <v>31</v>
      </c>
      <c r="M1356" s="31"/>
      <c r="N1356" s="51">
        <v>3</v>
      </c>
      <c r="O1356" s="45">
        <v>116</v>
      </c>
      <c r="P1356" s="35">
        <v>100</v>
      </c>
      <c r="Q1356" s="40">
        <v>2550</v>
      </c>
      <c r="R1356" s="36">
        <f t="shared" si="209"/>
        <v>295800</v>
      </c>
      <c r="S1356" s="31">
        <v>4</v>
      </c>
      <c r="T1356" s="28">
        <f t="shared" si="212"/>
        <v>11832</v>
      </c>
      <c r="U1356" s="36">
        <f t="shared" si="211"/>
        <v>283968</v>
      </c>
      <c r="V1356" s="36">
        <f t="shared" si="207"/>
        <v>414468</v>
      </c>
      <c r="W1356" s="36">
        <f t="shared" si="204"/>
        <v>414468</v>
      </c>
      <c r="X1356" s="28">
        <v>0</v>
      </c>
      <c r="Y1356" s="28">
        <f t="shared" si="205"/>
        <v>414468</v>
      </c>
      <c r="Z1356" s="49">
        <v>3.0000000000000001E-3</v>
      </c>
    </row>
    <row r="1357" spans="1:26" s="29" customFormat="1" ht="90.75" customHeight="1" x14ac:dyDescent="0.25">
      <c r="A1357" s="20"/>
      <c r="B1357" s="20"/>
      <c r="C1357" s="20"/>
      <c r="D1357" s="21"/>
      <c r="E1357" s="21"/>
      <c r="F1357" s="22"/>
      <c r="G1357" s="23"/>
      <c r="H1357" s="36">
        <f t="shared" si="208"/>
        <v>29</v>
      </c>
      <c r="I1357" s="40">
        <v>4500</v>
      </c>
      <c r="J1357" s="28">
        <f t="shared" si="206"/>
        <v>130500</v>
      </c>
      <c r="K1357" s="30">
        <v>11</v>
      </c>
      <c r="L1357" s="31" t="s">
        <v>31</v>
      </c>
      <c r="M1357" s="31"/>
      <c r="N1357" s="51">
        <v>3</v>
      </c>
      <c r="O1357" s="45">
        <v>116</v>
      </c>
      <c r="P1357" s="35">
        <v>100</v>
      </c>
      <c r="Q1357" s="40">
        <v>2550</v>
      </c>
      <c r="R1357" s="36">
        <f t="shared" si="209"/>
        <v>295800</v>
      </c>
      <c r="S1357" s="31">
        <v>4</v>
      </c>
      <c r="T1357" s="28">
        <f t="shared" si="212"/>
        <v>11832</v>
      </c>
      <c r="U1357" s="36">
        <f t="shared" si="211"/>
        <v>283968</v>
      </c>
      <c r="V1357" s="36">
        <f t="shared" si="207"/>
        <v>414468</v>
      </c>
      <c r="W1357" s="36">
        <f t="shared" si="204"/>
        <v>414468</v>
      </c>
      <c r="X1357" s="28">
        <v>0</v>
      </c>
      <c r="Y1357" s="28">
        <f t="shared" si="205"/>
        <v>414468</v>
      </c>
      <c r="Z1357" s="49">
        <v>3.0000000000000001E-3</v>
      </c>
    </row>
    <row r="1358" spans="1:26" s="29" customFormat="1" ht="90.75" customHeight="1" x14ac:dyDescent="0.25">
      <c r="A1358" s="20"/>
      <c r="B1358" s="20"/>
      <c r="C1358" s="20"/>
      <c r="D1358" s="21"/>
      <c r="E1358" s="21"/>
      <c r="F1358" s="22"/>
      <c r="G1358" s="23"/>
      <c r="H1358" s="36">
        <f t="shared" si="208"/>
        <v>29</v>
      </c>
      <c r="I1358" s="40">
        <v>4500</v>
      </c>
      <c r="J1358" s="28">
        <f t="shared" si="206"/>
        <v>130500</v>
      </c>
      <c r="K1358" s="30">
        <v>12</v>
      </c>
      <c r="L1358" s="31" t="s">
        <v>31</v>
      </c>
      <c r="M1358" s="31"/>
      <c r="N1358" s="51">
        <v>3</v>
      </c>
      <c r="O1358" s="45">
        <v>116</v>
      </c>
      <c r="P1358" s="35">
        <v>100</v>
      </c>
      <c r="Q1358" s="40">
        <v>2550</v>
      </c>
      <c r="R1358" s="36">
        <f t="shared" si="209"/>
        <v>295800</v>
      </c>
      <c r="S1358" s="31">
        <v>4</v>
      </c>
      <c r="T1358" s="28">
        <f t="shared" si="212"/>
        <v>11832</v>
      </c>
      <c r="U1358" s="36">
        <f t="shared" si="211"/>
        <v>283968</v>
      </c>
      <c r="V1358" s="36">
        <f t="shared" si="207"/>
        <v>414468</v>
      </c>
      <c r="W1358" s="36">
        <f t="shared" si="204"/>
        <v>414468</v>
      </c>
      <c r="X1358" s="28">
        <v>0</v>
      </c>
      <c r="Y1358" s="28">
        <f t="shared" si="205"/>
        <v>414468</v>
      </c>
      <c r="Z1358" s="49">
        <v>3.0000000000000001E-3</v>
      </c>
    </row>
    <row r="1359" spans="1:26" s="29" customFormat="1" ht="90.75" customHeight="1" x14ac:dyDescent="0.25">
      <c r="A1359" s="20"/>
      <c r="B1359" s="20"/>
      <c r="C1359" s="20"/>
      <c r="D1359" s="21"/>
      <c r="E1359" s="21"/>
      <c r="F1359" s="22"/>
      <c r="G1359" s="23"/>
      <c r="H1359" s="36">
        <f t="shared" si="208"/>
        <v>62</v>
      </c>
      <c r="I1359" s="40">
        <v>4500</v>
      </c>
      <c r="J1359" s="28">
        <f t="shared" si="206"/>
        <v>279000</v>
      </c>
      <c r="K1359" s="30">
        <v>13</v>
      </c>
      <c r="L1359" s="31" t="s">
        <v>31</v>
      </c>
      <c r="M1359" s="31"/>
      <c r="N1359" s="51">
        <v>3</v>
      </c>
      <c r="O1359" s="45">
        <v>248</v>
      </c>
      <c r="P1359" s="35">
        <v>100</v>
      </c>
      <c r="Q1359" s="40">
        <v>2550</v>
      </c>
      <c r="R1359" s="36">
        <f t="shared" si="209"/>
        <v>632400</v>
      </c>
      <c r="S1359" s="31">
        <v>4</v>
      </c>
      <c r="T1359" s="28">
        <f t="shared" si="212"/>
        <v>25296</v>
      </c>
      <c r="U1359" s="36">
        <f t="shared" si="211"/>
        <v>607104</v>
      </c>
      <c r="V1359" s="36">
        <f t="shared" si="207"/>
        <v>886104</v>
      </c>
      <c r="W1359" s="36">
        <f t="shared" si="204"/>
        <v>886104</v>
      </c>
      <c r="X1359" s="28">
        <v>0</v>
      </c>
      <c r="Y1359" s="28">
        <f t="shared" si="205"/>
        <v>886104</v>
      </c>
      <c r="Z1359" s="49">
        <v>3.0000000000000001E-3</v>
      </c>
    </row>
    <row r="1360" spans="1:26" s="29" customFormat="1" ht="90.75" customHeight="1" x14ac:dyDescent="0.25">
      <c r="A1360" s="20"/>
      <c r="B1360" s="20"/>
      <c r="C1360" s="20"/>
      <c r="D1360" s="21"/>
      <c r="E1360" s="21"/>
      <c r="F1360" s="22"/>
      <c r="G1360" s="23"/>
      <c r="H1360" s="36">
        <f t="shared" si="208"/>
        <v>213.25</v>
      </c>
      <c r="I1360" s="40">
        <v>4500</v>
      </c>
      <c r="J1360" s="28">
        <f t="shared" si="206"/>
        <v>959625</v>
      </c>
      <c r="K1360" s="30">
        <v>14</v>
      </c>
      <c r="L1360" s="31" t="s">
        <v>31</v>
      </c>
      <c r="M1360" s="31"/>
      <c r="N1360" s="51">
        <v>3</v>
      </c>
      <c r="O1360" s="45">
        <v>853</v>
      </c>
      <c r="P1360" s="35">
        <v>100</v>
      </c>
      <c r="Q1360" s="40">
        <v>2550</v>
      </c>
      <c r="R1360" s="36">
        <f t="shared" si="209"/>
        <v>2175150</v>
      </c>
      <c r="S1360" s="31">
        <v>4</v>
      </c>
      <c r="T1360" s="28">
        <f t="shared" si="212"/>
        <v>87006</v>
      </c>
      <c r="U1360" s="36">
        <f t="shared" si="211"/>
        <v>2088144</v>
      </c>
      <c r="V1360" s="36">
        <f t="shared" si="207"/>
        <v>3047769</v>
      </c>
      <c r="W1360" s="36">
        <f t="shared" si="204"/>
        <v>3047769</v>
      </c>
      <c r="X1360" s="28">
        <v>0</v>
      </c>
      <c r="Y1360" s="28">
        <f t="shared" si="205"/>
        <v>3047769</v>
      </c>
      <c r="Z1360" s="49">
        <v>3.0000000000000001E-3</v>
      </c>
    </row>
    <row r="1361" spans="1:26" s="29" customFormat="1" ht="90.75" customHeight="1" x14ac:dyDescent="0.25">
      <c r="A1361" s="20"/>
      <c r="B1361" s="20"/>
      <c r="C1361" s="20"/>
      <c r="D1361" s="21"/>
      <c r="E1361" s="21"/>
      <c r="F1361" s="22"/>
      <c r="G1361" s="23"/>
      <c r="H1361" s="36">
        <f t="shared" si="208"/>
        <v>281.25</v>
      </c>
      <c r="I1361" s="40">
        <v>4500</v>
      </c>
      <c r="J1361" s="28">
        <f t="shared" si="206"/>
        <v>1265625</v>
      </c>
      <c r="K1361" s="30">
        <v>15</v>
      </c>
      <c r="L1361" s="31" t="s">
        <v>31</v>
      </c>
      <c r="M1361" s="31"/>
      <c r="N1361" s="51">
        <v>3</v>
      </c>
      <c r="O1361" s="45">
        <v>1125</v>
      </c>
      <c r="P1361" s="35">
        <v>100</v>
      </c>
      <c r="Q1361" s="40">
        <v>2550</v>
      </c>
      <c r="R1361" s="36">
        <f t="shared" si="209"/>
        <v>2868750</v>
      </c>
      <c r="S1361" s="31">
        <v>4</v>
      </c>
      <c r="T1361" s="28">
        <f t="shared" si="212"/>
        <v>114750</v>
      </c>
      <c r="U1361" s="36">
        <f t="shared" si="211"/>
        <v>2754000</v>
      </c>
      <c r="V1361" s="36">
        <f t="shared" si="207"/>
        <v>4019625</v>
      </c>
      <c r="W1361" s="36">
        <f t="shared" si="204"/>
        <v>4019625</v>
      </c>
      <c r="X1361" s="28">
        <v>0</v>
      </c>
      <c r="Y1361" s="28">
        <f t="shared" si="205"/>
        <v>4019625</v>
      </c>
      <c r="Z1361" s="49">
        <v>3.0000000000000001E-3</v>
      </c>
    </row>
    <row r="1362" spans="1:26" s="29" customFormat="1" ht="90.75" customHeight="1" x14ac:dyDescent="0.25">
      <c r="A1362" s="20"/>
      <c r="B1362" s="20"/>
      <c r="C1362" s="20"/>
      <c r="D1362" s="21"/>
      <c r="E1362" s="21"/>
      <c r="F1362" s="22"/>
      <c r="G1362" s="23"/>
      <c r="H1362" s="36">
        <f t="shared" si="208"/>
        <v>122.5</v>
      </c>
      <c r="I1362" s="40">
        <v>4500</v>
      </c>
      <c r="J1362" s="28">
        <f t="shared" si="206"/>
        <v>551250</v>
      </c>
      <c r="K1362" s="30">
        <v>16</v>
      </c>
      <c r="L1362" s="31" t="s">
        <v>148</v>
      </c>
      <c r="M1362" s="31" t="s">
        <v>13</v>
      </c>
      <c r="N1362" s="51">
        <v>3</v>
      </c>
      <c r="O1362" s="45">
        <v>490</v>
      </c>
      <c r="P1362" s="35">
        <v>100</v>
      </c>
      <c r="Q1362" s="40">
        <v>3500</v>
      </c>
      <c r="R1362" s="36">
        <f t="shared" si="209"/>
        <v>1715000</v>
      </c>
      <c r="S1362" s="31">
        <v>4</v>
      </c>
      <c r="T1362" s="28">
        <f t="shared" si="212"/>
        <v>68600</v>
      </c>
      <c r="U1362" s="36">
        <f t="shared" si="211"/>
        <v>1646400</v>
      </c>
      <c r="V1362" s="36">
        <f t="shared" si="207"/>
        <v>2197650</v>
      </c>
      <c r="W1362" s="36">
        <f t="shared" si="204"/>
        <v>2197650</v>
      </c>
      <c r="X1362" s="28">
        <v>0</v>
      </c>
      <c r="Y1362" s="28">
        <f t="shared" si="205"/>
        <v>2197650</v>
      </c>
      <c r="Z1362" s="49">
        <v>3.0000000000000001E-3</v>
      </c>
    </row>
    <row r="1363" spans="1:26" s="29" customFormat="1" ht="90.75" customHeight="1" x14ac:dyDescent="0.25">
      <c r="A1363" s="20"/>
      <c r="B1363" s="20"/>
      <c r="C1363" s="20"/>
      <c r="D1363" s="21"/>
      <c r="E1363" s="21"/>
      <c r="F1363" s="22"/>
      <c r="G1363" s="23"/>
      <c r="H1363" s="36">
        <f t="shared" si="208"/>
        <v>190.5</v>
      </c>
      <c r="I1363" s="40">
        <v>4500</v>
      </c>
      <c r="J1363" s="28">
        <f t="shared" si="206"/>
        <v>857250</v>
      </c>
      <c r="K1363" s="30">
        <v>17</v>
      </c>
      <c r="L1363" s="31" t="s">
        <v>148</v>
      </c>
      <c r="M1363" s="31" t="s">
        <v>13</v>
      </c>
      <c r="N1363" s="51">
        <v>3</v>
      </c>
      <c r="O1363" s="45">
        <v>762</v>
      </c>
      <c r="P1363" s="35">
        <v>100</v>
      </c>
      <c r="Q1363" s="40">
        <v>3500</v>
      </c>
      <c r="R1363" s="36">
        <f t="shared" si="209"/>
        <v>2667000</v>
      </c>
      <c r="S1363" s="31">
        <v>4</v>
      </c>
      <c r="T1363" s="28">
        <f t="shared" si="212"/>
        <v>106680</v>
      </c>
      <c r="U1363" s="36">
        <f t="shared" si="211"/>
        <v>2560320</v>
      </c>
      <c r="V1363" s="36">
        <f t="shared" si="207"/>
        <v>3417570</v>
      </c>
      <c r="W1363" s="36">
        <f t="shared" si="204"/>
        <v>3417570</v>
      </c>
      <c r="X1363" s="28">
        <v>0</v>
      </c>
      <c r="Y1363" s="28">
        <f t="shared" si="205"/>
        <v>3417570</v>
      </c>
      <c r="Z1363" s="49">
        <v>3.0000000000000001E-3</v>
      </c>
    </row>
    <row r="1364" spans="1:26" s="29" customFormat="1" ht="90.75" customHeight="1" x14ac:dyDescent="0.25">
      <c r="A1364" s="20"/>
      <c r="B1364" s="20"/>
      <c r="C1364" s="20"/>
      <c r="D1364" s="21"/>
      <c r="E1364" s="21"/>
      <c r="F1364" s="22"/>
      <c r="G1364" s="23"/>
      <c r="H1364" s="36">
        <f t="shared" si="208"/>
        <v>403.25</v>
      </c>
      <c r="I1364" s="40">
        <v>4500</v>
      </c>
      <c r="J1364" s="28">
        <f t="shared" si="206"/>
        <v>1814625</v>
      </c>
      <c r="K1364" s="30">
        <v>18</v>
      </c>
      <c r="L1364" s="31" t="s">
        <v>31</v>
      </c>
      <c r="M1364" s="31" t="s">
        <v>13</v>
      </c>
      <c r="N1364" s="51">
        <v>3</v>
      </c>
      <c r="O1364" s="45">
        <v>1613</v>
      </c>
      <c r="P1364" s="35">
        <v>100</v>
      </c>
      <c r="Q1364" s="40">
        <v>2550</v>
      </c>
      <c r="R1364" s="36">
        <f t="shared" si="209"/>
        <v>4113150</v>
      </c>
      <c r="S1364" s="31">
        <v>4</v>
      </c>
      <c r="T1364" s="28">
        <f t="shared" si="212"/>
        <v>164526</v>
      </c>
      <c r="U1364" s="36">
        <f t="shared" si="211"/>
        <v>3948624</v>
      </c>
      <c r="V1364" s="36">
        <f t="shared" si="207"/>
        <v>5763249</v>
      </c>
      <c r="W1364" s="36">
        <f t="shared" si="204"/>
        <v>5763249</v>
      </c>
      <c r="X1364" s="28">
        <v>0</v>
      </c>
      <c r="Y1364" s="28">
        <f t="shared" si="205"/>
        <v>5763249</v>
      </c>
      <c r="Z1364" s="49">
        <v>3.0000000000000001E-3</v>
      </c>
    </row>
    <row r="1365" spans="1:26" s="29" customFormat="1" ht="90.75" customHeight="1" x14ac:dyDescent="0.25">
      <c r="A1365" s="20">
        <v>925</v>
      </c>
      <c r="B1365" s="20" t="s">
        <v>0</v>
      </c>
      <c r="C1365" s="20">
        <v>47954</v>
      </c>
      <c r="D1365" s="21">
        <v>23</v>
      </c>
      <c r="E1365" s="21">
        <v>0</v>
      </c>
      <c r="F1365" s="22">
        <v>51</v>
      </c>
      <c r="G1365" s="21" t="s">
        <v>209</v>
      </c>
      <c r="H1365" s="36">
        <f>(D1365*400)+(E1365*100)+F1365</f>
        <v>9251</v>
      </c>
      <c r="I1365" s="40">
        <v>4500</v>
      </c>
      <c r="J1365" s="28">
        <f t="shared" si="206"/>
        <v>41629500</v>
      </c>
      <c r="K1365" s="20"/>
      <c r="L1365" s="20"/>
      <c r="M1365" s="20"/>
      <c r="N1365" s="20"/>
      <c r="O1365" s="24"/>
      <c r="P1365" s="24"/>
      <c r="Q1365" s="25"/>
      <c r="R1365" s="24"/>
      <c r="S1365" s="20"/>
      <c r="T1365" s="27"/>
      <c r="U1365" s="20"/>
      <c r="V1365" s="20"/>
      <c r="W1365" s="26"/>
      <c r="X1365" s="27"/>
      <c r="Y1365" s="20"/>
      <c r="Z1365" s="20"/>
    </row>
    <row r="1366" spans="1:26" s="29" customFormat="1" ht="90.75" customHeight="1" x14ac:dyDescent="0.25">
      <c r="A1366" s="20"/>
      <c r="B1366" s="20"/>
      <c r="C1366" s="20"/>
      <c r="D1366" s="21"/>
      <c r="E1366" s="21"/>
      <c r="F1366" s="22"/>
      <c r="G1366" s="23"/>
      <c r="H1366" s="24"/>
      <c r="I1366" s="25"/>
      <c r="J1366" s="24"/>
      <c r="K1366" s="37">
        <v>1</v>
      </c>
      <c r="L1366" s="20" t="s">
        <v>27</v>
      </c>
      <c r="M1366" s="20" t="s">
        <v>24</v>
      </c>
      <c r="N1366" s="62">
        <v>3</v>
      </c>
      <c r="O1366" s="24">
        <v>1350</v>
      </c>
      <c r="P1366" s="35">
        <v>100</v>
      </c>
      <c r="Q1366" s="40">
        <v>7100</v>
      </c>
      <c r="R1366" s="77">
        <f t="shared" ref="R1366:R1377" si="213">(O1366*Q1366)</f>
        <v>9585000</v>
      </c>
      <c r="S1366" s="37">
        <v>6</v>
      </c>
      <c r="T1366" s="28">
        <f t="shared" ref="T1366:T1377" si="214">(R1366*6/100)</f>
        <v>575100</v>
      </c>
      <c r="U1366" s="77">
        <f t="shared" ref="U1366:U1377" si="215">(R1366-T1366)</f>
        <v>9009900</v>
      </c>
      <c r="V1366" s="77"/>
      <c r="W1366" s="36"/>
      <c r="X1366" s="28"/>
      <c r="Y1366" s="77"/>
      <c r="Z1366" s="20"/>
    </row>
    <row r="1367" spans="1:26" s="29" customFormat="1" ht="90.75" customHeight="1" x14ac:dyDescent="0.25">
      <c r="A1367" s="20"/>
      <c r="B1367" s="20"/>
      <c r="C1367" s="20"/>
      <c r="D1367" s="21"/>
      <c r="E1367" s="21"/>
      <c r="F1367" s="22"/>
      <c r="G1367" s="23"/>
      <c r="H1367" s="24"/>
      <c r="I1367" s="25"/>
      <c r="J1367" s="24"/>
      <c r="K1367" s="37">
        <v>2</v>
      </c>
      <c r="L1367" s="20" t="s">
        <v>14</v>
      </c>
      <c r="M1367" s="20" t="s">
        <v>13</v>
      </c>
      <c r="N1367" s="62">
        <v>3</v>
      </c>
      <c r="O1367" s="24">
        <v>12514.5</v>
      </c>
      <c r="P1367" s="35">
        <v>100</v>
      </c>
      <c r="Q1367" s="40">
        <v>3500</v>
      </c>
      <c r="R1367" s="77">
        <f t="shared" si="213"/>
        <v>43800750</v>
      </c>
      <c r="S1367" s="37">
        <v>6</v>
      </c>
      <c r="T1367" s="28">
        <f t="shared" si="214"/>
        <v>2628045</v>
      </c>
      <c r="U1367" s="77">
        <f t="shared" si="215"/>
        <v>41172705</v>
      </c>
      <c r="V1367" s="77"/>
      <c r="W1367" s="36"/>
      <c r="X1367" s="28"/>
      <c r="Y1367" s="77"/>
      <c r="Z1367" s="20"/>
    </row>
    <row r="1368" spans="1:26" s="29" customFormat="1" ht="90.75" customHeight="1" x14ac:dyDescent="0.25">
      <c r="A1368" s="20"/>
      <c r="B1368" s="20"/>
      <c r="C1368" s="20"/>
      <c r="D1368" s="21"/>
      <c r="E1368" s="21"/>
      <c r="F1368" s="22"/>
      <c r="G1368" s="23"/>
      <c r="H1368" s="24"/>
      <c r="I1368" s="25"/>
      <c r="J1368" s="24"/>
      <c r="K1368" s="37">
        <v>3</v>
      </c>
      <c r="L1368" s="20" t="s">
        <v>14</v>
      </c>
      <c r="M1368" s="20" t="s">
        <v>13</v>
      </c>
      <c r="N1368" s="62">
        <v>3</v>
      </c>
      <c r="O1368" s="24">
        <v>8540</v>
      </c>
      <c r="P1368" s="35">
        <v>100</v>
      </c>
      <c r="Q1368" s="40">
        <v>3500</v>
      </c>
      <c r="R1368" s="77">
        <f t="shared" si="213"/>
        <v>29890000</v>
      </c>
      <c r="S1368" s="37">
        <v>6</v>
      </c>
      <c r="T1368" s="28">
        <f t="shared" si="214"/>
        <v>1793400</v>
      </c>
      <c r="U1368" s="77">
        <f t="shared" si="215"/>
        <v>28096600</v>
      </c>
      <c r="V1368" s="77"/>
      <c r="W1368" s="36"/>
      <c r="X1368" s="28"/>
      <c r="Y1368" s="77"/>
      <c r="Z1368" s="20"/>
    </row>
    <row r="1369" spans="1:26" s="29" customFormat="1" ht="90.75" customHeight="1" x14ac:dyDescent="0.25">
      <c r="A1369" s="20"/>
      <c r="B1369" s="20"/>
      <c r="C1369" s="20"/>
      <c r="D1369" s="21"/>
      <c r="E1369" s="21"/>
      <c r="F1369" s="22"/>
      <c r="G1369" s="23"/>
      <c r="H1369" s="24"/>
      <c r="I1369" s="25"/>
      <c r="J1369" s="24"/>
      <c r="K1369" s="37">
        <v>4</v>
      </c>
      <c r="L1369" s="20" t="s">
        <v>265</v>
      </c>
      <c r="M1369" s="20" t="s">
        <v>13</v>
      </c>
      <c r="N1369" s="62">
        <v>3</v>
      </c>
      <c r="O1369" s="24">
        <v>12</v>
      </c>
      <c r="P1369" s="35">
        <v>100</v>
      </c>
      <c r="Q1369" s="40">
        <v>6450</v>
      </c>
      <c r="R1369" s="77">
        <f t="shared" si="213"/>
        <v>77400</v>
      </c>
      <c r="S1369" s="37">
        <v>6</v>
      </c>
      <c r="T1369" s="28">
        <f t="shared" si="214"/>
        <v>4644</v>
      </c>
      <c r="U1369" s="77">
        <f t="shared" si="215"/>
        <v>72756</v>
      </c>
      <c r="V1369" s="77"/>
      <c r="W1369" s="36"/>
      <c r="X1369" s="28"/>
      <c r="Y1369" s="77"/>
      <c r="Z1369" s="20"/>
    </row>
    <row r="1370" spans="1:26" s="29" customFormat="1" ht="90.75" customHeight="1" x14ac:dyDescent="0.25">
      <c r="A1370" s="20"/>
      <c r="B1370" s="20"/>
      <c r="C1370" s="20"/>
      <c r="D1370" s="21"/>
      <c r="E1370" s="21"/>
      <c r="F1370" s="22"/>
      <c r="G1370" s="23"/>
      <c r="H1370" s="24"/>
      <c r="I1370" s="25"/>
      <c r="J1370" s="24"/>
      <c r="K1370" s="37">
        <v>5</v>
      </c>
      <c r="L1370" s="20" t="s">
        <v>215</v>
      </c>
      <c r="M1370" s="20" t="s">
        <v>13</v>
      </c>
      <c r="N1370" s="62">
        <v>3</v>
      </c>
      <c r="O1370" s="24">
        <v>50</v>
      </c>
      <c r="P1370" s="35">
        <v>100</v>
      </c>
      <c r="Q1370" s="40">
        <v>6450</v>
      </c>
      <c r="R1370" s="77">
        <f t="shared" si="213"/>
        <v>322500</v>
      </c>
      <c r="S1370" s="37">
        <v>6</v>
      </c>
      <c r="T1370" s="28">
        <f t="shared" si="214"/>
        <v>19350</v>
      </c>
      <c r="U1370" s="77">
        <f t="shared" si="215"/>
        <v>303150</v>
      </c>
      <c r="V1370" s="77"/>
      <c r="W1370" s="36"/>
      <c r="X1370" s="28"/>
      <c r="Y1370" s="77"/>
      <c r="Z1370" s="20"/>
    </row>
    <row r="1371" spans="1:26" s="29" customFormat="1" ht="90.75" customHeight="1" x14ac:dyDescent="0.25">
      <c r="A1371" s="20"/>
      <c r="B1371" s="20"/>
      <c r="C1371" s="20"/>
      <c r="D1371" s="21"/>
      <c r="E1371" s="21"/>
      <c r="F1371" s="22"/>
      <c r="G1371" s="23"/>
      <c r="H1371" s="24"/>
      <c r="I1371" s="25"/>
      <c r="J1371" s="24"/>
      <c r="K1371" s="37">
        <v>6</v>
      </c>
      <c r="L1371" s="20" t="s">
        <v>31</v>
      </c>
      <c r="M1371" s="20"/>
      <c r="N1371" s="62">
        <v>3</v>
      </c>
      <c r="O1371" s="24">
        <v>267</v>
      </c>
      <c r="P1371" s="35">
        <v>100</v>
      </c>
      <c r="Q1371" s="40">
        <v>2550</v>
      </c>
      <c r="R1371" s="77">
        <f t="shared" si="213"/>
        <v>680850</v>
      </c>
      <c r="S1371" s="37">
        <v>6</v>
      </c>
      <c r="T1371" s="28">
        <f t="shared" si="214"/>
        <v>40851</v>
      </c>
      <c r="U1371" s="77">
        <f t="shared" si="215"/>
        <v>639999</v>
      </c>
      <c r="V1371" s="77"/>
      <c r="W1371" s="36"/>
      <c r="X1371" s="28"/>
      <c r="Y1371" s="77"/>
      <c r="Z1371" s="20"/>
    </row>
    <row r="1372" spans="1:26" s="29" customFormat="1" ht="90.75" customHeight="1" x14ac:dyDescent="0.25">
      <c r="A1372" s="20"/>
      <c r="B1372" s="20"/>
      <c r="C1372" s="20"/>
      <c r="D1372" s="21"/>
      <c r="E1372" s="21"/>
      <c r="F1372" s="22"/>
      <c r="G1372" s="23"/>
      <c r="H1372" s="24"/>
      <c r="I1372" s="25"/>
      <c r="J1372" s="24"/>
      <c r="K1372" s="37">
        <v>7</v>
      </c>
      <c r="L1372" s="20" t="s">
        <v>31</v>
      </c>
      <c r="M1372" s="20"/>
      <c r="N1372" s="62">
        <v>3</v>
      </c>
      <c r="O1372" s="24">
        <v>66.87</v>
      </c>
      <c r="P1372" s="35">
        <v>100</v>
      </c>
      <c r="Q1372" s="40">
        <v>2550</v>
      </c>
      <c r="R1372" s="77">
        <f t="shared" si="213"/>
        <v>170518.5</v>
      </c>
      <c r="S1372" s="37">
        <v>6</v>
      </c>
      <c r="T1372" s="28">
        <f t="shared" si="214"/>
        <v>10231.11</v>
      </c>
      <c r="U1372" s="77">
        <f t="shared" si="215"/>
        <v>160287.39000000001</v>
      </c>
      <c r="V1372" s="77"/>
      <c r="W1372" s="36"/>
      <c r="X1372" s="28"/>
      <c r="Y1372" s="77"/>
      <c r="Z1372" s="20"/>
    </row>
    <row r="1373" spans="1:26" s="29" customFormat="1" ht="90.75" customHeight="1" x14ac:dyDescent="0.25">
      <c r="A1373" s="20"/>
      <c r="B1373" s="20"/>
      <c r="C1373" s="20"/>
      <c r="D1373" s="21"/>
      <c r="E1373" s="21"/>
      <c r="F1373" s="22"/>
      <c r="G1373" s="23"/>
      <c r="H1373" s="24"/>
      <c r="I1373" s="25"/>
      <c r="J1373" s="24"/>
      <c r="K1373" s="37">
        <v>8</v>
      </c>
      <c r="L1373" s="20" t="s">
        <v>31</v>
      </c>
      <c r="M1373" s="20"/>
      <c r="N1373" s="62">
        <v>3</v>
      </c>
      <c r="O1373" s="24">
        <v>45</v>
      </c>
      <c r="P1373" s="35">
        <v>100</v>
      </c>
      <c r="Q1373" s="40">
        <v>2550</v>
      </c>
      <c r="R1373" s="77">
        <f t="shared" si="213"/>
        <v>114750</v>
      </c>
      <c r="S1373" s="37">
        <v>6</v>
      </c>
      <c r="T1373" s="28">
        <f t="shared" si="214"/>
        <v>6885</v>
      </c>
      <c r="U1373" s="77">
        <f t="shared" si="215"/>
        <v>107865</v>
      </c>
      <c r="V1373" s="77"/>
      <c r="W1373" s="36"/>
      <c r="X1373" s="28"/>
      <c r="Y1373" s="77"/>
      <c r="Z1373" s="20"/>
    </row>
    <row r="1374" spans="1:26" s="29" customFormat="1" ht="90.75" customHeight="1" x14ac:dyDescent="0.25">
      <c r="A1374" s="20"/>
      <c r="B1374" s="20"/>
      <c r="C1374" s="20"/>
      <c r="D1374" s="21"/>
      <c r="E1374" s="21"/>
      <c r="F1374" s="22"/>
      <c r="G1374" s="23"/>
      <c r="H1374" s="24"/>
      <c r="I1374" s="25"/>
      <c r="J1374" s="24"/>
      <c r="K1374" s="37">
        <v>9</v>
      </c>
      <c r="L1374" s="20" t="s">
        <v>31</v>
      </c>
      <c r="M1374" s="20"/>
      <c r="N1374" s="62">
        <v>3</v>
      </c>
      <c r="O1374" s="24">
        <v>25</v>
      </c>
      <c r="P1374" s="35">
        <v>100</v>
      </c>
      <c r="Q1374" s="40">
        <v>2550</v>
      </c>
      <c r="R1374" s="77">
        <f t="shared" si="213"/>
        <v>63750</v>
      </c>
      <c r="S1374" s="37">
        <v>6</v>
      </c>
      <c r="T1374" s="28">
        <f t="shared" si="214"/>
        <v>3825</v>
      </c>
      <c r="U1374" s="77">
        <f t="shared" si="215"/>
        <v>59925</v>
      </c>
      <c r="V1374" s="77"/>
      <c r="W1374" s="36"/>
      <c r="X1374" s="28"/>
      <c r="Y1374" s="77"/>
      <c r="Z1374" s="20"/>
    </row>
    <row r="1375" spans="1:26" s="29" customFormat="1" ht="90.75" customHeight="1" x14ac:dyDescent="0.25">
      <c r="A1375" s="20"/>
      <c r="B1375" s="20"/>
      <c r="C1375" s="20"/>
      <c r="D1375" s="21"/>
      <c r="E1375" s="21"/>
      <c r="F1375" s="22"/>
      <c r="G1375" s="23"/>
      <c r="H1375" s="24"/>
      <c r="I1375" s="25"/>
      <c r="J1375" s="24"/>
      <c r="K1375" s="37">
        <v>10</v>
      </c>
      <c r="L1375" s="20" t="s">
        <v>31</v>
      </c>
      <c r="M1375" s="20"/>
      <c r="N1375" s="62">
        <v>3</v>
      </c>
      <c r="O1375" s="24">
        <v>85</v>
      </c>
      <c r="P1375" s="35">
        <v>100</v>
      </c>
      <c r="Q1375" s="40">
        <v>2550</v>
      </c>
      <c r="R1375" s="77">
        <f t="shared" si="213"/>
        <v>216750</v>
      </c>
      <c r="S1375" s="37">
        <v>6</v>
      </c>
      <c r="T1375" s="28">
        <f t="shared" si="214"/>
        <v>13005</v>
      </c>
      <c r="U1375" s="77">
        <f t="shared" si="215"/>
        <v>203745</v>
      </c>
      <c r="V1375" s="77"/>
      <c r="W1375" s="36"/>
      <c r="X1375" s="28"/>
      <c r="Y1375" s="77"/>
      <c r="Z1375" s="20"/>
    </row>
    <row r="1376" spans="1:26" s="29" customFormat="1" ht="90.75" customHeight="1" x14ac:dyDescent="0.25">
      <c r="A1376" s="20"/>
      <c r="B1376" s="20"/>
      <c r="C1376" s="20"/>
      <c r="D1376" s="21"/>
      <c r="E1376" s="21"/>
      <c r="F1376" s="22"/>
      <c r="G1376" s="23"/>
      <c r="H1376" s="24"/>
      <c r="I1376" s="25"/>
      <c r="J1376" s="24"/>
      <c r="K1376" s="37">
        <v>11</v>
      </c>
      <c r="L1376" s="20" t="s">
        <v>31</v>
      </c>
      <c r="M1376" s="20"/>
      <c r="N1376" s="62">
        <v>3</v>
      </c>
      <c r="O1376" s="24">
        <v>65</v>
      </c>
      <c r="P1376" s="35">
        <v>100</v>
      </c>
      <c r="Q1376" s="40">
        <v>2550</v>
      </c>
      <c r="R1376" s="77">
        <f t="shared" si="213"/>
        <v>165750</v>
      </c>
      <c r="S1376" s="37">
        <v>6</v>
      </c>
      <c r="T1376" s="28">
        <f t="shared" si="214"/>
        <v>9945</v>
      </c>
      <c r="U1376" s="77">
        <f t="shared" si="215"/>
        <v>155805</v>
      </c>
      <c r="V1376" s="77"/>
      <c r="W1376" s="36"/>
      <c r="X1376" s="28"/>
      <c r="Y1376" s="77"/>
      <c r="Z1376" s="20"/>
    </row>
    <row r="1377" spans="1:26" s="29" customFormat="1" ht="90.75" customHeight="1" x14ac:dyDescent="0.25">
      <c r="A1377" s="20"/>
      <c r="B1377" s="20"/>
      <c r="C1377" s="20"/>
      <c r="D1377" s="21"/>
      <c r="E1377" s="21"/>
      <c r="F1377" s="22"/>
      <c r="G1377" s="23"/>
      <c r="H1377" s="24"/>
      <c r="I1377" s="25"/>
      <c r="J1377" s="24"/>
      <c r="K1377" s="37">
        <v>12</v>
      </c>
      <c r="L1377" s="20" t="s">
        <v>31</v>
      </c>
      <c r="M1377" s="20"/>
      <c r="N1377" s="62">
        <v>3</v>
      </c>
      <c r="O1377" s="24">
        <v>36</v>
      </c>
      <c r="P1377" s="35">
        <v>100</v>
      </c>
      <c r="Q1377" s="40">
        <v>2550</v>
      </c>
      <c r="R1377" s="77">
        <f t="shared" si="213"/>
        <v>91800</v>
      </c>
      <c r="S1377" s="37">
        <v>6</v>
      </c>
      <c r="T1377" s="28">
        <f t="shared" si="214"/>
        <v>5508</v>
      </c>
      <c r="U1377" s="77">
        <f t="shared" si="215"/>
        <v>86292</v>
      </c>
      <c r="V1377" s="77"/>
      <c r="W1377" s="36"/>
      <c r="X1377" s="28"/>
      <c r="Y1377" s="77"/>
      <c r="Z1377" s="20"/>
    </row>
    <row r="1378" spans="1:26" s="29" customFormat="1" ht="90.75" customHeight="1" x14ac:dyDescent="0.25">
      <c r="A1378" s="20"/>
      <c r="B1378" s="20"/>
      <c r="C1378" s="20"/>
      <c r="D1378" s="21"/>
      <c r="E1378" s="21"/>
      <c r="F1378" s="22"/>
      <c r="G1378" s="23"/>
      <c r="H1378" s="24"/>
      <c r="I1378" s="25"/>
      <c r="J1378" s="24"/>
      <c r="K1378" s="37"/>
      <c r="L1378" s="20"/>
      <c r="M1378" s="20"/>
      <c r="N1378" s="62"/>
      <c r="O1378" s="24"/>
      <c r="P1378" s="35"/>
      <c r="Q1378" s="40"/>
      <c r="R1378" s="77"/>
      <c r="S1378" s="37"/>
      <c r="T1378" s="28"/>
      <c r="U1378" s="77">
        <f>SUM(U1366:U1377)</f>
        <v>80069029.390000001</v>
      </c>
      <c r="V1378" s="77">
        <f>(J1365+U1378)</f>
        <v>121698529.39</v>
      </c>
      <c r="W1378" s="36">
        <f t="shared" ref="W1378:W1409" si="216">(V1378*100/100)</f>
        <v>121698529.39</v>
      </c>
      <c r="X1378" s="28">
        <v>0</v>
      </c>
      <c r="Y1378" s="77">
        <f t="shared" ref="Y1378:Y1409" si="217">(W1378-X1378)</f>
        <v>121698529.39</v>
      </c>
      <c r="Z1378" s="52" t="s">
        <v>264</v>
      </c>
    </row>
    <row r="1379" spans="1:26" s="29" customFormat="1" ht="90.75" customHeight="1" x14ac:dyDescent="0.25">
      <c r="A1379" s="20">
        <v>926</v>
      </c>
      <c r="B1379" s="20" t="s">
        <v>0</v>
      </c>
      <c r="C1379" s="20">
        <v>47926</v>
      </c>
      <c r="D1379" s="21">
        <v>14</v>
      </c>
      <c r="E1379" s="21">
        <v>3</v>
      </c>
      <c r="F1379" s="22">
        <v>88</v>
      </c>
      <c r="G1379" s="21" t="s">
        <v>209</v>
      </c>
      <c r="H1379" s="36">
        <f t="shared" ref="H1379:H1423" si="218">(D1379*400)+(E1379*100)+F1379</f>
        <v>5988</v>
      </c>
      <c r="I1379" s="25">
        <v>4500</v>
      </c>
      <c r="J1379" s="28">
        <f t="shared" ref="J1379:J1423" si="219">(H1379*I1379)</f>
        <v>26946000</v>
      </c>
      <c r="K1379" s="33"/>
      <c r="L1379" s="31"/>
      <c r="M1379" s="43"/>
      <c r="N1379" s="30"/>
      <c r="O1379" s="88"/>
      <c r="P1379" s="82"/>
      <c r="Q1379" s="83"/>
      <c r="R1379" s="33"/>
      <c r="S1379" s="33"/>
      <c r="T1379" s="89"/>
      <c r="U1379" s="90"/>
      <c r="V1379" s="90">
        <f t="shared" ref="V1379:V1410" si="220">(J1379+U1379)</f>
        <v>26946000</v>
      </c>
      <c r="W1379" s="90">
        <f t="shared" si="216"/>
        <v>26946000</v>
      </c>
      <c r="X1379" s="89">
        <v>0</v>
      </c>
      <c r="Y1379" s="48">
        <f t="shared" si="217"/>
        <v>26946000</v>
      </c>
      <c r="Z1379" s="49">
        <v>3.0000000000000001E-3</v>
      </c>
    </row>
    <row r="1380" spans="1:26" s="29" customFormat="1" ht="90.75" customHeight="1" x14ac:dyDescent="0.25">
      <c r="A1380" s="20">
        <v>927</v>
      </c>
      <c r="B1380" s="20" t="s">
        <v>0</v>
      </c>
      <c r="C1380" s="37">
        <v>6747</v>
      </c>
      <c r="D1380" s="21">
        <v>3</v>
      </c>
      <c r="E1380" s="21">
        <v>0</v>
      </c>
      <c r="F1380" s="22">
        <v>58</v>
      </c>
      <c r="G1380" s="23" t="s">
        <v>198</v>
      </c>
      <c r="H1380" s="36">
        <f t="shared" si="218"/>
        <v>1258</v>
      </c>
      <c r="I1380" s="25" t="s">
        <v>32</v>
      </c>
      <c r="J1380" s="28">
        <f t="shared" si="219"/>
        <v>251600</v>
      </c>
      <c r="K1380" s="20"/>
      <c r="L1380" s="20"/>
      <c r="M1380" s="20"/>
      <c r="N1380" s="20"/>
      <c r="O1380" s="24"/>
      <c r="P1380" s="24"/>
      <c r="Q1380" s="25"/>
      <c r="R1380" s="24"/>
      <c r="S1380" s="20"/>
      <c r="T1380" s="27"/>
      <c r="U1380" s="20"/>
      <c r="V1380" s="90">
        <f t="shared" si="220"/>
        <v>251600</v>
      </c>
      <c r="W1380" s="90">
        <f t="shared" si="216"/>
        <v>251600</v>
      </c>
      <c r="X1380" s="89">
        <v>0</v>
      </c>
      <c r="Y1380" s="48">
        <f t="shared" si="217"/>
        <v>251600</v>
      </c>
      <c r="Z1380" s="49">
        <v>1E-4</v>
      </c>
    </row>
    <row r="1381" spans="1:26" s="29" customFormat="1" ht="90.75" customHeight="1" x14ac:dyDescent="0.25">
      <c r="A1381" s="20">
        <v>928</v>
      </c>
      <c r="B1381" s="20" t="s">
        <v>0</v>
      </c>
      <c r="C1381" s="37">
        <v>6748</v>
      </c>
      <c r="D1381" s="21">
        <v>3</v>
      </c>
      <c r="E1381" s="21">
        <v>2</v>
      </c>
      <c r="F1381" s="22">
        <v>31</v>
      </c>
      <c r="G1381" s="23" t="s">
        <v>198</v>
      </c>
      <c r="H1381" s="36">
        <f t="shared" si="218"/>
        <v>1431</v>
      </c>
      <c r="I1381" s="25" t="s">
        <v>32</v>
      </c>
      <c r="J1381" s="28">
        <f t="shared" si="219"/>
        <v>286200</v>
      </c>
      <c r="K1381" s="20"/>
      <c r="L1381" s="20"/>
      <c r="M1381" s="20"/>
      <c r="N1381" s="20"/>
      <c r="O1381" s="24"/>
      <c r="P1381" s="24"/>
      <c r="Q1381" s="25"/>
      <c r="R1381" s="24"/>
      <c r="S1381" s="20"/>
      <c r="T1381" s="27"/>
      <c r="U1381" s="20"/>
      <c r="V1381" s="90">
        <f t="shared" si="220"/>
        <v>286200</v>
      </c>
      <c r="W1381" s="90">
        <f t="shared" si="216"/>
        <v>286200</v>
      </c>
      <c r="X1381" s="89">
        <v>0</v>
      </c>
      <c r="Y1381" s="48">
        <f t="shared" si="217"/>
        <v>286200</v>
      </c>
      <c r="Z1381" s="49">
        <v>1E-4</v>
      </c>
    </row>
    <row r="1382" spans="1:26" s="29" customFormat="1" ht="90.75" customHeight="1" x14ac:dyDescent="0.25">
      <c r="A1382" s="20">
        <v>929</v>
      </c>
      <c r="B1382" s="20" t="s">
        <v>0</v>
      </c>
      <c r="C1382" s="37">
        <v>7126</v>
      </c>
      <c r="D1382" s="21">
        <v>29</v>
      </c>
      <c r="E1382" s="21">
        <v>3</v>
      </c>
      <c r="F1382" s="22">
        <v>13</v>
      </c>
      <c r="G1382" s="23" t="s">
        <v>198</v>
      </c>
      <c r="H1382" s="36">
        <f t="shared" si="218"/>
        <v>11913</v>
      </c>
      <c r="I1382" s="25" t="s">
        <v>22</v>
      </c>
      <c r="J1382" s="28">
        <f t="shared" si="219"/>
        <v>6254325</v>
      </c>
      <c r="K1382" s="20"/>
      <c r="L1382" s="20"/>
      <c r="M1382" s="20"/>
      <c r="N1382" s="20"/>
      <c r="O1382" s="24"/>
      <c r="P1382" s="24"/>
      <c r="Q1382" s="25"/>
      <c r="R1382" s="24"/>
      <c r="S1382" s="20"/>
      <c r="T1382" s="27"/>
      <c r="U1382" s="20"/>
      <c r="V1382" s="90">
        <f t="shared" si="220"/>
        <v>6254325</v>
      </c>
      <c r="W1382" s="90">
        <f t="shared" si="216"/>
        <v>6254325</v>
      </c>
      <c r="X1382" s="89">
        <v>0</v>
      </c>
      <c r="Y1382" s="48">
        <f t="shared" si="217"/>
        <v>6254325</v>
      </c>
      <c r="Z1382" s="49">
        <v>1E-4</v>
      </c>
    </row>
    <row r="1383" spans="1:26" s="29" customFormat="1" ht="90.75" customHeight="1" x14ac:dyDescent="0.25">
      <c r="A1383" s="20">
        <v>930</v>
      </c>
      <c r="B1383" s="20" t="s">
        <v>0</v>
      </c>
      <c r="C1383" s="37">
        <v>7127</v>
      </c>
      <c r="D1383" s="21">
        <v>29</v>
      </c>
      <c r="E1383" s="21">
        <v>3</v>
      </c>
      <c r="F1383" s="22">
        <v>57</v>
      </c>
      <c r="G1383" s="23" t="s">
        <v>198</v>
      </c>
      <c r="H1383" s="36">
        <f t="shared" si="218"/>
        <v>11957</v>
      </c>
      <c r="I1383" s="25">
        <v>550</v>
      </c>
      <c r="J1383" s="28">
        <f t="shared" si="219"/>
        <v>6576350</v>
      </c>
      <c r="K1383" s="20"/>
      <c r="L1383" s="20"/>
      <c r="M1383" s="20"/>
      <c r="N1383" s="20"/>
      <c r="O1383" s="24"/>
      <c r="P1383" s="24"/>
      <c r="Q1383" s="25"/>
      <c r="R1383" s="24"/>
      <c r="S1383" s="20"/>
      <c r="T1383" s="27"/>
      <c r="U1383" s="20"/>
      <c r="V1383" s="90">
        <f t="shared" si="220"/>
        <v>6576350</v>
      </c>
      <c r="W1383" s="90">
        <f t="shared" si="216"/>
        <v>6576350</v>
      </c>
      <c r="X1383" s="89">
        <v>0</v>
      </c>
      <c r="Y1383" s="48">
        <f t="shared" si="217"/>
        <v>6576350</v>
      </c>
      <c r="Z1383" s="49">
        <v>1E-4</v>
      </c>
    </row>
    <row r="1384" spans="1:26" s="29" customFormat="1" ht="90.75" customHeight="1" x14ac:dyDescent="0.25">
      <c r="A1384" s="20">
        <v>931</v>
      </c>
      <c r="B1384" s="20" t="s">
        <v>0</v>
      </c>
      <c r="C1384" s="37">
        <v>11392</v>
      </c>
      <c r="D1384" s="21">
        <v>38</v>
      </c>
      <c r="E1384" s="21">
        <v>0</v>
      </c>
      <c r="F1384" s="22">
        <v>77</v>
      </c>
      <c r="G1384" s="23" t="s">
        <v>198</v>
      </c>
      <c r="H1384" s="36">
        <f t="shared" si="218"/>
        <v>15277</v>
      </c>
      <c r="I1384" s="25" t="s">
        <v>22</v>
      </c>
      <c r="J1384" s="28">
        <f t="shared" si="219"/>
        <v>8020425</v>
      </c>
      <c r="K1384" s="20"/>
      <c r="L1384" s="20"/>
      <c r="M1384" s="20"/>
      <c r="N1384" s="20"/>
      <c r="O1384" s="24"/>
      <c r="P1384" s="24"/>
      <c r="Q1384" s="25"/>
      <c r="R1384" s="24"/>
      <c r="S1384" s="20"/>
      <c r="T1384" s="27"/>
      <c r="U1384" s="20"/>
      <c r="V1384" s="90">
        <f t="shared" si="220"/>
        <v>8020425</v>
      </c>
      <c r="W1384" s="90">
        <f t="shared" si="216"/>
        <v>8020425</v>
      </c>
      <c r="X1384" s="89">
        <v>0</v>
      </c>
      <c r="Y1384" s="48">
        <f t="shared" si="217"/>
        <v>8020425</v>
      </c>
      <c r="Z1384" s="49">
        <v>1E-4</v>
      </c>
    </row>
    <row r="1385" spans="1:26" s="29" customFormat="1" ht="90.75" customHeight="1" x14ac:dyDescent="0.25">
      <c r="A1385" s="20">
        <v>932</v>
      </c>
      <c r="B1385" s="20" t="s">
        <v>0</v>
      </c>
      <c r="C1385" s="37">
        <v>7444</v>
      </c>
      <c r="D1385" s="21">
        <v>34</v>
      </c>
      <c r="E1385" s="21">
        <v>2</v>
      </c>
      <c r="F1385" s="22">
        <v>33</v>
      </c>
      <c r="G1385" s="23" t="s">
        <v>198</v>
      </c>
      <c r="H1385" s="36">
        <f t="shared" si="218"/>
        <v>13833</v>
      </c>
      <c r="I1385" s="25" t="s">
        <v>8</v>
      </c>
      <c r="J1385" s="28">
        <f t="shared" si="219"/>
        <v>5533200</v>
      </c>
      <c r="K1385" s="20"/>
      <c r="L1385" s="20"/>
      <c r="M1385" s="20"/>
      <c r="N1385" s="20"/>
      <c r="O1385" s="24"/>
      <c r="P1385" s="24"/>
      <c r="Q1385" s="25"/>
      <c r="R1385" s="24"/>
      <c r="S1385" s="20"/>
      <c r="T1385" s="27"/>
      <c r="U1385" s="20"/>
      <c r="V1385" s="90">
        <f t="shared" si="220"/>
        <v>5533200</v>
      </c>
      <c r="W1385" s="90">
        <f t="shared" si="216"/>
        <v>5533200</v>
      </c>
      <c r="X1385" s="89">
        <v>0</v>
      </c>
      <c r="Y1385" s="48">
        <f t="shared" si="217"/>
        <v>5533200</v>
      </c>
      <c r="Z1385" s="49">
        <v>1E-4</v>
      </c>
    </row>
    <row r="1386" spans="1:26" s="29" customFormat="1" ht="90.75" customHeight="1" x14ac:dyDescent="0.25">
      <c r="A1386" s="20">
        <v>933</v>
      </c>
      <c r="B1386" s="20" t="s">
        <v>0</v>
      </c>
      <c r="C1386" s="37">
        <v>6677</v>
      </c>
      <c r="D1386" s="21">
        <v>6</v>
      </c>
      <c r="E1386" s="21">
        <v>0</v>
      </c>
      <c r="F1386" s="22">
        <v>19</v>
      </c>
      <c r="G1386" s="23" t="s">
        <v>198</v>
      </c>
      <c r="H1386" s="36">
        <f t="shared" si="218"/>
        <v>2419</v>
      </c>
      <c r="I1386" s="25" t="s">
        <v>53</v>
      </c>
      <c r="J1386" s="28">
        <f t="shared" si="219"/>
        <v>1088550</v>
      </c>
      <c r="K1386" s="20"/>
      <c r="L1386" s="20"/>
      <c r="M1386" s="20"/>
      <c r="N1386" s="20"/>
      <c r="O1386" s="24"/>
      <c r="P1386" s="24"/>
      <c r="Q1386" s="25"/>
      <c r="R1386" s="24"/>
      <c r="S1386" s="20"/>
      <c r="T1386" s="27"/>
      <c r="U1386" s="20"/>
      <c r="V1386" s="90">
        <f t="shared" si="220"/>
        <v>1088550</v>
      </c>
      <c r="W1386" s="90">
        <f t="shared" si="216"/>
        <v>1088550</v>
      </c>
      <c r="X1386" s="89">
        <v>0</v>
      </c>
      <c r="Y1386" s="48">
        <f t="shared" si="217"/>
        <v>1088550</v>
      </c>
      <c r="Z1386" s="49">
        <v>1E-4</v>
      </c>
    </row>
    <row r="1387" spans="1:26" s="29" customFormat="1" ht="90.75" customHeight="1" x14ac:dyDescent="0.25">
      <c r="A1387" s="20">
        <v>934</v>
      </c>
      <c r="B1387" s="20" t="s">
        <v>0</v>
      </c>
      <c r="C1387" s="37">
        <v>6678</v>
      </c>
      <c r="D1387" s="21">
        <v>39</v>
      </c>
      <c r="E1387" s="21">
        <v>1</v>
      </c>
      <c r="F1387" s="22">
        <v>39</v>
      </c>
      <c r="G1387" s="23" t="s">
        <v>198</v>
      </c>
      <c r="H1387" s="36">
        <f t="shared" si="218"/>
        <v>15739</v>
      </c>
      <c r="I1387" s="25" t="s">
        <v>7</v>
      </c>
      <c r="J1387" s="28">
        <f t="shared" si="219"/>
        <v>5508650</v>
      </c>
      <c r="K1387" s="20"/>
      <c r="L1387" s="20"/>
      <c r="M1387" s="20"/>
      <c r="N1387" s="20"/>
      <c r="O1387" s="24"/>
      <c r="P1387" s="24"/>
      <c r="Q1387" s="25"/>
      <c r="R1387" s="24"/>
      <c r="S1387" s="20"/>
      <c r="T1387" s="27"/>
      <c r="U1387" s="20"/>
      <c r="V1387" s="90">
        <f t="shared" si="220"/>
        <v>5508650</v>
      </c>
      <c r="W1387" s="90">
        <f t="shared" si="216"/>
        <v>5508650</v>
      </c>
      <c r="X1387" s="89">
        <v>0</v>
      </c>
      <c r="Y1387" s="48">
        <f t="shared" si="217"/>
        <v>5508650</v>
      </c>
      <c r="Z1387" s="49">
        <v>1E-4</v>
      </c>
    </row>
    <row r="1388" spans="1:26" s="29" customFormat="1" ht="90.75" customHeight="1" x14ac:dyDescent="0.25">
      <c r="A1388" s="20">
        <v>935</v>
      </c>
      <c r="B1388" s="20" t="s">
        <v>0</v>
      </c>
      <c r="C1388" s="37">
        <v>6685</v>
      </c>
      <c r="D1388" s="21">
        <v>22</v>
      </c>
      <c r="E1388" s="21">
        <v>1</v>
      </c>
      <c r="F1388" s="22">
        <v>43</v>
      </c>
      <c r="G1388" s="23" t="s">
        <v>198</v>
      </c>
      <c r="H1388" s="36">
        <f t="shared" si="218"/>
        <v>8943</v>
      </c>
      <c r="I1388" s="25" t="s">
        <v>19</v>
      </c>
      <c r="J1388" s="28">
        <f t="shared" si="219"/>
        <v>3353625</v>
      </c>
      <c r="K1388" s="20"/>
      <c r="L1388" s="20"/>
      <c r="M1388" s="20"/>
      <c r="N1388" s="20"/>
      <c r="O1388" s="24"/>
      <c r="P1388" s="24"/>
      <c r="Q1388" s="25"/>
      <c r="R1388" s="24"/>
      <c r="S1388" s="20"/>
      <c r="T1388" s="27"/>
      <c r="U1388" s="20"/>
      <c r="V1388" s="90">
        <f t="shared" si="220"/>
        <v>3353625</v>
      </c>
      <c r="W1388" s="90">
        <f t="shared" si="216"/>
        <v>3353625</v>
      </c>
      <c r="X1388" s="89">
        <v>0</v>
      </c>
      <c r="Y1388" s="48">
        <f t="shared" si="217"/>
        <v>3353625</v>
      </c>
      <c r="Z1388" s="49">
        <v>1E-4</v>
      </c>
    </row>
    <row r="1389" spans="1:26" s="29" customFormat="1" ht="90.75" customHeight="1" x14ac:dyDescent="0.25">
      <c r="A1389" s="20">
        <v>936</v>
      </c>
      <c r="B1389" s="20" t="s">
        <v>0</v>
      </c>
      <c r="C1389" s="37">
        <v>6688</v>
      </c>
      <c r="D1389" s="21">
        <v>19</v>
      </c>
      <c r="E1389" s="21">
        <v>0</v>
      </c>
      <c r="F1389" s="22">
        <v>75</v>
      </c>
      <c r="G1389" s="23" t="s">
        <v>198</v>
      </c>
      <c r="H1389" s="36">
        <f t="shared" si="218"/>
        <v>7675</v>
      </c>
      <c r="I1389" s="25" t="s">
        <v>53</v>
      </c>
      <c r="J1389" s="28">
        <f t="shared" si="219"/>
        <v>3453750</v>
      </c>
      <c r="K1389" s="20"/>
      <c r="L1389" s="20"/>
      <c r="M1389" s="20"/>
      <c r="N1389" s="20"/>
      <c r="O1389" s="24"/>
      <c r="P1389" s="24"/>
      <c r="Q1389" s="25"/>
      <c r="R1389" s="24"/>
      <c r="S1389" s="20"/>
      <c r="T1389" s="27"/>
      <c r="U1389" s="20"/>
      <c r="V1389" s="90">
        <f t="shared" si="220"/>
        <v>3453750</v>
      </c>
      <c r="W1389" s="90">
        <f t="shared" si="216"/>
        <v>3453750</v>
      </c>
      <c r="X1389" s="89">
        <v>0</v>
      </c>
      <c r="Y1389" s="48">
        <f t="shared" si="217"/>
        <v>3453750</v>
      </c>
      <c r="Z1389" s="49">
        <v>1E-4</v>
      </c>
    </row>
    <row r="1390" spans="1:26" s="29" customFormat="1" ht="90.75" customHeight="1" x14ac:dyDescent="0.25">
      <c r="A1390" s="20">
        <v>937</v>
      </c>
      <c r="B1390" s="20" t="s">
        <v>0</v>
      </c>
      <c r="C1390" s="37">
        <v>6680</v>
      </c>
      <c r="D1390" s="21">
        <v>23</v>
      </c>
      <c r="E1390" s="21">
        <v>3</v>
      </c>
      <c r="F1390" s="22">
        <v>54</v>
      </c>
      <c r="G1390" s="23" t="s">
        <v>198</v>
      </c>
      <c r="H1390" s="36">
        <f t="shared" si="218"/>
        <v>9554</v>
      </c>
      <c r="I1390" s="25" t="s">
        <v>19</v>
      </c>
      <c r="J1390" s="28">
        <f t="shared" si="219"/>
        <v>3582750</v>
      </c>
      <c r="K1390" s="20"/>
      <c r="L1390" s="20"/>
      <c r="M1390" s="20"/>
      <c r="N1390" s="20"/>
      <c r="O1390" s="24"/>
      <c r="P1390" s="24"/>
      <c r="Q1390" s="25"/>
      <c r="R1390" s="24"/>
      <c r="S1390" s="20"/>
      <c r="T1390" s="27"/>
      <c r="U1390" s="20"/>
      <c r="V1390" s="90">
        <f t="shared" si="220"/>
        <v>3582750</v>
      </c>
      <c r="W1390" s="90">
        <f t="shared" si="216"/>
        <v>3582750</v>
      </c>
      <c r="X1390" s="89">
        <v>0</v>
      </c>
      <c r="Y1390" s="48">
        <f t="shared" si="217"/>
        <v>3582750</v>
      </c>
      <c r="Z1390" s="49">
        <v>1E-4</v>
      </c>
    </row>
    <row r="1391" spans="1:26" s="29" customFormat="1" ht="90.75" customHeight="1" x14ac:dyDescent="0.25">
      <c r="A1391" s="20">
        <v>938</v>
      </c>
      <c r="B1391" s="20" t="s">
        <v>0</v>
      </c>
      <c r="C1391" s="37">
        <v>6817</v>
      </c>
      <c r="D1391" s="21">
        <v>18</v>
      </c>
      <c r="E1391" s="21">
        <v>1</v>
      </c>
      <c r="F1391" s="22">
        <v>4</v>
      </c>
      <c r="G1391" s="23" t="s">
        <v>198</v>
      </c>
      <c r="H1391" s="36">
        <f t="shared" si="218"/>
        <v>7304</v>
      </c>
      <c r="I1391" s="25" t="s">
        <v>22</v>
      </c>
      <c r="J1391" s="28">
        <f t="shared" si="219"/>
        <v>3834600</v>
      </c>
      <c r="K1391" s="20"/>
      <c r="L1391" s="20"/>
      <c r="M1391" s="20"/>
      <c r="N1391" s="20"/>
      <c r="O1391" s="24"/>
      <c r="P1391" s="24"/>
      <c r="Q1391" s="25"/>
      <c r="R1391" s="24"/>
      <c r="S1391" s="20"/>
      <c r="T1391" s="27"/>
      <c r="U1391" s="20"/>
      <c r="V1391" s="90">
        <f t="shared" si="220"/>
        <v>3834600</v>
      </c>
      <c r="W1391" s="90">
        <f t="shared" si="216"/>
        <v>3834600</v>
      </c>
      <c r="X1391" s="89">
        <v>0</v>
      </c>
      <c r="Y1391" s="48">
        <f t="shared" si="217"/>
        <v>3834600</v>
      </c>
      <c r="Z1391" s="49">
        <v>1E-4</v>
      </c>
    </row>
    <row r="1392" spans="1:26" s="29" customFormat="1" ht="90.75" customHeight="1" x14ac:dyDescent="0.25">
      <c r="A1392" s="20">
        <v>939</v>
      </c>
      <c r="B1392" s="20" t="s">
        <v>0</v>
      </c>
      <c r="C1392" s="37">
        <v>6681</v>
      </c>
      <c r="D1392" s="21">
        <v>10</v>
      </c>
      <c r="E1392" s="21">
        <v>1</v>
      </c>
      <c r="F1392" s="22">
        <v>35</v>
      </c>
      <c r="G1392" s="23" t="s">
        <v>198</v>
      </c>
      <c r="H1392" s="36">
        <f t="shared" si="218"/>
        <v>4135</v>
      </c>
      <c r="I1392" s="25" t="s">
        <v>22</v>
      </c>
      <c r="J1392" s="28">
        <f t="shared" si="219"/>
        <v>2170875</v>
      </c>
      <c r="K1392" s="20"/>
      <c r="L1392" s="20"/>
      <c r="M1392" s="20"/>
      <c r="N1392" s="20"/>
      <c r="O1392" s="24"/>
      <c r="P1392" s="24"/>
      <c r="Q1392" s="25"/>
      <c r="R1392" s="24"/>
      <c r="S1392" s="20"/>
      <c r="T1392" s="27"/>
      <c r="U1392" s="20"/>
      <c r="V1392" s="90">
        <f t="shared" si="220"/>
        <v>2170875</v>
      </c>
      <c r="W1392" s="90">
        <f t="shared" si="216"/>
        <v>2170875</v>
      </c>
      <c r="X1392" s="89">
        <v>0</v>
      </c>
      <c r="Y1392" s="48">
        <f t="shared" si="217"/>
        <v>2170875</v>
      </c>
      <c r="Z1392" s="49">
        <v>1E-4</v>
      </c>
    </row>
    <row r="1393" spans="1:26" s="29" customFormat="1" ht="90.75" customHeight="1" x14ac:dyDescent="0.25">
      <c r="A1393" s="20">
        <v>940</v>
      </c>
      <c r="B1393" s="20" t="s">
        <v>0</v>
      </c>
      <c r="C1393" s="37">
        <v>6682</v>
      </c>
      <c r="D1393" s="21">
        <v>12</v>
      </c>
      <c r="E1393" s="21">
        <v>2</v>
      </c>
      <c r="F1393" s="22">
        <v>95</v>
      </c>
      <c r="G1393" s="23" t="s">
        <v>198</v>
      </c>
      <c r="H1393" s="36">
        <f t="shared" si="218"/>
        <v>5095</v>
      </c>
      <c r="I1393" s="25" t="s">
        <v>53</v>
      </c>
      <c r="J1393" s="28">
        <f t="shared" si="219"/>
        <v>2292750</v>
      </c>
      <c r="K1393" s="20"/>
      <c r="L1393" s="20"/>
      <c r="M1393" s="20"/>
      <c r="N1393" s="20"/>
      <c r="O1393" s="24"/>
      <c r="P1393" s="24"/>
      <c r="Q1393" s="25"/>
      <c r="R1393" s="24"/>
      <c r="S1393" s="20"/>
      <c r="T1393" s="27"/>
      <c r="U1393" s="20"/>
      <c r="V1393" s="90">
        <f t="shared" si="220"/>
        <v>2292750</v>
      </c>
      <c r="W1393" s="90">
        <f t="shared" si="216"/>
        <v>2292750</v>
      </c>
      <c r="X1393" s="89">
        <v>0</v>
      </c>
      <c r="Y1393" s="48">
        <f t="shared" si="217"/>
        <v>2292750</v>
      </c>
      <c r="Z1393" s="49">
        <v>1E-4</v>
      </c>
    </row>
    <row r="1394" spans="1:26" s="29" customFormat="1" ht="90.75" customHeight="1" x14ac:dyDescent="0.25">
      <c r="A1394" s="20">
        <v>941</v>
      </c>
      <c r="B1394" s="20" t="s">
        <v>0</v>
      </c>
      <c r="C1394" s="37">
        <v>6683</v>
      </c>
      <c r="D1394" s="21">
        <v>20</v>
      </c>
      <c r="E1394" s="21">
        <v>0</v>
      </c>
      <c r="F1394" s="22">
        <v>73</v>
      </c>
      <c r="G1394" s="23" t="s">
        <v>198</v>
      </c>
      <c r="H1394" s="36">
        <f t="shared" si="218"/>
        <v>8073</v>
      </c>
      <c r="I1394" s="25" t="s">
        <v>19</v>
      </c>
      <c r="J1394" s="28">
        <f t="shared" si="219"/>
        <v>3027375</v>
      </c>
      <c r="K1394" s="20"/>
      <c r="L1394" s="20"/>
      <c r="M1394" s="20"/>
      <c r="N1394" s="20"/>
      <c r="O1394" s="24"/>
      <c r="P1394" s="24"/>
      <c r="Q1394" s="25"/>
      <c r="R1394" s="24"/>
      <c r="S1394" s="20"/>
      <c r="T1394" s="27"/>
      <c r="U1394" s="20"/>
      <c r="V1394" s="90">
        <f t="shared" si="220"/>
        <v>3027375</v>
      </c>
      <c r="W1394" s="90">
        <f t="shared" si="216"/>
        <v>3027375</v>
      </c>
      <c r="X1394" s="89">
        <v>0</v>
      </c>
      <c r="Y1394" s="48">
        <f t="shared" si="217"/>
        <v>3027375</v>
      </c>
      <c r="Z1394" s="49">
        <v>1E-4</v>
      </c>
    </row>
    <row r="1395" spans="1:26" s="29" customFormat="1" ht="90.75" customHeight="1" x14ac:dyDescent="0.25">
      <c r="A1395" s="20">
        <v>942</v>
      </c>
      <c r="B1395" s="20" t="s">
        <v>0</v>
      </c>
      <c r="C1395" s="37">
        <v>11389</v>
      </c>
      <c r="D1395" s="21">
        <v>36</v>
      </c>
      <c r="E1395" s="21">
        <v>3</v>
      </c>
      <c r="F1395" s="22">
        <v>56</v>
      </c>
      <c r="G1395" s="23" t="s">
        <v>198</v>
      </c>
      <c r="H1395" s="36">
        <f t="shared" si="218"/>
        <v>14756</v>
      </c>
      <c r="I1395" s="25" t="s">
        <v>19</v>
      </c>
      <c r="J1395" s="28">
        <f t="shared" si="219"/>
        <v>5533500</v>
      </c>
      <c r="K1395" s="20"/>
      <c r="L1395" s="20"/>
      <c r="M1395" s="20"/>
      <c r="N1395" s="20"/>
      <c r="O1395" s="24"/>
      <c r="P1395" s="24"/>
      <c r="Q1395" s="25"/>
      <c r="R1395" s="24"/>
      <c r="S1395" s="20"/>
      <c r="T1395" s="27"/>
      <c r="U1395" s="20"/>
      <c r="V1395" s="90">
        <f t="shared" si="220"/>
        <v>5533500</v>
      </c>
      <c r="W1395" s="90">
        <f t="shared" si="216"/>
        <v>5533500</v>
      </c>
      <c r="X1395" s="89">
        <v>0</v>
      </c>
      <c r="Y1395" s="48">
        <f t="shared" si="217"/>
        <v>5533500</v>
      </c>
      <c r="Z1395" s="49">
        <v>1E-4</v>
      </c>
    </row>
    <row r="1396" spans="1:26" s="29" customFormat="1" ht="90.75" customHeight="1" x14ac:dyDescent="0.25">
      <c r="A1396" s="20">
        <v>943</v>
      </c>
      <c r="B1396" s="20" t="s">
        <v>0</v>
      </c>
      <c r="C1396" s="37">
        <v>6788</v>
      </c>
      <c r="D1396" s="21">
        <v>6</v>
      </c>
      <c r="E1396" s="21">
        <v>1</v>
      </c>
      <c r="F1396" s="22">
        <v>92</v>
      </c>
      <c r="G1396" s="23" t="s">
        <v>198</v>
      </c>
      <c r="H1396" s="36">
        <f t="shared" si="218"/>
        <v>2592</v>
      </c>
      <c r="I1396" s="25" t="s">
        <v>19</v>
      </c>
      <c r="J1396" s="28">
        <f t="shared" si="219"/>
        <v>972000</v>
      </c>
      <c r="K1396" s="20"/>
      <c r="L1396" s="20"/>
      <c r="M1396" s="20"/>
      <c r="N1396" s="20"/>
      <c r="O1396" s="24"/>
      <c r="P1396" s="24"/>
      <c r="Q1396" s="25"/>
      <c r="R1396" s="24"/>
      <c r="S1396" s="20"/>
      <c r="T1396" s="27"/>
      <c r="U1396" s="20"/>
      <c r="V1396" s="90">
        <f t="shared" si="220"/>
        <v>972000</v>
      </c>
      <c r="W1396" s="90">
        <f t="shared" si="216"/>
        <v>972000</v>
      </c>
      <c r="X1396" s="89">
        <v>0</v>
      </c>
      <c r="Y1396" s="48">
        <f t="shared" si="217"/>
        <v>972000</v>
      </c>
      <c r="Z1396" s="49">
        <v>1E-4</v>
      </c>
    </row>
    <row r="1397" spans="1:26" s="29" customFormat="1" ht="90.75" customHeight="1" x14ac:dyDescent="0.25">
      <c r="A1397" s="20">
        <v>944</v>
      </c>
      <c r="B1397" s="20" t="s">
        <v>0</v>
      </c>
      <c r="C1397" s="37">
        <v>6691</v>
      </c>
      <c r="D1397" s="21">
        <v>38</v>
      </c>
      <c r="E1397" s="21">
        <v>3</v>
      </c>
      <c r="F1397" s="22">
        <v>3</v>
      </c>
      <c r="G1397" s="23" t="s">
        <v>198</v>
      </c>
      <c r="H1397" s="36">
        <f t="shared" si="218"/>
        <v>15503</v>
      </c>
      <c r="I1397" s="25" t="s">
        <v>22</v>
      </c>
      <c r="J1397" s="28">
        <f t="shared" si="219"/>
        <v>8139075</v>
      </c>
      <c r="K1397" s="20"/>
      <c r="L1397" s="20"/>
      <c r="M1397" s="20"/>
      <c r="N1397" s="20"/>
      <c r="O1397" s="24"/>
      <c r="P1397" s="24"/>
      <c r="Q1397" s="25"/>
      <c r="R1397" s="24"/>
      <c r="S1397" s="20"/>
      <c r="T1397" s="27"/>
      <c r="U1397" s="20"/>
      <c r="V1397" s="90">
        <f t="shared" si="220"/>
        <v>8139075</v>
      </c>
      <c r="W1397" s="90">
        <f t="shared" si="216"/>
        <v>8139075</v>
      </c>
      <c r="X1397" s="89">
        <v>0</v>
      </c>
      <c r="Y1397" s="48">
        <f t="shared" si="217"/>
        <v>8139075</v>
      </c>
      <c r="Z1397" s="49">
        <v>1E-4</v>
      </c>
    </row>
    <row r="1398" spans="1:26" s="29" customFormat="1" ht="90.75" customHeight="1" x14ac:dyDescent="0.25">
      <c r="A1398" s="20">
        <v>945</v>
      </c>
      <c r="B1398" s="20" t="s">
        <v>0</v>
      </c>
      <c r="C1398" s="37">
        <v>6690</v>
      </c>
      <c r="D1398" s="21">
        <v>11</v>
      </c>
      <c r="E1398" s="21">
        <v>3</v>
      </c>
      <c r="F1398" s="22">
        <v>14</v>
      </c>
      <c r="G1398" s="23" t="s">
        <v>198</v>
      </c>
      <c r="H1398" s="36">
        <f t="shared" si="218"/>
        <v>4714</v>
      </c>
      <c r="I1398" s="25" t="s">
        <v>22</v>
      </c>
      <c r="J1398" s="28">
        <f t="shared" si="219"/>
        <v>2474850</v>
      </c>
      <c r="K1398" s="20"/>
      <c r="L1398" s="20"/>
      <c r="M1398" s="20"/>
      <c r="N1398" s="20"/>
      <c r="O1398" s="24"/>
      <c r="P1398" s="24"/>
      <c r="Q1398" s="25"/>
      <c r="R1398" s="24"/>
      <c r="S1398" s="20"/>
      <c r="T1398" s="27"/>
      <c r="U1398" s="20"/>
      <c r="V1398" s="90">
        <f t="shared" si="220"/>
        <v>2474850</v>
      </c>
      <c r="W1398" s="90">
        <f t="shared" si="216"/>
        <v>2474850</v>
      </c>
      <c r="X1398" s="89">
        <v>0</v>
      </c>
      <c r="Y1398" s="48">
        <f t="shared" si="217"/>
        <v>2474850</v>
      </c>
      <c r="Z1398" s="49">
        <v>1E-4</v>
      </c>
    </row>
    <row r="1399" spans="1:26" s="29" customFormat="1" ht="90.75" customHeight="1" x14ac:dyDescent="0.25">
      <c r="A1399" s="20">
        <v>946</v>
      </c>
      <c r="B1399" s="20" t="s">
        <v>0</v>
      </c>
      <c r="C1399" s="37">
        <v>11391</v>
      </c>
      <c r="D1399" s="21">
        <v>10</v>
      </c>
      <c r="E1399" s="21">
        <v>0</v>
      </c>
      <c r="F1399" s="22">
        <v>46</v>
      </c>
      <c r="G1399" s="23" t="s">
        <v>198</v>
      </c>
      <c r="H1399" s="36">
        <f t="shared" si="218"/>
        <v>4046</v>
      </c>
      <c r="I1399" s="25" t="s">
        <v>32</v>
      </c>
      <c r="J1399" s="28">
        <f t="shared" si="219"/>
        <v>809200</v>
      </c>
      <c r="K1399" s="20"/>
      <c r="L1399" s="20"/>
      <c r="M1399" s="20"/>
      <c r="N1399" s="20"/>
      <c r="O1399" s="24"/>
      <c r="P1399" s="24"/>
      <c r="Q1399" s="25"/>
      <c r="R1399" s="24"/>
      <c r="S1399" s="20"/>
      <c r="T1399" s="27"/>
      <c r="U1399" s="20"/>
      <c r="V1399" s="90">
        <f t="shared" si="220"/>
        <v>809200</v>
      </c>
      <c r="W1399" s="90">
        <f t="shared" si="216"/>
        <v>809200</v>
      </c>
      <c r="X1399" s="89">
        <v>0</v>
      </c>
      <c r="Y1399" s="48">
        <f t="shared" si="217"/>
        <v>809200</v>
      </c>
      <c r="Z1399" s="49">
        <v>1E-4</v>
      </c>
    </row>
    <row r="1400" spans="1:26" s="29" customFormat="1" ht="90.75" customHeight="1" x14ac:dyDescent="0.25">
      <c r="A1400" s="20">
        <v>947</v>
      </c>
      <c r="B1400" s="20" t="s">
        <v>0</v>
      </c>
      <c r="C1400" s="37">
        <v>10614</v>
      </c>
      <c r="D1400" s="21">
        <v>16</v>
      </c>
      <c r="E1400" s="21">
        <v>2</v>
      </c>
      <c r="F1400" s="22">
        <v>76</v>
      </c>
      <c r="G1400" s="23" t="s">
        <v>198</v>
      </c>
      <c r="H1400" s="36">
        <f t="shared" si="218"/>
        <v>6676</v>
      </c>
      <c r="I1400" s="25" t="s">
        <v>32</v>
      </c>
      <c r="J1400" s="28">
        <f t="shared" si="219"/>
        <v>1335200</v>
      </c>
      <c r="K1400" s="20"/>
      <c r="L1400" s="20"/>
      <c r="M1400" s="20"/>
      <c r="N1400" s="20"/>
      <c r="O1400" s="24"/>
      <c r="P1400" s="24"/>
      <c r="Q1400" s="25"/>
      <c r="R1400" s="24"/>
      <c r="S1400" s="20"/>
      <c r="T1400" s="27"/>
      <c r="U1400" s="20"/>
      <c r="V1400" s="90">
        <f t="shared" si="220"/>
        <v>1335200</v>
      </c>
      <c r="W1400" s="90">
        <f t="shared" si="216"/>
        <v>1335200</v>
      </c>
      <c r="X1400" s="89">
        <v>0</v>
      </c>
      <c r="Y1400" s="48">
        <f t="shared" si="217"/>
        <v>1335200</v>
      </c>
      <c r="Z1400" s="49">
        <v>1E-4</v>
      </c>
    </row>
    <row r="1401" spans="1:26" s="29" customFormat="1" ht="90.75" customHeight="1" x14ac:dyDescent="0.25">
      <c r="A1401" s="20">
        <v>948</v>
      </c>
      <c r="B1401" s="20" t="s">
        <v>0</v>
      </c>
      <c r="C1401" s="37">
        <v>6784</v>
      </c>
      <c r="D1401" s="21">
        <v>16</v>
      </c>
      <c r="E1401" s="21">
        <v>0</v>
      </c>
      <c r="F1401" s="22">
        <v>95</v>
      </c>
      <c r="G1401" s="23" t="s">
        <v>198</v>
      </c>
      <c r="H1401" s="36">
        <f t="shared" si="218"/>
        <v>6495</v>
      </c>
      <c r="I1401" s="25" t="s">
        <v>19</v>
      </c>
      <c r="J1401" s="28">
        <f t="shared" si="219"/>
        <v>2435625</v>
      </c>
      <c r="K1401" s="20"/>
      <c r="L1401" s="20"/>
      <c r="M1401" s="20"/>
      <c r="N1401" s="20"/>
      <c r="O1401" s="24"/>
      <c r="P1401" s="24"/>
      <c r="Q1401" s="25"/>
      <c r="R1401" s="24"/>
      <c r="S1401" s="20"/>
      <c r="T1401" s="27"/>
      <c r="U1401" s="20"/>
      <c r="V1401" s="90">
        <f t="shared" si="220"/>
        <v>2435625</v>
      </c>
      <c r="W1401" s="90">
        <f t="shared" si="216"/>
        <v>2435625</v>
      </c>
      <c r="X1401" s="89">
        <v>0</v>
      </c>
      <c r="Y1401" s="48">
        <f t="shared" si="217"/>
        <v>2435625</v>
      </c>
      <c r="Z1401" s="49">
        <v>1E-4</v>
      </c>
    </row>
    <row r="1402" spans="1:26" s="29" customFormat="1" ht="90.75" customHeight="1" x14ac:dyDescent="0.25">
      <c r="A1402" s="20">
        <v>949</v>
      </c>
      <c r="B1402" s="20" t="s">
        <v>0</v>
      </c>
      <c r="C1402" s="37">
        <v>10573</v>
      </c>
      <c r="D1402" s="21">
        <v>14</v>
      </c>
      <c r="E1402" s="21">
        <v>3</v>
      </c>
      <c r="F1402" s="22">
        <v>65</v>
      </c>
      <c r="G1402" s="23" t="s">
        <v>198</v>
      </c>
      <c r="H1402" s="36">
        <f t="shared" si="218"/>
        <v>5965</v>
      </c>
      <c r="I1402" s="25" t="s">
        <v>32</v>
      </c>
      <c r="J1402" s="28">
        <f t="shared" si="219"/>
        <v>1193000</v>
      </c>
      <c r="K1402" s="20"/>
      <c r="L1402" s="20"/>
      <c r="M1402" s="20"/>
      <c r="N1402" s="20"/>
      <c r="O1402" s="24"/>
      <c r="P1402" s="24"/>
      <c r="Q1402" s="25"/>
      <c r="R1402" s="24"/>
      <c r="S1402" s="20"/>
      <c r="T1402" s="27"/>
      <c r="U1402" s="20"/>
      <c r="V1402" s="90">
        <f t="shared" si="220"/>
        <v>1193000</v>
      </c>
      <c r="W1402" s="90">
        <f t="shared" si="216"/>
        <v>1193000</v>
      </c>
      <c r="X1402" s="89">
        <v>0</v>
      </c>
      <c r="Y1402" s="48">
        <f t="shared" si="217"/>
        <v>1193000</v>
      </c>
      <c r="Z1402" s="49">
        <v>1E-4</v>
      </c>
    </row>
    <row r="1403" spans="1:26" s="29" customFormat="1" ht="90.75" customHeight="1" x14ac:dyDescent="0.25">
      <c r="A1403" s="20">
        <v>950</v>
      </c>
      <c r="B1403" s="20" t="s">
        <v>0</v>
      </c>
      <c r="C1403" s="37">
        <v>6711</v>
      </c>
      <c r="D1403" s="21">
        <v>22</v>
      </c>
      <c r="E1403" s="21">
        <v>3</v>
      </c>
      <c r="F1403" s="22">
        <v>55</v>
      </c>
      <c r="G1403" s="23" t="s">
        <v>198</v>
      </c>
      <c r="H1403" s="36">
        <f t="shared" si="218"/>
        <v>9155</v>
      </c>
      <c r="I1403" s="25" t="s">
        <v>7</v>
      </c>
      <c r="J1403" s="28">
        <f t="shared" si="219"/>
        <v>3204250</v>
      </c>
      <c r="K1403" s="20"/>
      <c r="L1403" s="20"/>
      <c r="M1403" s="20"/>
      <c r="N1403" s="20"/>
      <c r="O1403" s="24"/>
      <c r="P1403" s="24"/>
      <c r="Q1403" s="25"/>
      <c r="R1403" s="24"/>
      <c r="S1403" s="20"/>
      <c r="T1403" s="27"/>
      <c r="U1403" s="20"/>
      <c r="V1403" s="90">
        <f t="shared" si="220"/>
        <v>3204250</v>
      </c>
      <c r="W1403" s="90">
        <f t="shared" si="216"/>
        <v>3204250</v>
      </c>
      <c r="X1403" s="89">
        <v>0</v>
      </c>
      <c r="Y1403" s="48">
        <f t="shared" si="217"/>
        <v>3204250</v>
      </c>
      <c r="Z1403" s="49">
        <v>1E-4</v>
      </c>
    </row>
    <row r="1404" spans="1:26" s="29" customFormat="1" ht="90.75" customHeight="1" x14ac:dyDescent="0.25">
      <c r="A1404" s="20">
        <v>951</v>
      </c>
      <c r="B1404" s="20" t="s">
        <v>0</v>
      </c>
      <c r="C1404" s="37">
        <v>12212</v>
      </c>
      <c r="D1404" s="21">
        <v>22</v>
      </c>
      <c r="E1404" s="21">
        <v>2</v>
      </c>
      <c r="F1404" s="22">
        <v>58</v>
      </c>
      <c r="G1404" s="23" t="s">
        <v>198</v>
      </c>
      <c r="H1404" s="36">
        <f t="shared" si="218"/>
        <v>9058</v>
      </c>
      <c r="I1404" s="25" t="s">
        <v>32</v>
      </c>
      <c r="J1404" s="28">
        <f t="shared" si="219"/>
        <v>1811600</v>
      </c>
      <c r="K1404" s="20"/>
      <c r="L1404" s="20"/>
      <c r="M1404" s="20"/>
      <c r="N1404" s="20"/>
      <c r="O1404" s="24"/>
      <c r="P1404" s="24"/>
      <c r="Q1404" s="25"/>
      <c r="R1404" s="24"/>
      <c r="S1404" s="20"/>
      <c r="T1404" s="27"/>
      <c r="U1404" s="20"/>
      <c r="V1404" s="90">
        <f t="shared" si="220"/>
        <v>1811600</v>
      </c>
      <c r="W1404" s="90">
        <f t="shared" si="216"/>
        <v>1811600</v>
      </c>
      <c r="X1404" s="89">
        <v>0</v>
      </c>
      <c r="Y1404" s="48">
        <f t="shared" si="217"/>
        <v>1811600</v>
      </c>
      <c r="Z1404" s="49">
        <v>1E-4</v>
      </c>
    </row>
    <row r="1405" spans="1:26" s="29" customFormat="1" ht="90.75" customHeight="1" x14ac:dyDescent="0.25">
      <c r="A1405" s="20">
        <v>952</v>
      </c>
      <c r="B1405" s="20" t="s">
        <v>0</v>
      </c>
      <c r="C1405" s="37">
        <v>12213</v>
      </c>
      <c r="D1405" s="21">
        <v>21</v>
      </c>
      <c r="E1405" s="21">
        <v>2</v>
      </c>
      <c r="F1405" s="22">
        <v>14</v>
      </c>
      <c r="G1405" s="23" t="s">
        <v>198</v>
      </c>
      <c r="H1405" s="36">
        <f t="shared" si="218"/>
        <v>8614</v>
      </c>
      <c r="I1405" s="25" t="s">
        <v>32</v>
      </c>
      <c r="J1405" s="28">
        <f t="shared" si="219"/>
        <v>1722800</v>
      </c>
      <c r="K1405" s="20"/>
      <c r="L1405" s="20"/>
      <c r="M1405" s="20"/>
      <c r="N1405" s="20"/>
      <c r="O1405" s="24"/>
      <c r="P1405" s="24"/>
      <c r="Q1405" s="25"/>
      <c r="R1405" s="24"/>
      <c r="S1405" s="20"/>
      <c r="T1405" s="27"/>
      <c r="U1405" s="20"/>
      <c r="V1405" s="90">
        <f t="shared" si="220"/>
        <v>1722800</v>
      </c>
      <c r="W1405" s="90">
        <f t="shared" si="216"/>
        <v>1722800</v>
      </c>
      <c r="X1405" s="89">
        <v>0</v>
      </c>
      <c r="Y1405" s="48">
        <f t="shared" si="217"/>
        <v>1722800</v>
      </c>
      <c r="Z1405" s="49">
        <v>1E-4</v>
      </c>
    </row>
    <row r="1406" spans="1:26" s="29" customFormat="1" ht="90.75" customHeight="1" x14ac:dyDescent="0.25">
      <c r="A1406" s="20">
        <v>953</v>
      </c>
      <c r="B1406" s="20" t="s">
        <v>0</v>
      </c>
      <c r="C1406" s="37">
        <v>7537</v>
      </c>
      <c r="D1406" s="21">
        <v>24</v>
      </c>
      <c r="E1406" s="21">
        <v>3</v>
      </c>
      <c r="F1406" s="22">
        <v>86</v>
      </c>
      <c r="G1406" s="23" t="s">
        <v>198</v>
      </c>
      <c r="H1406" s="36">
        <f t="shared" si="218"/>
        <v>9986</v>
      </c>
      <c r="I1406" s="25" t="s">
        <v>22</v>
      </c>
      <c r="J1406" s="28">
        <f t="shared" si="219"/>
        <v>5242650</v>
      </c>
      <c r="K1406" s="20"/>
      <c r="L1406" s="20"/>
      <c r="M1406" s="20"/>
      <c r="N1406" s="20"/>
      <c r="O1406" s="24"/>
      <c r="P1406" s="24"/>
      <c r="Q1406" s="25"/>
      <c r="R1406" s="24"/>
      <c r="S1406" s="20"/>
      <c r="T1406" s="27"/>
      <c r="U1406" s="20"/>
      <c r="V1406" s="90">
        <f t="shared" si="220"/>
        <v>5242650</v>
      </c>
      <c r="W1406" s="90">
        <f t="shared" si="216"/>
        <v>5242650</v>
      </c>
      <c r="X1406" s="89">
        <v>0</v>
      </c>
      <c r="Y1406" s="48">
        <f t="shared" si="217"/>
        <v>5242650</v>
      </c>
      <c r="Z1406" s="49">
        <v>1E-4</v>
      </c>
    </row>
    <row r="1407" spans="1:26" s="29" customFormat="1" ht="90.75" customHeight="1" x14ac:dyDescent="0.25">
      <c r="A1407" s="20">
        <v>954</v>
      </c>
      <c r="B1407" s="20" t="s">
        <v>0</v>
      </c>
      <c r="C1407" s="37">
        <v>6713</v>
      </c>
      <c r="D1407" s="21">
        <v>51</v>
      </c>
      <c r="E1407" s="21">
        <v>2</v>
      </c>
      <c r="F1407" s="22">
        <v>76</v>
      </c>
      <c r="G1407" s="23" t="s">
        <v>198</v>
      </c>
      <c r="H1407" s="36">
        <f t="shared" si="218"/>
        <v>20676</v>
      </c>
      <c r="I1407" s="25" t="s">
        <v>22</v>
      </c>
      <c r="J1407" s="28">
        <f t="shared" si="219"/>
        <v>10854900</v>
      </c>
      <c r="K1407" s="20"/>
      <c r="L1407" s="20"/>
      <c r="M1407" s="20"/>
      <c r="N1407" s="20"/>
      <c r="O1407" s="24"/>
      <c r="P1407" s="24"/>
      <c r="Q1407" s="25"/>
      <c r="R1407" s="24"/>
      <c r="S1407" s="20"/>
      <c r="T1407" s="27"/>
      <c r="U1407" s="20"/>
      <c r="V1407" s="90">
        <f t="shared" si="220"/>
        <v>10854900</v>
      </c>
      <c r="W1407" s="90">
        <f t="shared" si="216"/>
        <v>10854900</v>
      </c>
      <c r="X1407" s="89">
        <v>0</v>
      </c>
      <c r="Y1407" s="48">
        <f t="shared" si="217"/>
        <v>10854900</v>
      </c>
      <c r="Z1407" s="49">
        <v>1E-4</v>
      </c>
    </row>
    <row r="1408" spans="1:26" s="29" customFormat="1" ht="90.75" customHeight="1" x14ac:dyDescent="0.25">
      <c r="A1408" s="20">
        <v>955</v>
      </c>
      <c r="B1408" s="20" t="s">
        <v>0</v>
      </c>
      <c r="C1408" s="37">
        <v>11586</v>
      </c>
      <c r="D1408" s="21">
        <v>31</v>
      </c>
      <c r="E1408" s="21">
        <v>3</v>
      </c>
      <c r="F1408" s="22">
        <v>70</v>
      </c>
      <c r="G1408" s="23" t="s">
        <v>198</v>
      </c>
      <c r="H1408" s="36">
        <f t="shared" si="218"/>
        <v>12770</v>
      </c>
      <c r="I1408" s="25" t="s">
        <v>22</v>
      </c>
      <c r="J1408" s="28">
        <f t="shared" si="219"/>
        <v>6704250</v>
      </c>
      <c r="K1408" s="20"/>
      <c r="L1408" s="20"/>
      <c r="M1408" s="20"/>
      <c r="N1408" s="20"/>
      <c r="O1408" s="24"/>
      <c r="P1408" s="24"/>
      <c r="Q1408" s="25"/>
      <c r="R1408" s="24"/>
      <c r="S1408" s="20"/>
      <c r="T1408" s="27"/>
      <c r="U1408" s="20"/>
      <c r="V1408" s="90">
        <f t="shared" si="220"/>
        <v>6704250</v>
      </c>
      <c r="W1408" s="90">
        <f t="shared" si="216"/>
        <v>6704250</v>
      </c>
      <c r="X1408" s="89">
        <v>0</v>
      </c>
      <c r="Y1408" s="48">
        <f t="shared" si="217"/>
        <v>6704250</v>
      </c>
      <c r="Z1408" s="49">
        <v>1E-4</v>
      </c>
    </row>
    <row r="1409" spans="1:26" s="29" customFormat="1" ht="90.75" customHeight="1" x14ac:dyDescent="0.25">
      <c r="A1409" s="20">
        <v>956</v>
      </c>
      <c r="B1409" s="20" t="s">
        <v>0</v>
      </c>
      <c r="C1409" s="37">
        <v>14771</v>
      </c>
      <c r="D1409" s="21">
        <v>7</v>
      </c>
      <c r="E1409" s="21">
        <v>1</v>
      </c>
      <c r="F1409" s="22">
        <v>35</v>
      </c>
      <c r="G1409" s="23" t="s">
        <v>198</v>
      </c>
      <c r="H1409" s="36">
        <f t="shared" si="218"/>
        <v>2935</v>
      </c>
      <c r="I1409" s="25" t="s">
        <v>79</v>
      </c>
      <c r="J1409" s="28">
        <f t="shared" si="219"/>
        <v>1907750</v>
      </c>
      <c r="K1409" s="20"/>
      <c r="L1409" s="20"/>
      <c r="M1409" s="20"/>
      <c r="N1409" s="20"/>
      <c r="O1409" s="24"/>
      <c r="P1409" s="24"/>
      <c r="Q1409" s="25"/>
      <c r="R1409" s="24"/>
      <c r="S1409" s="20"/>
      <c r="T1409" s="27"/>
      <c r="U1409" s="20"/>
      <c r="V1409" s="90">
        <f t="shared" si="220"/>
        <v>1907750</v>
      </c>
      <c r="W1409" s="90">
        <f t="shared" si="216"/>
        <v>1907750</v>
      </c>
      <c r="X1409" s="89">
        <v>0</v>
      </c>
      <c r="Y1409" s="48">
        <f t="shared" si="217"/>
        <v>1907750</v>
      </c>
      <c r="Z1409" s="49">
        <v>1E-4</v>
      </c>
    </row>
    <row r="1410" spans="1:26" s="29" customFormat="1" ht="90.75" customHeight="1" x14ac:dyDescent="0.25">
      <c r="A1410" s="20">
        <v>957</v>
      </c>
      <c r="B1410" s="20" t="s">
        <v>0</v>
      </c>
      <c r="C1410" s="37">
        <v>20727</v>
      </c>
      <c r="D1410" s="21">
        <v>55</v>
      </c>
      <c r="E1410" s="21">
        <v>2</v>
      </c>
      <c r="F1410" s="22">
        <v>7</v>
      </c>
      <c r="G1410" s="23" t="s">
        <v>198</v>
      </c>
      <c r="H1410" s="36">
        <f t="shared" si="218"/>
        <v>22207</v>
      </c>
      <c r="I1410" s="25" t="s">
        <v>9</v>
      </c>
      <c r="J1410" s="28">
        <f t="shared" si="219"/>
        <v>6662100</v>
      </c>
      <c r="K1410" s="20"/>
      <c r="L1410" s="20"/>
      <c r="M1410" s="20"/>
      <c r="N1410" s="20"/>
      <c r="O1410" s="24"/>
      <c r="P1410" s="24"/>
      <c r="Q1410" s="25"/>
      <c r="R1410" s="24"/>
      <c r="S1410" s="20"/>
      <c r="T1410" s="27"/>
      <c r="U1410" s="20"/>
      <c r="V1410" s="90">
        <f t="shared" si="220"/>
        <v>6662100</v>
      </c>
      <c r="W1410" s="90">
        <f t="shared" ref="W1410:W1441" si="221">(V1410*100/100)</f>
        <v>6662100</v>
      </c>
      <c r="X1410" s="89">
        <v>0</v>
      </c>
      <c r="Y1410" s="48">
        <f t="shared" ref="Y1410:Y1441" si="222">(W1410-X1410)</f>
        <v>6662100</v>
      </c>
      <c r="Z1410" s="49">
        <v>1E-4</v>
      </c>
    </row>
    <row r="1411" spans="1:26" s="29" customFormat="1" ht="90.75" customHeight="1" x14ac:dyDescent="0.25">
      <c r="A1411" s="20">
        <v>958</v>
      </c>
      <c r="B1411" s="20" t="s">
        <v>0</v>
      </c>
      <c r="C1411" s="37">
        <v>11754</v>
      </c>
      <c r="D1411" s="21">
        <v>8</v>
      </c>
      <c r="E1411" s="21">
        <v>2</v>
      </c>
      <c r="F1411" s="22">
        <v>98</v>
      </c>
      <c r="G1411" s="23" t="s">
        <v>198</v>
      </c>
      <c r="H1411" s="36">
        <f t="shared" si="218"/>
        <v>3498</v>
      </c>
      <c r="I1411" s="25" t="s">
        <v>9</v>
      </c>
      <c r="J1411" s="28">
        <f t="shared" si="219"/>
        <v>1049400</v>
      </c>
      <c r="K1411" s="20"/>
      <c r="L1411" s="20"/>
      <c r="M1411" s="20"/>
      <c r="N1411" s="20"/>
      <c r="O1411" s="24"/>
      <c r="P1411" s="24"/>
      <c r="Q1411" s="25"/>
      <c r="R1411" s="24"/>
      <c r="S1411" s="20"/>
      <c r="T1411" s="27"/>
      <c r="U1411" s="20"/>
      <c r="V1411" s="90">
        <f t="shared" ref="V1411:V1441" si="223">(J1411+U1411)</f>
        <v>1049400</v>
      </c>
      <c r="W1411" s="90">
        <f t="shared" si="221"/>
        <v>1049400</v>
      </c>
      <c r="X1411" s="89">
        <v>0</v>
      </c>
      <c r="Y1411" s="48">
        <f t="shared" si="222"/>
        <v>1049400</v>
      </c>
      <c r="Z1411" s="49">
        <v>1E-4</v>
      </c>
    </row>
    <row r="1412" spans="1:26" s="29" customFormat="1" ht="90.75" customHeight="1" x14ac:dyDescent="0.25">
      <c r="A1412" s="20">
        <v>959</v>
      </c>
      <c r="B1412" s="20" t="s">
        <v>0</v>
      </c>
      <c r="C1412" s="37">
        <v>11755</v>
      </c>
      <c r="D1412" s="21">
        <v>17</v>
      </c>
      <c r="E1412" s="21">
        <v>1</v>
      </c>
      <c r="F1412" s="22">
        <v>23</v>
      </c>
      <c r="G1412" s="23" t="s">
        <v>198</v>
      </c>
      <c r="H1412" s="36">
        <f t="shared" si="218"/>
        <v>6923</v>
      </c>
      <c r="I1412" s="25" t="s">
        <v>9</v>
      </c>
      <c r="J1412" s="28">
        <f t="shared" si="219"/>
        <v>2076900</v>
      </c>
      <c r="K1412" s="20"/>
      <c r="L1412" s="20"/>
      <c r="M1412" s="20"/>
      <c r="N1412" s="20"/>
      <c r="O1412" s="24"/>
      <c r="P1412" s="24"/>
      <c r="Q1412" s="25"/>
      <c r="R1412" s="24"/>
      <c r="S1412" s="20"/>
      <c r="T1412" s="27"/>
      <c r="U1412" s="20"/>
      <c r="V1412" s="90">
        <f t="shared" si="223"/>
        <v>2076900</v>
      </c>
      <c r="W1412" s="90">
        <f t="shared" si="221"/>
        <v>2076900</v>
      </c>
      <c r="X1412" s="89">
        <v>0</v>
      </c>
      <c r="Y1412" s="48">
        <f t="shared" si="222"/>
        <v>2076900</v>
      </c>
      <c r="Z1412" s="49">
        <v>1E-4</v>
      </c>
    </row>
    <row r="1413" spans="1:26" s="29" customFormat="1" ht="90.75" customHeight="1" x14ac:dyDescent="0.25">
      <c r="A1413" s="20">
        <v>960</v>
      </c>
      <c r="B1413" s="20" t="s">
        <v>0</v>
      </c>
      <c r="C1413" s="37">
        <v>22516</v>
      </c>
      <c r="D1413" s="21">
        <v>31</v>
      </c>
      <c r="E1413" s="21">
        <v>1</v>
      </c>
      <c r="F1413" s="22">
        <v>64</v>
      </c>
      <c r="G1413" s="23" t="s">
        <v>198</v>
      </c>
      <c r="H1413" s="36">
        <f t="shared" si="218"/>
        <v>12564</v>
      </c>
      <c r="I1413" s="25" t="s">
        <v>75</v>
      </c>
      <c r="J1413" s="28">
        <f t="shared" si="219"/>
        <v>7852500</v>
      </c>
      <c r="K1413" s="20"/>
      <c r="L1413" s="20"/>
      <c r="M1413" s="20"/>
      <c r="N1413" s="20"/>
      <c r="O1413" s="24"/>
      <c r="P1413" s="24"/>
      <c r="Q1413" s="25"/>
      <c r="R1413" s="24"/>
      <c r="S1413" s="20"/>
      <c r="T1413" s="27"/>
      <c r="U1413" s="20"/>
      <c r="V1413" s="90">
        <f t="shared" si="223"/>
        <v>7852500</v>
      </c>
      <c r="W1413" s="90">
        <f t="shared" si="221"/>
        <v>7852500</v>
      </c>
      <c r="X1413" s="89">
        <v>0</v>
      </c>
      <c r="Y1413" s="48">
        <f t="shared" si="222"/>
        <v>7852500</v>
      </c>
      <c r="Z1413" s="49">
        <v>1E-4</v>
      </c>
    </row>
    <row r="1414" spans="1:26" s="29" customFormat="1" ht="90.75" customHeight="1" x14ac:dyDescent="0.25">
      <c r="A1414" s="20">
        <v>961</v>
      </c>
      <c r="B1414" s="20" t="s">
        <v>0</v>
      </c>
      <c r="C1414" s="37">
        <v>14625</v>
      </c>
      <c r="D1414" s="21">
        <v>16</v>
      </c>
      <c r="E1414" s="21">
        <v>2</v>
      </c>
      <c r="F1414" s="22">
        <v>97</v>
      </c>
      <c r="G1414" s="23" t="s">
        <v>198</v>
      </c>
      <c r="H1414" s="36">
        <f t="shared" si="218"/>
        <v>6697</v>
      </c>
      <c r="I1414" s="25" t="s">
        <v>9</v>
      </c>
      <c r="J1414" s="28">
        <f t="shared" si="219"/>
        <v>2009100</v>
      </c>
      <c r="K1414" s="20"/>
      <c r="L1414" s="20"/>
      <c r="M1414" s="20"/>
      <c r="N1414" s="20"/>
      <c r="O1414" s="24"/>
      <c r="P1414" s="24"/>
      <c r="Q1414" s="25"/>
      <c r="R1414" s="24"/>
      <c r="S1414" s="20" t="s">
        <v>2</v>
      </c>
      <c r="T1414" s="27"/>
      <c r="U1414" s="20"/>
      <c r="V1414" s="90">
        <f t="shared" si="223"/>
        <v>2009100</v>
      </c>
      <c r="W1414" s="90">
        <f t="shared" si="221"/>
        <v>2009100</v>
      </c>
      <c r="X1414" s="89">
        <v>0</v>
      </c>
      <c r="Y1414" s="48">
        <f t="shared" si="222"/>
        <v>2009100</v>
      </c>
      <c r="Z1414" s="49">
        <v>1E-4</v>
      </c>
    </row>
    <row r="1415" spans="1:26" s="29" customFormat="1" ht="90.75" customHeight="1" x14ac:dyDescent="0.25">
      <c r="A1415" s="20">
        <v>962</v>
      </c>
      <c r="B1415" s="20" t="s">
        <v>0</v>
      </c>
      <c r="C1415" s="37">
        <v>14765</v>
      </c>
      <c r="D1415" s="21">
        <v>42</v>
      </c>
      <c r="E1415" s="21">
        <v>2</v>
      </c>
      <c r="F1415" s="22">
        <v>33</v>
      </c>
      <c r="G1415" s="23" t="s">
        <v>198</v>
      </c>
      <c r="H1415" s="36">
        <f t="shared" si="218"/>
        <v>17033</v>
      </c>
      <c r="I1415" s="25">
        <v>625</v>
      </c>
      <c r="J1415" s="28">
        <f t="shared" si="219"/>
        <v>10645625</v>
      </c>
      <c r="K1415" s="20"/>
      <c r="L1415" s="20"/>
      <c r="M1415" s="20"/>
      <c r="N1415" s="20"/>
      <c r="O1415" s="24"/>
      <c r="P1415" s="24"/>
      <c r="Q1415" s="25"/>
      <c r="R1415" s="24"/>
      <c r="S1415" s="20"/>
      <c r="T1415" s="27"/>
      <c r="U1415" s="20"/>
      <c r="V1415" s="90">
        <f t="shared" si="223"/>
        <v>10645625</v>
      </c>
      <c r="W1415" s="90">
        <f t="shared" si="221"/>
        <v>10645625</v>
      </c>
      <c r="X1415" s="89">
        <v>0</v>
      </c>
      <c r="Y1415" s="48">
        <f t="shared" si="222"/>
        <v>10645625</v>
      </c>
      <c r="Z1415" s="49">
        <v>1E-4</v>
      </c>
    </row>
    <row r="1416" spans="1:26" s="29" customFormat="1" ht="90.75" customHeight="1" x14ac:dyDescent="0.25">
      <c r="A1416" s="20">
        <v>963</v>
      </c>
      <c r="B1416" s="20" t="s">
        <v>0</v>
      </c>
      <c r="C1416" s="37">
        <v>14642</v>
      </c>
      <c r="D1416" s="21">
        <v>28</v>
      </c>
      <c r="E1416" s="21">
        <v>3</v>
      </c>
      <c r="F1416" s="22">
        <v>0</v>
      </c>
      <c r="G1416" s="23" t="s">
        <v>198</v>
      </c>
      <c r="H1416" s="36">
        <f t="shared" si="218"/>
        <v>11500</v>
      </c>
      <c r="I1416" s="25" t="s">
        <v>9</v>
      </c>
      <c r="J1416" s="28">
        <f t="shared" si="219"/>
        <v>3450000</v>
      </c>
      <c r="K1416" s="20"/>
      <c r="L1416" s="20"/>
      <c r="M1416" s="20"/>
      <c r="N1416" s="20"/>
      <c r="O1416" s="24"/>
      <c r="P1416" s="24"/>
      <c r="Q1416" s="25"/>
      <c r="R1416" s="24"/>
      <c r="S1416" s="20"/>
      <c r="T1416" s="27"/>
      <c r="U1416" s="20"/>
      <c r="V1416" s="90">
        <f t="shared" si="223"/>
        <v>3450000</v>
      </c>
      <c r="W1416" s="90">
        <f t="shared" si="221"/>
        <v>3450000</v>
      </c>
      <c r="X1416" s="89">
        <v>0</v>
      </c>
      <c r="Y1416" s="48">
        <f t="shared" si="222"/>
        <v>3450000</v>
      </c>
      <c r="Z1416" s="49">
        <v>1E-4</v>
      </c>
    </row>
    <row r="1417" spans="1:26" s="29" customFormat="1" ht="90.75" customHeight="1" x14ac:dyDescent="0.25">
      <c r="A1417" s="20">
        <v>964</v>
      </c>
      <c r="B1417" s="20" t="s">
        <v>0</v>
      </c>
      <c r="C1417" s="20">
        <v>6816</v>
      </c>
      <c r="D1417" s="21">
        <v>9</v>
      </c>
      <c r="E1417" s="21">
        <v>2</v>
      </c>
      <c r="F1417" s="22">
        <v>90</v>
      </c>
      <c r="G1417" s="23" t="s">
        <v>198</v>
      </c>
      <c r="H1417" s="36">
        <f t="shared" si="218"/>
        <v>3890</v>
      </c>
      <c r="I1417" s="25">
        <v>375</v>
      </c>
      <c r="J1417" s="28">
        <f t="shared" si="219"/>
        <v>1458750</v>
      </c>
      <c r="K1417" s="20"/>
      <c r="L1417" s="20"/>
      <c r="M1417" s="20"/>
      <c r="N1417" s="20"/>
      <c r="O1417" s="24"/>
      <c r="P1417" s="24"/>
      <c r="Q1417" s="25"/>
      <c r="R1417" s="24"/>
      <c r="S1417" s="20"/>
      <c r="T1417" s="27"/>
      <c r="U1417" s="20"/>
      <c r="V1417" s="90">
        <f t="shared" si="223"/>
        <v>1458750</v>
      </c>
      <c r="W1417" s="90">
        <f t="shared" si="221"/>
        <v>1458750</v>
      </c>
      <c r="X1417" s="89">
        <v>0</v>
      </c>
      <c r="Y1417" s="48">
        <f t="shared" si="222"/>
        <v>1458750</v>
      </c>
      <c r="Z1417" s="49">
        <v>1E-4</v>
      </c>
    </row>
    <row r="1418" spans="1:26" s="29" customFormat="1" ht="90.75" customHeight="1" x14ac:dyDescent="0.25">
      <c r="A1418" s="20">
        <v>965</v>
      </c>
      <c r="B1418" s="76" t="s">
        <v>214</v>
      </c>
      <c r="C1418" s="37">
        <v>34</v>
      </c>
      <c r="D1418" s="37">
        <v>20</v>
      </c>
      <c r="E1418" s="37">
        <v>2</v>
      </c>
      <c r="F1418" s="37">
        <v>50</v>
      </c>
      <c r="G1418" s="23" t="s">
        <v>198</v>
      </c>
      <c r="H1418" s="36">
        <f t="shared" si="218"/>
        <v>8250</v>
      </c>
      <c r="I1418" s="40">
        <v>200</v>
      </c>
      <c r="J1418" s="28">
        <f t="shared" si="219"/>
        <v>1650000</v>
      </c>
      <c r="K1418" s="37"/>
      <c r="L1418" s="37"/>
      <c r="M1418" s="37"/>
      <c r="N1418" s="37"/>
      <c r="O1418" s="65"/>
      <c r="P1418" s="37"/>
      <c r="Q1418" s="79"/>
      <c r="R1418" s="37"/>
      <c r="S1418" s="37"/>
      <c r="T1418" s="65"/>
      <c r="U1418" s="37"/>
      <c r="V1418" s="90">
        <f t="shared" si="223"/>
        <v>1650000</v>
      </c>
      <c r="W1418" s="90">
        <f t="shared" si="221"/>
        <v>1650000</v>
      </c>
      <c r="X1418" s="89">
        <v>0</v>
      </c>
      <c r="Y1418" s="48">
        <f t="shared" si="222"/>
        <v>1650000</v>
      </c>
      <c r="Z1418" s="49">
        <v>1E-4</v>
      </c>
    </row>
    <row r="1419" spans="1:26" s="29" customFormat="1" ht="90.75" customHeight="1" x14ac:dyDescent="0.25">
      <c r="A1419" s="20">
        <v>966</v>
      </c>
      <c r="B1419" s="76" t="s">
        <v>214</v>
      </c>
      <c r="C1419" s="37">
        <v>379</v>
      </c>
      <c r="D1419" s="37">
        <v>27</v>
      </c>
      <c r="E1419" s="37">
        <v>1</v>
      </c>
      <c r="F1419" s="37">
        <v>20</v>
      </c>
      <c r="G1419" s="23" t="s">
        <v>198</v>
      </c>
      <c r="H1419" s="36">
        <f t="shared" si="218"/>
        <v>10920</v>
      </c>
      <c r="I1419" s="40">
        <v>200</v>
      </c>
      <c r="J1419" s="28">
        <f t="shared" si="219"/>
        <v>2184000</v>
      </c>
      <c r="K1419" s="37"/>
      <c r="L1419" s="37"/>
      <c r="M1419" s="37"/>
      <c r="N1419" s="37"/>
      <c r="O1419" s="65"/>
      <c r="P1419" s="37"/>
      <c r="Q1419" s="79"/>
      <c r="R1419" s="37"/>
      <c r="S1419" s="37"/>
      <c r="T1419" s="65"/>
      <c r="U1419" s="37"/>
      <c r="V1419" s="90">
        <f t="shared" si="223"/>
        <v>2184000</v>
      </c>
      <c r="W1419" s="90">
        <f t="shared" si="221"/>
        <v>2184000</v>
      </c>
      <c r="X1419" s="89">
        <v>0</v>
      </c>
      <c r="Y1419" s="48">
        <f t="shared" si="222"/>
        <v>2184000</v>
      </c>
      <c r="Z1419" s="49">
        <v>1E-4</v>
      </c>
    </row>
    <row r="1420" spans="1:26" s="29" customFormat="1" ht="90.75" customHeight="1" x14ac:dyDescent="0.25">
      <c r="A1420" s="20">
        <v>967</v>
      </c>
      <c r="B1420" s="76" t="s">
        <v>214</v>
      </c>
      <c r="C1420" s="37">
        <v>412</v>
      </c>
      <c r="D1420" s="37">
        <v>24</v>
      </c>
      <c r="E1420" s="37">
        <v>2</v>
      </c>
      <c r="F1420" s="37">
        <v>40</v>
      </c>
      <c r="G1420" s="23" t="s">
        <v>198</v>
      </c>
      <c r="H1420" s="36">
        <f t="shared" si="218"/>
        <v>9840</v>
      </c>
      <c r="I1420" s="40">
        <v>200</v>
      </c>
      <c r="J1420" s="28">
        <f t="shared" si="219"/>
        <v>1968000</v>
      </c>
      <c r="K1420" s="37"/>
      <c r="L1420" s="37"/>
      <c r="M1420" s="37"/>
      <c r="N1420" s="37"/>
      <c r="O1420" s="65"/>
      <c r="P1420" s="37"/>
      <c r="Q1420" s="79"/>
      <c r="R1420" s="37"/>
      <c r="S1420" s="37"/>
      <c r="T1420" s="65"/>
      <c r="U1420" s="37"/>
      <c r="V1420" s="90">
        <f t="shared" si="223"/>
        <v>1968000</v>
      </c>
      <c r="W1420" s="90">
        <f t="shared" si="221"/>
        <v>1968000</v>
      </c>
      <c r="X1420" s="89">
        <v>0</v>
      </c>
      <c r="Y1420" s="48">
        <f t="shared" si="222"/>
        <v>1968000</v>
      </c>
      <c r="Z1420" s="49">
        <v>1E-4</v>
      </c>
    </row>
    <row r="1421" spans="1:26" s="29" customFormat="1" ht="90.75" customHeight="1" x14ac:dyDescent="0.25">
      <c r="A1421" s="20">
        <v>968</v>
      </c>
      <c r="B1421" s="76" t="s">
        <v>214</v>
      </c>
      <c r="C1421" s="37">
        <v>415</v>
      </c>
      <c r="D1421" s="37">
        <v>22</v>
      </c>
      <c r="E1421" s="37">
        <v>1</v>
      </c>
      <c r="F1421" s="37">
        <v>60</v>
      </c>
      <c r="G1421" s="23" t="s">
        <v>198</v>
      </c>
      <c r="H1421" s="36">
        <f t="shared" si="218"/>
        <v>8960</v>
      </c>
      <c r="I1421" s="40">
        <v>200</v>
      </c>
      <c r="J1421" s="28">
        <f t="shared" si="219"/>
        <v>1792000</v>
      </c>
      <c r="K1421" s="37"/>
      <c r="L1421" s="37"/>
      <c r="M1421" s="37"/>
      <c r="N1421" s="37"/>
      <c r="O1421" s="65"/>
      <c r="P1421" s="37"/>
      <c r="Q1421" s="79"/>
      <c r="R1421" s="37"/>
      <c r="S1421" s="37"/>
      <c r="T1421" s="65"/>
      <c r="U1421" s="37"/>
      <c r="V1421" s="90">
        <f t="shared" si="223"/>
        <v>1792000</v>
      </c>
      <c r="W1421" s="90">
        <f t="shared" si="221"/>
        <v>1792000</v>
      </c>
      <c r="X1421" s="89">
        <v>0</v>
      </c>
      <c r="Y1421" s="48">
        <f t="shared" si="222"/>
        <v>1792000</v>
      </c>
      <c r="Z1421" s="49">
        <v>1E-4</v>
      </c>
    </row>
    <row r="1422" spans="1:26" s="29" customFormat="1" ht="90.75" customHeight="1" x14ac:dyDescent="0.25">
      <c r="A1422" s="20">
        <v>969</v>
      </c>
      <c r="B1422" s="20" t="s">
        <v>0</v>
      </c>
      <c r="C1422" s="20">
        <v>7617</v>
      </c>
      <c r="D1422" s="21">
        <v>16</v>
      </c>
      <c r="E1422" s="21">
        <v>1</v>
      </c>
      <c r="F1422" s="22">
        <v>94</v>
      </c>
      <c r="G1422" s="23" t="s">
        <v>198</v>
      </c>
      <c r="H1422" s="36">
        <f t="shared" si="218"/>
        <v>6594</v>
      </c>
      <c r="I1422" s="40" t="s">
        <v>9</v>
      </c>
      <c r="J1422" s="65">
        <f t="shared" si="219"/>
        <v>1978200</v>
      </c>
      <c r="K1422" s="20"/>
      <c r="L1422" s="20"/>
      <c r="M1422" s="20"/>
      <c r="N1422" s="20"/>
      <c r="O1422" s="24"/>
      <c r="P1422" s="24"/>
      <c r="Q1422" s="25"/>
      <c r="R1422" s="24"/>
      <c r="S1422" s="20" t="s">
        <v>2</v>
      </c>
      <c r="T1422" s="27"/>
      <c r="U1422" s="20"/>
      <c r="V1422" s="90">
        <f t="shared" si="223"/>
        <v>1978200</v>
      </c>
      <c r="W1422" s="90">
        <f t="shared" si="221"/>
        <v>1978200</v>
      </c>
      <c r="X1422" s="89">
        <v>0</v>
      </c>
      <c r="Y1422" s="48">
        <f t="shared" si="222"/>
        <v>1978200</v>
      </c>
      <c r="Z1422" s="49">
        <v>1E-4</v>
      </c>
    </row>
    <row r="1423" spans="1:26" s="29" customFormat="1" ht="90.75" customHeight="1" x14ac:dyDescent="0.25">
      <c r="A1423" s="20">
        <v>970</v>
      </c>
      <c r="B1423" s="20" t="s">
        <v>0</v>
      </c>
      <c r="C1423" s="20">
        <v>10604</v>
      </c>
      <c r="D1423" s="21">
        <v>49</v>
      </c>
      <c r="E1423" s="21">
        <v>0</v>
      </c>
      <c r="F1423" s="22">
        <v>76</v>
      </c>
      <c r="G1423" s="23" t="s">
        <v>198</v>
      </c>
      <c r="H1423" s="36">
        <f t="shared" si="218"/>
        <v>19676</v>
      </c>
      <c r="I1423" s="40" t="s">
        <v>53</v>
      </c>
      <c r="J1423" s="65">
        <f t="shared" si="219"/>
        <v>8854200</v>
      </c>
      <c r="K1423" s="20"/>
      <c r="L1423" s="20"/>
      <c r="M1423" s="20"/>
      <c r="N1423" s="20"/>
      <c r="O1423" s="24"/>
      <c r="P1423" s="24"/>
      <c r="Q1423" s="25"/>
      <c r="R1423" s="24"/>
      <c r="S1423" s="20" t="s">
        <v>2</v>
      </c>
      <c r="T1423" s="27"/>
      <c r="U1423" s="20"/>
      <c r="V1423" s="90">
        <f t="shared" si="223"/>
        <v>8854200</v>
      </c>
      <c r="W1423" s="90">
        <f t="shared" si="221"/>
        <v>8854200</v>
      </c>
      <c r="X1423" s="89">
        <v>0</v>
      </c>
      <c r="Y1423" s="48">
        <f t="shared" si="222"/>
        <v>8854200</v>
      </c>
      <c r="Z1423" s="49">
        <v>1E-4</v>
      </c>
    </row>
    <row r="1424" spans="1:26" s="29" customFormat="1" ht="90.75" customHeight="1" x14ac:dyDescent="0.25">
      <c r="A1424" s="20">
        <v>971</v>
      </c>
      <c r="B1424" s="20" t="s">
        <v>0</v>
      </c>
      <c r="C1424" s="20">
        <v>7619</v>
      </c>
      <c r="D1424" s="21">
        <v>17</v>
      </c>
      <c r="E1424" s="21">
        <v>1</v>
      </c>
      <c r="F1424" s="22">
        <v>14</v>
      </c>
      <c r="G1424" s="23" t="s">
        <v>198</v>
      </c>
      <c r="H1424" s="24">
        <v>6914</v>
      </c>
      <c r="I1424" s="25" t="s">
        <v>9</v>
      </c>
      <c r="J1424" s="24">
        <v>2074200</v>
      </c>
      <c r="K1424" s="20"/>
      <c r="L1424" s="20"/>
      <c r="M1424" s="20"/>
      <c r="N1424" s="20"/>
      <c r="O1424" s="24"/>
      <c r="P1424" s="24"/>
      <c r="Q1424" s="25"/>
      <c r="R1424" s="24"/>
      <c r="S1424" s="20" t="s">
        <v>2</v>
      </c>
      <c r="T1424" s="27"/>
      <c r="U1424" s="20"/>
      <c r="V1424" s="90">
        <f t="shared" si="223"/>
        <v>2074200</v>
      </c>
      <c r="W1424" s="90">
        <f t="shared" si="221"/>
        <v>2074200</v>
      </c>
      <c r="X1424" s="89">
        <v>0</v>
      </c>
      <c r="Y1424" s="48">
        <f t="shared" si="222"/>
        <v>2074200</v>
      </c>
      <c r="Z1424" s="49">
        <v>1E-4</v>
      </c>
    </row>
    <row r="1425" spans="1:26" s="29" customFormat="1" ht="90.75" customHeight="1" x14ac:dyDescent="0.25">
      <c r="A1425" s="20">
        <v>972</v>
      </c>
      <c r="B1425" s="20" t="s">
        <v>0</v>
      </c>
      <c r="C1425" s="20">
        <v>8219</v>
      </c>
      <c r="D1425" s="21">
        <v>33</v>
      </c>
      <c r="E1425" s="21">
        <v>0</v>
      </c>
      <c r="F1425" s="22">
        <v>63</v>
      </c>
      <c r="G1425" s="23" t="s">
        <v>198</v>
      </c>
      <c r="H1425" s="24">
        <v>13263</v>
      </c>
      <c r="I1425" s="25" t="s">
        <v>9</v>
      </c>
      <c r="J1425" s="24">
        <v>3978900</v>
      </c>
      <c r="K1425" s="20"/>
      <c r="L1425" s="20"/>
      <c r="M1425" s="20"/>
      <c r="N1425" s="20"/>
      <c r="O1425" s="24"/>
      <c r="P1425" s="24"/>
      <c r="Q1425" s="25"/>
      <c r="R1425" s="24"/>
      <c r="S1425" s="20" t="s">
        <v>2</v>
      </c>
      <c r="T1425" s="27"/>
      <c r="U1425" s="20"/>
      <c r="V1425" s="90">
        <f t="shared" si="223"/>
        <v>3978900</v>
      </c>
      <c r="W1425" s="90">
        <f t="shared" si="221"/>
        <v>3978900</v>
      </c>
      <c r="X1425" s="89">
        <v>0</v>
      </c>
      <c r="Y1425" s="48">
        <f t="shared" si="222"/>
        <v>3978900</v>
      </c>
      <c r="Z1425" s="49">
        <v>1E-4</v>
      </c>
    </row>
    <row r="1426" spans="1:26" s="29" customFormat="1" ht="90.75" customHeight="1" x14ac:dyDescent="0.25">
      <c r="A1426" s="20">
        <v>973</v>
      </c>
      <c r="B1426" s="20" t="s">
        <v>0</v>
      </c>
      <c r="C1426" s="20">
        <v>8296</v>
      </c>
      <c r="D1426" s="21">
        <v>19</v>
      </c>
      <c r="E1426" s="21">
        <v>1</v>
      </c>
      <c r="F1426" s="22">
        <v>43</v>
      </c>
      <c r="G1426" s="23" t="s">
        <v>198</v>
      </c>
      <c r="H1426" s="36">
        <f t="shared" ref="H1426:H1442" si="224">(D1426*400)+(E1426*100)+F1426</f>
        <v>7743</v>
      </c>
      <c r="I1426" s="40" t="s">
        <v>75</v>
      </c>
      <c r="J1426" s="65">
        <f t="shared" ref="J1426:J1442" si="225">(H1426*I1426)</f>
        <v>4839375</v>
      </c>
      <c r="K1426" s="20"/>
      <c r="L1426" s="20"/>
      <c r="M1426" s="20"/>
      <c r="N1426" s="20"/>
      <c r="O1426" s="24"/>
      <c r="P1426" s="24"/>
      <c r="Q1426" s="25"/>
      <c r="R1426" s="24"/>
      <c r="S1426" s="20" t="s">
        <v>2</v>
      </c>
      <c r="T1426" s="27"/>
      <c r="U1426" s="20"/>
      <c r="V1426" s="90">
        <f t="shared" si="223"/>
        <v>4839375</v>
      </c>
      <c r="W1426" s="90">
        <f t="shared" si="221"/>
        <v>4839375</v>
      </c>
      <c r="X1426" s="89">
        <v>0</v>
      </c>
      <c r="Y1426" s="48">
        <f t="shared" si="222"/>
        <v>4839375</v>
      </c>
      <c r="Z1426" s="49">
        <v>1E-4</v>
      </c>
    </row>
    <row r="1427" spans="1:26" s="29" customFormat="1" ht="90.75" customHeight="1" x14ac:dyDescent="0.25">
      <c r="A1427" s="20">
        <v>974</v>
      </c>
      <c r="B1427" s="20" t="s">
        <v>0</v>
      </c>
      <c r="C1427" s="20">
        <v>14637</v>
      </c>
      <c r="D1427" s="21">
        <v>10</v>
      </c>
      <c r="E1427" s="21">
        <v>3</v>
      </c>
      <c r="F1427" s="22">
        <v>65</v>
      </c>
      <c r="G1427" s="23" t="s">
        <v>198</v>
      </c>
      <c r="H1427" s="36">
        <f t="shared" si="224"/>
        <v>4365</v>
      </c>
      <c r="I1427" s="25" t="s">
        <v>80</v>
      </c>
      <c r="J1427" s="65">
        <f t="shared" si="225"/>
        <v>2509875</v>
      </c>
      <c r="K1427" s="20"/>
      <c r="L1427" s="20"/>
      <c r="M1427" s="20"/>
      <c r="N1427" s="20"/>
      <c r="O1427" s="24"/>
      <c r="P1427" s="24"/>
      <c r="Q1427" s="25"/>
      <c r="R1427" s="24"/>
      <c r="S1427" s="20"/>
      <c r="T1427" s="27"/>
      <c r="U1427" s="20"/>
      <c r="V1427" s="90">
        <f t="shared" si="223"/>
        <v>2509875</v>
      </c>
      <c r="W1427" s="90">
        <f t="shared" si="221"/>
        <v>2509875</v>
      </c>
      <c r="X1427" s="89">
        <v>0</v>
      </c>
      <c r="Y1427" s="48">
        <f t="shared" si="222"/>
        <v>2509875</v>
      </c>
      <c r="Z1427" s="49">
        <v>1E-4</v>
      </c>
    </row>
    <row r="1428" spans="1:26" s="29" customFormat="1" ht="90.75" customHeight="1" x14ac:dyDescent="0.25">
      <c r="A1428" s="20">
        <v>975</v>
      </c>
      <c r="B1428" s="20" t="s">
        <v>0</v>
      </c>
      <c r="C1428" s="20">
        <v>11749</v>
      </c>
      <c r="D1428" s="21">
        <v>13</v>
      </c>
      <c r="E1428" s="21">
        <v>3</v>
      </c>
      <c r="F1428" s="22">
        <v>73</v>
      </c>
      <c r="G1428" s="23" t="s">
        <v>198</v>
      </c>
      <c r="H1428" s="36">
        <f t="shared" si="224"/>
        <v>5573</v>
      </c>
      <c r="I1428" s="25" t="s">
        <v>77</v>
      </c>
      <c r="J1428" s="65">
        <f t="shared" si="225"/>
        <v>4179750</v>
      </c>
      <c r="K1428" s="20"/>
      <c r="L1428" s="20"/>
      <c r="M1428" s="20"/>
      <c r="N1428" s="20"/>
      <c r="O1428" s="24"/>
      <c r="P1428" s="24"/>
      <c r="Q1428" s="25"/>
      <c r="R1428" s="24"/>
      <c r="S1428" s="20"/>
      <c r="T1428" s="27"/>
      <c r="U1428" s="20"/>
      <c r="V1428" s="90">
        <f t="shared" si="223"/>
        <v>4179750</v>
      </c>
      <c r="W1428" s="90">
        <f t="shared" si="221"/>
        <v>4179750</v>
      </c>
      <c r="X1428" s="89">
        <v>0</v>
      </c>
      <c r="Y1428" s="48">
        <f t="shared" si="222"/>
        <v>4179750</v>
      </c>
      <c r="Z1428" s="49">
        <v>1E-4</v>
      </c>
    </row>
    <row r="1429" spans="1:26" s="29" customFormat="1" ht="90.75" customHeight="1" x14ac:dyDescent="0.25">
      <c r="A1429" s="20">
        <v>976</v>
      </c>
      <c r="B1429" s="20" t="s">
        <v>0</v>
      </c>
      <c r="C1429" s="20">
        <v>11765</v>
      </c>
      <c r="D1429" s="21">
        <v>13</v>
      </c>
      <c r="E1429" s="21">
        <v>0</v>
      </c>
      <c r="F1429" s="22">
        <v>46</v>
      </c>
      <c r="G1429" s="23" t="s">
        <v>198</v>
      </c>
      <c r="H1429" s="36">
        <f t="shared" si="224"/>
        <v>5246</v>
      </c>
      <c r="I1429" s="25" t="s">
        <v>77</v>
      </c>
      <c r="J1429" s="65">
        <f t="shared" si="225"/>
        <v>3934500</v>
      </c>
      <c r="K1429" s="20"/>
      <c r="L1429" s="20"/>
      <c r="M1429" s="20"/>
      <c r="N1429" s="20"/>
      <c r="O1429" s="24"/>
      <c r="P1429" s="24"/>
      <c r="Q1429" s="25"/>
      <c r="R1429" s="24"/>
      <c r="S1429" s="20"/>
      <c r="T1429" s="27"/>
      <c r="U1429" s="20"/>
      <c r="V1429" s="90">
        <f t="shared" si="223"/>
        <v>3934500</v>
      </c>
      <c r="W1429" s="90">
        <f t="shared" si="221"/>
        <v>3934500</v>
      </c>
      <c r="X1429" s="89">
        <v>0</v>
      </c>
      <c r="Y1429" s="48">
        <f t="shared" si="222"/>
        <v>3934500</v>
      </c>
      <c r="Z1429" s="49">
        <v>1E-4</v>
      </c>
    </row>
    <row r="1430" spans="1:26" s="29" customFormat="1" ht="90.75" customHeight="1" x14ac:dyDescent="0.25">
      <c r="A1430" s="20">
        <v>977</v>
      </c>
      <c r="B1430" s="20" t="s">
        <v>0</v>
      </c>
      <c r="C1430" s="20">
        <v>11758</v>
      </c>
      <c r="D1430" s="21">
        <v>21</v>
      </c>
      <c r="E1430" s="21">
        <v>2</v>
      </c>
      <c r="F1430" s="22">
        <v>77</v>
      </c>
      <c r="G1430" s="23" t="s">
        <v>198</v>
      </c>
      <c r="H1430" s="36">
        <f t="shared" si="224"/>
        <v>8677</v>
      </c>
      <c r="I1430" s="25" t="s">
        <v>21</v>
      </c>
      <c r="J1430" s="65">
        <f t="shared" si="225"/>
        <v>6073900</v>
      </c>
      <c r="K1430" s="20"/>
      <c r="L1430" s="20"/>
      <c r="M1430" s="20"/>
      <c r="N1430" s="20"/>
      <c r="O1430" s="24"/>
      <c r="P1430" s="24"/>
      <c r="Q1430" s="25"/>
      <c r="R1430" s="24"/>
      <c r="S1430" s="20"/>
      <c r="T1430" s="27"/>
      <c r="U1430" s="20"/>
      <c r="V1430" s="90">
        <f t="shared" si="223"/>
        <v>6073900</v>
      </c>
      <c r="W1430" s="90">
        <f t="shared" si="221"/>
        <v>6073900</v>
      </c>
      <c r="X1430" s="89">
        <v>0</v>
      </c>
      <c r="Y1430" s="48">
        <f t="shared" si="222"/>
        <v>6073900</v>
      </c>
      <c r="Z1430" s="49">
        <v>1E-4</v>
      </c>
    </row>
    <row r="1431" spans="1:26" s="29" customFormat="1" ht="90.75" customHeight="1" x14ac:dyDescent="0.25">
      <c r="A1431" s="20">
        <v>978</v>
      </c>
      <c r="B1431" s="20" t="s">
        <v>0</v>
      </c>
      <c r="C1431" s="20">
        <v>11750</v>
      </c>
      <c r="D1431" s="21">
        <v>25</v>
      </c>
      <c r="E1431" s="21">
        <v>0</v>
      </c>
      <c r="F1431" s="22">
        <v>87</v>
      </c>
      <c r="G1431" s="23" t="s">
        <v>198</v>
      </c>
      <c r="H1431" s="36">
        <f t="shared" si="224"/>
        <v>10087</v>
      </c>
      <c r="I1431" s="25" t="s">
        <v>87</v>
      </c>
      <c r="J1431" s="65">
        <f t="shared" si="225"/>
        <v>8321775</v>
      </c>
      <c r="K1431" s="20"/>
      <c r="L1431" s="20"/>
      <c r="M1431" s="20"/>
      <c r="N1431" s="20"/>
      <c r="O1431" s="24"/>
      <c r="P1431" s="24"/>
      <c r="Q1431" s="25"/>
      <c r="R1431" s="24"/>
      <c r="S1431" s="20"/>
      <c r="T1431" s="27"/>
      <c r="U1431" s="20"/>
      <c r="V1431" s="90">
        <f t="shared" si="223"/>
        <v>8321775</v>
      </c>
      <c r="W1431" s="90">
        <f t="shared" si="221"/>
        <v>8321775</v>
      </c>
      <c r="X1431" s="89">
        <v>0</v>
      </c>
      <c r="Y1431" s="48">
        <f t="shared" si="222"/>
        <v>8321775</v>
      </c>
      <c r="Z1431" s="49">
        <v>1E-4</v>
      </c>
    </row>
    <row r="1432" spans="1:26" s="29" customFormat="1" ht="90.75" customHeight="1" x14ac:dyDescent="0.25">
      <c r="A1432" s="20">
        <v>979</v>
      </c>
      <c r="B1432" s="20" t="s">
        <v>0</v>
      </c>
      <c r="C1432" s="20">
        <v>20877</v>
      </c>
      <c r="D1432" s="21">
        <v>12</v>
      </c>
      <c r="E1432" s="21">
        <v>0</v>
      </c>
      <c r="F1432" s="22">
        <v>94</v>
      </c>
      <c r="G1432" s="23" t="s">
        <v>198</v>
      </c>
      <c r="H1432" s="36">
        <f t="shared" si="224"/>
        <v>4894</v>
      </c>
      <c r="I1432" s="25">
        <v>750</v>
      </c>
      <c r="J1432" s="65">
        <f t="shared" si="225"/>
        <v>3670500</v>
      </c>
      <c r="K1432" s="20"/>
      <c r="L1432" s="20"/>
      <c r="M1432" s="20"/>
      <c r="N1432" s="20"/>
      <c r="O1432" s="24"/>
      <c r="P1432" s="24"/>
      <c r="Q1432" s="25"/>
      <c r="R1432" s="24"/>
      <c r="S1432" s="20"/>
      <c r="T1432" s="27"/>
      <c r="U1432" s="20"/>
      <c r="V1432" s="90">
        <f t="shared" si="223"/>
        <v>3670500</v>
      </c>
      <c r="W1432" s="90">
        <f t="shared" si="221"/>
        <v>3670500</v>
      </c>
      <c r="X1432" s="89">
        <v>0</v>
      </c>
      <c r="Y1432" s="48">
        <f t="shared" si="222"/>
        <v>3670500</v>
      </c>
      <c r="Z1432" s="49">
        <v>1E-4</v>
      </c>
    </row>
    <row r="1433" spans="1:26" s="29" customFormat="1" ht="90.75" customHeight="1" x14ac:dyDescent="0.25">
      <c r="A1433" s="20">
        <v>980</v>
      </c>
      <c r="B1433" s="20" t="s">
        <v>0</v>
      </c>
      <c r="C1433" s="20">
        <v>14647</v>
      </c>
      <c r="D1433" s="21">
        <v>29</v>
      </c>
      <c r="E1433" s="21">
        <v>0</v>
      </c>
      <c r="F1433" s="22">
        <v>84</v>
      </c>
      <c r="G1433" s="23" t="s">
        <v>198</v>
      </c>
      <c r="H1433" s="36">
        <f t="shared" si="224"/>
        <v>11684</v>
      </c>
      <c r="I1433" s="25" t="s">
        <v>77</v>
      </c>
      <c r="J1433" s="65">
        <f t="shared" si="225"/>
        <v>8763000</v>
      </c>
      <c r="K1433" s="20"/>
      <c r="L1433" s="20"/>
      <c r="M1433" s="20"/>
      <c r="N1433" s="20"/>
      <c r="O1433" s="24"/>
      <c r="P1433" s="24"/>
      <c r="Q1433" s="25"/>
      <c r="R1433" s="24"/>
      <c r="S1433" s="20" t="s">
        <v>2</v>
      </c>
      <c r="T1433" s="27"/>
      <c r="U1433" s="20"/>
      <c r="V1433" s="90">
        <f t="shared" si="223"/>
        <v>8763000</v>
      </c>
      <c r="W1433" s="90">
        <f t="shared" si="221"/>
        <v>8763000</v>
      </c>
      <c r="X1433" s="89">
        <v>0</v>
      </c>
      <c r="Y1433" s="48">
        <f t="shared" si="222"/>
        <v>8763000</v>
      </c>
      <c r="Z1433" s="49">
        <v>1E-4</v>
      </c>
    </row>
    <row r="1434" spans="1:26" s="29" customFormat="1" ht="90.75" customHeight="1" x14ac:dyDescent="0.25">
      <c r="A1434" s="20">
        <v>981</v>
      </c>
      <c r="B1434" s="20" t="s">
        <v>0</v>
      </c>
      <c r="C1434" s="20">
        <v>8220</v>
      </c>
      <c r="D1434" s="21">
        <v>14</v>
      </c>
      <c r="E1434" s="21">
        <v>2</v>
      </c>
      <c r="F1434" s="22">
        <v>47</v>
      </c>
      <c r="G1434" s="23" t="s">
        <v>198</v>
      </c>
      <c r="H1434" s="36">
        <f t="shared" si="224"/>
        <v>5847</v>
      </c>
      <c r="I1434" s="25" t="s">
        <v>77</v>
      </c>
      <c r="J1434" s="65">
        <f t="shared" si="225"/>
        <v>4385250</v>
      </c>
      <c r="K1434" s="20"/>
      <c r="L1434" s="20"/>
      <c r="M1434" s="20"/>
      <c r="N1434" s="20"/>
      <c r="O1434" s="24"/>
      <c r="P1434" s="24"/>
      <c r="Q1434" s="25"/>
      <c r="R1434" s="24"/>
      <c r="S1434" s="20" t="s">
        <v>2</v>
      </c>
      <c r="T1434" s="27"/>
      <c r="U1434" s="20"/>
      <c r="V1434" s="90">
        <f t="shared" si="223"/>
        <v>4385250</v>
      </c>
      <c r="W1434" s="90">
        <f t="shared" si="221"/>
        <v>4385250</v>
      </c>
      <c r="X1434" s="89">
        <v>0</v>
      </c>
      <c r="Y1434" s="48">
        <f t="shared" si="222"/>
        <v>4385250</v>
      </c>
      <c r="Z1434" s="49">
        <v>1E-4</v>
      </c>
    </row>
    <row r="1435" spans="1:26" s="29" customFormat="1" ht="90.75" customHeight="1" x14ac:dyDescent="0.25">
      <c r="A1435" s="20">
        <v>982</v>
      </c>
      <c r="B1435" s="20" t="s">
        <v>0</v>
      </c>
      <c r="C1435" s="20">
        <v>14648</v>
      </c>
      <c r="D1435" s="21">
        <v>25</v>
      </c>
      <c r="E1435" s="21">
        <v>2</v>
      </c>
      <c r="F1435" s="22">
        <v>91</v>
      </c>
      <c r="G1435" s="23" t="s">
        <v>198</v>
      </c>
      <c r="H1435" s="36">
        <f t="shared" si="224"/>
        <v>10291</v>
      </c>
      <c r="I1435" s="25" t="s">
        <v>75</v>
      </c>
      <c r="J1435" s="65">
        <f t="shared" si="225"/>
        <v>6431875</v>
      </c>
      <c r="K1435" s="20"/>
      <c r="L1435" s="20"/>
      <c r="M1435" s="20"/>
      <c r="N1435" s="20"/>
      <c r="O1435" s="24"/>
      <c r="P1435" s="24"/>
      <c r="Q1435" s="25"/>
      <c r="R1435" s="24"/>
      <c r="S1435" s="20" t="s">
        <v>2</v>
      </c>
      <c r="T1435" s="27"/>
      <c r="U1435" s="20"/>
      <c r="V1435" s="90">
        <f t="shared" si="223"/>
        <v>6431875</v>
      </c>
      <c r="W1435" s="90">
        <f t="shared" si="221"/>
        <v>6431875</v>
      </c>
      <c r="X1435" s="89">
        <v>0</v>
      </c>
      <c r="Y1435" s="48">
        <f t="shared" si="222"/>
        <v>6431875</v>
      </c>
      <c r="Z1435" s="49">
        <v>1E-4</v>
      </c>
    </row>
    <row r="1436" spans="1:26" s="29" customFormat="1" ht="90.75" customHeight="1" x14ac:dyDescent="0.25">
      <c r="A1436" s="20">
        <v>983</v>
      </c>
      <c r="B1436" s="20" t="s">
        <v>0</v>
      </c>
      <c r="C1436" s="20">
        <v>14649</v>
      </c>
      <c r="D1436" s="21">
        <v>23</v>
      </c>
      <c r="E1436" s="21">
        <v>3</v>
      </c>
      <c r="F1436" s="22">
        <v>50</v>
      </c>
      <c r="G1436" s="23" t="s">
        <v>198</v>
      </c>
      <c r="H1436" s="36">
        <f t="shared" si="224"/>
        <v>9550</v>
      </c>
      <c r="I1436" s="25" t="s">
        <v>75</v>
      </c>
      <c r="J1436" s="65">
        <f t="shared" si="225"/>
        <v>5968750</v>
      </c>
      <c r="K1436" s="20"/>
      <c r="L1436" s="20"/>
      <c r="M1436" s="20"/>
      <c r="N1436" s="20"/>
      <c r="O1436" s="24"/>
      <c r="P1436" s="24"/>
      <c r="Q1436" s="25"/>
      <c r="R1436" s="24"/>
      <c r="S1436" s="20" t="s">
        <v>2</v>
      </c>
      <c r="T1436" s="27"/>
      <c r="U1436" s="20"/>
      <c r="V1436" s="90">
        <f t="shared" si="223"/>
        <v>5968750</v>
      </c>
      <c r="W1436" s="90">
        <f t="shared" si="221"/>
        <v>5968750</v>
      </c>
      <c r="X1436" s="89">
        <v>0</v>
      </c>
      <c r="Y1436" s="48">
        <f t="shared" si="222"/>
        <v>5968750</v>
      </c>
      <c r="Z1436" s="49">
        <v>1E-4</v>
      </c>
    </row>
    <row r="1437" spans="1:26" s="29" customFormat="1" ht="90.75" customHeight="1" x14ac:dyDescent="0.25">
      <c r="A1437" s="20">
        <v>984</v>
      </c>
      <c r="B1437" s="20" t="s">
        <v>0</v>
      </c>
      <c r="C1437" s="20">
        <v>14776</v>
      </c>
      <c r="D1437" s="21">
        <v>3</v>
      </c>
      <c r="E1437" s="21">
        <v>1</v>
      </c>
      <c r="F1437" s="22">
        <v>94</v>
      </c>
      <c r="G1437" s="23" t="s">
        <v>198</v>
      </c>
      <c r="H1437" s="36">
        <f t="shared" si="224"/>
        <v>1394</v>
      </c>
      <c r="I1437" s="25" t="s">
        <v>9</v>
      </c>
      <c r="J1437" s="65">
        <f t="shared" si="225"/>
        <v>418200</v>
      </c>
      <c r="K1437" s="20"/>
      <c r="L1437" s="20"/>
      <c r="M1437" s="20"/>
      <c r="N1437" s="20"/>
      <c r="O1437" s="24"/>
      <c r="P1437" s="24"/>
      <c r="Q1437" s="25"/>
      <c r="R1437" s="24"/>
      <c r="S1437" s="20" t="s">
        <v>2</v>
      </c>
      <c r="T1437" s="27"/>
      <c r="U1437" s="20"/>
      <c r="V1437" s="90">
        <f t="shared" si="223"/>
        <v>418200</v>
      </c>
      <c r="W1437" s="90">
        <f t="shared" si="221"/>
        <v>418200</v>
      </c>
      <c r="X1437" s="89">
        <v>0</v>
      </c>
      <c r="Y1437" s="48">
        <f t="shared" si="222"/>
        <v>418200</v>
      </c>
      <c r="Z1437" s="49">
        <v>1E-4</v>
      </c>
    </row>
    <row r="1438" spans="1:26" s="29" customFormat="1" ht="90.75" customHeight="1" x14ac:dyDescent="0.25">
      <c r="A1438" s="20">
        <v>985</v>
      </c>
      <c r="B1438" s="37" t="s">
        <v>213</v>
      </c>
      <c r="C1438" s="37">
        <v>2143</v>
      </c>
      <c r="D1438" s="37">
        <v>43</v>
      </c>
      <c r="E1438" s="37">
        <v>2</v>
      </c>
      <c r="F1438" s="37">
        <v>40</v>
      </c>
      <c r="G1438" s="23" t="s">
        <v>198</v>
      </c>
      <c r="H1438" s="36">
        <f t="shared" si="224"/>
        <v>17440</v>
      </c>
      <c r="I1438" s="40">
        <v>200</v>
      </c>
      <c r="J1438" s="65">
        <f t="shared" si="225"/>
        <v>3488000</v>
      </c>
      <c r="K1438" s="37"/>
      <c r="L1438" s="37"/>
      <c r="M1438" s="37"/>
      <c r="N1438" s="37"/>
      <c r="O1438" s="27"/>
      <c r="P1438" s="20"/>
      <c r="Q1438" s="64"/>
      <c r="R1438" s="20"/>
      <c r="S1438" s="37"/>
      <c r="T1438" s="65"/>
      <c r="U1438" s="37"/>
      <c r="V1438" s="90">
        <f t="shared" si="223"/>
        <v>3488000</v>
      </c>
      <c r="W1438" s="90">
        <f t="shared" si="221"/>
        <v>3488000</v>
      </c>
      <c r="X1438" s="89">
        <v>0</v>
      </c>
      <c r="Y1438" s="48">
        <f t="shared" si="222"/>
        <v>3488000</v>
      </c>
      <c r="Z1438" s="49">
        <v>1E-4</v>
      </c>
    </row>
    <row r="1439" spans="1:26" s="29" customFormat="1" ht="90.75" customHeight="1" x14ac:dyDescent="0.25">
      <c r="A1439" s="20">
        <v>986</v>
      </c>
      <c r="B1439" s="37" t="s">
        <v>213</v>
      </c>
      <c r="C1439" s="37">
        <v>2144</v>
      </c>
      <c r="D1439" s="37">
        <v>46</v>
      </c>
      <c r="E1439" s="37">
        <v>2</v>
      </c>
      <c r="F1439" s="37">
        <v>50</v>
      </c>
      <c r="G1439" s="23" t="s">
        <v>198</v>
      </c>
      <c r="H1439" s="36">
        <f t="shared" si="224"/>
        <v>18650</v>
      </c>
      <c r="I1439" s="40">
        <v>200</v>
      </c>
      <c r="J1439" s="65">
        <f t="shared" si="225"/>
        <v>3730000</v>
      </c>
      <c r="K1439" s="37"/>
      <c r="L1439" s="37"/>
      <c r="M1439" s="37"/>
      <c r="N1439" s="37"/>
      <c r="O1439" s="27"/>
      <c r="P1439" s="20"/>
      <c r="Q1439" s="64"/>
      <c r="R1439" s="20"/>
      <c r="S1439" s="37"/>
      <c r="T1439" s="65"/>
      <c r="U1439" s="37"/>
      <c r="V1439" s="90">
        <f t="shared" si="223"/>
        <v>3730000</v>
      </c>
      <c r="W1439" s="90">
        <f t="shared" si="221"/>
        <v>3730000</v>
      </c>
      <c r="X1439" s="89">
        <v>0</v>
      </c>
      <c r="Y1439" s="48">
        <f t="shared" si="222"/>
        <v>3730000</v>
      </c>
      <c r="Z1439" s="49">
        <v>1E-4</v>
      </c>
    </row>
    <row r="1440" spans="1:26" s="29" customFormat="1" ht="90.75" customHeight="1" x14ac:dyDescent="0.25">
      <c r="A1440" s="20">
        <v>987</v>
      </c>
      <c r="B1440" s="37" t="s">
        <v>213</v>
      </c>
      <c r="C1440" s="37">
        <v>2145</v>
      </c>
      <c r="D1440" s="37">
        <v>29</v>
      </c>
      <c r="E1440" s="37">
        <v>2</v>
      </c>
      <c r="F1440" s="37">
        <v>10</v>
      </c>
      <c r="G1440" s="23" t="s">
        <v>198</v>
      </c>
      <c r="H1440" s="36">
        <f t="shared" si="224"/>
        <v>11810</v>
      </c>
      <c r="I1440" s="40">
        <v>200</v>
      </c>
      <c r="J1440" s="65">
        <f t="shared" si="225"/>
        <v>2362000</v>
      </c>
      <c r="K1440" s="37"/>
      <c r="L1440" s="37"/>
      <c r="M1440" s="37"/>
      <c r="N1440" s="37"/>
      <c r="O1440" s="27"/>
      <c r="P1440" s="20"/>
      <c r="Q1440" s="64"/>
      <c r="R1440" s="20"/>
      <c r="S1440" s="37"/>
      <c r="T1440" s="65"/>
      <c r="U1440" s="37"/>
      <c r="V1440" s="90">
        <f t="shared" si="223"/>
        <v>2362000</v>
      </c>
      <c r="W1440" s="90">
        <f t="shared" si="221"/>
        <v>2362000</v>
      </c>
      <c r="X1440" s="89">
        <v>0</v>
      </c>
      <c r="Y1440" s="48">
        <f t="shared" si="222"/>
        <v>2362000</v>
      </c>
      <c r="Z1440" s="49">
        <v>1E-4</v>
      </c>
    </row>
    <row r="1441" spans="1:26" s="29" customFormat="1" ht="90.75" customHeight="1" x14ac:dyDescent="0.25">
      <c r="A1441" s="20">
        <v>988</v>
      </c>
      <c r="B1441" s="37" t="s">
        <v>213</v>
      </c>
      <c r="C1441" s="37">
        <v>2146</v>
      </c>
      <c r="D1441" s="37">
        <v>45</v>
      </c>
      <c r="E1441" s="37">
        <v>1</v>
      </c>
      <c r="F1441" s="37">
        <v>80</v>
      </c>
      <c r="G1441" s="23" t="s">
        <v>198</v>
      </c>
      <c r="H1441" s="36">
        <f t="shared" si="224"/>
        <v>18180</v>
      </c>
      <c r="I1441" s="40">
        <v>200</v>
      </c>
      <c r="J1441" s="65">
        <f t="shared" si="225"/>
        <v>3636000</v>
      </c>
      <c r="K1441" s="37"/>
      <c r="L1441" s="37"/>
      <c r="M1441" s="37"/>
      <c r="N1441" s="37"/>
      <c r="O1441" s="27"/>
      <c r="P1441" s="20"/>
      <c r="Q1441" s="64"/>
      <c r="R1441" s="20"/>
      <c r="S1441" s="37"/>
      <c r="T1441" s="65"/>
      <c r="U1441" s="37"/>
      <c r="V1441" s="90">
        <f t="shared" si="223"/>
        <v>3636000</v>
      </c>
      <c r="W1441" s="90">
        <f t="shared" si="221"/>
        <v>3636000</v>
      </c>
      <c r="X1441" s="89">
        <v>0</v>
      </c>
      <c r="Y1441" s="48">
        <f t="shared" si="222"/>
        <v>3636000</v>
      </c>
      <c r="Z1441" s="49">
        <v>1E-4</v>
      </c>
    </row>
    <row r="1442" spans="1:26" s="29" customFormat="1" ht="90.75" customHeight="1" x14ac:dyDescent="0.25">
      <c r="A1442" s="20">
        <v>989</v>
      </c>
      <c r="B1442" s="20" t="s">
        <v>0</v>
      </c>
      <c r="C1442" s="20">
        <v>48297</v>
      </c>
      <c r="D1442" s="21">
        <v>7</v>
      </c>
      <c r="E1442" s="21">
        <v>0</v>
      </c>
      <c r="F1442" s="22">
        <v>0</v>
      </c>
      <c r="G1442" s="21" t="s">
        <v>209</v>
      </c>
      <c r="H1442" s="36">
        <f t="shared" si="224"/>
        <v>2800</v>
      </c>
      <c r="I1442" s="25" t="s">
        <v>37</v>
      </c>
      <c r="J1442" s="65">
        <f t="shared" si="225"/>
        <v>1190000</v>
      </c>
      <c r="K1442" s="37">
        <v>1</v>
      </c>
      <c r="L1442" s="20" t="s">
        <v>215</v>
      </c>
      <c r="M1442" s="20" t="s">
        <v>13</v>
      </c>
      <c r="N1442" s="62">
        <v>3</v>
      </c>
      <c r="O1442" s="24">
        <v>9</v>
      </c>
      <c r="P1442" s="35">
        <v>100</v>
      </c>
      <c r="Q1442" s="40">
        <v>6450</v>
      </c>
      <c r="R1442" s="77">
        <f t="shared" ref="R1442:R1448" si="226">(O1442*Q1442)</f>
        <v>58050</v>
      </c>
      <c r="S1442" s="20">
        <v>9</v>
      </c>
      <c r="T1442" s="28">
        <f t="shared" ref="T1442:T1448" si="227">(R1442*9/100)</f>
        <v>5224.5</v>
      </c>
      <c r="U1442" s="77">
        <f t="shared" ref="U1442:U1448" si="228">(R1442-T1442)</f>
        <v>52825.5</v>
      </c>
      <c r="V1442" s="20"/>
      <c r="W1442" s="26"/>
      <c r="X1442" s="27"/>
      <c r="Y1442" s="20"/>
      <c r="Z1442" s="20"/>
    </row>
    <row r="1443" spans="1:26" s="29" customFormat="1" ht="90.75" customHeight="1" x14ac:dyDescent="0.25">
      <c r="A1443" s="20"/>
      <c r="B1443" s="20"/>
      <c r="C1443" s="20"/>
      <c r="D1443" s="21"/>
      <c r="E1443" s="21"/>
      <c r="F1443" s="22"/>
      <c r="G1443" s="23"/>
      <c r="H1443" s="24"/>
      <c r="I1443" s="25"/>
      <c r="J1443" s="24"/>
      <c r="K1443" s="37">
        <v>2</v>
      </c>
      <c r="L1443" s="20" t="s">
        <v>255</v>
      </c>
      <c r="M1443" s="20" t="s">
        <v>13</v>
      </c>
      <c r="N1443" s="62">
        <v>3</v>
      </c>
      <c r="O1443" s="24">
        <v>132</v>
      </c>
      <c r="P1443" s="35">
        <v>100</v>
      </c>
      <c r="Q1443" s="40">
        <v>7750</v>
      </c>
      <c r="R1443" s="77">
        <f t="shared" si="226"/>
        <v>1023000</v>
      </c>
      <c r="S1443" s="20">
        <v>9</v>
      </c>
      <c r="T1443" s="28">
        <f t="shared" si="227"/>
        <v>92070</v>
      </c>
      <c r="U1443" s="77">
        <f t="shared" si="228"/>
        <v>930930</v>
      </c>
      <c r="V1443" s="20"/>
      <c r="W1443" s="26"/>
      <c r="X1443" s="27"/>
      <c r="Y1443" s="20"/>
      <c r="Z1443" s="20"/>
    </row>
    <row r="1444" spans="1:26" s="29" customFormat="1" ht="90.75" customHeight="1" x14ac:dyDescent="0.25">
      <c r="A1444" s="20"/>
      <c r="B1444" s="20"/>
      <c r="C1444" s="20"/>
      <c r="D1444" s="21"/>
      <c r="E1444" s="21"/>
      <c r="F1444" s="22"/>
      <c r="G1444" s="23"/>
      <c r="H1444" s="24"/>
      <c r="I1444" s="25"/>
      <c r="J1444" s="24"/>
      <c r="K1444" s="37">
        <v>3</v>
      </c>
      <c r="L1444" s="20" t="s">
        <v>31</v>
      </c>
      <c r="M1444" s="20" t="s">
        <v>13</v>
      </c>
      <c r="N1444" s="62">
        <v>3</v>
      </c>
      <c r="O1444" s="24">
        <v>250</v>
      </c>
      <c r="P1444" s="35">
        <v>100</v>
      </c>
      <c r="Q1444" s="40">
        <v>2550</v>
      </c>
      <c r="R1444" s="77">
        <f t="shared" si="226"/>
        <v>637500</v>
      </c>
      <c r="S1444" s="20">
        <v>9</v>
      </c>
      <c r="T1444" s="28">
        <f t="shared" si="227"/>
        <v>57375</v>
      </c>
      <c r="U1444" s="77">
        <f t="shared" si="228"/>
        <v>580125</v>
      </c>
      <c r="V1444" s="20"/>
      <c r="W1444" s="26"/>
      <c r="X1444" s="27"/>
      <c r="Y1444" s="20"/>
      <c r="Z1444" s="20"/>
    </row>
    <row r="1445" spans="1:26" s="29" customFormat="1" ht="90.75" customHeight="1" x14ac:dyDescent="0.25">
      <c r="A1445" s="20"/>
      <c r="B1445" s="20"/>
      <c r="C1445" s="20"/>
      <c r="D1445" s="21"/>
      <c r="E1445" s="21"/>
      <c r="F1445" s="22"/>
      <c r="G1445" s="23"/>
      <c r="H1445" s="24"/>
      <c r="I1445" s="25"/>
      <c r="J1445" s="24"/>
      <c r="K1445" s="37">
        <v>4</v>
      </c>
      <c r="L1445" s="20" t="s">
        <v>48</v>
      </c>
      <c r="M1445" s="20" t="s">
        <v>13</v>
      </c>
      <c r="N1445" s="62">
        <v>3</v>
      </c>
      <c r="O1445" s="24">
        <v>720</v>
      </c>
      <c r="P1445" s="35">
        <v>100</v>
      </c>
      <c r="Q1445" s="40">
        <v>3500</v>
      </c>
      <c r="R1445" s="77">
        <f t="shared" si="226"/>
        <v>2520000</v>
      </c>
      <c r="S1445" s="20">
        <v>9</v>
      </c>
      <c r="T1445" s="28">
        <f t="shared" si="227"/>
        <v>226800</v>
      </c>
      <c r="U1445" s="77">
        <f t="shared" si="228"/>
        <v>2293200</v>
      </c>
      <c r="V1445" s="20"/>
      <c r="W1445" s="26"/>
      <c r="X1445" s="27"/>
      <c r="Y1445" s="20"/>
      <c r="Z1445" s="20"/>
    </row>
    <row r="1446" spans="1:26" s="29" customFormat="1" ht="90.75" customHeight="1" x14ac:dyDescent="0.25">
      <c r="A1446" s="20"/>
      <c r="B1446" s="20"/>
      <c r="C1446" s="20"/>
      <c r="D1446" s="21"/>
      <c r="E1446" s="21"/>
      <c r="F1446" s="22"/>
      <c r="G1446" s="23"/>
      <c r="H1446" s="24"/>
      <c r="I1446" s="25"/>
      <c r="J1446" s="24"/>
      <c r="K1446" s="37">
        <v>5</v>
      </c>
      <c r="L1446" s="20" t="s">
        <v>17</v>
      </c>
      <c r="M1446" s="20" t="s">
        <v>13</v>
      </c>
      <c r="N1446" s="62">
        <v>3</v>
      </c>
      <c r="O1446" s="24">
        <v>14</v>
      </c>
      <c r="P1446" s="35">
        <v>100</v>
      </c>
      <c r="Q1446" s="40">
        <v>5900</v>
      </c>
      <c r="R1446" s="77">
        <f t="shared" si="226"/>
        <v>82600</v>
      </c>
      <c r="S1446" s="20">
        <v>9</v>
      </c>
      <c r="T1446" s="28">
        <f t="shared" si="227"/>
        <v>7434</v>
      </c>
      <c r="U1446" s="77">
        <f t="shared" si="228"/>
        <v>75166</v>
      </c>
      <c r="V1446" s="20"/>
      <c r="W1446" s="26"/>
      <c r="X1446" s="27"/>
      <c r="Y1446" s="20"/>
      <c r="Z1446" s="20"/>
    </row>
    <row r="1447" spans="1:26" s="29" customFormat="1" ht="90.75" customHeight="1" x14ac:dyDescent="0.25">
      <c r="A1447" s="20"/>
      <c r="B1447" s="20"/>
      <c r="C1447" s="20"/>
      <c r="D1447" s="21"/>
      <c r="E1447" s="21"/>
      <c r="F1447" s="22"/>
      <c r="G1447" s="23"/>
      <c r="H1447" s="24"/>
      <c r="I1447" s="25"/>
      <c r="J1447" s="24"/>
      <c r="K1447" s="37">
        <v>6</v>
      </c>
      <c r="L1447" s="20" t="s">
        <v>76</v>
      </c>
      <c r="M1447" s="20" t="s">
        <v>13</v>
      </c>
      <c r="N1447" s="62">
        <v>3</v>
      </c>
      <c r="O1447" s="24">
        <v>72</v>
      </c>
      <c r="P1447" s="35">
        <v>100</v>
      </c>
      <c r="Q1447" s="40">
        <v>7100</v>
      </c>
      <c r="R1447" s="77">
        <f t="shared" si="226"/>
        <v>511200</v>
      </c>
      <c r="S1447" s="20">
        <v>9</v>
      </c>
      <c r="T1447" s="28">
        <f t="shared" si="227"/>
        <v>46008</v>
      </c>
      <c r="U1447" s="77">
        <f t="shared" si="228"/>
        <v>465192</v>
      </c>
      <c r="V1447" s="20"/>
      <c r="W1447" s="26"/>
      <c r="X1447" s="27"/>
      <c r="Y1447" s="20"/>
      <c r="Z1447" s="20"/>
    </row>
    <row r="1448" spans="1:26" s="29" customFormat="1" ht="90.75" customHeight="1" x14ac:dyDescent="0.25">
      <c r="A1448" s="20"/>
      <c r="B1448" s="20"/>
      <c r="C1448" s="20"/>
      <c r="D1448" s="21"/>
      <c r="E1448" s="21"/>
      <c r="F1448" s="22"/>
      <c r="G1448" s="23"/>
      <c r="H1448" s="24"/>
      <c r="I1448" s="25"/>
      <c r="J1448" s="24"/>
      <c r="K1448" s="37">
        <v>7</v>
      </c>
      <c r="L1448" s="20" t="s">
        <v>31</v>
      </c>
      <c r="M1448" s="20" t="s">
        <v>13</v>
      </c>
      <c r="N1448" s="62">
        <v>3</v>
      </c>
      <c r="O1448" s="24">
        <v>48</v>
      </c>
      <c r="P1448" s="35">
        <v>100</v>
      </c>
      <c r="Q1448" s="40">
        <v>2550</v>
      </c>
      <c r="R1448" s="77">
        <f t="shared" si="226"/>
        <v>122400</v>
      </c>
      <c r="S1448" s="20">
        <v>9</v>
      </c>
      <c r="T1448" s="28">
        <f t="shared" si="227"/>
        <v>11016</v>
      </c>
      <c r="U1448" s="77">
        <f t="shared" si="228"/>
        <v>111384</v>
      </c>
      <c r="V1448" s="20"/>
      <c r="W1448" s="26"/>
      <c r="X1448" s="27"/>
      <c r="Y1448" s="20"/>
      <c r="Z1448" s="20"/>
    </row>
    <row r="1449" spans="1:26" s="29" customFormat="1" ht="90.75" customHeight="1" x14ac:dyDescent="0.25">
      <c r="A1449" s="20"/>
      <c r="B1449" s="20"/>
      <c r="C1449" s="20"/>
      <c r="D1449" s="21"/>
      <c r="E1449" s="21"/>
      <c r="F1449" s="22"/>
      <c r="G1449" s="23"/>
      <c r="H1449" s="24"/>
      <c r="I1449" s="25"/>
      <c r="J1449" s="24"/>
      <c r="K1449" s="20"/>
      <c r="L1449" s="20"/>
      <c r="M1449" s="20"/>
      <c r="N1449" s="20"/>
      <c r="O1449" s="24"/>
      <c r="P1449" s="24"/>
      <c r="Q1449" s="25"/>
      <c r="R1449" s="24"/>
      <c r="S1449" s="20"/>
      <c r="T1449" s="27"/>
      <c r="U1449" s="80">
        <f>SUM(U1442:U1448)</f>
        <v>4508822.5</v>
      </c>
      <c r="V1449" s="27">
        <f>(J1442+U1449)</f>
        <v>5698822.5</v>
      </c>
      <c r="W1449" s="26">
        <f>(V1449*100/100)</f>
        <v>5698822.5</v>
      </c>
      <c r="X1449" s="89">
        <v>0</v>
      </c>
      <c r="Y1449" s="48">
        <f>(W1449-X1449)</f>
        <v>5698822.5</v>
      </c>
      <c r="Z1449" s="49">
        <v>3.0000000000000001E-3</v>
      </c>
    </row>
    <row r="1450" spans="1:26" s="29" customFormat="1" ht="90.75" customHeight="1" x14ac:dyDescent="0.25">
      <c r="A1450" s="20">
        <v>990</v>
      </c>
      <c r="B1450" s="20" t="s">
        <v>0</v>
      </c>
      <c r="C1450" s="20">
        <v>48981</v>
      </c>
      <c r="D1450" s="21">
        <v>104</v>
      </c>
      <c r="E1450" s="21">
        <v>1</v>
      </c>
      <c r="F1450" s="22">
        <v>46</v>
      </c>
      <c r="G1450" s="21" t="s">
        <v>209</v>
      </c>
      <c r="H1450" s="36">
        <f>(D1450*400)+(E1450*100)+F1450</f>
        <v>41746</v>
      </c>
      <c r="I1450" s="25">
        <v>400</v>
      </c>
      <c r="J1450" s="65">
        <f>(H1450*I1450)</f>
        <v>16698400</v>
      </c>
      <c r="K1450" s="37">
        <v>1</v>
      </c>
      <c r="L1450" s="20" t="s">
        <v>27</v>
      </c>
      <c r="M1450" s="20" t="s">
        <v>13</v>
      </c>
      <c r="N1450" s="62">
        <v>3</v>
      </c>
      <c r="O1450" s="24">
        <v>1562.56</v>
      </c>
      <c r="P1450" s="35">
        <v>100</v>
      </c>
      <c r="Q1450" s="40">
        <v>7100</v>
      </c>
      <c r="R1450" s="77">
        <f>(O1450*Q1450)</f>
        <v>11094176</v>
      </c>
      <c r="S1450" s="37">
        <v>4</v>
      </c>
      <c r="T1450" s="28">
        <f>(R1450*4/100)</f>
        <v>443767.03999999998</v>
      </c>
      <c r="U1450" s="77">
        <f>(R1450-T1450)</f>
        <v>10650408.960000001</v>
      </c>
      <c r="V1450" s="20"/>
      <c r="W1450" s="26"/>
      <c r="X1450" s="27"/>
      <c r="Y1450" s="20"/>
      <c r="Z1450" s="20"/>
    </row>
    <row r="1451" spans="1:26" s="29" customFormat="1" ht="90.75" customHeight="1" x14ac:dyDescent="0.25">
      <c r="A1451" s="20"/>
      <c r="B1451" s="20"/>
      <c r="C1451" s="20"/>
      <c r="D1451" s="21"/>
      <c r="E1451" s="21"/>
      <c r="F1451" s="22"/>
      <c r="G1451" s="23"/>
      <c r="H1451" s="77">
        <v>497.99</v>
      </c>
      <c r="I1451" s="40">
        <v>400</v>
      </c>
      <c r="J1451" s="28">
        <f>(H1451*I1451)</f>
        <v>199196</v>
      </c>
      <c r="K1451" s="37"/>
      <c r="L1451" s="20"/>
      <c r="M1451" s="20"/>
      <c r="N1451" s="62"/>
      <c r="O1451" s="24"/>
      <c r="P1451" s="35"/>
      <c r="Q1451" s="40"/>
      <c r="R1451" s="77"/>
      <c r="S1451" s="37"/>
      <c r="T1451" s="28"/>
      <c r="U1451" s="77"/>
      <c r="V1451" s="77"/>
      <c r="W1451" s="36"/>
      <c r="X1451" s="28"/>
      <c r="Y1451" s="28"/>
      <c r="Z1451" s="52"/>
    </row>
    <row r="1452" spans="1:26" s="29" customFormat="1" ht="90.75" customHeight="1" x14ac:dyDescent="0.25">
      <c r="A1452" s="20"/>
      <c r="B1452" s="20"/>
      <c r="C1452" s="20"/>
      <c r="D1452" s="21"/>
      <c r="E1452" s="21"/>
      <c r="F1452" s="22"/>
      <c r="G1452" s="23"/>
      <c r="H1452" s="77"/>
      <c r="I1452" s="40"/>
      <c r="J1452" s="28"/>
      <c r="K1452" s="37">
        <v>1</v>
      </c>
      <c r="L1452" s="20" t="s">
        <v>27</v>
      </c>
      <c r="M1452" s="20" t="s">
        <v>13</v>
      </c>
      <c r="N1452" s="62">
        <v>3</v>
      </c>
      <c r="O1452" s="24">
        <v>1562.56</v>
      </c>
      <c r="P1452" s="35">
        <v>100</v>
      </c>
      <c r="Q1452" s="40">
        <v>7100</v>
      </c>
      <c r="R1452" s="77">
        <f t="shared" ref="R1452:R1458" si="229">(O1452*Q1452)</f>
        <v>11094176</v>
      </c>
      <c r="S1452" s="37">
        <v>4</v>
      </c>
      <c r="T1452" s="28">
        <f t="shared" ref="T1452:T1458" si="230">(R1452*4/100)</f>
        <v>443767.03999999998</v>
      </c>
      <c r="U1452" s="77">
        <f t="shared" ref="U1452:U1458" si="231">(R1452-T1452)</f>
        <v>10650408.960000001</v>
      </c>
      <c r="V1452" s="77"/>
      <c r="W1452" s="36"/>
      <c r="X1452" s="28"/>
      <c r="Y1452" s="28"/>
      <c r="Z1452" s="52"/>
    </row>
    <row r="1453" spans="1:26" s="29" customFormat="1" ht="90.75" customHeight="1" x14ac:dyDescent="0.25">
      <c r="A1453" s="20"/>
      <c r="B1453" s="20"/>
      <c r="C1453" s="20"/>
      <c r="D1453" s="21"/>
      <c r="E1453" s="21"/>
      <c r="F1453" s="22"/>
      <c r="G1453" s="23"/>
      <c r="H1453" s="77"/>
      <c r="I1453" s="40"/>
      <c r="J1453" s="28"/>
      <c r="K1453" s="37">
        <v>2</v>
      </c>
      <c r="L1453" s="20" t="s">
        <v>27</v>
      </c>
      <c r="M1453" s="20" t="s">
        <v>13</v>
      </c>
      <c r="N1453" s="62">
        <v>3</v>
      </c>
      <c r="O1453" s="24">
        <v>85.91</v>
      </c>
      <c r="P1453" s="35">
        <v>100</v>
      </c>
      <c r="Q1453" s="40">
        <v>7100</v>
      </c>
      <c r="R1453" s="77">
        <f t="shared" si="229"/>
        <v>609961</v>
      </c>
      <c r="S1453" s="37">
        <v>4</v>
      </c>
      <c r="T1453" s="28">
        <f t="shared" si="230"/>
        <v>24398.44</v>
      </c>
      <c r="U1453" s="77">
        <f t="shared" si="231"/>
        <v>585562.56000000006</v>
      </c>
      <c r="V1453" s="77"/>
      <c r="W1453" s="36"/>
      <c r="X1453" s="28"/>
      <c r="Y1453" s="28"/>
      <c r="Z1453" s="52"/>
    </row>
    <row r="1454" spans="1:26" s="29" customFormat="1" ht="90.75" customHeight="1" x14ac:dyDescent="0.25">
      <c r="A1454" s="20"/>
      <c r="B1454" s="20"/>
      <c r="C1454" s="20"/>
      <c r="D1454" s="21"/>
      <c r="E1454" s="21"/>
      <c r="F1454" s="22"/>
      <c r="G1454" s="23"/>
      <c r="H1454" s="77"/>
      <c r="I1454" s="40"/>
      <c r="J1454" s="28"/>
      <c r="K1454" s="37">
        <v>3</v>
      </c>
      <c r="L1454" s="20" t="s">
        <v>27</v>
      </c>
      <c r="M1454" s="20" t="s">
        <v>13</v>
      </c>
      <c r="N1454" s="62">
        <v>3</v>
      </c>
      <c r="O1454" s="24">
        <v>97.5</v>
      </c>
      <c r="P1454" s="35">
        <v>100</v>
      </c>
      <c r="Q1454" s="40">
        <v>7100</v>
      </c>
      <c r="R1454" s="77">
        <f t="shared" si="229"/>
        <v>692250</v>
      </c>
      <c r="S1454" s="37">
        <v>4</v>
      </c>
      <c r="T1454" s="28">
        <f t="shared" si="230"/>
        <v>27690</v>
      </c>
      <c r="U1454" s="77">
        <f t="shared" si="231"/>
        <v>664560</v>
      </c>
      <c r="V1454" s="77"/>
      <c r="W1454" s="36"/>
      <c r="X1454" s="28"/>
      <c r="Y1454" s="28"/>
      <c r="Z1454" s="52"/>
    </row>
    <row r="1455" spans="1:26" s="29" customFormat="1" ht="90.75" customHeight="1" x14ac:dyDescent="0.25">
      <c r="A1455" s="20"/>
      <c r="B1455" s="20"/>
      <c r="C1455" s="20"/>
      <c r="D1455" s="21"/>
      <c r="E1455" s="21"/>
      <c r="F1455" s="22"/>
      <c r="G1455" s="23"/>
      <c r="H1455" s="77"/>
      <c r="I1455" s="40"/>
      <c r="J1455" s="28"/>
      <c r="K1455" s="37">
        <v>4</v>
      </c>
      <c r="L1455" s="20" t="s">
        <v>215</v>
      </c>
      <c r="M1455" s="20" t="s">
        <v>13</v>
      </c>
      <c r="N1455" s="62">
        <v>3</v>
      </c>
      <c r="O1455" s="24">
        <v>50</v>
      </c>
      <c r="P1455" s="35">
        <v>100</v>
      </c>
      <c r="Q1455" s="40">
        <v>6450</v>
      </c>
      <c r="R1455" s="77">
        <f t="shared" si="229"/>
        <v>322500</v>
      </c>
      <c r="S1455" s="37">
        <v>4</v>
      </c>
      <c r="T1455" s="28">
        <f t="shared" si="230"/>
        <v>12900</v>
      </c>
      <c r="U1455" s="77">
        <f t="shared" si="231"/>
        <v>309600</v>
      </c>
      <c r="V1455" s="77"/>
      <c r="W1455" s="36"/>
      <c r="X1455" s="28"/>
      <c r="Y1455" s="28"/>
      <c r="Z1455" s="52"/>
    </row>
    <row r="1456" spans="1:26" s="29" customFormat="1" ht="90.75" customHeight="1" x14ac:dyDescent="0.25">
      <c r="A1456" s="20"/>
      <c r="B1456" s="20"/>
      <c r="C1456" s="20"/>
      <c r="D1456" s="21"/>
      <c r="E1456" s="21"/>
      <c r="F1456" s="22"/>
      <c r="G1456" s="23"/>
      <c r="H1456" s="77"/>
      <c r="I1456" s="40"/>
      <c r="J1456" s="28"/>
      <c r="K1456" s="37">
        <v>5</v>
      </c>
      <c r="L1456" s="20" t="s">
        <v>215</v>
      </c>
      <c r="M1456" s="20" t="s">
        <v>13</v>
      </c>
      <c r="N1456" s="62">
        <v>3</v>
      </c>
      <c r="O1456" s="24">
        <v>144</v>
      </c>
      <c r="P1456" s="35">
        <v>100</v>
      </c>
      <c r="Q1456" s="40">
        <v>6450</v>
      </c>
      <c r="R1456" s="77">
        <f t="shared" si="229"/>
        <v>928800</v>
      </c>
      <c r="S1456" s="37">
        <v>4</v>
      </c>
      <c r="T1456" s="28">
        <f t="shared" si="230"/>
        <v>37152</v>
      </c>
      <c r="U1456" s="77">
        <f t="shared" si="231"/>
        <v>891648</v>
      </c>
      <c r="V1456" s="77"/>
      <c r="W1456" s="36"/>
      <c r="X1456" s="28"/>
      <c r="Y1456" s="28"/>
      <c r="Z1456" s="52"/>
    </row>
    <row r="1457" spans="1:26" s="29" customFormat="1" ht="90.75" customHeight="1" x14ac:dyDescent="0.25">
      <c r="A1457" s="20"/>
      <c r="B1457" s="20"/>
      <c r="C1457" s="20"/>
      <c r="D1457" s="21"/>
      <c r="E1457" s="21"/>
      <c r="F1457" s="22"/>
      <c r="G1457" s="23"/>
      <c r="H1457" s="77"/>
      <c r="I1457" s="40"/>
      <c r="J1457" s="28"/>
      <c r="K1457" s="37">
        <v>6</v>
      </c>
      <c r="L1457" s="20" t="s">
        <v>190</v>
      </c>
      <c r="M1457" s="20" t="s">
        <v>30</v>
      </c>
      <c r="N1457" s="62">
        <v>3</v>
      </c>
      <c r="O1457" s="24">
        <v>36</v>
      </c>
      <c r="P1457" s="35">
        <v>100</v>
      </c>
      <c r="Q1457" s="40">
        <v>5550</v>
      </c>
      <c r="R1457" s="77">
        <f t="shared" si="229"/>
        <v>199800</v>
      </c>
      <c r="S1457" s="37">
        <v>4</v>
      </c>
      <c r="T1457" s="28">
        <f t="shared" si="230"/>
        <v>7992</v>
      </c>
      <c r="U1457" s="77">
        <f t="shared" si="231"/>
        <v>191808</v>
      </c>
      <c r="V1457" s="77"/>
      <c r="W1457" s="36"/>
      <c r="X1457" s="28"/>
      <c r="Y1457" s="28"/>
      <c r="Z1457" s="52"/>
    </row>
    <row r="1458" spans="1:26" s="29" customFormat="1" ht="90.75" customHeight="1" x14ac:dyDescent="0.25">
      <c r="A1458" s="20"/>
      <c r="B1458" s="20"/>
      <c r="C1458" s="20"/>
      <c r="D1458" s="21"/>
      <c r="E1458" s="21"/>
      <c r="F1458" s="22"/>
      <c r="G1458" s="23"/>
      <c r="H1458" s="77"/>
      <c r="I1458" s="40"/>
      <c r="J1458" s="28"/>
      <c r="K1458" s="37">
        <v>7</v>
      </c>
      <c r="L1458" s="20" t="s">
        <v>31</v>
      </c>
      <c r="M1458" s="20"/>
      <c r="N1458" s="62">
        <v>3</v>
      </c>
      <c r="O1458" s="24">
        <v>16</v>
      </c>
      <c r="P1458" s="35">
        <v>100</v>
      </c>
      <c r="Q1458" s="40">
        <v>2550</v>
      </c>
      <c r="R1458" s="77">
        <f t="shared" si="229"/>
        <v>40800</v>
      </c>
      <c r="S1458" s="37">
        <v>4</v>
      </c>
      <c r="T1458" s="28">
        <f t="shared" si="230"/>
        <v>1632</v>
      </c>
      <c r="U1458" s="77">
        <f t="shared" si="231"/>
        <v>39168</v>
      </c>
      <c r="V1458" s="77"/>
      <c r="W1458" s="36"/>
      <c r="X1458" s="28"/>
      <c r="Y1458" s="28"/>
      <c r="Z1458" s="52"/>
    </row>
    <row r="1459" spans="1:26" s="29" customFormat="1" ht="90.75" customHeight="1" x14ac:dyDescent="0.25">
      <c r="A1459" s="20"/>
      <c r="B1459" s="20"/>
      <c r="C1459" s="20"/>
      <c r="D1459" s="21"/>
      <c r="E1459" s="21"/>
      <c r="F1459" s="22"/>
      <c r="G1459" s="23"/>
      <c r="H1459" s="77"/>
      <c r="I1459" s="40"/>
      <c r="J1459" s="28"/>
      <c r="K1459" s="37"/>
      <c r="L1459" s="20"/>
      <c r="M1459" s="20"/>
      <c r="N1459" s="62"/>
      <c r="O1459" s="24"/>
      <c r="P1459" s="35"/>
      <c r="Q1459" s="40"/>
      <c r="R1459" s="77"/>
      <c r="S1459" s="37"/>
      <c r="T1459" s="28"/>
      <c r="U1459" s="77">
        <f>SUM(U1452:U1458)</f>
        <v>13332755.520000001</v>
      </c>
      <c r="V1459" s="77">
        <f>(J1451+U1459)</f>
        <v>13531951.520000001</v>
      </c>
      <c r="W1459" s="36">
        <f>(V1459*100/100)</f>
        <v>13531951.520000003</v>
      </c>
      <c r="X1459" s="28">
        <v>0</v>
      </c>
      <c r="Y1459" s="28">
        <f>(W1459-X1459)</f>
        <v>13531951.520000003</v>
      </c>
      <c r="Z1459" s="49">
        <v>3.0000000000000001E-3</v>
      </c>
    </row>
    <row r="1460" spans="1:26" s="29" customFormat="1" ht="90.75" customHeight="1" x14ac:dyDescent="0.25">
      <c r="A1460" s="20"/>
      <c r="B1460" s="20"/>
      <c r="C1460" s="20"/>
      <c r="D1460" s="21"/>
      <c r="E1460" s="21"/>
      <c r="F1460" s="22"/>
      <c r="G1460" s="23"/>
      <c r="H1460" s="77">
        <v>41248.01</v>
      </c>
      <c r="I1460" s="40">
        <v>400</v>
      </c>
      <c r="J1460" s="28">
        <f>(H1460*I1460)</f>
        <v>16499204</v>
      </c>
      <c r="K1460" s="37"/>
      <c r="L1460" s="20"/>
      <c r="M1460" s="20"/>
      <c r="N1460" s="62"/>
      <c r="O1460" s="24"/>
      <c r="P1460" s="35"/>
      <c r="Q1460" s="40"/>
      <c r="R1460" s="77"/>
      <c r="S1460" s="37"/>
      <c r="T1460" s="28"/>
      <c r="U1460" s="77"/>
      <c r="V1460" s="77">
        <f>(J1460)</f>
        <v>16499204</v>
      </c>
      <c r="W1460" s="36">
        <f>(V1460*100/100)</f>
        <v>16499204</v>
      </c>
      <c r="X1460" s="28">
        <v>0</v>
      </c>
      <c r="Y1460" s="28">
        <f>(W1460-X1460)</f>
        <v>16499204</v>
      </c>
      <c r="Z1460" s="49">
        <v>3.0000000000000001E-3</v>
      </c>
    </row>
    <row r="1461" spans="1:26" s="29" customFormat="1" ht="90.75" customHeight="1" x14ac:dyDescent="0.25">
      <c r="A1461" s="20">
        <v>991</v>
      </c>
      <c r="B1461" s="20" t="s">
        <v>0</v>
      </c>
      <c r="C1461" s="20">
        <v>56862</v>
      </c>
      <c r="D1461" s="21">
        <v>15</v>
      </c>
      <c r="E1461" s="21">
        <v>0</v>
      </c>
      <c r="F1461" s="22">
        <v>68</v>
      </c>
      <c r="G1461" s="21" t="s">
        <v>209</v>
      </c>
      <c r="H1461" s="36">
        <f>(D1461*400)+(E1461*100)+F1461</f>
        <v>6068</v>
      </c>
      <c r="I1461" s="25">
        <v>380</v>
      </c>
      <c r="J1461" s="65">
        <f>(H1461*I1461)</f>
        <v>2305840</v>
      </c>
      <c r="K1461" s="20"/>
      <c r="L1461" s="20"/>
      <c r="M1461" s="20"/>
      <c r="N1461" s="20"/>
      <c r="O1461" s="24"/>
      <c r="P1461" s="24"/>
      <c r="Q1461" s="25"/>
      <c r="R1461" s="24"/>
      <c r="S1461" s="20"/>
      <c r="T1461" s="27"/>
      <c r="U1461" s="20"/>
      <c r="V1461" s="20"/>
      <c r="W1461" s="26"/>
      <c r="X1461" s="27"/>
      <c r="Y1461" s="20"/>
      <c r="Z1461" s="20"/>
    </row>
    <row r="1462" spans="1:26" s="29" customFormat="1" ht="90.75" customHeight="1" x14ac:dyDescent="0.25">
      <c r="A1462" s="20"/>
      <c r="B1462" s="20"/>
      <c r="C1462" s="20"/>
      <c r="D1462" s="21"/>
      <c r="E1462" s="21"/>
      <c r="F1462" s="22"/>
      <c r="G1462" s="23"/>
      <c r="H1462" s="24"/>
      <c r="I1462" s="25"/>
      <c r="J1462" s="24"/>
      <c r="K1462" s="37">
        <v>1</v>
      </c>
      <c r="L1462" s="20" t="s">
        <v>15</v>
      </c>
      <c r="M1462" s="20" t="s">
        <v>24</v>
      </c>
      <c r="N1462" s="62">
        <v>3</v>
      </c>
      <c r="O1462" s="24">
        <v>5928</v>
      </c>
      <c r="P1462" s="35">
        <v>100</v>
      </c>
      <c r="Q1462" s="40">
        <v>5950</v>
      </c>
      <c r="R1462" s="77">
        <f>(O1462*Q1462)</f>
        <v>35271600</v>
      </c>
      <c r="S1462" s="37">
        <v>5</v>
      </c>
      <c r="T1462" s="28">
        <f>(R1462*5/100)</f>
        <v>1763580</v>
      </c>
      <c r="U1462" s="77">
        <f>(R1462-T1462)</f>
        <v>33508020</v>
      </c>
      <c r="V1462" s="77"/>
      <c r="W1462" s="36"/>
      <c r="X1462" s="28"/>
      <c r="Y1462" s="28"/>
      <c r="Z1462" s="52"/>
    </row>
    <row r="1463" spans="1:26" s="29" customFormat="1" ht="90.75" customHeight="1" x14ac:dyDescent="0.25">
      <c r="A1463" s="20"/>
      <c r="B1463" s="20"/>
      <c r="C1463" s="20"/>
      <c r="D1463" s="21"/>
      <c r="E1463" s="21"/>
      <c r="F1463" s="22"/>
      <c r="G1463" s="23"/>
      <c r="H1463" s="24"/>
      <c r="I1463" s="25"/>
      <c r="J1463" s="24"/>
      <c r="K1463" s="37">
        <v>2</v>
      </c>
      <c r="L1463" s="20" t="s">
        <v>93</v>
      </c>
      <c r="M1463" s="20" t="s">
        <v>24</v>
      </c>
      <c r="N1463" s="62">
        <v>3</v>
      </c>
      <c r="O1463" s="24">
        <v>312</v>
      </c>
      <c r="P1463" s="35">
        <v>100</v>
      </c>
      <c r="Q1463" s="40">
        <v>7100</v>
      </c>
      <c r="R1463" s="77">
        <f>(O1463*Q1463)</f>
        <v>2215200</v>
      </c>
      <c r="S1463" s="37">
        <v>5</v>
      </c>
      <c r="T1463" s="28">
        <f>(R1463*5/100)</f>
        <v>110760</v>
      </c>
      <c r="U1463" s="77">
        <f>(R1463-T1463)</f>
        <v>2104440</v>
      </c>
      <c r="V1463" s="77"/>
      <c r="W1463" s="36"/>
      <c r="X1463" s="28"/>
      <c r="Y1463" s="28"/>
      <c r="Z1463" s="52"/>
    </row>
    <row r="1464" spans="1:26" s="29" customFormat="1" ht="90.75" customHeight="1" x14ac:dyDescent="0.25">
      <c r="A1464" s="20"/>
      <c r="B1464" s="20"/>
      <c r="C1464" s="20"/>
      <c r="D1464" s="21"/>
      <c r="E1464" s="21"/>
      <c r="F1464" s="22"/>
      <c r="G1464" s="23"/>
      <c r="H1464" s="24"/>
      <c r="I1464" s="25"/>
      <c r="J1464" s="24"/>
      <c r="K1464" s="37">
        <v>3</v>
      </c>
      <c r="L1464" s="20" t="s">
        <v>215</v>
      </c>
      <c r="M1464" s="20" t="s">
        <v>40</v>
      </c>
      <c r="N1464" s="62">
        <v>3</v>
      </c>
      <c r="O1464" s="24">
        <v>18</v>
      </c>
      <c r="P1464" s="35">
        <v>100</v>
      </c>
      <c r="Q1464" s="40">
        <v>6450</v>
      </c>
      <c r="R1464" s="77">
        <f>(O1464*Q1464)</f>
        <v>116100</v>
      </c>
      <c r="S1464" s="37">
        <v>5</v>
      </c>
      <c r="T1464" s="28">
        <f>(R1464*5/100)</f>
        <v>5805</v>
      </c>
      <c r="U1464" s="77">
        <f>(R1464-T1464)</f>
        <v>110295</v>
      </c>
      <c r="V1464" s="77"/>
      <c r="W1464" s="36"/>
      <c r="X1464" s="28"/>
      <c r="Y1464" s="28"/>
      <c r="Z1464" s="52"/>
    </row>
    <row r="1465" spans="1:26" s="29" customFormat="1" ht="90.75" customHeight="1" x14ac:dyDescent="0.25">
      <c r="A1465" s="20"/>
      <c r="B1465" s="20"/>
      <c r="C1465" s="20"/>
      <c r="D1465" s="21"/>
      <c r="E1465" s="21"/>
      <c r="F1465" s="22"/>
      <c r="G1465" s="23"/>
      <c r="H1465" s="24"/>
      <c r="I1465" s="25"/>
      <c r="J1465" s="24"/>
      <c r="K1465" s="37"/>
      <c r="L1465" s="20"/>
      <c r="M1465" s="20"/>
      <c r="N1465" s="62"/>
      <c r="O1465" s="24"/>
      <c r="P1465" s="35"/>
      <c r="Q1465" s="40"/>
      <c r="R1465" s="77"/>
      <c r="S1465" s="37"/>
      <c r="T1465" s="28"/>
      <c r="U1465" s="77">
        <f>SUM(U1462:U1464)</f>
        <v>35722755</v>
      </c>
      <c r="V1465" s="77">
        <f>(J1461+U1465)</f>
        <v>38028595</v>
      </c>
      <c r="W1465" s="36">
        <f>(V1465*100/100)</f>
        <v>38028595</v>
      </c>
      <c r="X1465" s="28">
        <v>0</v>
      </c>
      <c r="Y1465" s="28">
        <f>(W1465-X1465)</f>
        <v>38028595</v>
      </c>
      <c r="Z1465" s="49">
        <v>3.0000000000000001E-3</v>
      </c>
    </row>
    <row r="1466" spans="1:26" s="29" customFormat="1" ht="90.75" customHeight="1" x14ac:dyDescent="0.25">
      <c r="A1466" s="20">
        <v>992</v>
      </c>
      <c r="B1466" s="20" t="s">
        <v>0</v>
      </c>
      <c r="C1466" s="20">
        <v>48026</v>
      </c>
      <c r="D1466" s="21">
        <v>50</v>
      </c>
      <c r="E1466" s="21">
        <v>0</v>
      </c>
      <c r="F1466" s="22">
        <v>1</v>
      </c>
      <c r="G1466" s="21" t="s">
        <v>209</v>
      </c>
      <c r="H1466" s="36">
        <f>(D1466*400)+(E1466*100)+F1466</f>
        <v>20001</v>
      </c>
      <c r="I1466" s="25" t="s">
        <v>123</v>
      </c>
      <c r="J1466" s="65">
        <f>(H1466*I1466)</f>
        <v>90004500</v>
      </c>
      <c r="K1466" s="20"/>
      <c r="L1466" s="20"/>
      <c r="M1466" s="20"/>
      <c r="N1466" s="20"/>
      <c r="O1466" s="24"/>
      <c r="P1466" s="24"/>
      <c r="Q1466" s="25"/>
      <c r="R1466" s="24"/>
      <c r="S1466" s="20" t="s">
        <v>2</v>
      </c>
      <c r="T1466" s="27"/>
      <c r="U1466" s="20"/>
      <c r="V1466" s="77">
        <f>(J1466+U1466)</f>
        <v>90004500</v>
      </c>
      <c r="W1466" s="36">
        <f>(V1466*100/100)</f>
        <v>90004500</v>
      </c>
      <c r="X1466" s="28">
        <v>0</v>
      </c>
      <c r="Y1466" s="28">
        <f>(W1466-X1466)</f>
        <v>90004500</v>
      </c>
      <c r="Z1466" s="49" t="s">
        <v>264</v>
      </c>
    </row>
    <row r="1467" spans="1:26" s="29" customFormat="1" ht="90.75" customHeight="1" x14ac:dyDescent="0.25">
      <c r="A1467" s="20">
        <v>993</v>
      </c>
      <c r="B1467" s="20" t="s">
        <v>0</v>
      </c>
      <c r="C1467" s="20">
        <v>8195</v>
      </c>
      <c r="D1467" s="21">
        <v>9</v>
      </c>
      <c r="E1467" s="21">
        <v>3</v>
      </c>
      <c r="F1467" s="22">
        <v>87</v>
      </c>
      <c r="G1467" s="21" t="s">
        <v>209</v>
      </c>
      <c r="H1467" s="36">
        <f>(D1467*400)+(E1467*100)+F1467</f>
        <v>3987</v>
      </c>
      <c r="I1467" s="25" t="s">
        <v>62</v>
      </c>
      <c r="J1467" s="65">
        <f>(H1467*I1467)</f>
        <v>1993500</v>
      </c>
      <c r="K1467" s="20">
        <v>1</v>
      </c>
      <c r="L1467" s="20" t="s">
        <v>27</v>
      </c>
      <c r="M1467" s="20" t="s">
        <v>24</v>
      </c>
      <c r="N1467" s="20">
        <v>3</v>
      </c>
      <c r="O1467" s="24">
        <v>127.2</v>
      </c>
      <c r="P1467" s="35">
        <v>100</v>
      </c>
      <c r="Q1467" s="40">
        <v>7100</v>
      </c>
      <c r="R1467" s="77">
        <f>(O1467*Q1467)</f>
        <v>903120</v>
      </c>
      <c r="S1467" s="20">
        <v>4</v>
      </c>
      <c r="T1467" s="28">
        <f>(R1467*4/100)</f>
        <v>36124.800000000003</v>
      </c>
      <c r="U1467" s="77">
        <f>(R1467-T1467)</f>
        <v>866995.19999999995</v>
      </c>
      <c r="V1467" s="20"/>
      <c r="W1467" s="26"/>
      <c r="X1467" s="27"/>
      <c r="Y1467" s="20"/>
      <c r="Z1467" s="20"/>
    </row>
    <row r="1468" spans="1:26" s="29" customFormat="1" ht="90.75" customHeight="1" x14ac:dyDescent="0.25">
      <c r="A1468" s="20"/>
      <c r="B1468" s="20"/>
      <c r="C1468" s="20"/>
      <c r="D1468" s="21"/>
      <c r="E1468" s="21"/>
      <c r="F1468" s="22"/>
      <c r="G1468" s="23"/>
      <c r="H1468" s="24"/>
      <c r="I1468" s="25"/>
      <c r="J1468" s="24"/>
      <c r="K1468" s="20">
        <v>2</v>
      </c>
      <c r="L1468" s="20" t="s">
        <v>95</v>
      </c>
      <c r="M1468" s="20"/>
      <c r="N1468" s="20">
        <v>3</v>
      </c>
      <c r="O1468" s="24">
        <v>1258.8</v>
      </c>
      <c r="P1468" s="35">
        <v>100</v>
      </c>
      <c r="Q1468" s="25">
        <v>3500</v>
      </c>
      <c r="R1468" s="77">
        <f>(O1468*Q1468)</f>
        <v>4405800</v>
      </c>
      <c r="S1468" s="20">
        <v>4</v>
      </c>
      <c r="T1468" s="28">
        <f>(R1468*4/100)</f>
        <v>176232</v>
      </c>
      <c r="U1468" s="77">
        <f>(R1468-T1468)</f>
        <v>4229568</v>
      </c>
      <c r="V1468" s="20"/>
      <c r="W1468" s="26"/>
      <c r="X1468" s="27"/>
      <c r="Y1468" s="20"/>
      <c r="Z1468" s="20"/>
    </row>
    <row r="1469" spans="1:26" s="29" customFormat="1" ht="90.75" customHeight="1" x14ac:dyDescent="0.25">
      <c r="A1469" s="20"/>
      <c r="B1469" s="20"/>
      <c r="C1469" s="20"/>
      <c r="D1469" s="21"/>
      <c r="E1469" s="21"/>
      <c r="F1469" s="22"/>
      <c r="G1469" s="23"/>
      <c r="H1469" s="24"/>
      <c r="I1469" s="25"/>
      <c r="J1469" s="24"/>
      <c r="K1469" s="20">
        <v>3</v>
      </c>
      <c r="L1469" s="20" t="s">
        <v>15</v>
      </c>
      <c r="M1469" s="20"/>
      <c r="N1469" s="20">
        <v>3</v>
      </c>
      <c r="O1469" s="24">
        <v>25.65</v>
      </c>
      <c r="P1469" s="35">
        <v>100</v>
      </c>
      <c r="Q1469" s="25">
        <v>5950</v>
      </c>
      <c r="R1469" s="77">
        <f>(O1469*Q1469)</f>
        <v>152617.5</v>
      </c>
      <c r="S1469" s="20">
        <v>4</v>
      </c>
      <c r="T1469" s="28">
        <f>(R1469*4/100)</f>
        <v>6104.7</v>
      </c>
      <c r="U1469" s="77">
        <f>(R1469-T1469)</f>
        <v>146512.79999999999</v>
      </c>
      <c r="V1469" s="20"/>
      <c r="W1469" s="26"/>
      <c r="X1469" s="27"/>
      <c r="Y1469" s="20"/>
      <c r="Z1469" s="20"/>
    </row>
    <row r="1470" spans="1:26" s="29" customFormat="1" ht="90.75" customHeight="1" x14ac:dyDescent="0.25">
      <c r="A1470" s="20"/>
      <c r="B1470" s="20"/>
      <c r="C1470" s="20"/>
      <c r="D1470" s="21"/>
      <c r="E1470" s="21"/>
      <c r="F1470" s="22"/>
      <c r="G1470" s="23"/>
      <c r="H1470" s="24"/>
      <c r="I1470" s="25"/>
      <c r="J1470" s="24"/>
      <c r="K1470" s="20">
        <v>4</v>
      </c>
      <c r="L1470" s="20" t="s">
        <v>15</v>
      </c>
      <c r="M1470" s="20"/>
      <c r="N1470" s="20">
        <v>3</v>
      </c>
      <c r="O1470" s="24">
        <v>60</v>
      </c>
      <c r="P1470" s="35">
        <v>100</v>
      </c>
      <c r="Q1470" s="25">
        <v>5950</v>
      </c>
      <c r="R1470" s="77">
        <f>(O1470*Q1470)</f>
        <v>357000</v>
      </c>
      <c r="S1470" s="20">
        <v>4</v>
      </c>
      <c r="T1470" s="28">
        <f>(R1470*4/100)</f>
        <v>14280</v>
      </c>
      <c r="U1470" s="77">
        <f>(R1470-T1470)</f>
        <v>342720</v>
      </c>
      <c r="V1470" s="20"/>
      <c r="W1470" s="26"/>
      <c r="X1470" s="27"/>
      <c r="Y1470" s="20"/>
      <c r="Z1470" s="20"/>
    </row>
    <row r="1471" spans="1:26" s="29" customFormat="1" ht="90.75" customHeight="1" x14ac:dyDescent="0.25">
      <c r="A1471" s="20"/>
      <c r="B1471" s="20"/>
      <c r="C1471" s="20"/>
      <c r="D1471" s="21"/>
      <c r="E1471" s="21"/>
      <c r="F1471" s="22"/>
      <c r="G1471" s="23"/>
      <c r="H1471" s="24"/>
      <c r="I1471" s="25"/>
      <c r="J1471" s="24"/>
      <c r="K1471" s="20"/>
      <c r="L1471" s="20"/>
      <c r="M1471" s="20"/>
      <c r="N1471" s="20"/>
      <c r="O1471" s="24"/>
      <c r="P1471" s="24"/>
      <c r="Q1471" s="25"/>
      <c r="R1471" s="24"/>
      <c r="S1471" s="20"/>
      <c r="T1471" s="27"/>
      <c r="U1471" s="80">
        <f>SUM(U1467:U1470)</f>
        <v>5585796</v>
      </c>
      <c r="V1471" s="80">
        <f>(J1467+U1471)</f>
        <v>7579296</v>
      </c>
      <c r="W1471" s="36">
        <f>(V1471*100/100)</f>
        <v>7579296</v>
      </c>
      <c r="X1471" s="28">
        <v>0</v>
      </c>
      <c r="Y1471" s="28">
        <f>(W1471-X1471)</f>
        <v>7579296</v>
      </c>
      <c r="Z1471" s="49">
        <v>3.0000000000000001E-3</v>
      </c>
    </row>
    <row r="1472" spans="1:26" s="29" customFormat="1" ht="90.75" customHeight="1" x14ac:dyDescent="0.25">
      <c r="A1472" s="20">
        <v>994</v>
      </c>
      <c r="B1472" s="20" t="s">
        <v>0</v>
      </c>
      <c r="C1472" s="20">
        <v>28017</v>
      </c>
      <c r="D1472" s="21">
        <v>1</v>
      </c>
      <c r="E1472" s="21">
        <v>3</v>
      </c>
      <c r="F1472" s="22">
        <v>89</v>
      </c>
      <c r="G1472" s="21" t="s">
        <v>209</v>
      </c>
      <c r="H1472" s="36">
        <f>(D1472*400)+(E1472*100)+F1472</f>
        <v>789</v>
      </c>
      <c r="I1472" s="25" t="s">
        <v>53</v>
      </c>
      <c r="J1472" s="65">
        <f t="shared" ref="J1472:J1502" si="232">(H1472*I1472)</f>
        <v>355050</v>
      </c>
      <c r="K1472" s="20"/>
      <c r="L1472" s="20"/>
      <c r="M1472" s="20"/>
      <c r="N1472" s="20"/>
      <c r="O1472" s="24"/>
      <c r="P1472" s="35"/>
      <c r="Q1472" s="40"/>
      <c r="R1472" s="77"/>
      <c r="S1472" s="20"/>
      <c r="T1472" s="28"/>
      <c r="U1472" s="77"/>
      <c r="V1472" s="20"/>
      <c r="W1472" s="26"/>
      <c r="X1472" s="27"/>
      <c r="Y1472" s="20"/>
      <c r="Z1472" s="20"/>
    </row>
    <row r="1473" spans="1:26" s="29" customFormat="1" ht="90.75" customHeight="1" x14ac:dyDescent="0.25">
      <c r="A1473" s="20"/>
      <c r="B1473" s="20"/>
      <c r="C1473" s="20"/>
      <c r="D1473" s="21"/>
      <c r="E1473" s="21"/>
      <c r="F1473" s="22"/>
      <c r="G1473" s="23"/>
      <c r="H1473" s="36">
        <v>88.02</v>
      </c>
      <c r="I1473" s="25" t="s">
        <v>53</v>
      </c>
      <c r="J1473" s="65">
        <f t="shared" si="232"/>
        <v>39609</v>
      </c>
      <c r="K1473" s="20">
        <v>1</v>
      </c>
      <c r="L1473" s="20" t="s">
        <v>16</v>
      </c>
      <c r="M1473" s="20" t="s">
        <v>13</v>
      </c>
      <c r="N1473" s="20">
        <v>3</v>
      </c>
      <c r="O1473" s="24">
        <v>352.08</v>
      </c>
      <c r="P1473" s="35">
        <v>100</v>
      </c>
      <c r="Q1473" s="40">
        <v>6450</v>
      </c>
      <c r="R1473" s="77">
        <f>(O1473*Q1473)</f>
        <v>2270916</v>
      </c>
      <c r="S1473" s="20">
        <v>4</v>
      </c>
      <c r="T1473" s="28">
        <f>(R1473*4/100)</f>
        <v>90836.64</v>
      </c>
      <c r="U1473" s="77">
        <f>(R1473-T1473)</f>
        <v>2180079.36</v>
      </c>
      <c r="V1473" s="80">
        <f t="shared" ref="V1473:V1482" si="233">(J1473+U1473)</f>
        <v>2219688.36</v>
      </c>
      <c r="W1473" s="36">
        <f t="shared" ref="W1473:W1482" si="234">(V1473*100/100)</f>
        <v>2219688.36</v>
      </c>
      <c r="X1473" s="28">
        <v>10000000</v>
      </c>
      <c r="Y1473" s="20"/>
      <c r="Z1473" s="20"/>
    </row>
    <row r="1474" spans="1:26" s="29" customFormat="1" ht="90.75" customHeight="1" x14ac:dyDescent="0.25">
      <c r="A1474" s="20"/>
      <c r="B1474" s="20"/>
      <c r="C1474" s="20"/>
      <c r="D1474" s="21"/>
      <c r="E1474" s="21"/>
      <c r="F1474" s="22"/>
      <c r="G1474" s="23"/>
      <c r="H1474" s="36">
        <f>(O1474*0.25)</f>
        <v>49.5</v>
      </c>
      <c r="I1474" s="25" t="s">
        <v>53</v>
      </c>
      <c r="J1474" s="65">
        <f t="shared" si="232"/>
        <v>22275</v>
      </c>
      <c r="K1474" s="20">
        <v>2</v>
      </c>
      <c r="L1474" s="20" t="s">
        <v>18</v>
      </c>
      <c r="M1474" s="20" t="s">
        <v>13</v>
      </c>
      <c r="N1474" s="20">
        <v>2</v>
      </c>
      <c r="O1474" s="24">
        <v>198</v>
      </c>
      <c r="P1474" s="35">
        <v>100</v>
      </c>
      <c r="Q1474" s="40">
        <v>7750</v>
      </c>
      <c r="R1474" s="77">
        <f>(O1474*Q1474)</f>
        <v>1534500</v>
      </c>
      <c r="S1474" s="20">
        <v>4</v>
      </c>
      <c r="T1474" s="28">
        <f>(R1474*4/100)</f>
        <v>61380</v>
      </c>
      <c r="U1474" s="77">
        <f>(R1474-T1474)</f>
        <v>1473120</v>
      </c>
      <c r="V1474" s="80">
        <f t="shared" si="233"/>
        <v>1495395</v>
      </c>
      <c r="W1474" s="36">
        <f t="shared" si="234"/>
        <v>1495395</v>
      </c>
      <c r="X1474" s="28">
        <v>0</v>
      </c>
      <c r="Y1474" s="28">
        <f t="shared" ref="Y1474:Y1482" si="235">(W1474-X1474)</f>
        <v>1495395</v>
      </c>
      <c r="Z1474" s="49">
        <v>2.0000000000000001E-4</v>
      </c>
    </row>
    <row r="1475" spans="1:26" s="29" customFormat="1" ht="90.75" customHeight="1" x14ac:dyDescent="0.25">
      <c r="A1475" s="20"/>
      <c r="B1475" s="20"/>
      <c r="C1475" s="20"/>
      <c r="D1475" s="21"/>
      <c r="E1475" s="21"/>
      <c r="F1475" s="22"/>
      <c r="G1475" s="23"/>
      <c r="H1475" s="36">
        <f>(O1475*0.25)</f>
        <v>72</v>
      </c>
      <c r="I1475" s="25" t="s">
        <v>53</v>
      </c>
      <c r="J1475" s="65">
        <f t="shared" si="232"/>
        <v>32400</v>
      </c>
      <c r="K1475" s="20">
        <v>3</v>
      </c>
      <c r="L1475" s="20" t="s">
        <v>18</v>
      </c>
      <c r="M1475" s="20" t="s">
        <v>13</v>
      </c>
      <c r="N1475" s="20">
        <v>2</v>
      </c>
      <c r="O1475" s="24">
        <v>288</v>
      </c>
      <c r="P1475" s="35">
        <v>100</v>
      </c>
      <c r="Q1475" s="40">
        <v>7750</v>
      </c>
      <c r="R1475" s="77">
        <f>(O1475*Q1475)</f>
        <v>2232000</v>
      </c>
      <c r="S1475" s="20">
        <v>4</v>
      </c>
      <c r="T1475" s="28">
        <f>(R1475*4/100)</f>
        <v>89280</v>
      </c>
      <c r="U1475" s="77">
        <f>(R1475-T1475)</f>
        <v>2142720</v>
      </c>
      <c r="V1475" s="80">
        <f t="shared" si="233"/>
        <v>2175120</v>
      </c>
      <c r="W1475" s="36">
        <f t="shared" si="234"/>
        <v>2175120</v>
      </c>
      <c r="X1475" s="28">
        <v>0</v>
      </c>
      <c r="Y1475" s="28">
        <f t="shared" si="235"/>
        <v>2175120</v>
      </c>
      <c r="Z1475" s="49">
        <v>2.0000000000000001E-4</v>
      </c>
    </row>
    <row r="1476" spans="1:26" s="29" customFormat="1" ht="90.75" customHeight="1" x14ac:dyDescent="0.25">
      <c r="A1476" s="20"/>
      <c r="B1476" s="20"/>
      <c r="C1476" s="20"/>
      <c r="D1476" s="21"/>
      <c r="E1476" s="21"/>
      <c r="F1476" s="22"/>
      <c r="G1476" s="23"/>
      <c r="H1476" s="36">
        <f>(O1476*0.25)</f>
        <v>54</v>
      </c>
      <c r="I1476" s="25" t="s">
        <v>53</v>
      </c>
      <c r="J1476" s="65">
        <f t="shared" si="232"/>
        <v>24300</v>
      </c>
      <c r="K1476" s="20">
        <v>4</v>
      </c>
      <c r="L1476" s="20" t="s">
        <v>18</v>
      </c>
      <c r="M1476" s="20" t="s">
        <v>13</v>
      </c>
      <c r="N1476" s="20">
        <v>2</v>
      </c>
      <c r="O1476" s="24">
        <v>216</v>
      </c>
      <c r="P1476" s="35">
        <v>100</v>
      </c>
      <c r="Q1476" s="40">
        <v>7750</v>
      </c>
      <c r="R1476" s="77">
        <f>(O1476*Q1476)</f>
        <v>1674000</v>
      </c>
      <c r="S1476" s="20">
        <v>4</v>
      </c>
      <c r="T1476" s="28">
        <f>(R1476*4/100)</f>
        <v>66960</v>
      </c>
      <c r="U1476" s="77">
        <f>(R1476-T1476)</f>
        <v>1607040</v>
      </c>
      <c r="V1476" s="80">
        <f t="shared" si="233"/>
        <v>1631340</v>
      </c>
      <c r="W1476" s="36">
        <f t="shared" si="234"/>
        <v>1631340</v>
      </c>
      <c r="X1476" s="28">
        <v>0</v>
      </c>
      <c r="Y1476" s="28">
        <f t="shared" si="235"/>
        <v>1631340</v>
      </c>
      <c r="Z1476" s="49">
        <v>2.0000000000000001E-4</v>
      </c>
    </row>
    <row r="1477" spans="1:26" s="29" customFormat="1" ht="90.75" customHeight="1" x14ac:dyDescent="0.25">
      <c r="A1477" s="20"/>
      <c r="B1477" s="20"/>
      <c r="C1477" s="20"/>
      <c r="D1477" s="21"/>
      <c r="E1477" s="21"/>
      <c r="F1477" s="22"/>
      <c r="G1477" s="23"/>
      <c r="H1477" s="36">
        <f>(O1477*0.25)</f>
        <v>7.2</v>
      </c>
      <c r="I1477" s="25" t="s">
        <v>53</v>
      </c>
      <c r="J1477" s="65">
        <f t="shared" si="232"/>
        <v>3240</v>
      </c>
      <c r="K1477" s="20">
        <v>5</v>
      </c>
      <c r="L1477" s="20" t="s">
        <v>18</v>
      </c>
      <c r="M1477" s="20" t="s">
        <v>13</v>
      </c>
      <c r="N1477" s="20">
        <v>2</v>
      </c>
      <c r="O1477" s="24">
        <v>28.8</v>
      </c>
      <c r="P1477" s="35">
        <v>100</v>
      </c>
      <c r="Q1477" s="40">
        <v>7750</v>
      </c>
      <c r="R1477" s="77">
        <f>(O1477*Q1477)</f>
        <v>223200</v>
      </c>
      <c r="S1477" s="20">
        <v>4</v>
      </c>
      <c r="T1477" s="28">
        <f>(R1477*4/100)</f>
        <v>8928</v>
      </c>
      <c r="U1477" s="77">
        <f>(R1477-T1477)</f>
        <v>214272</v>
      </c>
      <c r="V1477" s="80">
        <f t="shared" si="233"/>
        <v>217512</v>
      </c>
      <c r="W1477" s="36">
        <f t="shared" si="234"/>
        <v>217512</v>
      </c>
      <c r="X1477" s="28">
        <v>0</v>
      </c>
      <c r="Y1477" s="28">
        <f t="shared" si="235"/>
        <v>217512</v>
      </c>
      <c r="Z1477" s="49">
        <v>2.0000000000000001E-4</v>
      </c>
    </row>
    <row r="1478" spans="1:26" s="29" customFormat="1" ht="90.75" customHeight="1" x14ac:dyDescent="0.25">
      <c r="A1478" s="20"/>
      <c r="B1478" s="20"/>
      <c r="C1478" s="20"/>
      <c r="D1478" s="21"/>
      <c r="E1478" s="21"/>
      <c r="F1478" s="22"/>
      <c r="G1478" s="23"/>
      <c r="H1478" s="36">
        <v>518.28</v>
      </c>
      <c r="I1478" s="25" t="s">
        <v>53</v>
      </c>
      <c r="J1478" s="65">
        <f t="shared" si="232"/>
        <v>233226</v>
      </c>
      <c r="K1478" s="20"/>
      <c r="L1478" s="20"/>
      <c r="M1478" s="20"/>
      <c r="N1478" s="20"/>
      <c r="O1478" s="24"/>
      <c r="P1478" s="35"/>
      <c r="Q1478" s="40"/>
      <c r="R1478" s="77"/>
      <c r="S1478" s="20"/>
      <c r="T1478" s="27"/>
      <c r="U1478" s="80"/>
      <c r="V1478" s="80">
        <f t="shared" si="233"/>
        <v>233226</v>
      </c>
      <c r="W1478" s="36">
        <f t="shared" si="234"/>
        <v>233226</v>
      </c>
      <c r="X1478" s="28">
        <v>0</v>
      </c>
      <c r="Y1478" s="28">
        <f t="shared" si="235"/>
        <v>233226</v>
      </c>
      <c r="Z1478" s="49">
        <v>3.0000000000000001E-3</v>
      </c>
    </row>
    <row r="1479" spans="1:26" s="29" customFormat="1" ht="90.75" customHeight="1" x14ac:dyDescent="0.25">
      <c r="A1479" s="20">
        <v>995</v>
      </c>
      <c r="B1479" s="20" t="s">
        <v>0</v>
      </c>
      <c r="C1479" s="20">
        <v>56710</v>
      </c>
      <c r="D1479" s="21">
        <v>4</v>
      </c>
      <c r="E1479" s="21">
        <v>1</v>
      </c>
      <c r="F1479" s="22">
        <v>27</v>
      </c>
      <c r="G1479" s="23" t="s">
        <v>198</v>
      </c>
      <c r="H1479" s="36">
        <f>(D1479*400)+(E1479*100)+F1479</f>
        <v>1727</v>
      </c>
      <c r="I1479" s="25">
        <v>200</v>
      </c>
      <c r="J1479" s="65">
        <f t="shared" si="232"/>
        <v>345400</v>
      </c>
      <c r="K1479" s="20"/>
      <c r="L1479" s="20"/>
      <c r="M1479" s="20"/>
      <c r="N1479" s="20"/>
      <c r="O1479" s="24"/>
      <c r="P1479" s="24"/>
      <c r="Q1479" s="25"/>
      <c r="R1479" s="24"/>
      <c r="S1479" s="20"/>
      <c r="T1479" s="27"/>
      <c r="U1479" s="20"/>
      <c r="V1479" s="80">
        <f t="shared" si="233"/>
        <v>345400</v>
      </c>
      <c r="W1479" s="36">
        <f t="shared" si="234"/>
        <v>345400</v>
      </c>
      <c r="X1479" s="28">
        <v>0</v>
      </c>
      <c r="Y1479" s="28">
        <f t="shared" si="235"/>
        <v>345400</v>
      </c>
      <c r="Z1479" s="49">
        <v>1E-4</v>
      </c>
    </row>
    <row r="1480" spans="1:26" s="29" customFormat="1" ht="90.75" customHeight="1" x14ac:dyDescent="0.25">
      <c r="A1480" s="20">
        <v>996</v>
      </c>
      <c r="B1480" s="20" t="s">
        <v>0</v>
      </c>
      <c r="C1480" s="20">
        <v>56793</v>
      </c>
      <c r="D1480" s="21">
        <v>0</v>
      </c>
      <c r="E1480" s="21">
        <v>1</v>
      </c>
      <c r="F1480" s="22">
        <v>33</v>
      </c>
      <c r="G1480" s="21" t="s">
        <v>209</v>
      </c>
      <c r="H1480" s="36">
        <f>(D1480*400)+(E1480*100)+F1480</f>
        <v>133</v>
      </c>
      <c r="I1480" s="25">
        <v>525</v>
      </c>
      <c r="J1480" s="65">
        <f t="shared" si="232"/>
        <v>69825</v>
      </c>
      <c r="K1480" s="20"/>
      <c r="L1480" s="20"/>
      <c r="M1480" s="20"/>
      <c r="N1480" s="20"/>
      <c r="O1480" s="24"/>
      <c r="P1480" s="24"/>
      <c r="Q1480" s="25"/>
      <c r="R1480" s="24"/>
      <c r="S1480" s="20"/>
      <c r="T1480" s="27"/>
      <c r="U1480" s="20"/>
      <c r="V1480" s="80">
        <f t="shared" si="233"/>
        <v>69825</v>
      </c>
      <c r="W1480" s="36">
        <f t="shared" si="234"/>
        <v>69825</v>
      </c>
      <c r="X1480" s="28">
        <v>0</v>
      </c>
      <c r="Y1480" s="28">
        <f t="shared" si="235"/>
        <v>69825</v>
      </c>
      <c r="Z1480" s="49">
        <v>3.0000000000000001E-3</v>
      </c>
    </row>
    <row r="1481" spans="1:26" s="29" customFormat="1" ht="90.75" customHeight="1" x14ac:dyDescent="0.25">
      <c r="A1481" s="20">
        <v>997</v>
      </c>
      <c r="B1481" s="20" t="s">
        <v>0</v>
      </c>
      <c r="C1481" s="20">
        <v>31880</v>
      </c>
      <c r="D1481" s="21">
        <v>1</v>
      </c>
      <c r="E1481" s="21">
        <v>0</v>
      </c>
      <c r="F1481" s="22">
        <v>85</v>
      </c>
      <c r="G1481" s="21" t="s">
        <v>209</v>
      </c>
      <c r="H1481" s="36">
        <f>(D1481*400)+(E1481*100)+F1481</f>
        <v>485</v>
      </c>
      <c r="I1481" s="25" t="s">
        <v>53</v>
      </c>
      <c r="J1481" s="65">
        <f t="shared" si="232"/>
        <v>218250</v>
      </c>
      <c r="K1481" s="20"/>
      <c r="L1481" s="20"/>
      <c r="M1481" s="20"/>
      <c r="N1481" s="20"/>
      <c r="O1481" s="24"/>
      <c r="P1481" s="24"/>
      <c r="Q1481" s="25"/>
      <c r="R1481" s="24"/>
      <c r="S1481" s="20"/>
      <c r="T1481" s="27"/>
      <c r="U1481" s="20"/>
      <c r="V1481" s="77">
        <f t="shared" si="233"/>
        <v>218250</v>
      </c>
      <c r="W1481" s="36">
        <f t="shared" si="234"/>
        <v>218250</v>
      </c>
      <c r="X1481" s="28">
        <v>0</v>
      </c>
      <c r="Y1481" s="28">
        <f t="shared" si="235"/>
        <v>218250</v>
      </c>
      <c r="Z1481" s="49">
        <v>3.0000000000000001E-3</v>
      </c>
    </row>
    <row r="1482" spans="1:26" s="29" customFormat="1" ht="90.75" customHeight="1" x14ac:dyDescent="0.25">
      <c r="A1482" s="20">
        <v>998</v>
      </c>
      <c r="B1482" s="20" t="s">
        <v>0</v>
      </c>
      <c r="C1482" s="20">
        <v>47914</v>
      </c>
      <c r="D1482" s="21">
        <v>4</v>
      </c>
      <c r="E1482" s="21">
        <v>0</v>
      </c>
      <c r="F1482" s="22">
        <v>31</v>
      </c>
      <c r="G1482" s="21" t="s">
        <v>209</v>
      </c>
      <c r="H1482" s="36">
        <f>(D1482*400)+(E1482*100)+F1482</f>
        <v>1631</v>
      </c>
      <c r="I1482" s="25">
        <v>4500</v>
      </c>
      <c r="J1482" s="65">
        <f t="shared" si="232"/>
        <v>7339500</v>
      </c>
      <c r="K1482" s="20"/>
      <c r="L1482" s="20"/>
      <c r="M1482" s="20"/>
      <c r="N1482" s="20"/>
      <c r="O1482" s="24"/>
      <c r="P1482" s="24"/>
      <c r="Q1482" s="25"/>
      <c r="R1482" s="24"/>
      <c r="S1482" s="20"/>
      <c r="T1482" s="27"/>
      <c r="U1482" s="20"/>
      <c r="V1482" s="77">
        <f t="shared" si="233"/>
        <v>7339500</v>
      </c>
      <c r="W1482" s="36">
        <f t="shared" si="234"/>
        <v>7339500</v>
      </c>
      <c r="X1482" s="28">
        <v>0</v>
      </c>
      <c r="Y1482" s="28">
        <f t="shared" si="235"/>
        <v>7339500</v>
      </c>
      <c r="Z1482" s="49">
        <v>3.0000000000000001E-3</v>
      </c>
    </row>
    <row r="1483" spans="1:26" s="29" customFormat="1" ht="90.75" customHeight="1" x14ac:dyDescent="0.25">
      <c r="A1483" s="20">
        <v>999</v>
      </c>
      <c r="B1483" s="20" t="s">
        <v>0</v>
      </c>
      <c r="C1483" s="20">
        <v>47913</v>
      </c>
      <c r="D1483" s="21">
        <v>5</v>
      </c>
      <c r="E1483" s="21">
        <v>0</v>
      </c>
      <c r="F1483" s="22">
        <v>32</v>
      </c>
      <c r="G1483" s="21" t="s">
        <v>209</v>
      </c>
      <c r="H1483" s="36">
        <f>(D1483*400)+(E1483*100)+F1483</f>
        <v>2032</v>
      </c>
      <c r="I1483" s="25">
        <v>4500</v>
      </c>
      <c r="J1483" s="65">
        <f t="shared" si="232"/>
        <v>9144000</v>
      </c>
      <c r="K1483" s="20"/>
      <c r="L1483" s="20"/>
      <c r="M1483" s="20"/>
      <c r="N1483" s="20"/>
      <c r="O1483" s="24"/>
      <c r="P1483" s="24"/>
      <c r="Q1483" s="25"/>
      <c r="R1483" s="24"/>
      <c r="S1483" s="20"/>
      <c r="T1483" s="27"/>
      <c r="U1483" s="20"/>
      <c r="V1483" s="77"/>
      <c r="W1483" s="36"/>
      <c r="X1483" s="28"/>
      <c r="Y1483" s="28"/>
      <c r="Z1483" s="49"/>
    </row>
    <row r="1484" spans="1:26" s="29" customFormat="1" ht="90.75" customHeight="1" x14ac:dyDescent="0.25">
      <c r="A1484" s="20"/>
      <c r="B1484" s="20"/>
      <c r="C1484" s="20"/>
      <c r="D1484" s="21"/>
      <c r="E1484" s="21"/>
      <c r="F1484" s="22"/>
      <c r="G1484" s="23"/>
      <c r="H1484" s="36">
        <f>(O1484*0.25/2)</f>
        <v>29.375</v>
      </c>
      <c r="I1484" s="40">
        <v>4500</v>
      </c>
      <c r="J1484" s="65">
        <f t="shared" si="232"/>
        <v>132187.5</v>
      </c>
      <c r="K1484" s="30">
        <v>1</v>
      </c>
      <c r="L1484" s="31" t="s">
        <v>93</v>
      </c>
      <c r="M1484" s="31" t="s">
        <v>24</v>
      </c>
      <c r="N1484" s="41">
        <v>3</v>
      </c>
      <c r="O1484" s="45">
        <v>235</v>
      </c>
      <c r="P1484" s="35">
        <v>100</v>
      </c>
      <c r="Q1484" s="40">
        <v>7100</v>
      </c>
      <c r="R1484" s="36">
        <f t="shared" ref="R1484:R1491" si="236">(O1484*Q1484)</f>
        <v>1668500</v>
      </c>
      <c r="S1484" s="31">
        <v>5</v>
      </c>
      <c r="T1484" s="28">
        <f>(R1484*5/100)</f>
        <v>83425</v>
      </c>
      <c r="U1484" s="36">
        <f t="shared" ref="U1484:U1491" si="237">(R1484-T1484)</f>
        <v>1585075</v>
      </c>
      <c r="V1484" s="36">
        <f t="shared" ref="V1484:V1502" si="238">(J1484+U1484)</f>
        <v>1717262.5</v>
      </c>
      <c r="W1484" s="36">
        <f t="shared" ref="W1484:W1502" si="239">(V1484*100/100)</f>
        <v>1717262.5</v>
      </c>
      <c r="X1484" s="28">
        <v>0</v>
      </c>
      <c r="Y1484" s="28">
        <f t="shared" ref="Y1484:Y1502" si="240">(W1484)</f>
        <v>1717262.5</v>
      </c>
      <c r="Z1484" s="49">
        <v>3.0000000000000001E-3</v>
      </c>
    </row>
    <row r="1485" spans="1:26" s="29" customFormat="1" ht="90.75" customHeight="1" x14ac:dyDescent="0.25">
      <c r="A1485" s="20"/>
      <c r="B1485" s="20"/>
      <c r="C1485" s="20"/>
      <c r="D1485" s="21"/>
      <c r="E1485" s="21"/>
      <c r="F1485" s="22"/>
      <c r="G1485" s="23"/>
      <c r="H1485" s="36">
        <f t="shared" ref="H1485:H1491" si="241">(O1485*0.25)</f>
        <v>413.75</v>
      </c>
      <c r="I1485" s="40">
        <v>4500</v>
      </c>
      <c r="J1485" s="65">
        <f t="shared" si="232"/>
        <v>1861875</v>
      </c>
      <c r="K1485" s="30">
        <v>2</v>
      </c>
      <c r="L1485" s="31" t="s">
        <v>15</v>
      </c>
      <c r="M1485" s="31" t="s">
        <v>13</v>
      </c>
      <c r="N1485" s="41">
        <v>3</v>
      </c>
      <c r="O1485" s="45">
        <v>1655</v>
      </c>
      <c r="P1485" s="35">
        <v>100</v>
      </c>
      <c r="Q1485" s="40">
        <v>5950</v>
      </c>
      <c r="R1485" s="36">
        <f t="shared" si="236"/>
        <v>9847250</v>
      </c>
      <c r="S1485" s="31">
        <v>5</v>
      </c>
      <c r="T1485" s="28">
        <f>(R1485*5/100)</f>
        <v>492362.5</v>
      </c>
      <c r="U1485" s="36">
        <f t="shared" si="237"/>
        <v>9354887.5</v>
      </c>
      <c r="V1485" s="36">
        <f t="shared" si="238"/>
        <v>11216762.5</v>
      </c>
      <c r="W1485" s="36">
        <f t="shared" si="239"/>
        <v>11216762.5</v>
      </c>
      <c r="X1485" s="28">
        <v>0</v>
      </c>
      <c r="Y1485" s="28">
        <f t="shared" si="240"/>
        <v>11216762.5</v>
      </c>
      <c r="Z1485" s="49">
        <v>3.0000000000000001E-3</v>
      </c>
    </row>
    <row r="1486" spans="1:26" s="29" customFormat="1" ht="90.75" customHeight="1" x14ac:dyDescent="0.25">
      <c r="A1486" s="20"/>
      <c r="B1486" s="20"/>
      <c r="C1486" s="20"/>
      <c r="D1486" s="21"/>
      <c r="E1486" s="21"/>
      <c r="F1486" s="22"/>
      <c r="G1486" s="23"/>
      <c r="H1486" s="36">
        <f t="shared" si="241"/>
        <v>119</v>
      </c>
      <c r="I1486" s="40">
        <v>4500</v>
      </c>
      <c r="J1486" s="65">
        <f t="shared" si="232"/>
        <v>535500</v>
      </c>
      <c r="K1486" s="30">
        <v>3</v>
      </c>
      <c r="L1486" s="31" t="s">
        <v>48</v>
      </c>
      <c r="M1486" s="31" t="s">
        <v>13</v>
      </c>
      <c r="N1486" s="41">
        <v>3</v>
      </c>
      <c r="O1486" s="45">
        <v>476</v>
      </c>
      <c r="P1486" s="35">
        <v>100</v>
      </c>
      <c r="Q1486" s="40">
        <v>3500</v>
      </c>
      <c r="R1486" s="36">
        <f t="shared" si="236"/>
        <v>1666000</v>
      </c>
      <c r="S1486" s="31">
        <v>4</v>
      </c>
      <c r="T1486" s="28">
        <f>(R1486*4/100)</f>
        <v>66640</v>
      </c>
      <c r="U1486" s="36">
        <f t="shared" si="237"/>
        <v>1599360</v>
      </c>
      <c r="V1486" s="36">
        <f t="shared" si="238"/>
        <v>2134860</v>
      </c>
      <c r="W1486" s="36">
        <f t="shared" si="239"/>
        <v>2134860</v>
      </c>
      <c r="X1486" s="28">
        <v>0</v>
      </c>
      <c r="Y1486" s="28">
        <f t="shared" si="240"/>
        <v>2134860</v>
      </c>
      <c r="Z1486" s="49">
        <v>3.0000000000000001E-3</v>
      </c>
    </row>
    <row r="1487" spans="1:26" s="29" customFormat="1" ht="90.75" customHeight="1" x14ac:dyDescent="0.25">
      <c r="A1487" s="20"/>
      <c r="B1487" s="20"/>
      <c r="C1487" s="20"/>
      <c r="D1487" s="21"/>
      <c r="E1487" s="21"/>
      <c r="F1487" s="22"/>
      <c r="G1487" s="23"/>
      <c r="H1487" s="36">
        <f t="shared" si="241"/>
        <v>5.875</v>
      </c>
      <c r="I1487" s="40">
        <v>4500</v>
      </c>
      <c r="J1487" s="65">
        <f t="shared" si="232"/>
        <v>26437.5</v>
      </c>
      <c r="K1487" s="30">
        <v>4</v>
      </c>
      <c r="L1487" s="31" t="s">
        <v>17</v>
      </c>
      <c r="M1487" s="31" t="s">
        <v>13</v>
      </c>
      <c r="N1487" s="41">
        <v>3</v>
      </c>
      <c r="O1487" s="45">
        <v>23.5</v>
      </c>
      <c r="P1487" s="35">
        <v>100</v>
      </c>
      <c r="Q1487" s="40">
        <v>5900</v>
      </c>
      <c r="R1487" s="36">
        <f t="shared" si="236"/>
        <v>138650</v>
      </c>
      <c r="S1487" s="31">
        <v>5</v>
      </c>
      <c r="T1487" s="28">
        <f>(R1487*5/100)</f>
        <v>6932.5</v>
      </c>
      <c r="U1487" s="36">
        <f t="shared" si="237"/>
        <v>131717.5</v>
      </c>
      <c r="V1487" s="36">
        <f t="shared" si="238"/>
        <v>158155</v>
      </c>
      <c r="W1487" s="36">
        <f t="shared" si="239"/>
        <v>158155</v>
      </c>
      <c r="X1487" s="28">
        <v>0</v>
      </c>
      <c r="Y1487" s="28">
        <f t="shared" si="240"/>
        <v>158155</v>
      </c>
      <c r="Z1487" s="49">
        <v>3.0000000000000001E-3</v>
      </c>
    </row>
    <row r="1488" spans="1:26" s="29" customFormat="1" ht="90.75" customHeight="1" x14ac:dyDescent="0.25">
      <c r="A1488" s="20"/>
      <c r="B1488" s="20"/>
      <c r="C1488" s="20"/>
      <c r="D1488" s="21"/>
      <c r="E1488" s="21"/>
      <c r="F1488" s="22"/>
      <c r="G1488" s="23"/>
      <c r="H1488" s="36">
        <f t="shared" si="241"/>
        <v>91.5</v>
      </c>
      <c r="I1488" s="40">
        <v>4500</v>
      </c>
      <c r="J1488" s="65">
        <f t="shared" si="232"/>
        <v>411750</v>
      </c>
      <c r="K1488" s="30">
        <v>5</v>
      </c>
      <c r="L1488" s="31" t="s">
        <v>31</v>
      </c>
      <c r="M1488" s="31"/>
      <c r="N1488" s="41">
        <v>3</v>
      </c>
      <c r="O1488" s="45">
        <v>366</v>
      </c>
      <c r="P1488" s="35">
        <v>100</v>
      </c>
      <c r="Q1488" s="40">
        <v>2550</v>
      </c>
      <c r="R1488" s="36">
        <f t="shared" si="236"/>
        <v>933300</v>
      </c>
      <c r="S1488" s="31">
        <v>4</v>
      </c>
      <c r="T1488" s="28">
        <f>(R1488*4/100)</f>
        <v>37332</v>
      </c>
      <c r="U1488" s="36">
        <f t="shared" si="237"/>
        <v>895968</v>
      </c>
      <c r="V1488" s="36">
        <f t="shared" si="238"/>
        <v>1307718</v>
      </c>
      <c r="W1488" s="36">
        <f t="shared" si="239"/>
        <v>1307718</v>
      </c>
      <c r="X1488" s="28">
        <v>0</v>
      </c>
      <c r="Y1488" s="28">
        <f t="shared" si="240"/>
        <v>1307718</v>
      </c>
      <c r="Z1488" s="49">
        <v>3.0000000000000001E-3</v>
      </c>
    </row>
    <row r="1489" spans="1:26" s="29" customFormat="1" ht="90.75" customHeight="1" x14ac:dyDescent="0.25">
      <c r="A1489" s="20"/>
      <c r="B1489" s="20"/>
      <c r="C1489" s="20"/>
      <c r="D1489" s="21"/>
      <c r="E1489" s="21"/>
      <c r="F1489" s="22"/>
      <c r="G1489" s="23"/>
      <c r="H1489" s="36">
        <f t="shared" si="241"/>
        <v>48.75</v>
      </c>
      <c r="I1489" s="40">
        <v>4500</v>
      </c>
      <c r="J1489" s="65">
        <f t="shared" si="232"/>
        <v>219375</v>
      </c>
      <c r="K1489" s="30">
        <v>6</v>
      </c>
      <c r="L1489" s="31" t="s">
        <v>31</v>
      </c>
      <c r="M1489" s="31"/>
      <c r="N1489" s="41">
        <v>3</v>
      </c>
      <c r="O1489" s="45">
        <v>195</v>
      </c>
      <c r="P1489" s="35">
        <v>100</v>
      </c>
      <c r="Q1489" s="40">
        <v>2550</v>
      </c>
      <c r="R1489" s="36">
        <f t="shared" si="236"/>
        <v>497250</v>
      </c>
      <c r="S1489" s="31">
        <v>5</v>
      </c>
      <c r="T1489" s="28">
        <f>(R1489*5/100)</f>
        <v>24862.5</v>
      </c>
      <c r="U1489" s="36">
        <f t="shared" si="237"/>
        <v>472387.5</v>
      </c>
      <c r="V1489" s="36">
        <f t="shared" si="238"/>
        <v>691762.5</v>
      </c>
      <c r="W1489" s="36">
        <f t="shared" si="239"/>
        <v>691762.5</v>
      </c>
      <c r="X1489" s="28">
        <v>0</v>
      </c>
      <c r="Y1489" s="28">
        <f t="shared" si="240"/>
        <v>691762.5</v>
      </c>
      <c r="Z1489" s="49">
        <v>3.0000000000000001E-3</v>
      </c>
    </row>
    <row r="1490" spans="1:26" s="29" customFormat="1" ht="90.75" customHeight="1" x14ac:dyDescent="0.25">
      <c r="A1490" s="20"/>
      <c r="B1490" s="20"/>
      <c r="C1490" s="20"/>
      <c r="D1490" s="21"/>
      <c r="E1490" s="21"/>
      <c r="F1490" s="22"/>
      <c r="G1490" s="23"/>
      <c r="H1490" s="36">
        <f t="shared" si="241"/>
        <v>3.105</v>
      </c>
      <c r="I1490" s="40">
        <v>4500</v>
      </c>
      <c r="J1490" s="65">
        <f t="shared" si="232"/>
        <v>13972.5</v>
      </c>
      <c r="K1490" s="30">
        <v>7</v>
      </c>
      <c r="L1490" s="31" t="s">
        <v>215</v>
      </c>
      <c r="M1490" s="31" t="s">
        <v>13</v>
      </c>
      <c r="N1490" s="41">
        <v>3</v>
      </c>
      <c r="O1490" s="45">
        <v>12.42</v>
      </c>
      <c r="P1490" s="35">
        <v>100</v>
      </c>
      <c r="Q1490" s="40">
        <v>6450</v>
      </c>
      <c r="R1490" s="36">
        <f t="shared" si="236"/>
        <v>80109</v>
      </c>
      <c r="S1490" s="31">
        <v>5</v>
      </c>
      <c r="T1490" s="28">
        <f>(R1490*5/100)</f>
        <v>4005.45</v>
      </c>
      <c r="U1490" s="36">
        <f t="shared" si="237"/>
        <v>76103.55</v>
      </c>
      <c r="V1490" s="36">
        <f t="shared" si="238"/>
        <v>90076.05</v>
      </c>
      <c r="W1490" s="36">
        <f t="shared" si="239"/>
        <v>90076.05</v>
      </c>
      <c r="X1490" s="28">
        <v>0</v>
      </c>
      <c r="Y1490" s="28">
        <f t="shared" si="240"/>
        <v>90076.05</v>
      </c>
      <c r="Z1490" s="49">
        <v>3.0000000000000001E-3</v>
      </c>
    </row>
    <row r="1491" spans="1:26" s="29" customFormat="1" ht="90.75" customHeight="1" x14ac:dyDescent="0.25">
      <c r="A1491" s="20"/>
      <c r="B1491" s="20"/>
      <c r="C1491" s="20"/>
      <c r="D1491" s="21"/>
      <c r="E1491" s="21"/>
      <c r="F1491" s="22"/>
      <c r="G1491" s="23"/>
      <c r="H1491" s="36">
        <f t="shared" si="241"/>
        <v>6.4</v>
      </c>
      <c r="I1491" s="40">
        <v>4500</v>
      </c>
      <c r="J1491" s="65">
        <f t="shared" si="232"/>
        <v>28800</v>
      </c>
      <c r="K1491" s="30">
        <v>8</v>
      </c>
      <c r="L1491" s="31" t="s">
        <v>31</v>
      </c>
      <c r="M1491" s="31"/>
      <c r="N1491" s="41">
        <v>3</v>
      </c>
      <c r="O1491" s="45">
        <v>25.6</v>
      </c>
      <c r="P1491" s="35">
        <v>100</v>
      </c>
      <c r="Q1491" s="40">
        <v>2550</v>
      </c>
      <c r="R1491" s="36">
        <f t="shared" si="236"/>
        <v>65280</v>
      </c>
      <c r="S1491" s="31">
        <v>3</v>
      </c>
      <c r="T1491" s="28">
        <f>(R1491*3/100)</f>
        <v>1958.4</v>
      </c>
      <c r="U1491" s="36">
        <f t="shared" si="237"/>
        <v>63321.599999999999</v>
      </c>
      <c r="V1491" s="36">
        <f t="shared" si="238"/>
        <v>92121.600000000006</v>
      </c>
      <c r="W1491" s="36">
        <f t="shared" si="239"/>
        <v>92121.600000000006</v>
      </c>
      <c r="X1491" s="28">
        <v>0</v>
      </c>
      <c r="Y1491" s="28">
        <f t="shared" si="240"/>
        <v>92121.600000000006</v>
      </c>
      <c r="Z1491" s="49">
        <v>3.0000000000000001E-3</v>
      </c>
    </row>
    <row r="1492" spans="1:26" s="29" customFormat="1" ht="90.75" customHeight="1" x14ac:dyDescent="0.25">
      <c r="A1492" s="20">
        <v>1000</v>
      </c>
      <c r="B1492" s="20" t="s">
        <v>0</v>
      </c>
      <c r="C1492" s="20">
        <v>14623</v>
      </c>
      <c r="D1492" s="21">
        <v>75</v>
      </c>
      <c r="E1492" s="21">
        <v>0</v>
      </c>
      <c r="F1492" s="22">
        <v>26</v>
      </c>
      <c r="G1492" s="23" t="s">
        <v>198</v>
      </c>
      <c r="H1492" s="36">
        <f t="shared" ref="H1492:H1502" si="242">(D1492*400)+(E1492*100)+F1492</f>
        <v>30026</v>
      </c>
      <c r="I1492" s="25" t="s">
        <v>75</v>
      </c>
      <c r="J1492" s="65">
        <f t="shared" si="232"/>
        <v>18766250</v>
      </c>
      <c r="K1492" s="20"/>
      <c r="L1492" s="20"/>
      <c r="M1492" s="20"/>
      <c r="N1492" s="20"/>
      <c r="O1492" s="24"/>
      <c r="P1492" s="24"/>
      <c r="Q1492" s="25"/>
      <c r="R1492" s="24"/>
      <c r="S1492" s="20" t="s">
        <v>2</v>
      </c>
      <c r="T1492" s="27"/>
      <c r="U1492" s="20"/>
      <c r="V1492" s="36">
        <f t="shared" si="238"/>
        <v>18766250</v>
      </c>
      <c r="W1492" s="36">
        <f t="shared" si="239"/>
        <v>18766250</v>
      </c>
      <c r="X1492" s="28">
        <v>0</v>
      </c>
      <c r="Y1492" s="28">
        <f t="shared" si="240"/>
        <v>18766250</v>
      </c>
      <c r="Z1492" s="49">
        <v>1E-4</v>
      </c>
    </row>
    <row r="1493" spans="1:26" s="29" customFormat="1" ht="90.75" customHeight="1" x14ac:dyDescent="0.25">
      <c r="A1493" s="20">
        <v>1001</v>
      </c>
      <c r="B1493" s="20" t="s">
        <v>0</v>
      </c>
      <c r="C1493" s="20">
        <v>14627</v>
      </c>
      <c r="D1493" s="21">
        <v>32</v>
      </c>
      <c r="E1493" s="21">
        <v>2</v>
      </c>
      <c r="F1493" s="22">
        <v>66</v>
      </c>
      <c r="G1493" s="23" t="s">
        <v>198</v>
      </c>
      <c r="H1493" s="36">
        <f t="shared" si="242"/>
        <v>13066</v>
      </c>
      <c r="I1493" s="25" t="s">
        <v>9</v>
      </c>
      <c r="J1493" s="65">
        <f t="shared" si="232"/>
        <v>3919800</v>
      </c>
      <c r="K1493" s="20"/>
      <c r="L1493" s="20"/>
      <c r="M1493" s="20"/>
      <c r="N1493" s="20"/>
      <c r="O1493" s="24"/>
      <c r="P1493" s="24"/>
      <c r="Q1493" s="25"/>
      <c r="R1493" s="24"/>
      <c r="S1493" s="20"/>
      <c r="T1493" s="27"/>
      <c r="U1493" s="20"/>
      <c r="V1493" s="36">
        <f t="shared" si="238"/>
        <v>3919800</v>
      </c>
      <c r="W1493" s="36">
        <f t="shared" si="239"/>
        <v>3919800</v>
      </c>
      <c r="X1493" s="28">
        <v>0</v>
      </c>
      <c r="Y1493" s="28">
        <f t="shared" si="240"/>
        <v>3919800</v>
      </c>
      <c r="Z1493" s="49">
        <v>1E-4</v>
      </c>
    </row>
    <row r="1494" spans="1:26" s="29" customFormat="1" ht="90.75" customHeight="1" x14ac:dyDescent="0.25">
      <c r="A1494" s="20">
        <v>1002</v>
      </c>
      <c r="B1494" s="20" t="s">
        <v>0</v>
      </c>
      <c r="C1494" s="20">
        <v>14629</v>
      </c>
      <c r="D1494" s="21">
        <v>29</v>
      </c>
      <c r="E1494" s="21">
        <v>0</v>
      </c>
      <c r="F1494" s="22">
        <v>11</v>
      </c>
      <c r="G1494" s="23" t="s">
        <v>198</v>
      </c>
      <c r="H1494" s="36">
        <f t="shared" si="242"/>
        <v>11611</v>
      </c>
      <c r="I1494" s="25" t="s">
        <v>77</v>
      </c>
      <c r="J1494" s="65">
        <f t="shared" si="232"/>
        <v>8708250</v>
      </c>
      <c r="K1494" s="20"/>
      <c r="L1494" s="20"/>
      <c r="M1494" s="20"/>
      <c r="N1494" s="20"/>
      <c r="O1494" s="24"/>
      <c r="P1494" s="24"/>
      <c r="Q1494" s="25"/>
      <c r="R1494" s="24"/>
      <c r="S1494" s="20"/>
      <c r="T1494" s="27"/>
      <c r="U1494" s="20"/>
      <c r="V1494" s="36">
        <f t="shared" si="238"/>
        <v>8708250</v>
      </c>
      <c r="W1494" s="36">
        <f t="shared" si="239"/>
        <v>8708250</v>
      </c>
      <c r="X1494" s="28">
        <v>0</v>
      </c>
      <c r="Y1494" s="28">
        <f t="shared" si="240"/>
        <v>8708250</v>
      </c>
      <c r="Z1494" s="49">
        <v>1E-4</v>
      </c>
    </row>
    <row r="1495" spans="1:26" s="29" customFormat="1" ht="90.75" customHeight="1" x14ac:dyDescent="0.25">
      <c r="A1495" s="20">
        <v>1003</v>
      </c>
      <c r="B1495" s="20" t="s">
        <v>0</v>
      </c>
      <c r="C1495" s="20">
        <v>14766</v>
      </c>
      <c r="D1495" s="21">
        <v>25</v>
      </c>
      <c r="E1495" s="21">
        <v>0</v>
      </c>
      <c r="F1495" s="22">
        <v>54</v>
      </c>
      <c r="G1495" s="23" t="s">
        <v>198</v>
      </c>
      <c r="H1495" s="36">
        <f t="shared" si="242"/>
        <v>10054</v>
      </c>
      <c r="I1495" s="25" t="s">
        <v>75</v>
      </c>
      <c r="J1495" s="65">
        <f t="shared" si="232"/>
        <v>6283750</v>
      </c>
      <c r="K1495" s="20"/>
      <c r="L1495" s="20"/>
      <c r="M1495" s="20"/>
      <c r="N1495" s="20"/>
      <c r="O1495" s="24"/>
      <c r="P1495" s="24"/>
      <c r="Q1495" s="25"/>
      <c r="R1495" s="24"/>
      <c r="S1495" s="20"/>
      <c r="T1495" s="27"/>
      <c r="U1495" s="20"/>
      <c r="V1495" s="36">
        <f t="shared" si="238"/>
        <v>6283750</v>
      </c>
      <c r="W1495" s="36">
        <f t="shared" si="239"/>
        <v>6283750</v>
      </c>
      <c r="X1495" s="28">
        <v>0</v>
      </c>
      <c r="Y1495" s="28">
        <f t="shared" si="240"/>
        <v>6283750</v>
      </c>
      <c r="Z1495" s="49">
        <v>1E-4</v>
      </c>
    </row>
    <row r="1496" spans="1:26" s="29" customFormat="1" ht="90.75" customHeight="1" x14ac:dyDescent="0.25">
      <c r="A1496" s="20">
        <v>1004</v>
      </c>
      <c r="B1496" s="20" t="s">
        <v>0</v>
      </c>
      <c r="C1496" s="20">
        <v>14767</v>
      </c>
      <c r="D1496" s="21">
        <v>13</v>
      </c>
      <c r="E1496" s="21">
        <v>3</v>
      </c>
      <c r="F1496" s="22">
        <v>49</v>
      </c>
      <c r="G1496" s="23" t="s">
        <v>198</v>
      </c>
      <c r="H1496" s="36">
        <f t="shared" si="242"/>
        <v>5549</v>
      </c>
      <c r="I1496" s="25" t="s">
        <v>9</v>
      </c>
      <c r="J1496" s="65">
        <f t="shared" si="232"/>
        <v>1664700</v>
      </c>
      <c r="K1496" s="20"/>
      <c r="L1496" s="20"/>
      <c r="M1496" s="20"/>
      <c r="N1496" s="20"/>
      <c r="O1496" s="24"/>
      <c r="P1496" s="24"/>
      <c r="Q1496" s="25"/>
      <c r="R1496" s="24"/>
      <c r="S1496" s="20"/>
      <c r="T1496" s="27"/>
      <c r="U1496" s="20"/>
      <c r="V1496" s="36">
        <f t="shared" si="238"/>
        <v>1664700</v>
      </c>
      <c r="W1496" s="36">
        <f t="shared" si="239"/>
        <v>1664700</v>
      </c>
      <c r="X1496" s="28">
        <v>0</v>
      </c>
      <c r="Y1496" s="28">
        <f t="shared" si="240"/>
        <v>1664700</v>
      </c>
      <c r="Z1496" s="49">
        <v>1E-4</v>
      </c>
    </row>
    <row r="1497" spans="1:26" s="29" customFormat="1" ht="90.75" customHeight="1" x14ac:dyDescent="0.25">
      <c r="A1497" s="20">
        <v>1005</v>
      </c>
      <c r="B1497" s="20" t="s">
        <v>0</v>
      </c>
      <c r="C1497" s="20">
        <v>21207</v>
      </c>
      <c r="D1497" s="21">
        <v>6</v>
      </c>
      <c r="E1497" s="21">
        <v>0</v>
      </c>
      <c r="F1497" s="22">
        <v>29</v>
      </c>
      <c r="G1497" s="23" t="s">
        <v>198</v>
      </c>
      <c r="H1497" s="36">
        <f t="shared" si="242"/>
        <v>2429</v>
      </c>
      <c r="I1497" s="25">
        <v>925</v>
      </c>
      <c r="J1497" s="65">
        <f t="shared" si="232"/>
        <v>2246825</v>
      </c>
      <c r="K1497" s="20"/>
      <c r="L1497" s="20"/>
      <c r="M1497" s="20"/>
      <c r="N1497" s="20"/>
      <c r="O1497" s="24"/>
      <c r="P1497" s="24"/>
      <c r="Q1497" s="25"/>
      <c r="R1497" s="24"/>
      <c r="S1497" s="20"/>
      <c r="T1497" s="27"/>
      <c r="U1497" s="20"/>
      <c r="V1497" s="36">
        <f t="shared" si="238"/>
        <v>2246825</v>
      </c>
      <c r="W1497" s="36">
        <f t="shared" si="239"/>
        <v>2246825</v>
      </c>
      <c r="X1497" s="28">
        <v>0</v>
      </c>
      <c r="Y1497" s="28">
        <f t="shared" si="240"/>
        <v>2246825</v>
      </c>
      <c r="Z1497" s="49">
        <v>1E-4</v>
      </c>
    </row>
    <row r="1498" spans="1:26" s="29" customFormat="1" ht="90.75" customHeight="1" x14ac:dyDescent="0.25">
      <c r="A1498" s="20">
        <v>1006</v>
      </c>
      <c r="B1498" s="20" t="s">
        <v>0</v>
      </c>
      <c r="C1498" s="20">
        <v>14779</v>
      </c>
      <c r="D1498" s="21">
        <v>18</v>
      </c>
      <c r="E1498" s="21">
        <v>3</v>
      </c>
      <c r="F1498" s="22">
        <v>53</v>
      </c>
      <c r="G1498" s="23" t="s">
        <v>198</v>
      </c>
      <c r="H1498" s="36">
        <f t="shared" si="242"/>
        <v>7553</v>
      </c>
      <c r="I1498" s="25" t="s">
        <v>75</v>
      </c>
      <c r="J1498" s="65">
        <f t="shared" si="232"/>
        <v>4720625</v>
      </c>
      <c r="K1498" s="20"/>
      <c r="L1498" s="20"/>
      <c r="M1498" s="20"/>
      <c r="N1498" s="20"/>
      <c r="O1498" s="24"/>
      <c r="P1498" s="24"/>
      <c r="Q1498" s="25"/>
      <c r="R1498" s="24"/>
      <c r="S1498" s="20"/>
      <c r="T1498" s="27"/>
      <c r="U1498" s="20"/>
      <c r="V1498" s="36">
        <f t="shared" si="238"/>
        <v>4720625</v>
      </c>
      <c r="W1498" s="36">
        <f t="shared" si="239"/>
        <v>4720625</v>
      </c>
      <c r="X1498" s="28">
        <v>0</v>
      </c>
      <c r="Y1498" s="28">
        <f t="shared" si="240"/>
        <v>4720625</v>
      </c>
      <c r="Z1498" s="49">
        <v>1E-4</v>
      </c>
    </row>
    <row r="1499" spans="1:26" s="29" customFormat="1" ht="90.75" customHeight="1" x14ac:dyDescent="0.25">
      <c r="A1499" s="20">
        <v>1007</v>
      </c>
      <c r="B1499" s="20" t="s">
        <v>0</v>
      </c>
      <c r="C1499" s="20">
        <v>14630</v>
      </c>
      <c r="D1499" s="21">
        <v>32</v>
      </c>
      <c r="E1499" s="21">
        <v>2</v>
      </c>
      <c r="F1499" s="22">
        <v>90</v>
      </c>
      <c r="G1499" s="23" t="s">
        <v>198</v>
      </c>
      <c r="H1499" s="36">
        <f t="shared" si="242"/>
        <v>13090</v>
      </c>
      <c r="I1499" s="25" t="s">
        <v>75</v>
      </c>
      <c r="J1499" s="65">
        <f t="shared" si="232"/>
        <v>8181250</v>
      </c>
      <c r="K1499" s="20"/>
      <c r="L1499" s="20"/>
      <c r="M1499" s="20"/>
      <c r="N1499" s="20"/>
      <c r="O1499" s="24"/>
      <c r="P1499" s="24"/>
      <c r="Q1499" s="25"/>
      <c r="R1499" s="24"/>
      <c r="S1499" s="20"/>
      <c r="T1499" s="27"/>
      <c r="U1499" s="20"/>
      <c r="V1499" s="36">
        <f t="shared" si="238"/>
        <v>8181250</v>
      </c>
      <c r="W1499" s="36">
        <f t="shared" si="239"/>
        <v>8181250</v>
      </c>
      <c r="X1499" s="28">
        <v>0</v>
      </c>
      <c r="Y1499" s="28">
        <f t="shared" si="240"/>
        <v>8181250</v>
      </c>
      <c r="Z1499" s="49">
        <v>1E-4</v>
      </c>
    </row>
    <row r="1500" spans="1:26" s="29" customFormat="1" ht="90.75" customHeight="1" x14ac:dyDescent="0.25">
      <c r="A1500" s="20">
        <v>1008</v>
      </c>
      <c r="B1500" s="20" t="s">
        <v>0</v>
      </c>
      <c r="C1500" s="20">
        <v>14780</v>
      </c>
      <c r="D1500" s="21">
        <v>33</v>
      </c>
      <c r="E1500" s="21">
        <v>1</v>
      </c>
      <c r="F1500" s="22">
        <v>83</v>
      </c>
      <c r="G1500" s="23" t="s">
        <v>198</v>
      </c>
      <c r="H1500" s="36">
        <f t="shared" si="242"/>
        <v>13383</v>
      </c>
      <c r="I1500" s="25" t="s">
        <v>53</v>
      </c>
      <c r="J1500" s="65">
        <f t="shared" si="232"/>
        <v>6022350</v>
      </c>
      <c r="K1500" s="20"/>
      <c r="L1500" s="20"/>
      <c r="M1500" s="20"/>
      <c r="N1500" s="20"/>
      <c r="O1500" s="24"/>
      <c r="P1500" s="24"/>
      <c r="Q1500" s="25"/>
      <c r="R1500" s="24"/>
      <c r="S1500" s="20"/>
      <c r="T1500" s="27"/>
      <c r="U1500" s="20"/>
      <c r="V1500" s="36">
        <f t="shared" si="238"/>
        <v>6022350</v>
      </c>
      <c r="W1500" s="36">
        <f t="shared" si="239"/>
        <v>6022350</v>
      </c>
      <c r="X1500" s="28">
        <v>0</v>
      </c>
      <c r="Y1500" s="28">
        <f t="shared" si="240"/>
        <v>6022350</v>
      </c>
      <c r="Z1500" s="49">
        <v>1E-4</v>
      </c>
    </row>
    <row r="1501" spans="1:26" s="29" customFormat="1" ht="90.75" customHeight="1" x14ac:dyDescent="0.25">
      <c r="A1501" s="20">
        <v>1009</v>
      </c>
      <c r="B1501" s="20" t="s">
        <v>0</v>
      </c>
      <c r="C1501" s="20">
        <v>14415</v>
      </c>
      <c r="D1501" s="21">
        <v>35</v>
      </c>
      <c r="E1501" s="21">
        <v>1</v>
      </c>
      <c r="F1501" s="22">
        <v>55</v>
      </c>
      <c r="G1501" s="23" t="s">
        <v>198</v>
      </c>
      <c r="H1501" s="36">
        <f t="shared" si="242"/>
        <v>14155</v>
      </c>
      <c r="I1501" s="25" t="s">
        <v>75</v>
      </c>
      <c r="J1501" s="65">
        <f t="shared" si="232"/>
        <v>8846875</v>
      </c>
      <c r="K1501" s="20"/>
      <c r="L1501" s="20"/>
      <c r="M1501" s="20"/>
      <c r="N1501" s="20"/>
      <c r="O1501" s="24"/>
      <c r="P1501" s="24"/>
      <c r="Q1501" s="25"/>
      <c r="R1501" s="24"/>
      <c r="S1501" s="20"/>
      <c r="T1501" s="27"/>
      <c r="U1501" s="20"/>
      <c r="V1501" s="36">
        <f t="shared" si="238"/>
        <v>8846875</v>
      </c>
      <c r="W1501" s="36">
        <f t="shared" si="239"/>
        <v>8846875</v>
      </c>
      <c r="X1501" s="28">
        <v>0</v>
      </c>
      <c r="Y1501" s="28">
        <f t="shared" si="240"/>
        <v>8846875</v>
      </c>
      <c r="Z1501" s="49">
        <v>1E-4</v>
      </c>
    </row>
    <row r="1502" spans="1:26" s="29" customFormat="1" ht="90.75" customHeight="1" x14ac:dyDescent="0.25">
      <c r="A1502" s="20">
        <v>1010</v>
      </c>
      <c r="B1502" s="20" t="s">
        <v>0</v>
      </c>
      <c r="C1502" s="20">
        <v>14066</v>
      </c>
      <c r="D1502" s="21">
        <v>39</v>
      </c>
      <c r="E1502" s="21">
        <v>0</v>
      </c>
      <c r="F1502" s="22">
        <v>63</v>
      </c>
      <c r="G1502" s="23" t="s">
        <v>198</v>
      </c>
      <c r="H1502" s="36">
        <f t="shared" si="242"/>
        <v>15663</v>
      </c>
      <c r="I1502" s="25" t="s">
        <v>75</v>
      </c>
      <c r="J1502" s="65">
        <f t="shared" si="232"/>
        <v>9789375</v>
      </c>
      <c r="K1502" s="20"/>
      <c r="L1502" s="20"/>
      <c r="M1502" s="20"/>
      <c r="N1502" s="20"/>
      <c r="O1502" s="24"/>
      <c r="P1502" s="24"/>
      <c r="Q1502" s="25"/>
      <c r="R1502" s="24"/>
      <c r="S1502" s="20"/>
      <c r="T1502" s="27"/>
      <c r="U1502" s="20"/>
      <c r="V1502" s="36">
        <f t="shared" si="238"/>
        <v>9789375</v>
      </c>
      <c r="W1502" s="36">
        <f t="shared" si="239"/>
        <v>9789375</v>
      </c>
      <c r="X1502" s="28">
        <v>0</v>
      </c>
      <c r="Y1502" s="28">
        <f t="shared" si="240"/>
        <v>9789375</v>
      </c>
      <c r="Z1502" s="49">
        <v>1E-4</v>
      </c>
    </row>
    <row r="1503" spans="1:26" s="29" customFormat="1" ht="90.75" customHeight="1" x14ac:dyDescent="0.25">
      <c r="A1503" s="20">
        <v>1011</v>
      </c>
      <c r="B1503" s="20" t="s">
        <v>0</v>
      </c>
      <c r="C1503" s="20">
        <v>47933</v>
      </c>
      <c r="D1503" s="21">
        <v>375</v>
      </c>
      <c r="E1503" s="21">
        <v>1</v>
      </c>
      <c r="F1503" s="22">
        <v>72</v>
      </c>
      <c r="G1503" s="23"/>
      <c r="H1503" s="24"/>
      <c r="I1503" s="25"/>
      <c r="J1503" s="24"/>
      <c r="K1503" s="20"/>
      <c r="L1503" s="20"/>
      <c r="M1503" s="20"/>
      <c r="N1503" s="20"/>
      <c r="O1503" s="24"/>
      <c r="P1503" s="24"/>
      <c r="Q1503" s="25"/>
      <c r="R1503" s="24"/>
      <c r="S1503" s="20"/>
      <c r="T1503" s="27"/>
      <c r="U1503" s="20"/>
      <c r="V1503" s="20"/>
      <c r="W1503" s="26"/>
      <c r="X1503" s="27"/>
      <c r="Y1503" s="20"/>
      <c r="Z1503" s="20"/>
    </row>
    <row r="1504" spans="1:26" s="29" customFormat="1" ht="90.75" customHeight="1" x14ac:dyDescent="0.25">
      <c r="A1504" s="20"/>
      <c r="B1504" s="31" t="s">
        <v>0</v>
      </c>
      <c r="C1504" s="31">
        <v>47933</v>
      </c>
      <c r="D1504" s="41">
        <v>1</v>
      </c>
      <c r="E1504" s="41">
        <v>2</v>
      </c>
      <c r="F1504" s="43">
        <v>48</v>
      </c>
      <c r="G1504" s="21" t="s">
        <v>209</v>
      </c>
      <c r="H1504" s="36">
        <f t="shared" ref="H1504:H1510" si="243">(O1504*0.25)</f>
        <v>648</v>
      </c>
      <c r="I1504" s="40">
        <v>4500</v>
      </c>
      <c r="J1504" s="28">
        <f t="shared" ref="J1504:J1512" si="244">(H1504*I1504)</f>
        <v>2916000</v>
      </c>
      <c r="K1504" s="37">
        <v>1</v>
      </c>
      <c r="L1504" s="31" t="s">
        <v>15</v>
      </c>
      <c r="M1504" s="48" t="s">
        <v>13</v>
      </c>
      <c r="N1504" s="51">
        <v>3</v>
      </c>
      <c r="O1504" s="45">
        <v>2592</v>
      </c>
      <c r="P1504" s="35">
        <v>100</v>
      </c>
      <c r="Q1504" s="40">
        <v>5950</v>
      </c>
      <c r="R1504" s="36">
        <f t="shared" ref="R1504:R1510" si="245">(O1504*Q1504)</f>
        <v>15422400</v>
      </c>
      <c r="S1504" s="37">
        <v>7</v>
      </c>
      <c r="T1504" s="28">
        <f t="shared" ref="T1504:T1510" si="246">(R1504*7/100)</f>
        <v>1079568</v>
      </c>
      <c r="U1504" s="36">
        <f t="shared" ref="U1504:U1510" si="247">(R1504-T1504)</f>
        <v>14342832</v>
      </c>
      <c r="V1504" s="36">
        <f t="shared" ref="V1504:V1512" si="248">(J1504+U1504)</f>
        <v>17258832</v>
      </c>
      <c r="W1504" s="36">
        <f t="shared" ref="W1504:W1512" si="249">(V1504*100/100)</f>
        <v>17258832</v>
      </c>
      <c r="X1504" s="28">
        <v>0</v>
      </c>
      <c r="Y1504" s="28">
        <f t="shared" ref="Y1504:Y1512" si="250">(W1504-X1504)</f>
        <v>17258832</v>
      </c>
      <c r="Z1504" s="49">
        <v>3.0000000000000001E-3</v>
      </c>
    </row>
    <row r="1505" spans="1:26" s="29" customFormat="1" ht="90.75" customHeight="1" x14ac:dyDescent="0.25">
      <c r="A1505" s="20"/>
      <c r="B1505" s="31" t="s">
        <v>0</v>
      </c>
      <c r="C1505" s="31">
        <v>47933</v>
      </c>
      <c r="D1505" s="41">
        <v>0</v>
      </c>
      <c r="E1505" s="41">
        <v>1</v>
      </c>
      <c r="F1505" s="43">
        <v>12.5</v>
      </c>
      <c r="G1505" s="21" t="s">
        <v>209</v>
      </c>
      <c r="H1505" s="36">
        <f t="shared" si="243"/>
        <v>12.5</v>
      </c>
      <c r="I1505" s="40">
        <v>4500</v>
      </c>
      <c r="J1505" s="28">
        <f t="shared" si="244"/>
        <v>56250</v>
      </c>
      <c r="K1505" s="37">
        <v>2</v>
      </c>
      <c r="L1505" s="31" t="s">
        <v>15</v>
      </c>
      <c r="M1505" s="48"/>
      <c r="N1505" s="51">
        <v>3</v>
      </c>
      <c r="O1505" s="45">
        <v>50</v>
      </c>
      <c r="P1505" s="35">
        <v>100</v>
      </c>
      <c r="Q1505" s="40">
        <v>5950</v>
      </c>
      <c r="R1505" s="36">
        <f t="shared" si="245"/>
        <v>297500</v>
      </c>
      <c r="S1505" s="37">
        <v>7</v>
      </c>
      <c r="T1505" s="28">
        <f t="shared" si="246"/>
        <v>20825</v>
      </c>
      <c r="U1505" s="36">
        <f t="shared" si="247"/>
        <v>276675</v>
      </c>
      <c r="V1505" s="36">
        <f t="shared" si="248"/>
        <v>332925</v>
      </c>
      <c r="W1505" s="36">
        <f t="shared" si="249"/>
        <v>332925</v>
      </c>
      <c r="X1505" s="28">
        <v>0</v>
      </c>
      <c r="Y1505" s="28">
        <f t="shared" si="250"/>
        <v>332925</v>
      </c>
      <c r="Z1505" s="49">
        <v>3.0000000000000001E-3</v>
      </c>
    </row>
    <row r="1506" spans="1:26" s="29" customFormat="1" ht="90.75" customHeight="1" x14ac:dyDescent="0.25">
      <c r="A1506" s="20"/>
      <c r="B1506" s="31" t="s">
        <v>0</v>
      </c>
      <c r="C1506" s="31">
        <v>47933</v>
      </c>
      <c r="D1506" s="41">
        <v>0</v>
      </c>
      <c r="E1506" s="41">
        <v>1</v>
      </c>
      <c r="F1506" s="43">
        <v>16.25</v>
      </c>
      <c r="G1506" s="21" t="s">
        <v>209</v>
      </c>
      <c r="H1506" s="36">
        <f t="shared" si="243"/>
        <v>16.25</v>
      </c>
      <c r="I1506" s="40">
        <v>4500</v>
      </c>
      <c r="J1506" s="28">
        <f t="shared" si="244"/>
        <v>73125</v>
      </c>
      <c r="K1506" s="37">
        <v>3</v>
      </c>
      <c r="L1506" s="31" t="s">
        <v>31</v>
      </c>
      <c r="M1506" s="48"/>
      <c r="N1506" s="51">
        <v>3</v>
      </c>
      <c r="O1506" s="45">
        <v>65</v>
      </c>
      <c r="P1506" s="35">
        <v>100</v>
      </c>
      <c r="Q1506" s="40">
        <v>2550</v>
      </c>
      <c r="R1506" s="36">
        <f t="shared" si="245"/>
        <v>165750</v>
      </c>
      <c r="S1506" s="37">
        <v>7</v>
      </c>
      <c r="T1506" s="28">
        <f t="shared" si="246"/>
        <v>11602.5</v>
      </c>
      <c r="U1506" s="36">
        <f t="shared" si="247"/>
        <v>154147.5</v>
      </c>
      <c r="V1506" s="36">
        <f t="shared" si="248"/>
        <v>227272.5</v>
      </c>
      <c r="W1506" s="36">
        <f t="shared" si="249"/>
        <v>227272.5</v>
      </c>
      <c r="X1506" s="28">
        <v>0</v>
      </c>
      <c r="Y1506" s="28">
        <f t="shared" si="250"/>
        <v>227272.5</v>
      </c>
      <c r="Z1506" s="49">
        <v>3.0000000000000001E-3</v>
      </c>
    </row>
    <row r="1507" spans="1:26" s="29" customFormat="1" ht="90.75" customHeight="1" x14ac:dyDescent="0.25">
      <c r="A1507" s="20"/>
      <c r="B1507" s="31" t="s">
        <v>0</v>
      </c>
      <c r="C1507" s="31">
        <v>47933</v>
      </c>
      <c r="D1507" s="41">
        <v>0</v>
      </c>
      <c r="E1507" s="41">
        <v>0</v>
      </c>
      <c r="F1507" s="43">
        <v>10</v>
      </c>
      <c r="G1507" s="21" t="s">
        <v>209</v>
      </c>
      <c r="H1507" s="36">
        <f t="shared" si="243"/>
        <v>10</v>
      </c>
      <c r="I1507" s="40">
        <v>4500</v>
      </c>
      <c r="J1507" s="28">
        <f t="shared" si="244"/>
        <v>45000</v>
      </c>
      <c r="K1507" s="37">
        <v>4</v>
      </c>
      <c r="L1507" s="31" t="s">
        <v>63</v>
      </c>
      <c r="M1507" s="48"/>
      <c r="N1507" s="51">
        <v>3</v>
      </c>
      <c r="O1507" s="45">
        <v>40</v>
      </c>
      <c r="P1507" s="35">
        <v>100</v>
      </c>
      <c r="Q1507" s="40">
        <v>5150</v>
      </c>
      <c r="R1507" s="36">
        <f t="shared" si="245"/>
        <v>206000</v>
      </c>
      <c r="S1507" s="37">
        <v>7</v>
      </c>
      <c r="T1507" s="28">
        <f t="shared" si="246"/>
        <v>14420</v>
      </c>
      <c r="U1507" s="36">
        <f t="shared" si="247"/>
        <v>191580</v>
      </c>
      <c r="V1507" s="36">
        <f t="shared" si="248"/>
        <v>236580</v>
      </c>
      <c r="W1507" s="36">
        <f t="shared" si="249"/>
        <v>236580</v>
      </c>
      <c r="X1507" s="28">
        <v>0</v>
      </c>
      <c r="Y1507" s="28">
        <f t="shared" si="250"/>
        <v>236580</v>
      </c>
      <c r="Z1507" s="49">
        <v>3.0000000000000001E-3</v>
      </c>
    </row>
    <row r="1508" spans="1:26" s="29" customFormat="1" ht="90.75" customHeight="1" x14ac:dyDescent="0.25">
      <c r="A1508" s="20"/>
      <c r="B1508" s="31" t="s">
        <v>0</v>
      </c>
      <c r="C1508" s="31">
        <v>47933</v>
      </c>
      <c r="D1508" s="41">
        <v>0</v>
      </c>
      <c r="E1508" s="41">
        <v>1</v>
      </c>
      <c r="F1508" s="43">
        <v>76.25</v>
      </c>
      <c r="G1508" s="21" t="s">
        <v>209</v>
      </c>
      <c r="H1508" s="36">
        <f t="shared" si="243"/>
        <v>176.25</v>
      </c>
      <c r="I1508" s="40">
        <v>4500</v>
      </c>
      <c r="J1508" s="28">
        <f t="shared" si="244"/>
        <v>793125</v>
      </c>
      <c r="K1508" s="37">
        <v>5</v>
      </c>
      <c r="L1508" s="31" t="s">
        <v>15</v>
      </c>
      <c r="M1508" s="48"/>
      <c r="N1508" s="51">
        <v>3</v>
      </c>
      <c r="O1508" s="45">
        <v>705</v>
      </c>
      <c r="P1508" s="35">
        <v>100</v>
      </c>
      <c r="Q1508" s="40">
        <v>5950</v>
      </c>
      <c r="R1508" s="36">
        <f t="shared" si="245"/>
        <v>4194750</v>
      </c>
      <c r="S1508" s="37">
        <v>7</v>
      </c>
      <c r="T1508" s="28">
        <f t="shared" si="246"/>
        <v>293632.5</v>
      </c>
      <c r="U1508" s="36">
        <f t="shared" si="247"/>
        <v>3901117.5</v>
      </c>
      <c r="V1508" s="36">
        <f t="shared" si="248"/>
        <v>4694242.5</v>
      </c>
      <c r="W1508" s="36">
        <f t="shared" si="249"/>
        <v>4694242.5</v>
      </c>
      <c r="X1508" s="28">
        <v>0</v>
      </c>
      <c r="Y1508" s="28">
        <f t="shared" si="250"/>
        <v>4694242.5</v>
      </c>
      <c r="Z1508" s="49">
        <v>3.0000000000000001E-3</v>
      </c>
    </row>
    <row r="1509" spans="1:26" s="29" customFormat="1" ht="90.75" customHeight="1" x14ac:dyDescent="0.25">
      <c r="A1509" s="20"/>
      <c r="B1509" s="31" t="s">
        <v>0</v>
      </c>
      <c r="C1509" s="31">
        <v>47933</v>
      </c>
      <c r="D1509" s="41">
        <v>0</v>
      </c>
      <c r="E1509" s="41">
        <v>1</v>
      </c>
      <c r="F1509" s="43">
        <v>37.5</v>
      </c>
      <c r="G1509" s="21" t="s">
        <v>209</v>
      </c>
      <c r="H1509" s="36">
        <f t="shared" si="243"/>
        <v>1</v>
      </c>
      <c r="I1509" s="40">
        <v>4500</v>
      </c>
      <c r="J1509" s="28">
        <f t="shared" si="244"/>
        <v>4500</v>
      </c>
      <c r="K1509" s="37">
        <v>6</v>
      </c>
      <c r="L1509" s="31" t="s">
        <v>15</v>
      </c>
      <c r="M1509" s="48"/>
      <c r="N1509" s="51">
        <v>3</v>
      </c>
      <c r="O1509" s="45">
        <v>4</v>
      </c>
      <c r="P1509" s="35">
        <v>100</v>
      </c>
      <c r="Q1509" s="40">
        <v>5950</v>
      </c>
      <c r="R1509" s="36">
        <f t="shared" si="245"/>
        <v>23800</v>
      </c>
      <c r="S1509" s="37">
        <v>7</v>
      </c>
      <c r="T1509" s="28">
        <f t="shared" si="246"/>
        <v>1666</v>
      </c>
      <c r="U1509" s="36">
        <f t="shared" si="247"/>
        <v>22134</v>
      </c>
      <c r="V1509" s="36">
        <f t="shared" si="248"/>
        <v>26634</v>
      </c>
      <c r="W1509" s="36">
        <f t="shared" si="249"/>
        <v>26634</v>
      </c>
      <c r="X1509" s="28">
        <v>0</v>
      </c>
      <c r="Y1509" s="28">
        <f t="shared" si="250"/>
        <v>26634</v>
      </c>
      <c r="Z1509" s="49">
        <v>3.0000000000000001E-3</v>
      </c>
    </row>
    <row r="1510" spans="1:26" s="29" customFormat="1" ht="90.75" customHeight="1" x14ac:dyDescent="0.25">
      <c r="A1510" s="20"/>
      <c r="B1510" s="31" t="s">
        <v>0</v>
      </c>
      <c r="C1510" s="31">
        <v>47933</v>
      </c>
      <c r="D1510" s="41">
        <v>0</v>
      </c>
      <c r="E1510" s="41">
        <v>1</v>
      </c>
      <c r="F1510" s="43">
        <v>37.5</v>
      </c>
      <c r="G1510" s="21" t="s">
        <v>209</v>
      </c>
      <c r="H1510" s="36">
        <f t="shared" si="243"/>
        <v>1</v>
      </c>
      <c r="I1510" s="40">
        <v>4500</v>
      </c>
      <c r="J1510" s="28">
        <f t="shared" si="244"/>
        <v>4500</v>
      </c>
      <c r="K1510" s="37">
        <v>7</v>
      </c>
      <c r="L1510" s="31" t="s">
        <v>15</v>
      </c>
      <c r="M1510" s="48"/>
      <c r="N1510" s="51">
        <v>3</v>
      </c>
      <c r="O1510" s="45">
        <v>4</v>
      </c>
      <c r="P1510" s="35">
        <v>100</v>
      </c>
      <c r="Q1510" s="40">
        <v>5950</v>
      </c>
      <c r="R1510" s="36">
        <f t="shared" si="245"/>
        <v>23800</v>
      </c>
      <c r="S1510" s="37">
        <v>7</v>
      </c>
      <c r="T1510" s="28">
        <f t="shared" si="246"/>
        <v>1666</v>
      </c>
      <c r="U1510" s="36">
        <f t="shared" si="247"/>
        <v>22134</v>
      </c>
      <c r="V1510" s="36">
        <f t="shared" si="248"/>
        <v>26634</v>
      </c>
      <c r="W1510" s="36">
        <f t="shared" si="249"/>
        <v>26634</v>
      </c>
      <c r="X1510" s="28">
        <v>0</v>
      </c>
      <c r="Y1510" s="28">
        <f t="shared" si="250"/>
        <v>26634</v>
      </c>
      <c r="Z1510" s="49">
        <v>3.0000000000000001E-3</v>
      </c>
    </row>
    <row r="1511" spans="1:26" s="29" customFormat="1" ht="90.75" customHeight="1" x14ac:dyDescent="0.25">
      <c r="A1511" s="20"/>
      <c r="B1511" s="31" t="s">
        <v>0</v>
      </c>
      <c r="C1511" s="31">
        <v>47933</v>
      </c>
      <c r="D1511" s="41">
        <v>177</v>
      </c>
      <c r="E1511" s="41">
        <v>1</v>
      </c>
      <c r="F1511" s="43">
        <v>4.87</v>
      </c>
      <c r="G1511" s="21" t="s">
        <v>209</v>
      </c>
      <c r="H1511" s="36">
        <v>84283.18</v>
      </c>
      <c r="I1511" s="40">
        <v>4500</v>
      </c>
      <c r="J1511" s="28">
        <f t="shared" si="244"/>
        <v>379274309.99999994</v>
      </c>
      <c r="K1511" s="37"/>
      <c r="L1511" s="36"/>
      <c r="M1511" s="48"/>
      <c r="N1511" s="51"/>
      <c r="O1511" s="45"/>
      <c r="P1511" s="35"/>
      <c r="Q1511" s="40"/>
      <c r="R1511" s="36"/>
      <c r="S1511" s="37"/>
      <c r="T1511" s="28"/>
      <c r="U1511" s="36"/>
      <c r="V1511" s="36">
        <f t="shared" si="248"/>
        <v>379274309.99999994</v>
      </c>
      <c r="W1511" s="36">
        <f t="shared" si="249"/>
        <v>379274309.99999994</v>
      </c>
      <c r="X1511" s="28">
        <v>0</v>
      </c>
      <c r="Y1511" s="28">
        <f t="shared" si="250"/>
        <v>379274309.99999994</v>
      </c>
      <c r="Z1511" s="27" t="s">
        <v>276</v>
      </c>
    </row>
    <row r="1512" spans="1:26" s="29" customFormat="1" ht="90.75" customHeight="1" x14ac:dyDescent="0.25">
      <c r="A1512" s="20"/>
      <c r="B1512" s="31" t="s">
        <v>0</v>
      </c>
      <c r="C1512" s="31">
        <v>47933</v>
      </c>
      <c r="D1512" s="41">
        <v>162</v>
      </c>
      <c r="E1512" s="41">
        <v>2</v>
      </c>
      <c r="F1512" s="43">
        <v>23.82</v>
      </c>
      <c r="G1512" s="22" t="s">
        <v>210</v>
      </c>
      <c r="H1512" s="36">
        <f>(D1512*400)+(E1512*100)+F1512</f>
        <v>65023.82</v>
      </c>
      <c r="I1512" s="40">
        <v>4500</v>
      </c>
      <c r="J1512" s="28">
        <f t="shared" si="244"/>
        <v>292607190</v>
      </c>
      <c r="K1512" s="37"/>
      <c r="L1512" s="36"/>
      <c r="M1512" s="48"/>
      <c r="N1512" s="51"/>
      <c r="O1512" s="45"/>
      <c r="P1512" s="35"/>
      <c r="Q1512" s="40"/>
      <c r="R1512" s="36"/>
      <c r="S1512" s="37"/>
      <c r="T1512" s="28"/>
      <c r="U1512" s="36"/>
      <c r="V1512" s="36">
        <f t="shared" si="248"/>
        <v>292607190</v>
      </c>
      <c r="W1512" s="36">
        <f t="shared" si="249"/>
        <v>292607190</v>
      </c>
      <c r="X1512" s="28">
        <v>0</v>
      </c>
      <c r="Y1512" s="28">
        <f t="shared" si="250"/>
        <v>292607190</v>
      </c>
      <c r="Z1512" s="49" t="s">
        <v>277</v>
      </c>
    </row>
    <row r="1513" spans="1:26" s="29" customFormat="1" ht="90.75" customHeight="1" x14ac:dyDescent="0.25">
      <c r="A1513" s="20">
        <v>1012</v>
      </c>
      <c r="B1513" s="20" t="s">
        <v>0</v>
      </c>
      <c r="C1513" s="20">
        <v>47934</v>
      </c>
      <c r="D1513" s="21">
        <v>410</v>
      </c>
      <c r="E1513" s="21">
        <v>1</v>
      </c>
      <c r="F1513" s="22">
        <v>55</v>
      </c>
      <c r="G1513" s="23"/>
      <c r="H1513" s="24"/>
      <c r="I1513" s="25"/>
      <c r="J1513" s="24"/>
      <c r="K1513" s="20"/>
      <c r="L1513" s="20"/>
      <c r="M1513" s="20"/>
      <c r="N1513" s="20"/>
      <c r="O1513" s="24"/>
      <c r="P1513" s="24"/>
      <c r="Q1513" s="25"/>
      <c r="R1513" s="24"/>
      <c r="S1513" s="20"/>
      <c r="T1513" s="27"/>
      <c r="U1513" s="20"/>
      <c r="V1513" s="20"/>
      <c r="W1513" s="26"/>
      <c r="X1513" s="27"/>
      <c r="Y1513" s="27"/>
      <c r="Z1513" s="49"/>
    </row>
    <row r="1514" spans="1:26" s="29" customFormat="1" ht="90.75" customHeight="1" x14ac:dyDescent="0.25">
      <c r="A1514" s="20"/>
      <c r="B1514" s="20" t="s">
        <v>0</v>
      </c>
      <c r="C1514" s="20">
        <v>47934</v>
      </c>
      <c r="D1514" s="21">
        <v>18</v>
      </c>
      <c r="E1514" s="21">
        <v>2</v>
      </c>
      <c r="F1514" s="22">
        <v>94.5</v>
      </c>
      <c r="G1514" s="21" t="s">
        <v>209</v>
      </c>
      <c r="H1514" s="24">
        <v>7494.5</v>
      </c>
      <c r="I1514" s="25">
        <v>4500</v>
      </c>
      <c r="J1514" s="24">
        <v>33725250</v>
      </c>
      <c r="K1514" s="20">
        <v>1</v>
      </c>
      <c r="L1514" s="20" t="s">
        <v>15</v>
      </c>
      <c r="M1514" s="20"/>
      <c r="N1514" s="20">
        <v>3</v>
      </c>
      <c r="O1514" s="24">
        <v>29978</v>
      </c>
      <c r="P1514" s="24">
        <v>100</v>
      </c>
      <c r="Q1514" s="25">
        <v>5950</v>
      </c>
      <c r="R1514" s="24">
        <v>178369100</v>
      </c>
      <c r="S1514" s="20">
        <v>7</v>
      </c>
      <c r="T1514" s="28">
        <f t="shared" ref="T1514:T1530" si="251">(R1514*7/100)</f>
        <v>12485837</v>
      </c>
      <c r="U1514" s="27">
        <f t="shared" ref="U1514:U1530" si="252">(R1514-T1514)</f>
        <v>165883263</v>
      </c>
      <c r="V1514" s="27">
        <f t="shared" ref="V1514:V1532" si="253">(J1514+U1514)</f>
        <v>199608513</v>
      </c>
      <c r="W1514" s="26">
        <f t="shared" ref="W1514:W1532" si="254">(V1514*100/100)</f>
        <v>199608513</v>
      </c>
      <c r="X1514" s="27">
        <v>0</v>
      </c>
      <c r="Y1514" s="78">
        <f t="shared" ref="Y1514:Y1530" si="255">(W1514-X1514)</f>
        <v>199608513</v>
      </c>
      <c r="Z1514" s="20" t="s">
        <v>264</v>
      </c>
    </row>
    <row r="1515" spans="1:26" s="29" customFormat="1" ht="90.75" customHeight="1" x14ac:dyDescent="0.25">
      <c r="A1515" s="20"/>
      <c r="B1515" s="20" t="s">
        <v>0</v>
      </c>
      <c r="C1515" s="20">
        <v>47934</v>
      </c>
      <c r="D1515" s="21">
        <v>6</v>
      </c>
      <c r="E1515" s="21">
        <v>0</v>
      </c>
      <c r="F1515" s="22">
        <v>52.5</v>
      </c>
      <c r="G1515" s="21" t="s">
        <v>209</v>
      </c>
      <c r="H1515" s="24">
        <v>2452.5</v>
      </c>
      <c r="I1515" s="25">
        <v>4500</v>
      </c>
      <c r="J1515" s="24">
        <v>11036250</v>
      </c>
      <c r="K1515" s="20">
        <v>2</v>
      </c>
      <c r="L1515" s="20" t="s">
        <v>15</v>
      </c>
      <c r="M1515" s="20"/>
      <c r="N1515" s="20">
        <v>3</v>
      </c>
      <c r="O1515" s="24">
        <v>9810</v>
      </c>
      <c r="P1515" s="24">
        <v>100</v>
      </c>
      <c r="Q1515" s="25">
        <v>5950</v>
      </c>
      <c r="R1515" s="24">
        <v>58369500</v>
      </c>
      <c r="S1515" s="20">
        <v>7</v>
      </c>
      <c r="T1515" s="28">
        <f t="shared" si="251"/>
        <v>4085865</v>
      </c>
      <c r="U1515" s="27">
        <f t="shared" si="252"/>
        <v>54283635</v>
      </c>
      <c r="V1515" s="27">
        <f t="shared" si="253"/>
        <v>65319885</v>
      </c>
      <c r="W1515" s="26">
        <f t="shared" si="254"/>
        <v>65319885</v>
      </c>
      <c r="X1515" s="27">
        <v>0</v>
      </c>
      <c r="Y1515" s="78">
        <f t="shared" si="255"/>
        <v>65319885</v>
      </c>
      <c r="Z1515" s="20" t="s">
        <v>264</v>
      </c>
    </row>
    <row r="1516" spans="1:26" s="29" customFormat="1" ht="90.75" customHeight="1" x14ac:dyDescent="0.25">
      <c r="A1516" s="20"/>
      <c r="B1516" s="20" t="s">
        <v>0</v>
      </c>
      <c r="C1516" s="20">
        <v>47934</v>
      </c>
      <c r="D1516" s="21">
        <v>1</v>
      </c>
      <c r="E1516" s="21">
        <v>3</v>
      </c>
      <c r="F1516" s="22">
        <v>1.25</v>
      </c>
      <c r="G1516" s="21" t="s">
        <v>209</v>
      </c>
      <c r="H1516" s="24">
        <v>701.25</v>
      </c>
      <c r="I1516" s="25">
        <v>4500</v>
      </c>
      <c r="J1516" s="24">
        <v>3155625</v>
      </c>
      <c r="K1516" s="20">
        <v>3</v>
      </c>
      <c r="L1516" s="20" t="s">
        <v>15</v>
      </c>
      <c r="M1516" s="20"/>
      <c r="N1516" s="20">
        <v>3</v>
      </c>
      <c r="O1516" s="24">
        <v>2805</v>
      </c>
      <c r="P1516" s="24">
        <v>100</v>
      </c>
      <c r="Q1516" s="25">
        <v>5950</v>
      </c>
      <c r="R1516" s="24">
        <v>16689750</v>
      </c>
      <c r="S1516" s="20">
        <v>7</v>
      </c>
      <c r="T1516" s="28">
        <f t="shared" si="251"/>
        <v>1168282.5</v>
      </c>
      <c r="U1516" s="27">
        <f t="shared" si="252"/>
        <v>15521467.5</v>
      </c>
      <c r="V1516" s="27">
        <f t="shared" si="253"/>
        <v>18677092.5</v>
      </c>
      <c r="W1516" s="26">
        <f t="shared" si="254"/>
        <v>18677092.5</v>
      </c>
      <c r="X1516" s="27">
        <v>0</v>
      </c>
      <c r="Y1516" s="78">
        <f t="shared" si="255"/>
        <v>18677092.5</v>
      </c>
      <c r="Z1516" s="49">
        <v>3.0000000000000001E-3</v>
      </c>
    </row>
    <row r="1517" spans="1:26" s="29" customFormat="1" ht="90.75" customHeight="1" x14ac:dyDescent="0.25">
      <c r="A1517" s="20"/>
      <c r="B1517" s="20" t="s">
        <v>0</v>
      </c>
      <c r="C1517" s="20">
        <v>47934</v>
      </c>
      <c r="D1517" s="21">
        <v>0</v>
      </c>
      <c r="E1517" s="21">
        <v>0</v>
      </c>
      <c r="F1517" s="22">
        <v>6</v>
      </c>
      <c r="G1517" s="21" t="s">
        <v>209</v>
      </c>
      <c r="H1517" s="24">
        <v>6</v>
      </c>
      <c r="I1517" s="25">
        <v>4500</v>
      </c>
      <c r="J1517" s="24">
        <v>27000</v>
      </c>
      <c r="K1517" s="20">
        <v>4</v>
      </c>
      <c r="L1517" s="20" t="s">
        <v>15</v>
      </c>
      <c r="M1517" s="20"/>
      <c r="N1517" s="20">
        <v>3</v>
      </c>
      <c r="O1517" s="24">
        <v>24</v>
      </c>
      <c r="P1517" s="24">
        <v>100</v>
      </c>
      <c r="Q1517" s="25">
        <v>5950</v>
      </c>
      <c r="R1517" s="24">
        <v>142800</v>
      </c>
      <c r="S1517" s="20">
        <v>7</v>
      </c>
      <c r="T1517" s="28">
        <f t="shared" si="251"/>
        <v>9996</v>
      </c>
      <c r="U1517" s="27">
        <f t="shared" si="252"/>
        <v>132804</v>
      </c>
      <c r="V1517" s="27">
        <f t="shared" si="253"/>
        <v>159804</v>
      </c>
      <c r="W1517" s="26">
        <f t="shared" si="254"/>
        <v>159804</v>
      </c>
      <c r="X1517" s="27">
        <v>0</v>
      </c>
      <c r="Y1517" s="78">
        <f t="shared" si="255"/>
        <v>159804</v>
      </c>
      <c r="Z1517" s="49">
        <v>3.0000000000000001E-3</v>
      </c>
    </row>
    <row r="1518" spans="1:26" s="29" customFormat="1" ht="90.75" customHeight="1" x14ac:dyDescent="0.25">
      <c r="A1518" s="20"/>
      <c r="B1518" s="20" t="s">
        <v>0</v>
      </c>
      <c r="C1518" s="20">
        <v>47934</v>
      </c>
      <c r="D1518" s="21">
        <v>0</v>
      </c>
      <c r="E1518" s="21">
        <v>0</v>
      </c>
      <c r="F1518" s="22">
        <v>6</v>
      </c>
      <c r="G1518" s="21" t="s">
        <v>209</v>
      </c>
      <c r="H1518" s="24">
        <v>6</v>
      </c>
      <c r="I1518" s="25">
        <v>4500</v>
      </c>
      <c r="J1518" s="24">
        <v>27000</v>
      </c>
      <c r="K1518" s="20">
        <v>5</v>
      </c>
      <c r="L1518" s="20" t="s">
        <v>15</v>
      </c>
      <c r="M1518" s="20"/>
      <c r="N1518" s="20">
        <v>3</v>
      </c>
      <c r="O1518" s="24">
        <v>24</v>
      </c>
      <c r="P1518" s="24">
        <v>100</v>
      </c>
      <c r="Q1518" s="25">
        <v>5950</v>
      </c>
      <c r="R1518" s="24">
        <v>142800</v>
      </c>
      <c r="S1518" s="20">
        <v>7</v>
      </c>
      <c r="T1518" s="28">
        <f t="shared" si="251"/>
        <v>9996</v>
      </c>
      <c r="U1518" s="27">
        <f t="shared" si="252"/>
        <v>132804</v>
      </c>
      <c r="V1518" s="27">
        <f t="shared" si="253"/>
        <v>159804</v>
      </c>
      <c r="W1518" s="26">
        <f t="shared" si="254"/>
        <v>159804</v>
      </c>
      <c r="X1518" s="27">
        <v>0</v>
      </c>
      <c r="Y1518" s="78">
        <f t="shared" si="255"/>
        <v>159804</v>
      </c>
      <c r="Z1518" s="49">
        <v>3.0000000000000001E-3</v>
      </c>
    </row>
    <row r="1519" spans="1:26" s="29" customFormat="1" ht="90.75" customHeight="1" x14ac:dyDescent="0.25">
      <c r="A1519" s="20"/>
      <c r="B1519" s="20" t="s">
        <v>0</v>
      </c>
      <c r="C1519" s="20">
        <v>47934</v>
      </c>
      <c r="D1519" s="21">
        <v>0</v>
      </c>
      <c r="E1519" s="21">
        <v>0</v>
      </c>
      <c r="F1519" s="22">
        <v>1</v>
      </c>
      <c r="G1519" s="21" t="s">
        <v>209</v>
      </c>
      <c r="H1519" s="24">
        <v>1</v>
      </c>
      <c r="I1519" s="25">
        <v>4500</v>
      </c>
      <c r="J1519" s="24">
        <v>4500</v>
      </c>
      <c r="K1519" s="20">
        <v>6</v>
      </c>
      <c r="L1519" s="20" t="s">
        <v>15</v>
      </c>
      <c r="M1519" s="20"/>
      <c r="N1519" s="20">
        <v>3</v>
      </c>
      <c r="O1519" s="24">
        <v>4</v>
      </c>
      <c r="P1519" s="24">
        <v>100</v>
      </c>
      <c r="Q1519" s="25">
        <v>5950</v>
      </c>
      <c r="R1519" s="24">
        <v>23800</v>
      </c>
      <c r="S1519" s="20">
        <v>7</v>
      </c>
      <c r="T1519" s="28">
        <f t="shared" si="251"/>
        <v>1666</v>
      </c>
      <c r="U1519" s="27">
        <f t="shared" si="252"/>
        <v>22134</v>
      </c>
      <c r="V1519" s="27">
        <f t="shared" si="253"/>
        <v>26634</v>
      </c>
      <c r="W1519" s="26">
        <f t="shared" si="254"/>
        <v>26634</v>
      </c>
      <c r="X1519" s="27">
        <v>0</v>
      </c>
      <c r="Y1519" s="78">
        <f t="shared" si="255"/>
        <v>26634</v>
      </c>
      <c r="Z1519" s="49">
        <v>3.0000000000000001E-3</v>
      </c>
    </row>
    <row r="1520" spans="1:26" s="29" customFormat="1" ht="90.75" customHeight="1" x14ac:dyDescent="0.25">
      <c r="A1520" s="20"/>
      <c r="B1520" s="20" t="s">
        <v>0</v>
      </c>
      <c r="C1520" s="20">
        <v>47934</v>
      </c>
      <c r="D1520" s="21">
        <v>0</v>
      </c>
      <c r="E1520" s="21">
        <v>0</v>
      </c>
      <c r="F1520" s="22">
        <v>72.38</v>
      </c>
      <c r="G1520" s="21" t="s">
        <v>209</v>
      </c>
      <c r="H1520" s="24">
        <v>72.375</v>
      </c>
      <c r="I1520" s="25">
        <v>4500</v>
      </c>
      <c r="J1520" s="24">
        <v>325687.5</v>
      </c>
      <c r="K1520" s="20">
        <v>7</v>
      </c>
      <c r="L1520" s="20" t="s">
        <v>31</v>
      </c>
      <c r="M1520" s="20"/>
      <c r="N1520" s="20">
        <v>3</v>
      </c>
      <c r="O1520" s="24">
        <v>289.5</v>
      </c>
      <c r="P1520" s="24">
        <v>100</v>
      </c>
      <c r="Q1520" s="25">
        <v>2550</v>
      </c>
      <c r="R1520" s="24">
        <v>738225</v>
      </c>
      <c r="S1520" s="20">
        <v>7</v>
      </c>
      <c r="T1520" s="28">
        <f t="shared" si="251"/>
        <v>51675.75</v>
      </c>
      <c r="U1520" s="27">
        <f t="shared" si="252"/>
        <v>686549.25</v>
      </c>
      <c r="V1520" s="27">
        <f t="shared" si="253"/>
        <v>1012236.75</v>
      </c>
      <c r="W1520" s="26">
        <f t="shared" si="254"/>
        <v>1012236.75</v>
      </c>
      <c r="X1520" s="27">
        <v>0</v>
      </c>
      <c r="Y1520" s="78">
        <f t="shared" si="255"/>
        <v>1012236.75</v>
      </c>
      <c r="Z1520" s="49">
        <v>3.0000000000000001E-3</v>
      </c>
    </row>
    <row r="1521" spans="1:26" s="29" customFormat="1" ht="90.75" customHeight="1" x14ac:dyDescent="0.25">
      <c r="A1521" s="20"/>
      <c r="B1521" s="20" t="s">
        <v>0</v>
      </c>
      <c r="C1521" s="20">
        <v>47934</v>
      </c>
      <c r="D1521" s="21">
        <v>0</v>
      </c>
      <c r="E1521" s="21">
        <v>0</v>
      </c>
      <c r="F1521" s="22">
        <v>50.75</v>
      </c>
      <c r="G1521" s="21" t="s">
        <v>209</v>
      </c>
      <c r="H1521" s="24">
        <v>50.75</v>
      </c>
      <c r="I1521" s="25">
        <v>4500</v>
      </c>
      <c r="J1521" s="24">
        <v>228375</v>
      </c>
      <c r="K1521" s="20">
        <v>8</v>
      </c>
      <c r="L1521" s="20" t="s">
        <v>31</v>
      </c>
      <c r="M1521" s="20"/>
      <c r="N1521" s="20">
        <v>3</v>
      </c>
      <c r="O1521" s="24">
        <v>203</v>
      </c>
      <c r="P1521" s="24">
        <v>100</v>
      </c>
      <c r="Q1521" s="25">
        <v>2550</v>
      </c>
      <c r="R1521" s="24">
        <v>517650</v>
      </c>
      <c r="S1521" s="20">
        <v>7</v>
      </c>
      <c r="T1521" s="28">
        <f t="shared" si="251"/>
        <v>36235.5</v>
      </c>
      <c r="U1521" s="27">
        <f t="shared" si="252"/>
        <v>481414.5</v>
      </c>
      <c r="V1521" s="27">
        <f t="shared" si="253"/>
        <v>709789.5</v>
      </c>
      <c r="W1521" s="26">
        <f t="shared" si="254"/>
        <v>709789.5</v>
      </c>
      <c r="X1521" s="27">
        <v>0</v>
      </c>
      <c r="Y1521" s="78">
        <f t="shared" si="255"/>
        <v>709789.5</v>
      </c>
      <c r="Z1521" s="49">
        <v>3.0000000000000001E-3</v>
      </c>
    </row>
    <row r="1522" spans="1:26" s="29" customFormat="1" ht="90.75" customHeight="1" x14ac:dyDescent="0.25">
      <c r="A1522" s="20"/>
      <c r="B1522" s="20" t="s">
        <v>0</v>
      </c>
      <c r="C1522" s="20">
        <v>47934</v>
      </c>
      <c r="D1522" s="21">
        <v>0</v>
      </c>
      <c r="E1522" s="21">
        <v>0</v>
      </c>
      <c r="F1522" s="22">
        <v>72.38</v>
      </c>
      <c r="G1522" s="21" t="s">
        <v>209</v>
      </c>
      <c r="H1522" s="24">
        <v>75.122500000000002</v>
      </c>
      <c r="I1522" s="25">
        <v>4500</v>
      </c>
      <c r="J1522" s="24">
        <v>338051.25</v>
      </c>
      <c r="K1522" s="20">
        <v>9</v>
      </c>
      <c r="L1522" s="20" t="s">
        <v>15</v>
      </c>
      <c r="M1522" s="20"/>
      <c r="N1522" s="20">
        <v>3</v>
      </c>
      <c r="O1522" s="24">
        <v>300.49</v>
      </c>
      <c r="P1522" s="24">
        <v>100</v>
      </c>
      <c r="Q1522" s="25">
        <v>5950</v>
      </c>
      <c r="R1522" s="24">
        <v>1787915.5</v>
      </c>
      <c r="S1522" s="20">
        <v>7</v>
      </c>
      <c r="T1522" s="28">
        <f t="shared" si="251"/>
        <v>125154.08500000001</v>
      </c>
      <c r="U1522" s="27">
        <f t="shared" si="252"/>
        <v>1662761.415</v>
      </c>
      <c r="V1522" s="27">
        <f t="shared" si="253"/>
        <v>2000812.665</v>
      </c>
      <c r="W1522" s="26">
        <f t="shared" si="254"/>
        <v>2000812.665</v>
      </c>
      <c r="X1522" s="27">
        <v>0</v>
      </c>
      <c r="Y1522" s="78">
        <f t="shared" si="255"/>
        <v>2000812.665</v>
      </c>
      <c r="Z1522" s="49">
        <v>3.0000000000000001E-3</v>
      </c>
    </row>
    <row r="1523" spans="1:26" s="29" customFormat="1" ht="90.75" customHeight="1" x14ac:dyDescent="0.25">
      <c r="A1523" s="20"/>
      <c r="B1523" s="20" t="s">
        <v>0</v>
      </c>
      <c r="C1523" s="20">
        <v>47934</v>
      </c>
      <c r="D1523" s="21">
        <v>0</v>
      </c>
      <c r="E1523" s="21">
        <v>0</v>
      </c>
      <c r="F1523" s="22">
        <v>5</v>
      </c>
      <c r="G1523" s="21" t="s">
        <v>209</v>
      </c>
      <c r="H1523" s="24">
        <v>5</v>
      </c>
      <c r="I1523" s="25">
        <v>4500</v>
      </c>
      <c r="J1523" s="24">
        <v>22500</v>
      </c>
      <c r="K1523" s="20">
        <v>10</v>
      </c>
      <c r="L1523" s="20" t="s">
        <v>31</v>
      </c>
      <c r="M1523" s="20"/>
      <c r="N1523" s="20">
        <v>3</v>
      </c>
      <c r="O1523" s="24">
        <v>20</v>
      </c>
      <c r="P1523" s="24">
        <v>100</v>
      </c>
      <c r="Q1523" s="25">
        <v>2550</v>
      </c>
      <c r="R1523" s="24">
        <v>51000</v>
      </c>
      <c r="S1523" s="20">
        <v>7</v>
      </c>
      <c r="T1523" s="28">
        <f t="shared" si="251"/>
        <v>3570</v>
      </c>
      <c r="U1523" s="27">
        <f t="shared" si="252"/>
        <v>47430</v>
      </c>
      <c r="V1523" s="27">
        <f t="shared" si="253"/>
        <v>69930</v>
      </c>
      <c r="W1523" s="26">
        <f t="shared" si="254"/>
        <v>69930</v>
      </c>
      <c r="X1523" s="27">
        <v>0</v>
      </c>
      <c r="Y1523" s="78">
        <f t="shared" si="255"/>
        <v>69930</v>
      </c>
      <c r="Z1523" s="49">
        <v>3.0000000000000001E-3</v>
      </c>
    </row>
    <row r="1524" spans="1:26" s="29" customFormat="1" ht="90.75" customHeight="1" x14ac:dyDescent="0.25">
      <c r="A1524" s="20"/>
      <c r="B1524" s="20" t="s">
        <v>0</v>
      </c>
      <c r="C1524" s="20">
        <v>47934</v>
      </c>
      <c r="D1524" s="21">
        <v>0</v>
      </c>
      <c r="E1524" s="21">
        <v>0</v>
      </c>
      <c r="F1524" s="22">
        <v>69</v>
      </c>
      <c r="G1524" s="21" t="s">
        <v>209</v>
      </c>
      <c r="H1524" s="24">
        <v>69</v>
      </c>
      <c r="I1524" s="25">
        <v>4500</v>
      </c>
      <c r="J1524" s="24">
        <v>310500</v>
      </c>
      <c r="K1524" s="20">
        <v>11</v>
      </c>
      <c r="L1524" s="20" t="s">
        <v>31</v>
      </c>
      <c r="M1524" s="20"/>
      <c r="N1524" s="20">
        <v>3</v>
      </c>
      <c r="O1524" s="24">
        <v>276</v>
      </c>
      <c r="P1524" s="24">
        <v>100</v>
      </c>
      <c r="Q1524" s="25">
        <v>2550</v>
      </c>
      <c r="R1524" s="24">
        <v>703800</v>
      </c>
      <c r="S1524" s="20">
        <v>7</v>
      </c>
      <c r="T1524" s="28">
        <f t="shared" si="251"/>
        <v>49266</v>
      </c>
      <c r="U1524" s="27">
        <f t="shared" si="252"/>
        <v>654534</v>
      </c>
      <c r="V1524" s="27">
        <f t="shared" si="253"/>
        <v>965034</v>
      </c>
      <c r="W1524" s="26">
        <f t="shared" si="254"/>
        <v>965034</v>
      </c>
      <c r="X1524" s="27">
        <v>0</v>
      </c>
      <c r="Y1524" s="78">
        <f t="shared" si="255"/>
        <v>965034</v>
      </c>
      <c r="Z1524" s="49">
        <v>3.0000000000000001E-3</v>
      </c>
    </row>
    <row r="1525" spans="1:26" s="29" customFormat="1" ht="90.75" customHeight="1" x14ac:dyDescent="0.25">
      <c r="A1525" s="20"/>
      <c r="B1525" s="20" t="s">
        <v>0</v>
      </c>
      <c r="C1525" s="20">
        <v>47934</v>
      </c>
      <c r="D1525" s="21">
        <v>1</v>
      </c>
      <c r="E1525" s="21">
        <v>0</v>
      </c>
      <c r="F1525" s="22">
        <v>5</v>
      </c>
      <c r="G1525" s="21" t="s">
        <v>209</v>
      </c>
      <c r="H1525" s="24">
        <v>405</v>
      </c>
      <c r="I1525" s="25">
        <v>4500</v>
      </c>
      <c r="J1525" s="24">
        <v>1822500</v>
      </c>
      <c r="K1525" s="20">
        <v>12</v>
      </c>
      <c r="L1525" s="20" t="s">
        <v>15</v>
      </c>
      <c r="M1525" s="20"/>
      <c r="N1525" s="20">
        <v>3</v>
      </c>
      <c r="O1525" s="24">
        <v>1620</v>
      </c>
      <c r="P1525" s="24">
        <v>100</v>
      </c>
      <c r="Q1525" s="25">
        <v>5950</v>
      </c>
      <c r="R1525" s="24">
        <v>9639000</v>
      </c>
      <c r="S1525" s="20">
        <v>7</v>
      </c>
      <c r="T1525" s="28">
        <f t="shared" si="251"/>
        <v>674730</v>
      </c>
      <c r="U1525" s="27">
        <f t="shared" si="252"/>
        <v>8964270</v>
      </c>
      <c r="V1525" s="27">
        <f t="shared" si="253"/>
        <v>10786770</v>
      </c>
      <c r="W1525" s="26">
        <f t="shared" si="254"/>
        <v>10786770</v>
      </c>
      <c r="X1525" s="27">
        <v>0</v>
      </c>
      <c r="Y1525" s="78">
        <f t="shared" si="255"/>
        <v>10786770</v>
      </c>
      <c r="Z1525" s="49">
        <v>3.0000000000000001E-3</v>
      </c>
    </row>
    <row r="1526" spans="1:26" s="29" customFormat="1" ht="90.75" customHeight="1" x14ac:dyDescent="0.25">
      <c r="A1526" s="20"/>
      <c r="B1526" s="20" t="s">
        <v>0</v>
      </c>
      <c r="C1526" s="20">
        <v>47934</v>
      </c>
      <c r="D1526" s="21">
        <v>0</v>
      </c>
      <c r="E1526" s="21">
        <v>0</v>
      </c>
      <c r="F1526" s="22">
        <v>13.5</v>
      </c>
      <c r="G1526" s="21" t="s">
        <v>209</v>
      </c>
      <c r="H1526" s="24">
        <v>13.5</v>
      </c>
      <c r="I1526" s="25">
        <v>4500</v>
      </c>
      <c r="J1526" s="24">
        <v>60750</v>
      </c>
      <c r="K1526" s="20">
        <v>13</v>
      </c>
      <c r="L1526" s="20" t="s">
        <v>15</v>
      </c>
      <c r="M1526" s="20"/>
      <c r="N1526" s="20">
        <v>3</v>
      </c>
      <c r="O1526" s="24">
        <v>54</v>
      </c>
      <c r="P1526" s="24">
        <v>100</v>
      </c>
      <c r="Q1526" s="25">
        <v>5950</v>
      </c>
      <c r="R1526" s="24">
        <v>321300</v>
      </c>
      <c r="S1526" s="20">
        <v>7</v>
      </c>
      <c r="T1526" s="28">
        <f t="shared" si="251"/>
        <v>22491</v>
      </c>
      <c r="U1526" s="27">
        <f t="shared" si="252"/>
        <v>298809</v>
      </c>
      <c r="V1526" s="27">
        <f t="shared" si="253"/>
        <v>359559</v>
      </c>
      <c r="W1526" s="26">
        <f t="shared" si="254"/>
        <v>359559</v>
      </c>
      <c r="X1526" s="27">
        <v>0</v>
      </c>
      <c r="Y1526" s="78">
        <f t="shared" si="255"/>
        <v>359559</v>
      </c>
      <c r="Z1526" s="49">
        <v>3.0000000000000001E-3</v>
      </c>
    </row>
    <row r="1527" spans="1:26" s="29" customFormat="1" ht="90.75" customHeight="1" x14ac:dyDescent="0.25">
      <c r="A1527" s="20"/>
      <c r="B1527" s="20" t="s">
        <v>0</v>
      </c>
      <c r="C1527" s="20">
        <v>47934</v>
      </c>
      <c r="D1527" s="21">
        <v>0</v>
      </c>
      <c r="E1527" s="21">
        <v>0</v>
      </c>
      <c r="F1527" s="22">
        <v>53.25</v>
      </c>
      <c r="G1527" s="21" t="s">
        <v>209</v>
      </c>
      <c r="H1527" s="24">
        <v>53.25</v>
      </c>
      <c r="I1527" s="25">
        <v>4500</v>
      </c>
      <c r="J1527" s="24">
        <v>239625</v>
      </c>
      <c r="K1527" s="20">
        <v>14</v>
      </c>
      <c r="L1527" s="20" t="s">
        <v>197</v>
      </c>
      <c r="M1527" s="20"/>
      <c r="N1527" s="20">
        <v>3</v>
      </c>
      <c r="O1527" s="24">
        <v>213</v>
      </c>
      <c r="P1527" s="24">
        <v>100</v>
      </c>
      <c r="Q1527" s="25">
        <v>5550</v>
      </c>
      <c r="R1527" s="24">
        <v>1182150</v>
      </c>
      <c r="S1527" s="20">
        <v>7</v>
      </c>
      <c r="T1527" s="28">
        <f t="shared" si="251"/>
        <v>82750.5</v>
      </c>
      <c r="U1527" s="27">
        <f t="shared" si="252"/>
        <v>1099399.5</v>
      </c>
      <c r="V1527" s="27">
        <f t="shared" si="253"/>
        <v>1339024.5</v>
      </c>
      <c r="W1527" s="26">
        <f t="shared" si="254"/>
        <v>1339024.5</v>
      </c>
      <c r="X1527" s="27">
        <v>0</v>
      </c>
      <c r="Y1527" s="78">
        <f t="shared" si="255"/>
        <v>1339024.5</v>
      </c>
      <c r="Z1527" s="49">
        <v>3.0000000000000001E-3</v>
      </c>
    </row>
    <row r="1528" spans="1:26" s="29" customFormat="1" ht="90.75" customHeight="1" x14ac:dyDescent="0.25">
      <c r="A1528" s="20"/>
      <c r="B1528" s="20" t="s">
        <v>0</v>
      </c>
      <c r="C1528" s="20">
        <v>47934</v>
      </c>
      <c r="D1528" s="21">
        <v>0</v>
      </c>
      <c r="E1528" s="21">
        <v>0</v>
      </c>
      <c r="F1528" s="22">
        <v>5.2</v>
      </c>
      <c r="G1528" s="21" t="s">
        <v>209</v>
      </c>
      <c r="H1528" s="24">
        <v>5.2</v>
      </c>
      <c r="I1528" s="25">
        <v>4500</v>
      </c>
      <c r="J1528" s="24">
        <v>23400</v>
      </c>
      <c r="K1528" s="20">
        <v>15</v>
      </c>
      <c r="L1528" s="20" t="s">
        <v>15</v>
      </c>
      <c r="M1528" s="20"/>
      <c r="N1528" s="20">
        <v>3</v>
      </c>
      <c r="O1528" s="24">
        <v>20.8</v>
      </c>
      <c r="P1528" s="24">
        <v>100</v>
      </c>
      <c r="Q1528" s="25">
        <v>5950</v>
      </c>
      <c r="R1528" s="24">
        <v>123760</v>
      </c>
      <c r="S1528" s="20">
        <v>7</v>
      </c>
      <c r="T1528" s="28">
        <f t="shared" si="251"/>
        <v>8663.2000000000007</v>
      </c>
      <c r="U1528" s="27">
        <f t="shared" si="252"/>
        <v>115096.8</v>
      </c>
      <c r="V1528" s="27">
        <f t="shared" si="253"/>
        <v>138496.79999999999</v>
      </c>
      <c r="W1528" s="26">
        <f t="shared" si="254"/>
        <v>138496.79999999999</v>
      </c>
      <c r="X1528" s="27">
        <v>0</v>
      </c>
      <c r="Y1528" s="78">
        <f t="shared" si="255"/>
        <v>138496.79999999999</v>
      </c>
      <c r="Z1528" s="49">
        <v>3.0000000000000001E-3</v>
      </c>
    </row>
    <row r="1529" spans="1:26" s="29" customFormat="1" ht="90.75" customHeight="1" x14ac:dyDescent="0.25">
      <c r="A1529" s="20"/>
      <c r="B1529" s="20" t="s">
        <v>0</v>
      </c>
      <c r="C1529" s="20">
        <v>47934</v>
      </c>
      <c r="D1529" s="21">
        <v>0</v>
      </c>
      <c r="E1529" s="21">
        <v>0</v>
      </c>
      <c r="F1529" s="22">
        <v>31.75</v>
      </c>
      <c r="G1529" s="21" t="s">
        <v>209</v>
      </c>
      <c r="H1529" s="24">
        <v>31.75</v>
      </c>
      <c r="I1529" s="25">
        <v>4500</v>
      </c>
      <c r="J1529" s="24">
        <v>142875</v>
      </c>
      <c r="K1529" s="20">
        <v>16</v>
      </c>
      <c r="L1529" s="20" t="s">
        <v>197</v>
      </c>
      <c r="M1529" s="20"/>
      <c r="N1529" s="20">
        <v>3</v>
      </c>
      <c r="O1529" s="24">
        <v>127</v>
      </c>
      <c r="P1529" s="24">
        <v>100</v>
      </c>
      <c r="Q1529" s="25">
        <v>5550</v>
      </c>
      <c r="R1529" s="24">
        <v>704850</v>
      </c>
      <c r="S1529" s="20">
        <v>7</v>
      </c>
      <c r="T1529" s="28">
        <f t="shared" si="251"/>
        <v>49339.5</v>
      </c>
      <c r="U1529" s="27">
        <f t="shared" si="252"/>
        <v>655510.5</v>
      </c>
      <c r="V1529" s="27">
        <f t="shared" si="253"/>
        <v>798385.5</v>
      </c>
      <c r="W1529" s="26">
        <f t="shared" si="254"/>
        <v>798385.5</v>
      </c>
      <c r="X1529" s="27">
        <v>0</v>
      </c>
      <c r="Y1529" s="78">
        <f t="shared" si="255"/>
        <v>798385.5</v>
      </c>
      <c r="Z1529" s="49">
        <v>3.0000000000000001E-3</v>
      </c>
    </row>
    <row r="1530" spans="1:26" s="29" customFormat="1" ht="90.75" customHeight="1" x14ac:dyDescent="0.25">
      <c r="A1530" s="20"/>
      <c r="B1530" s="20" t="s">
        <v>0</v>
      </c>
      <c r="C1530" s="20">
        <v>47934</v>
      </c>
      <c r="D1530" s="21">
        <v>0</v>
      </c>
      <c r="E1530" s="21">
        <v>0</v>
      </c>
      <c r="F1530" s="22">
        <v>9.5</v>
      </c>
      <c r="G1530" s="21" t="s">
        <v>209</v>
      </c>
      <c r="H1530" s="24">
        <v>9.5</v>
      </c>
      <c r="I1530" s="25">
        <v>4500</v>
      </c>
      <c r="J1530" s="24">
        <v>42750</v>
      </c>
      <c r="K1530" s="20">
        <v>17</v>
      </c>
      <c r="L1530" s="20" t="s">
        <v>197</v>
      </c>
      <c r="M1530" s="20"/>
      <c r="N1530" s="20">
        <v>3</v>
      </c>
      <c r="O1530" s="24">
        <v>38</v>
      </c>
      <c r="P1530" s="24">
        <v>100</v>
      </c>
      <c r="Q1530" s="25">
        <v>5550</v>
      </c>
      <c r="R1530" s="24">
        <v>210900</v>
      </c>
      <c r="S1530" s="20">
        <v>7</v>
      </c>
      <c r="T1530" s="28">
        <f t="shared" si="251"/>
        <v>14763</v>
      </c>
      <c r="U1530" s="27">
        <f t="shared" si="252"/>
        <v>196137</v>
      </c>
      <c r="V1530" s="27">
        <f t="shared" si="253"/>
        <v>238887</v>
      </c>
      <c r="W1530" s="26">
        <f t="shared" si="254"/>
        <v>238887</v>
      </c>
      <c r="X1530" s="27">
        <v>0</v>
      </c>
      <c r="Y1530" s="78">
        <f t="shared" si="255"/>
        <v>238887</v>
      </c>
      <c r="Z1530" s="49">
        <v>3.0000000000000001E-3</v>
      </c>
    </row>
    <row r="1531" spans="1:26" s="29" customFormat="1" ht="90.75" customHeight="1" x14ac:dyDescent="0.25">
      <c r="A1531" s="20"/>
      <c r="B1531" s="20" t="s">
        <v>0</v>
      </c>
      <c r="C1531" s="20">
        <v>47934</v>
      </c>
      <c r="D1531" s="21">
        <v>97</v>
      </c>
      <c r="E1531" s="21">
        <v>3</v>
      </c>
      <c r="F1531" s="22">
        <v>1.23</v>
      </c>
      <c r="G1531" s="21" t="s">
        <v>209</v>
      </c>
      <c r="H1531" s="24">
        <v>39101.230000000003</v>
      </c>
      <c r="I1531" s="25">
        <v>4500</v>
      </c>
      <c r="J1531" s="24">
        <v>175955535</v>
      </c>
      <c r="K1531" s="20"/>
      <c r="L1531" s="20"/>
      <c r="M1531" s="20"/>
      <c r="N1531" s="20"/>
      <c r="O1531" s="24"/>
      <c r="P1531" s="24"/>
      <c r="Q1531" s="25"/>
      <c r="R1531" s="24"/>
      <c r="S1531" s="20"/>
      <c r="T1531" s="27"/>
      <c r="U1531" s="20"/>
      <c r="V1531" s="26">
        <f t="shared" si="253"/>
        <v>175955535</v>
      </c>
      <c r="W1531" s="26">
        <f t="shared" si="254"/>
        <v>175955535</v>
      </c>
      <c r="X1531" s="27">
        <v>0</v>
      </c>
      <c r="Y1531" s="26">
        <v>175955535</v>
      </c>
      <c r="Z1531" s="20" t="s">
        <v>264</v>
      </c>
    </row>
    <row r="1532" spans="1:26" s="29" customFormat="1" ht="90.75" customHeight="1" x14ac:dyDescent="0.25">
      <c r="A1532" s="20"/>
      <c r="B1532" s="20" t="s">
        <v>0</v>
      </c>
      <c r="C1532" s="20">
        <v>47934</v>
      </c>
      <c r="D1532" s="21">
        <v>247</v>
      </c>
      <c r="E1532" s="21">
        <v>2</v>
      </c>
      <c r="F1532" s="22">
        <v>46.8</v>
      </c>
      <c r="G1532" s="23" t="s">
        <v>198</v>
      </c>
      <c r="H1532" s="24">
        <v>113602.07</v>
      </c>
      <c r="I1532" s="25">
        <v>4500</v>
      </c>
      <c r="J1532" s="24">
        <v>511209315.00000006</v>
      </c>
      <c r="K1532" s="20"/>
      <c r="L1532" s="20"/>
      <c r="M1532" s="20"/>
      <c r="N1532" s="20"/>
      <c r="O1532" s="24"/>
      <c r="P1532" s="24"/>
      <c r="Q1532" s="25"/>
      <c r="R1532" s="24"/>
      <c r="S1532" s="20"/>
      <c r="T1532" s="27"/>
      <c r="U1532" s="20"/>
      <c r="V1532" s="26">
        <f t="shared" si="253"/>
        <v>511209315.00000006</v>
      </c>
      <c r="W1532" s="26">
        <f t="shared" si="254"/>
        <v>511209315.00000006</v>
      </c>
      <c r="X1532" s="27">
        <v>0</v>
      </c>
      <c r="Y1532" s="26">
        <v>511209315.00000006</v>
      </c>
      <c r="Z1532" s="20" t="s">
        <v>278</v>
      </c>
    </row>
    <row r="1533" spans="1:26" s="29" customFormat="1" ht="90.75" customHeight="1" x14ac:dyDescent="0.25">
      <c r="A1533" s="20">
        <v>1013</v>
      </c>
      <c r="B1533" s="20" t="s">
        <v>0</v>
      </c>
      <c r="C1533" s="20">
        <v>47920</v>
      </c>
      <c r="D1533" s="21">
        <v>4</v>
      </c>
      <c r="E1533" s="21">
        <v>0</v>
      </c>
      <c r="F1533" s="22">
        <v>27</v>
      </c>
      <c r="G1533" s="23"/>
      <c r="H1533" s="24"/>
      <c r="I1533" s="25"/>
      <c r="J1533" s="24"/>
      <c r="K1533" s="20"/>
      <c r="L1533" s="20"/>
      <c r="M1533" s="20"/>
      <c r="N1533" s="20"/>
      <c r="O1533" s="24"/>
      <c r="P1533" s="24"/>
      <c r="Q1533" s="25"/>
      <c r="R1533" s="24"/>
      <c r="S1533" s="20"/>
      <c r="T1533" s="27"/>
      <c r="U1533" s="20"/>
      <c r="V1533" s="20"/>
      <c r="W1533" s="26"/>
      <c r="X1533" s="27"/>
      <c r="Y1533" s="20"/>
      <c r="Z1533" s="20"/>
    </row>
    <row r="1534" spans="1:26" s="29" customFormat="1" ht="90.75" customHeight="1" x14ac:dyDescent="0.25">
      <c r="A1534" s="20"/>
      <c r="B1534" s="31" t="s">
        <v>0</v>
      </c>
      <c r="C1534" s="31">
        <v>47920</v>
      </c>
      <c r="D1534" s="41">
        <v>0</v>
      </c>
      <c r="E1534" s="41">
        <v>1</v>
      </c>
      <c r="F1534" s="43">
        <v>0.84</v>
      </c>
      <c r="G1534" s="21" t="s">
        <v>209</v>
      </c>
      <c r="H1534" s="36">
        <v>1355.66</v>
      </c>
      <c r="I1534" s="40">
        <v>4500</v>
      </c>
      <c r="J1534" s="28">
        <f>(H1534*I1534)</f>
        <v>6100470</v>
      </c>
      <c r="K1534" s="37"/>
      <c r="L1534" s="31"/>
      <c r="M1534" s="48"/>
      <c r="N1534" s="51"/>
      <c r="O1534" s="45"/>
      <c r="P1534" s="35"/>
      <c r="Q1534" s="40"/>
      <c r="R1534" s="36"/>
      <c r="S1534" s="37"/>
      <c r="T1534" s="28"/>
      <c r="U1534" s="36"/>
      <c r="V1534" s="36">
        <f>(J1534)</f>
        <v>6100470</v>
      </c>
      <c r="W1534" s="36">
        <f>(V1534*100/100)</f>
        <v>6100470</v>
      </c>
      <c r="X1534" s="28">
        <v>0</v>
      </c>
      <c r="Y1534" s="28">
        <f>(W1534-X1534)</f>
        <v>6100470</v>
      </c>
      <c r="Z1534" s="49">
        <v>3.0000000000000001E-3</v>
      </c>
    </row>
    <row r="1535" spans="1:26" s="29" customFormat="1" ht="90.75" customHeight="1" x14ac:dyDescent="0.25">
      <c r="A1535" s="20"/>
      <c r="B1535" s="31" t="s">
        <v>0</v>
      </c>
      <c r="C1535" s="31">
        <v>47920</v>
      </c>
      <c r="D1535" s="41">
        <v>0</v>
      </c>
      <c r="E1535" s="41">
        <v>2</v>
      </c>
      <c r="F1535" s="43">
        <v>71.34</v>
      </c>
      <c r="G1535" s="51" t="s">
        <v>198</v>
      </c>
      <c r="H1535" s="36">
        <f>(D1535*400)+(E1535*100)+F1535</f>
        <v>271.34000000000003</v>
      </c>
      <c r="I1535" s="40">
        <v>4500</v>
      </c>
      <c r="J1535" s="28">
        <f>(H1535*I1535)</f>
        <v>1221030.0000000002</v>
      </c>
      <c r="K1535" s="37"/>
      <c r="L1535" s="31"/>
      <c r="M1535" s="48"/>
      <c r="N1535" s="51"/>
      <c r="O1535" s="45"/>
      <c r="P1535" s="35"/>
      <c r="Q1535" s="40"/>
      <c r="R1535" s="36"/>
      <c r="S1535" s="37"/>
      <c r="T1535" s="28"/>
      <c r="U1535" s="36"/>
      <c r="V1535" s="36">
        <f>(J1535)</f>
        <v>1221030.0000000002</v>
      </c>
      <c r="W1535" s="36">
        <f>(V1535*100/100)</f>
        <v>1221030.0000000002</v>
      </c>
      <c r="X1535" s="28">
        <v>0</v>
      </c>
      <c r="Y1535" s="28">
        <f>(W1535-X1535)</f>
        <v>1221030.0000000002</v>
      </c>
      <c r="Z1535" s="49">
        <v>1E-4</v>
      </c>
    </row>
    <row r="1536" spans="1:26" s="29" customFormat="1" ht="90.75" customHeight="1" x14ac:dyDescent="0.25">
      <c r="A1536" s="20">
        <v>1014</v>
      </c>
      <c r="B1536" s="20" t="s">
        <v>0</v>
      </c>
      <c r="C1536" s="20">
        <v>47919</v>
      </c>
      <c r="D1536" s="21">
        <v>96</v>
      </c>
      <c r="E1536" s="21">
        <v>1</v>
      </c>
      <c r="F1536" s="22">
        <v>89</v>
      </c>
      <c r="G1536" s="23"/>
      <c r="H1536" s="24"/>
      <c r="I1536" s="25"/>
      <c r="J1536" s="24"/>
      <c r="K1536" s="20"/>
      <c r="L1536" s="20"/>
      <c r="M1536" s="20"/>
      <c r="N1536" s="20"/>
      <c r="O1536" s="24"/>
      <c r="P1536" s="24"/>
      <c r="Q1536" s="25"/>
      <c r="R1536" s="24"/>
      <c r="S1536" s="20"/>
      <c r="T1536" s="27"/>
      <c r="U1536" s="20"/>
      <c r="V1536" s="20"/>
      <c r="W1536" s="26"/>
      <c r="X1536" s="27"/>
      <c r="Y1536" s="20"/>
      <c r="Z1536" s="20"/>
    </row>
    <row r="1537" spans="1:26" s="29" customFormat="1" ht="90.75" customHeight="1" x14ac:dyDescent="0.25">
      <c r="A1537" s="20"/>
      <c r="B1537" s="31" t="s">
        <v>0</v>
      </c>
      <c r="C1537" s="31">
        <v>47919</v>
      </c>
      <c r="D1537" s="41">
        <v>5</v>
      </c>
      <c r="E1537" s="41">
        <v>3</v>
      </c>
      <c r="F1537" s="43">
        <v>40.799999999999997</v>
      </c>
      <c r="G1537" s="21" t="s">
        <v>209</v>
      </c>
      <c r="H1537" s="36">
        <v>10873.18</v>
      </c>
      <c r="I1537" s="40">
        <v>4500</v>
      </c>
      <c r="J1537" s="28">
        <f>(H1537*I1537)</f>
        <v>48929310</v>
      </c>
      <c r="K1537" s="37"/>
      <c r="L1537" s="31"/>
      <c r="M1537" s="48"/>
      <c r="N1537" s="51"/>
      <c r="O1537" s="45"/>
      <c r="P1537" s="35"/>
      <c r="Q1537" s="40"/>
      <c r="R1537" s="36"/>
      <c r="S1537" s="37"/>
      <c r="T1537" s="28"/>
      <c r="U1537" s="36"/>
      <c r="V1537" s="36">
        <f>(J1537)</f>
        <v>48929310</v>
      </c>
      <c r="W1537" s="36">
        <f>(V1537*100/100)</f>
        <v>48929310</v>
      </c>
      <c r="X1537" s="28">
        <v>0</v>
      </c>
      <c r="Y1537" s="28">
        <f>(W1537-X1537)</f>
        <v>48929310</v>
      </c>
      <c r="Z1537" s="49">
        <v>3.0000000000000001E-3</v>
      </c>
    </row>
    <row r="1538" spans="1:26" s="29" customFormat="1" ht="90.75" customHeight="1" x14ac:dyDescent="0.25">
      <c r="A1538" s="20"/>
      <c r="B1538" s="31" t="s">
        <v>0</v>
      </c>
      <c r="C1538" s="31">
        <v>47919</v>
      </c>
      <c r="D1538" s="41">
        <v>69</v>
      </c>
      <c r="E1538" s="41">
        <v>1</v>
      </c>
      <c r="F1538" s="43">
        <v>15.82</v>
      </c>
      <c r="G1538" s="51" t="s">
        <v>198</v>
      </c>
      <c r="H1538" s="36">
        <f>(D1538*400)+(E1538*100)+F1538</f>
        <v>27715.82</v>
      </c>
      <c r="I1538" s="40">
        <v>4500</v>
      </c>
      <c r="J1538" s="28">
        <f>(H1538*I1538)</f>
        <v>124721190</v>
      </c>
      <c r="K1538" s="37"/>
      <c r="L1538" s="31"/>
      <c r="M1538" s="48"/>
      <c r="N1538" s="51"/>
      <c r="O1538" s="45"/>
      <c r="P1538" s="35"/>
      <c r="Q1538" s="40"/>
      <c r="R1538" s="36"/>
      <c r="S1538" s="37"/>
      <c r="T1538" s="28"/>
      <c r="U1538" s="36"/>
      <c r="V1538" s="36">
        <f>(J1538)</f>
        <v>124721190</v>
      </c>
      <c r="W1538" s="36">
        <f>(V1538*100/100)</f>
        <v>124721190</v>
      </c>
      <c r="X1538" s="28">
        <v>0</v>
      </c>
      <c r="Y1538" s="28">
        <f>(W1538-X1538)</f>
        <v>124721190</v>
      </c>
      <c r="Z1538" s="20" t="s">
        <v>277</v>
      </c>
    </row>
    <row r="1539" spans="1:26" s="29" customFormat="1" ht="90.75" customHeight="1" x14ac:dyDescent="0.25">
      <c r="A1539" s="20">
        <v>1015</v>
      </c>
      <c r="B1539" s="20" t="s">
        <v>0</v>
      </c>
      <c r="C1539" s="20">
        <v>10647</v>
      </c>
      <c r="D1539" s="21">
        <v>61</v>
      </c>
      <c r="E1539" s="21">
        <v>2</v>
      </c>
      <c r="F1539" s="22">
        <v>55</v>
      </c>
      <c r="G1539" s="23"/>
      <c r="H1539" s="24"/>
      <c r="I1539" s="25"/>
      <c r="J1539" s="24"/>
      <c r="K1539" s="20"/>
      <c r="L1539" s="20"/>
      <c r="M1539" s="20"/>
      <c r="N1539" s="20"/>
      <c r="O1539" s="24"/>
      <c r="P1539" s="24"/>
      <c r="Q1539" s="25"/>
      <c r="R1539" s="24"/>
      <c r="S1539" s="20"/>
      <c r="T1539" s="27"/>
      <c r="U1539" s="20"/>
      <c r="V1539" s="20"/>
      <c r="W1539" s="26"/>
      <c r="X1539" s="27"/>
      <c r="Y1539" s="20"/>
      <c r="Z1539" s="20"/>
    </row>
    <row r="1540" spans="1:26" s="29" customFormat="1" ht="90.75" customHeight="1" x14ac:dyDescent="0.25">
      <c r="A1540" s="20"/>
      <c r="B1540" s="31" t="s">
        <v>0</v>
      </c>
      <c r="C1540" s="92">
        <v>10647</v>
      </c>
      <c r="D1540" s="93">
        <v>1</v>
      </c>
      <c r="E1540" s="93">
        <v>3</v>
      </c>
      <c r="F1540" s="94">
        <v>51.5</v>
      </c>
      <c r="G1540" s="21" t="s">
        <v>209</v>
      </c>
      <c r="H1540" s="36">
        <f>(D1540*400)+(E1540*100)+F1540</f>
        <v>751.5</v>
      </c>
      <c r="I1540" s="40">
        <v>4500</v>
      </c>
      <c r="J1540" s="28">
        <f>(H1540*I1540)</f>
        <v>3381750</v>
      </c>
      <c r="K1540" s="37">
        <v>1</v>
      </c>
      <c r="L1540" s="31" t="s">
        <v>199</v>
      </c>
      <c r="M1540" s="92"/>
      <c r="N1540" s="95">
        <v>3</v>
      </c>
      <c r="O1540" s="96">
        <v>3006</v>
      </c>
      <c r="P1540" s="35">
        <v>100</v>
      </c>
      <c r="Q1540" s="40">
        <v>3550</v>
      </c>
      <c r="R1540" s="36">
        <f>(O1540*Q1540)</f>
        <v>10671300</v>
      </c>
      <c r="S1540" s="37">
        <v>7</v>
      </c>
      <c r="T1540" s="28">
        <f>(R1540*7/100)</f>
        <v>746991</v>
      </c>
      <c r="U1540" s="36">
        <f>(R1540-T1540)</f>
        <v>9924309</v>
      </c>
      <c r="V1540" s="36">
        <f>(J1540+U1540)</f>
        <v>13306059</v>
      </c>
      <c r="W1540" s="36">
        <f>(V1540*100/100)</f>
        <v>13306059</v>
      </c>
      <c r="X1540" s="28">
        <v>0</v>
      </c>
      <c r="Y1540" s="28">
        <f>(W1540-X1540)</f>
        <v>13306059</v>
      </c>
      <c r="Z1540" s="49">
        <v>3.0000000000000001E-3</v>
      </c>
    </row>
    <row r="1541" spans="1:26" s="29" customFormat="1" ht="90.75" customHeight="1" x14ac:dyDescent="0.25">
      <c r="A1541" s="20"/>
      <c r="B1541" s="31" t="s">
        <v>0</v>
      </c>
      <c r="C1541" s="92">
        <v>10647</v>
      </c>
      <c r="D1541" s="93">
        <v>0</v>
      </c>
      <c r="E1541" s="93">
        <v>0</v>
      </c>
      <c r="F1541" s="94">
        <v>39</v>
      </c>
      <c r="G1541" s="21" t="s">
        <v>209</v>
      </c>
      <c r="H1541" s="36">
        <f>(D1541*400)+(E1541*100)+F1541</f>
        <v>39</v>
      </c>
      <c r="I1541" s="40">
        <v>4500</v>
      </c>
      <c r="J1541" s="28">
        <f>(H1541*I1541)</f>
        <v>175500</v>
      </c>
      <c r="K1541" s="37">
        <v>2</v>
      </c>
      <c r="L1541" s="31" t="s">
        <v>31</v>
      </c>
      <c r="M1541" s="92"/>
      <c r="N1541" s="95">
        <v>3</v>
      </c>
      <c r="O1541" s="96">
        <v>156</v>
      </c>
      <c r="P1541" s="35">
        <v>100</v>
      </c>
      <c r="Q1541" s="40">
        <v>2550</v>
      </c>
      <c r="R1541" s="36">
        <f>(O1541*Q1541)</f>
        <v>397800</v>
      </c>
      <c r="S1541" s="37">
        <v>7</v>
      </c>
      <c r="T1541" s="28">
        <f>(R1541*7/100)</f>
        <v>27846</v>
      </c>
      <c r="U1541" s="36">
        <f>(R1541-T1541)</f>
        <v>369954</v>
      </c>
      <c r="V1541" s="36">
        <f>(J1541+U1541)</f>
        <v>545454</v>
      </c>
      <c r="W1541" s="36">
        <f>(V1541*100/100)</f>
        <v>545454</v>
      </c>
      <c r="X1541" s="28">
        <v>0</v>
      </c>
      <c r="Y1541" s="28">
        <f>(W1541-X1541)</f>
        <v>545454</v>
      </c>
      <c r="Z1541" s="49">
        <v>3.0000000000000001E-3</v>
      </c>
    </row>
    <row r="1542" spans="1:26" s="29" customFormat="1" ht="90.75" customHeight="1" x14ac:dyDescent="0.25">
      <c r="A1542" s="20"/>
      <c r="B1542" s="31" t="s">
        <v>0</v>
      </c>
      <c r="C1542" s="92">
        <v>10647</v>
      </c>
      <c r="D1542" s="93">
        <v>0</v>
      </c>
      <c r="E1542" s="93">
        <v>0</v>
      </c>
      <c r="F1542" s="94">
        <v>1</v>
      </c>
      <c r="G1542" s="21" t="s">
        <v>209</v>
      </c>
      <c r="H1542" s="36">
        <f>(D1542*400)+(E1542*100)+F1542</f>
        <v>1</v>
      </c>
      <c r="I1542" s="40">
        <v>4500</v>
      </c>
      <c r="J1542" s="28">
        <f>(H1542*I1542)</f>
        <v>4500</v>
      </c>
      <c r="K1542" s="37">
        <v>3</v>
      </c>
      <c r="L1542" s="31" t="s">
        <v>15</v>
      </c>
      <c r="M1542" s="92"/>
      <c r="N1542" s="95">
        <v>3</v>
      </c>
      <c r="O1542" s="96">
        <v>4</v>
      </c>
      <c r="P1542" s="35">
        <v>100</v>
      </c>
      <c r="Q1542" s="40">
        <v>5950</v>
      </c>
      <c r="R1542" s="36">
        <f>(O1542*Q1542)</f>
        <v>23800</v>
      </c>
      <c r="S1542" s="37">
        <v>7</v>
      </c>
      <c r="T1542" s="28">
        <f>(R1542*7/100)</f>
        <v>1666</v>
      </c>
      <c r="U1542" s="36">
        <f>(R1542-T1542)</f>
        <v>22134</v>
      </c>
      <c r="V1542" s="36">
        <f>(J1542+U1542)</f>
        <v>26634</v>
      </c>
      <c r="W1542" s="36">
        <f>(V1542*100/100)</f>
        <v>26634</v>
      </c>
      <c r="X1542" s="28">
        <v>0</v>
      </c>
      <c r="Y1542" s="28">
        <f>(W1542-X1542)</f>
        <v>26634</v>
      </c>
      <c r="Z1542" s="49">
        <v>3.0000000000000001E-3</v>
      </c>
    </row>
    <row r="1543" spans="1:26" s="29" customFormat="1" ht="90.75" customHeight="1" x14ac:dyDescent="0.25">
      <c r="A1543" s="20"/>
      <c r="B1543" s="31" t="s">
        <v>0</v>
      </c>
      <c r="C1543" s="92">
        <v>10647</v>
      </c>
      <c r="D1543" s="93">
        <v>0</v>
      </c>
      <c r="E1543" s="93">
        <v>0</v>
      </c>
      <c r="F1543" s="94">
        <v>16.25</v>
      </c>
      <c r="G1543" s="21" t="s">
        <v>209</v>
      </c>
      <c r="H1543" s="36">
        <f>(D1543*400)+(E1543*100)+F1543</f>
        <v>16.25</v>
      </c>
      <c r="I1543" s="40">
        <v>4500</v>
      </c>
      <c r="J1543" s="28">
        <f>(H1543*I1543)</f>
        <v>73125</v>
      </c>
      <c r="K1543" s="37">
        <v>4</v>
      </c>
      <c r="L1543" s="31" t="s">
        <v>31</v>
      </c>
      <c r="M1543" s="92"/>
      <c r="N1543" s="95">
        <v>3</v>
      </c>
      <c r="O1543" s="96">
        <v>65</v>
      </c>
      <c r="P1543" s="35">
        <v>100</v>
      </c>
      <c r="Q1543" s="40">
        <v>2550</v>
      </c>
      <c r="R1543" s="36">
        <f>(O1543*Q1543)</f>
        <v>165750</v>
      </c>
      <c r="S1543" s="37">
        <v>7</v>
      </c>
      <c r="T1543" s="28">
        <f>(R1543*7/100)</f>
        <v>11602.5</v>
      </c>
      <c r="U1543" s="36">
        <f>(R1543-T1543)</f>
        <v>154147.5</v>
      </c>
      <c r="V1543" s="36">
        <f>(J1543+U1543)</f>
        <v>227272.5</v>
      </c>
      <c r="W1543" s="36">
        <f>(V1543*100/100)</f>
        <v>227272.5</v>
      </c>
      <c r="X1543" s="28">
        <v>0</v>
      </c>
      <c r="Y1543" s="28">
        <f>(W1543-X1543)</f>
        <v>227272.5</v>
      </c>
      <c r="Z1543" s="49">
        <v>3.0000000000000001E-3</v>
      </c>
    </row>
    <row r="1544" spans="1:26" s="29" customFormat="1" ht="90.75" customHeight="1" x14ac:dyDescent="0.25">
      <c r="A1544" s="20"/>
      <c r="B1544" s="31" t="s">
        <v>0</v>
      </c>
      <c r="C1544" s="92">
        <v>10647</v>
      </c>
      <c r="D1544" s="93">
        <v>18</v>
      </c>
      <c r="E1544" s="93">
        <v>3</v>
      </c>
      <c r="F1544" s="94">
        <v>37.39</v>
      </c>
      <c r="G1544" s="21" t="s">
        <v>209</v>
      </c>
      <c r="H1544" s="36">
        <v>23847.25</v>
      </c>
      <c r="I1544" s="40">
        <v>4500</v>
      </c>
      <c r="J1544" s="28">
        <f>(H1544*I1544)</f>
        <v>107312625</v>
      </c>
      <c r="K1544" s="37"/>
      <c r="L1544" s="92"/>
      <c r="M1544" s="92"/>
      <c r="N1544" s="95"/>
      <c r="O1544" s="96"/>
      <c r="P1544" s="35"/>
      <c r="Q1544" s="40"/>
      <c r="R1544" s="36"/>
      <c r="S1544" s="37"/>
      <c r="T1544" s="28"/>
      <c r="U1544" s="36"/>
      <c r="V1544" s="36">
        <f>(J1544+U1544)</f>
        <v>107312625</v>
      </c>
      <c r="W1544" s="36">
        <f>(V1544*100/100)</f>
        <v>107312625</v>
      </c>
      <c r="X1544" s="28">
        <v>0</v>
      </c>
      <c r="Y1544" s="28">
        <f>(W1544-X1544)</f>
        <v>107312625</v>
      </c>
      <c r="Z1544" s="20" t="s">
        <v>264</v>
      </c>
    </row>
    <row r="1545" spans="1:26" s="29" customFormat="1" ht="90.75" customHeight="1" x14ac:dyDescent="0.25">
      <c r="A1545" s="20">
        <v>1016</v>
      </c>
      <c r="B1545" s="20" t="s">
        <v>0</v>
      </c>
      <c r="C1545" s="20">
        <v>47918</v>
      </c>
      <c r="D1545" s="21">
        <v>425</v>
      </c>
      <c r="E1545" s="21">
        <v>0</v>
      </c>
      <c r="F1545" s="22">
        <v>69</v>
      </c>
      <c r="G1545" s="23"/>
      <c r="H1545" s="24"/>
      <c r="I1545" s="25"/>
      <c r="J1545" s="24"/>
      <c r="K1545" s="20">
        <v>1</v>
      </c>
      <c r="L1545" s="20"/>
      <c r="M1545" s="20"/>
      <c r="N1545" s="20"/>
      <c r="O1545" s="24"/>
      <c r="P1545" s="24"/>
      <c r="Q1545" s="25"/>
      <c r="R1545" s="24"/>
      <c r="S1545" s="20"/>
      <c r="T1545" s="27"/>
      <c r="U1545" s="20"/>
      <c r="V1545" s="20"/>
      <c r="W1545" s="26"/>
      <c r="X1545" s="27"/>
      <c r="Y1545" s="20"/>
      <c r="Z1545" s="20"/>
    </row>
    <row r="1546" spans="1:26" s="29" customFormat="1" ht="90.75" customHeight="1" x14ac:dyDescent="0.25">
      <c r="A1546" s="20"/>
      <c r="B1546" s="31" t="s">
        <v>0</v>
      </c>
      <c r="C1546" s="31">
        <v>47918</v>
      </c>
      <c r="D1546" s="41">
        <v>20</v>
      </c>
      <c r="E1546" s="41">
        <v>1</v>
      </c>
      <c r="F1546" s="43">
        <v>50</v>
      </c>
      <c r="G1546" s="21" t="s">
        <v>209</v>
      </c>
      <c r="H1546" s="36">
        <f t="shared" ref="H1546:H1564" si="256">(O1546*0.25)</f>
        <v>8150</v>
      </c>
      <c r="I1546" s="40">
        <v>4500</v>
      </c>
      <c r="J1546" s="28">
        <f t="shared" ref="J1546:J1566" si="257">(H1546*I1546)</f>
        <v>36675000</v>
      </c>
      <c r="K1546" s="37">
        <v>1</v>
      </c>
      <c r="L1546" s="31" t="s">
        <v>15</v>
      </c>
      <c r="M1546" s="48"/>
      <c r="N1546" s="51">
        <v>3</v>
      </c>
      <c r="O1546" s="45">
        <v>32600</v>
      </c>
      <c r="P1546" s="35">
        <v>100</v>
      </c>
      <c r="Q1546" s="40">
        <v>5950</v>
      </c>
      <c r="R1546" s="36">
        <f t="shared" ref="R1546:R1564" si="258">(O1546*Q1546)</f>
        <v>193970000</v>
      </c>
      <c r="S1546" s="37">
        <v>7</v>
      </c>
      <c r="T1546" s="28">
        <f t="shared" ref="T1546:T1564" si="259">(R1546*7/100)</f>
        <v>13577900</v>
      </c>
      <c r="U1546" s="36">
        <f t="shared" ref="U1546:U1564" si="260">(R1546-T1546)</f>
        <v>180392100</v>
      </c>
      <c r="V1546" s="36">
        <f t="shared" ref="V1546:V1564" si="261">(J1546+U1546)</f>
        <v>217067100</v>
      </c>
      <c r="W1546" s="36">
        <f t="shared" ref="W1546:W1564" si="262">(V1546*P1546/100)</f>
        <v>217067100</v>
      </c>
      <c r="X1546" s="28">
        <v>0</v>
      </c>
      <c r="Y1546" s="28">
        <f t="shared" ref="Y1546:Y1566" si="263">(W1546-X1546)</f>
        <v>217067100</v>
      </c>
      <c r="Z1546" s="20" t="s">
        <v>279</v>
      </c>
    </row>
    <row r="1547" spans="1:26" s="29" customFormat="1" ht="90.75" customHeight="1" x14ac:dyDescent="0.25">
      <c r="A1547" s="20"/>
      <c r="B1547" s="31" t="s">
        <v>0</v>
      </c>
      <c r="C1547" s="31">
        <v>47918</v>
      </c>
      <c r="D1547" s="41">
        <v>0</v>
      </c>
      <c r="E1547" s="41">
        <v>2</v>
      </c>
      <c r="F1547" s="43">
        <v>41.25</v>
      </c>
      <c r="G1547" s="21" t="s">
        <v>209</v>
      </c>
      <c r="H1547" s="36">
        <f t="shared" si="256"/>
        <v>241.25</v>
      </c>
      <c r="I1547" s="40">
        <v>4500</v>
      </c>
      <c r="J1547" s="28">
        <f t="shared" si="257"/>
        <v>1085625</v>
      </c>
      <c r="K1547" s="37">
        <v>2</v>
      </c>
      <c r="L1547" s="31" t="s">
        <v>48</v>
      </c>
      <c r="M1547" s="48"/>
      <c r="N1547" s="51">
        <v>3</v>
      </c>
      <c r="O1547" s="45">
        <v>965</v>
      </c>
      <c r="P1547" s="35">
        <v>100</v>
      </c>
      <c r="Q1547" s="40">
        <v>3500</v>
      </c>
      <c r="R1547" s="36">
        <f t="shared" si="258"/>
        <v>3377500</v>
      </c>
      <c r="S1547" s="37">
        <v>7</v>
      </c>
      <c r="T1547" s="28">
        <f t="shared" si="259"/>
        <v>236425</v>
      </c>
      <c r="U1547" s="36">
        <f t="shared" si="260"/>
        <v>3141075</v>
      </c>
      <c r="V1547" s="36">
        <f t="shared" si="261"/>
        <v>4226700</v>
      </c>
      <c r="W1547" s="36">
        <f t="shared" si="262"/>
        <v>4226700</v>
      </c>
      <c r="X1547" s="28">
        <v>0</v>
      </c>
      <c r="Y1547" s="28">
        <f t="shared" si="263"/>
        <v>4226700</v>
      </c>
      <c r="Z1547" s="49">
        <v>3.0000000000000001E-3</v>
      </c>
    </row>
    <row r="1548" spans="1:26" s="29" customFormat="1" ht="90.75" customHeight="1" x14ac:dyDescent="0.25">
      <c r="A1548" s="20"/>
      <c r="B1548" s="31" t="s">
        <v>0</v>
      </c>
      <c r="C1548" s="31">
        <v>47918</v>
      </c>
      <c r="D1548" s="41">
        <v>0</v>
      </c>
      <c r="E1548" s="41">
        <v>2</v>
      </c>
      <c r="F1548" s="43">
        <v>42.25</v>
      </c>
      <c r="G1548" s="21" t="s">
        <v>209</v>
      </c>
      <c r="H1548" s="36">
        <f t="shared" si="256"/>
        <v>242.25</v>
      </c>
      <c r="I1548" s="40">
        <v>4500</v>
      </c>
      <c r="J1548" s="28">
        <f t="shared" si="257"/>
        <v>1090125</v>
      </c>
      <c r="K1548" s="37">
        <v>3</v>
      </c>
      <c r="L1548" s="31" t="s">
        <v>15</v>
      </c>
      <c r="M1548" s="31"/>
      <c r="N1548" s="51">
        <v>3</v>
      </c>
      <c r="O1548" s="45">
        <v>969</v>
      </c>
      <c r="P1548" s="35">
        <v>100</v>
      </c>
      <c r="Q1548" s="40">
        <v>5950</v>
      </c>
      <c r="R1548" s="36">
        <f t="shared" si="258"/>
        <v>5765550</v>
      </c>
      <c r="S1548" s="37">
        <v>7</v>
      </c>
      <c r="T1548" s="28">
        <f t="shared" si="259"/>
        <v>403588.5</v>
      </c>
      <c r="U1548" s="36">
        <f t="shared" si="260"/>
        <v>5361961.5</v>
      </c>
      <c r="V1548" s="36">
        <f t="shared" si="261"/>
        <v>6452086.5</v>
      </c>
      <c r="W1548" s="36">
        <f t="shared" si="262"/>
        <v>6452086.5</v>
      </c>
      <c r="X1548" s="28">
        <v>0</v>
      </c>
      <c r="Y1548" s="28">
        <f t="shared" si="263"/>
        <v>6452086.5</v>
      </c>
      <c r="Z1548" s="49">
        <v>3.0000000000000001E-3</v>
      </c>
    </row>
    <row r="1549" spans="1:26" s="29" customFormat="1" ht="90.75" customHeight="1" x14ac:dyDescent="0.25">
      <c r="A1549" s="20"/>
      <c r="B1549" s="31" t="s">
        <v>0</v>
      </c>
      <c r="C1549" s="31">
        <v>47918</v>
      </c>
      <c r="D1549" s="41">
        <v>0</v>
      </c>
      <c r="E1549" s="41">
        <v>1</v>
      </c>
      <c r="F1549" s="43">
        <v>50</v>
      </c>
      <c r="G1549" s="21" t="s">
        <v>209</v>
      </c>
      <c r="H1549" s="36">
        <f t="shared" si="256"/>
        <v>150</v>
      </c>
      <c r="I1549" s="40">
        <v>4500</v>
      </c>
      <c r="J1549" s="28">
        <f t="shared" si="257"/>
        <v>675000</v>
      </c>
      <c r="K1549" s="37">
        <v>4</v>
      </c>
      <c r="L1549" s="31" t="s">
        <v>48</v>
      </c>
      <c r="M1549" s="48"/>
      <c r="N1549" s="51">
        <v>3</v>
      </c>
      <c r="O1549" s="45">
        <v>600</v>
      </c>
      <c r="P1549" s="35">
        <v>100</v>
      </c>
      <c r="Q1549" s="40">
        <v>3500</v>
      </c>
      <c r="R1549" s="36">
        <f t="shared" si="258"/>
        <v>2100000</v>
      </c>
      <c r="S1549" s="37">
        <v>7</v>
      </c>
      <c r="T1549" s="28">
        <f t="shared" si="259"/>
        <v>147000</v>
      </c>
      <c r="U1549" s="36">
        <f t="shared" si="260"/>
        <v>1953000</v>
      </c>
      <c r="V1549" s="36">
        <f t="shared" si="261"/>
        <v>2628000</v>
      </c>
      <c r="W1549" s="36">
        <f t="shared" si="262"/>
        <v>2628000</v>
      </c>
      <c r="X1549" s="28">
        <v>0</v>
      </c>
      <c r="Y1549" s="28">
        <f t="shared" si="263"/>
        <v>2628000</v>
      </c>
      <c r="Z1549" s="49">
        <v>3.0000000000000001E-3</v>
      </c>
    </row>
    <row r="1550" spans="1:26" s="29" customFormat="1" ht="90.75" customHeight="1" x14ac:dyDescent="0.25">
      <c r="A1550" s="20"/>
      <c r="B1550" s="31" t="s">
        <v>0</v>
      </c>
      <c r="C1550" s="31">
        <v>47918</v>
      </c>
      <c r="D1550" s="41">
        <v>0</v>
      </c>
      <c r="E1550" s="41">
        <v>1</v>
      </c>
      <c r="F1550" s="43">
        <v>98.75</v>
      </c>
      <c r="G1550" s="21" t="s">
        <v>209</v>
      </c>
      <c r="H1550" s="36">
        <f t="shared" si="256"/>
        <v>198.75</v>
      </c>
      <c r="I1550" s="40">
        <v>4500</v>
      </c>
      <c r="J1550" s="28">
        <f t="shared" si="257"/>
        <v>894375</v>
      </c>
      <c r="K1550" s="37">
        <v>5</v>
      </c>
      <c r="L1550" s="31" t="s">
        <v>15</v>
      </c>
      <c r="M1550" s="48"/>
      <c r="N1550" s="51">
        <v>3</v>
      </c>
      <c r="O1550" s="45">
        <v>795</v>
      </c>
      <c r="P1550" s="35">
        <v>100</v>
      </c>
      <c r="Q1550" s="40">
        <v>5950</v>
      </c>
      <c r="R1550" s="36">
        <f t="shared" si="258"/>
        <v>4730250</v>
      </c>
      <c r="S1550" s="37">
        <v>7</v>
      </c>
      <c r="T1550" s="28">
        <f t="shared" si="259"/>
        <v>331117.5</v>
      </c>
      <c r="U1550" s="36">
        <f t="shared" si="260"/>
        <v>4399132.5</v>
      </c>
      <c r="V1550" s="36">
        <f t="shared" si="261"/>
        <v>5293507.5</v>
      </c>
      <c r="W1550" s="36">
        <f t="shared" si="262"/>
        <v>5293507.5</v>
      </c>
      <c r="X1550" s="28">
        <v>0</v>
      </c>
      <c r="Y1550" s="28">
        <f t="shared" si="263"/>
        <v>5293507.5</v>
      </c>
      <c r="Z1550" s="49">
        <v>3.0000000000000001E-3</v>
      </c>
    </row>
    <row r="1551" spans="1:26" s="29" customFormat="1" ht="90.75" customHeight="1" x14ac:dyDescent="0.25">
      <c r="A1551" s="20"/>
      <c r="B1551" s="31" t="s">
        <v>0</v>
      </c>
      <c r="C1551" s="31">
        <v>47918</v>
      </c>
      <c r="D1551" s="41">
        <v>0</v>
      </c>
      <c r="E1551" s="41">
        <v>0</v>
      </c>
      <c r="F1551" s="43">
        <v>72</v>
      </c>
      <c r="G1551" s="21" t="s">
        <v>209</v>
      </c>
      <c r="H1551" s="36">
        <f t="shared" si="256"/>
        <v>72</v>
      </c>
      <c r="I1551" s="40">
        <v>4500</v>
      </c>
      <c r="J1551" s="28">
        <f t="shared" si="257"/>
        <v>324000</v>
      </c>
      <c r="K1551" s="37">
        <v>6</v>
      </c>
      <c r="L1551" s="31" t="s">
        <v>15</v>
      </c>
      <c r="M1551" s="48"/>
      <c r="N1551" s="51">
        <v>3</v>
      </c>
      <c r="O1551" s="45">
        <v>288</v>
      </c>
      <c r="P1551" s="35">
        <v>100</v>
      </c>
      <c r="Q1551" s="40">
        <v>5950</v>
      </c>
      <c r="R1551" s="36">
        <f t="shared" si="258"/>
        <v>1713600</v>
      </c>
      <c r="S1551" s="37">
        <v>7</v>
      </c>
      <c r="T1551" s="28">
        <f t="shared" si="259"/>
        <v>119952</v>
      </c>
      <c r="U1551" s="36">
        <f t="shared" si="260"/>
        <v>1593648</v>
      </c>
      <c r="V1551" s="36">
        <f t="shared" si="261"/>
        <v>1917648</v>
      </c>
      <c r="W1551" s="36">
        <f t="shared" si="262"/>
        <v>1917648</v>
      </c>
      <c r="X1551" s="28">
        <v>0</v>
      </c>
      <c r="Y1551" s="28">
        <f t="shared" si="263"/>
        <v>1917648</v>
      </c>
      <c r="Z1551" s="49">
        <v>3.0000000000000001E-3</v>
      </c>
    </row>
    <row r="1552" spans="1:26" s="29" customFormat="1" ht="90.75" customHeight="1" x14ac:dyDescent="0.25">
      <c r="A1552" s="20"/>
      <c r="B1552" s="31" t="s">
        <v>0</v>
      </c>
      <c r="C1552" s="31">
        <v>47918</v>
      </c>
      <c r="D1552" s="41">
        <v>34</v>
      </c>
      <c r="E1552" s="41">
        <v>0</v>
      </c>
      <c r="F1552" s="43">
        <v>90.5</v>
      </c>
      <c r="G1552" s="21" t="s">
        <v>209</v>
      </c>
      <c r="H1552" s="36">
        <f t="shared" si="256"/>
        <v>13690.5</v>
      </c>
      <c r="I1552" s="40">
        <v>4500</v>
      </c>
      <c r="J1552" s="28">
        <f t="shared" si="257"/>
        <v>61607250</v>
      </c>
      <c r="K1552" s="37">
        <v>7</v>
      </c>
      <c r="L1552" s="31" t="s">
        <v>15</v>
      </c>
      <c r="M1552" s="48"/>
      <c r="N1552" s="51">
        <v>3</v>
      </c>
      <c r="O1552" s="45">
        <v>54762</v>
      </c>
      <c r="P1552" s="35">
        <v>100</v>
      </c>
      <c r="Q1552" s="40">
        <v>5950</v>
      </c>
      <c r="R1552" s="36">
        <f t="shared" si="258"/>
        <v>325833900</v>
      </c>
      <c r="S1552" s="37">
        <v>7</v>
      </c>
      <c r="T1552" s="28">
        <f t="shared" si="259"/>
        <v>22808373</v>
      </c>
      <c r="U1552" s="36">
        <f t="shared" si="260"/>
        <v>303025527</v>
      </c>
      <c r="V1552" s="36">
        <f t="shared" si="261"/>
        <v>364632777</v>
      </c>
      <c r="W1552" s="36">
        <f t="shared" si="262"/>
        <v>364632777</v>
      </c>
      <c r="X1552" s="28">
        <v>0</v>
      </c>
      <c r="Y1552" s="28">
        <f t="shared" si="263"/>
        <v>364632777</v>
      </c>
      <c r="Z1552" s="20" t="s">
        <v>279</v>
      </c>
    </row>
    <row r="1553" spans="1:26" s="29" customFormat="1" ht="90.75" customHeight="1" x14ac:dyDescent="0.25">
      <c r="A1553" s="20"/>
      <c r="B1553" s="31" t="s">
        <v>0</v>
      </c>
      <c r="C1553" s="31">
        <v>47918</v>
      </c>
      <c r="D1553" s="41">
        <v>0</v>
      </c>
      <c r="E1553" s="41">
        <v>1</v>
      </c>
      <c r="F1553" s="43">
        <v>14.25</v>
      </c>
      <c r="G1553" s="21" t="s">
        <v>209</v>
      </c>
      <c r="H1553" s="36">
        <f t="shared" si="256"/>
        <v>114.25</v>
      </c>
      <c r="I1553" s="40">
        <v>4500</v>
      </c>
      <c r="J1553" s="28">
        <f t="shared" si="257"/>
        <v>514125</v>
      </c>
      <c r="K1553" s="37">
        <v>8</v>
      </c>
      <c r="L1553" s="31" t="s">
        <v>15</v>
      </c>
      <c r="M1553" s="48"/>
      <c r="N1553" s="51">
        <v>3</v>
      </c>
      <c r="O1553" s="45">
        <v>457</v>
      </c>
      <c r="P1553" s="35">
        <v>100</v>
      </c>
      <c r="Q1553" s="40">
        <v>5950</v>
      </c>
      <c r="R1553" s="36">
        <f t="shared" si="258"/>
        <v>2719150</v>
      </c>
      <c r="S1553" s="37">
        <v>7</v>
      </c>
      <c r="T1553" s="28">
        <f t="shared" si="259"/>
        <v>190340.5</v>
      </c>
      <c r="U1553" s="36">
        <f t="shared" si="260"/>
        <v>2528809.5</v>
      </c>
      <c r="V1553" s="36">
        <f t="shared" si="261"/>
        <v>3042934.5</v>
      </c>
      <c r="W1553" s="36">
        <f t="shared" si="262"/>
        <v>3042934.5</v>
      </c>
      <c r="X1553" s="28">
        <v>0</v>
      </c>
      <c r="Y1553" s="28">
        <f t="shared" si="263"/>
        <v>3042934.5</v>
      </c>
      <c r="Z1553" s="49">
        <v>3.0000000000000001E-3</v>
      </c>
    </row>
    <row r="1554" spans="1:26" s="29" customFormat="1" ht="90.75" customHeight="1" x14ac:dyDescent="0.25">
      <c r="A1554" s="20"/>
      <c r="B1554" s="31" t="s">
        <v>0</v>
      </c>
      <c r="C1554" s="31">
        <v>47918</v>
      </c>
      <c r="D1554" s="41">
        <v>1</v>
      </c>
      <c r="E1554" s="41">
        <v>3</v>
      </c>
      <c r="F1554" s="43">
        <v>35</v>
      </c>
      <c r="G1554" s="21" t="s">
        <v>209</v>
      </c>
      <c r="H1554" s="36">
        <f t="shared" si="256"/>
        <v>735</v>
      </c>
      <c r="I1554" s="40">
        <v>4500</v>
      </c>
      <c r="J1554" s="28">
        <f t="shared" si="257"/>
        <v>3307500</v>
      </c>
      <c r="K1554" s="37">
        <v>9</v>
      </c>
      <c r="L1554" s="31" t="s">
        <v>48</v>
      </c>
      <c r="M1554" s="48"/>
      <c r="N1554" s="51">
        <v>3</v>
      </c>
      <c r="O1554" s="45">
        <v>2940</v>
      </c>
      <c r="P1554" s="35">
        <v>100</v>
      </c>
      <c r="Q1554" s="40">
        <v>3500</v>
      </c>
      <c r="R1554" s="36">
        <f t="shared" si="258"/>
        <v>10290000</v>
      </c>
      <c r="S1554" s="37">
        <v>7</v>
      </c>
      <c r="T1554" s="28">
        <f t="shared" si="259"/>
        <v>720300</v>
      </c>
      <c r="U1554" s="36">
        <f t="shared" si="260"/>
        <v>9569700</v>
      </c>
      <c r="V1554" s="36">
        <f t="shared" si="261"/>
        <v>12877200</v>
      </c>
      <c r="W1554" s="36">
        <f t="shared" si="262"/>
        <v>12877200</v>
      </c>
      <c r="X1554" s="28">
        <v>0</v>
      </c>
      <c r="Y1554" s="28">
        <f t="shared" si="263"/>
        <v>12877200</v>
      </c>
      <c r="Z1554" s="49">
        <v>3.0000000000000001E-3</v>
      </c>
    </row>
    <row r="1555" spans="1:26" s="29" customFormat="1" ht="90.75" customHeight="1" x14ac:dyDescent="0.25">
      <c r="A1555" s="20"/>
      <c r="B1555" s="31" t="s">
        <v>0</v>
      </c>
      <c r="C1555" s="31">
        <v>47918</v>
      </c>
      <c r="D1555" s="41">
        <v>0</v>
      </c>
      <c r="E1555" s="41">
        <v>1</v>
      </c>
      <c r="F1555" s="43">
        <v>25</v>
      </c>
      <c r="G1555" s="21" t="s">
        <v>209</v>
      </c>
      <c r="H1555" s="36">
        <f t="shared" si="256"/>
        <v>125</v>
      </c>
      <c r="I1555" s="40">
        <v>4500</v>
      </c>
      <c r="J1555" s="28">
        <f t="shared" si="257"/>
        <v>562500</v>
      </c>
      <c r="K1555" s="37">
        <v>10</v>
      </c>
      <c r="L1555" s="31" t="s">
        <v>48</v>
      </c>
      <c r="M1555" s="48"/>
      <c r="N1555" s="51">
        <v>3</v>
      </c>
      <c r="O1555" s="45">
        <v>500</v>
      </c>
      <c r="P1555" s="35">
        <v>100</v>
      </c>
      <c r="Q1555" s="40">
        <v>3500</v>
      </c>
      <c r="R1555" s="36">
        <f t="shared" si="258"/>
        <v>1750000</v>
      </c>
      <c r="S1555" s="37">
        <v>7</v>
      </c>
      <c r="T1555" s="28">
        <f t="shared" si="259"/>
        <v>122500</v>
      </c>
      <c r="U1555" s="36">
        <f t="shared" si="260"/>
        <v>1627500</v>
      </c>
      <c r="V1555" s="36">
        <f t="shared" si="261"/>
        <v>2190000</v>
      </c>
      <c r="W1555" s="36">
        <f t="shared" si="262"/>
        <v>2190000</v>
      </c>
      <c r="X1555" s="28">
        <v>0</v>
      </c>
      <c r="Y1555" s="28">
        <f t="shared" si="263"/>
        <v>2190000</v>
      </c>
      <c r="Z1555" s="49">
        <v>3.0000000000000001E-3</v>
      </c>
    </row>
    <row r="1556" spans="1:26" s="29" customFormat="1" ht="90.75" customHeight="1" x14ac:dyDescent="0.25">
      <c r="A1556" s="20"/>
      <c r="B1556" s="31" t="s">
        <v>0</v>
      </c>
      <c r="C1556" s="31">
        <v>47918</v>
      </c>
      <c r="D1556" s="41">
        <v>0</v>
      </c>
      <c r="E1556" s="41">
        <v>0</v>
      </c>
      <c r="F1556" s="43">
        <v>6.25</v>
      </c>
      <c r="G1556" s="21" t="s">
        <v>209</v>
      </c>
      <c r="H1556" s="36">
        <f t="shared" si="256"/>
        <v>6.25</v>
      </c>
      <c r="I1556" s="40">
        <v>4500</v>
      </c>
      <c r="J1556" s="28">
        <f t="shared" si="257"/>
        <v>28125</v>
      </c>
      <c r="K1556" s="37">
        <v>11</v>
      </c>
      <c r="L1556" s="31" t="s">
        <v>29</v>
      </c>
      <c r="M1556" s="48"/>
      <c r="N1556" s="51">
        <v>3</v>
      </c>
      <c r="O1556" s="45">
        <v>25</v>
      </c>
      <c r="P1556" s="35">
        <v>100</v>
      </c>
      <c r="Q1556" s="40">
        <v>5550</v>
      </c>
      <c r="R1556" s="36">
        <f t="shared" si="258"/>
        <v>138750</v>
      </c>
      <c r="S1556" s="37">
        <v>7</v>
      </c>
      <c r="T1556" s="28">
        <f t="shared" si="259"/>
        <v>9712.5</v>
      </c>
      <c r="U1556" s="36">
        <f t="shared" si="260"/>
        <v>129037.5</v>
      </c>
      <c r="V1556" s="36">
        <f t="shared" si="261"/>
        <v>157162.5</v>
      </c>
      <c r="W1556" s="36">
        <f t="shared" si="262"/>
        <v>157162.5</v>
      </c>
      <c r="X1556" s="28">
        <v>0</v>
      </c>
      <c r="Y1556" s="28">
        <f t="shared" si="263"/>
        <v>157162.5</v>
      </c>
      <c r="Z1556" s="49">
        <v>3.0000000000000001E-3</v>
      </c>
    </row>
    <row r="1557" spans="1:26" s="29" customFormat="1" ht="90.75" customHeight="1" x14ac:dyDescent="0.25">
      <c r="A1557" s="20"/>
      <c r="B1557" s="31" t="s">
        <v>0</v>
      </c>
      <c r="C1557" s="31">
        <v>47918</v>
      </c>
      <c r="D1557" s="41">
        <v>95</v>
      </c>
      <c r="E1557" s="41">
        <v>2</v>
      </c>
      <c r="F1557" s="43">
        <v>13.14</v>
      </c>
      <c r="G1557" s="21" t="s">
        <v>209</v>
      </c>
      <c r="H1557" s="36">
        <f t="shared" si="256"/>
        <v>38113.317499999997</v>
      </c>
      <c r="I1557" s="40">
        <v>4500</v>
      </c>
      <c r="J1557" s="28">
        <f t="shared" si="257"/>
        <v>171509928.75</v>
      </c>
      <c r="K1557" s="37">
        <v>12</v>
      </c>
      <c r="L1557" s="31" t="s">
        <v>15</v>
      </c>
      <c r="M1557" s="48"/>
      <c r="N1557" s="51">
        <v>3</v>
      </c>
      <c r="O1557" s="45">
        <v>152453.26999999999</v>
      </c>
      <c r="P1557" s="35">
        <v>100</v>
      </c>
      <c r="Q1557" s="40">
        <v>5950</v>
      </c>
      <c r="R1557" s="36">
        <f t="shared" si="258"/>
        <v>907096956.49999988</v>
      </c>
      <c r="S1557" s="37">
        <v>7</v>
      </c>
      <c r="T1557" s="28">
        <f t="shared" si="259"/>
        <v>63496786.954999991</v>
      </c>
      <c r="U1557" s="36">
        <f t="shared" si="260"/>
        <v>843600169.54499984</v>
      </c>
      <c r="V1557" s="36">
        <f t="shared" si="261"/>
        <v>1015110098.2949998</v>
      </c>
      <c r="W1557" s="36">
        <f t="shared" si="262"/>
        <v>1015110098.2949998</v>
      </c>
      <c r="X1557" s="28">
        <v>0</v>
      </c>
      <c r="Y1557" s="28">
        <f t="shared" si="263"/>
        <v>1015110098.2949998</v>
      </c>
      <c r="Z1557" s="20" t="s">
        <v>280</v>
      </c>
    </row>
    <row r="1558" spans="1:26" s="29" customFormat="1" ht="90.75" customHeight="1" x14ac:dyDescent="0.25">
      <c r="A1558" s="20"/>
      <c r="B1558" s="31" t="s">
        <v>0</v>
      </c>
      <c r="C1558" s="31">
        <v>47918</v>
      </c>
      <c r="D1558" s="41">
        <v>1</v>
      </c>
      <c r="E1558" s="41">
        <v>0</v>
      </c>
      <c r="F1558" s="43">
        <v>38</v>
      </c>
      <c r="G1558" s="21" t="s">
        <v>209</v>
      </c>
      <c r="H1558" s="36">
        <f t="shared" si="256"/>
        <v>438</v>
      </c>
      <c r="I1558" s="40">
        <v>4500</v>
      </c>
      <c r="J1558" s="28">
        <f t="shared" si="257"/>
        <v>1971000</v>
      </c>
      <c r="K1558" s="37">
        <v>13</v>
      </c>
      <c r="L1558" s="31" t="s">
        <v>15</v>
      </c>
      <c r="M1558" s="48"/>
      <c r="N1558" s="51">
        <v>3</v>
      </c>
      <c r="O1558" s="45">
        <v>1752</v>
      </c>
      <c r="P1558" s="35">
        <v>100</v>
      </c>
      <c r="Q1558" s="40">
        <v>5950</v>
      </c>
      <c r="R1558" s="36">
        <f t="shared" si="258"/>
        <v>10424400</v>
      </c>
      <c r="S1558" s="37">
        <v>7</v>
      </c>
      <c r="T1558" s="28">
        <f t="shared" si="259"/>
        <v>729708</v>
      </c>
      <c r="U1558" s="36">
        <f t="shared" si="260"/>
        <v>9694692</v>
      </c>
      <c r="V1558" s="36">
        <f t="shared" si="261"/>
        <v>11665692</v>
      </c>
      <c r="W1558" s="36">
        <f t="shared" si="262"/>
        <v>11665692</v>
      </c>
      <c r="X1558" s="28">
        <v>0</v>
      </c>
      <c r="Y1558" s="28">
        <f t="shared" si="263"/>
        <v>11665692</v>
      </c>
      <c r="Z1558" s="49">
        <v>3.0000000000000001E-3</v>
      </c>
    </row>
    <row r="1559" spans="1:26" s="29" customFormat="1" ht="90.75" customHeight="1" x14ac:dyDescent="0.25">
      <c r="A1559" s="20"/>
      <c r="B1559" s="31" t="s">
        <v>0</v>
      </c>
      <c r="C1559" s="31">
        <v>47918</v>
      </c>
      <c r="D1559" s="41">
        <v>0</v>
      </c>
      <c r="E1559" s="41">
        <v>0</v>
      </c>
      <c r="F1559" s="43">
        <v>10.45</v>
      </c>
      <c r="G1559" s="21" t="s">
        <v>209</v>
      </c>
      <c r="H1559" s="36">
        <f t="shared" si="256"/>
        <v>10.452500000000001</v>
      </c>
      <c r="I1559" s="40">
        <v>4500</v>
      </c>
      <c r="J1559" s="28">
        <f t="shared" si="257"/>
        <v>47036.25</v>
      </c>
      <c r="K1559" s="37">
        <v>14</v>
      </c>
      <c r="L1559" s="31" t="s">
        <v>15</v>
      </c>
      <c r="M1559" s="48"/>
      <c r="N1559" s="51">
        <v>3</v>
      </c>
      <c r="O1559" s="45">
        <v>41.81</v>
      </c>
      <c r="P1559" s="35">
        <v>100</v>
      </c>
      <c r="Q1559" s="40">
        <v>5950</v>
      </c>
      <c r="R1559" s="36">
        <f t="shared" si="258"/>
        <v>248769.5</v>
      </c>
      <c r="S1559" s="37">
        <v>7</v>
      </c>
      <c r="T1559" s="28">
        <f t="shared" si="259"/>
        <v>17413.865000000002</v>
      </c>
      <c r="U1559" s="36">
        <f t="shared" si="260"/>
        <v>231355.63500000001</v>
      </c>
      <c r="V1559" s="36">
        <f t="shared" si="261"/>
        <v>278391.88500000001</v>
      </c>
      <c r="W1559" s="36">
        <f t="shared" si="262"/>
        <v>278391.88500000001</v>
      </c>
      <c r="X1559" s="28">
        <v>0</v>
      </c>
      <c r="Y1559" s="28">
        <f t="shared" si="263"/>
        <v>278391.88500000001</v>
      </c>
      <c r="Z1559" s="49">
        <v>3.0000000000000001E-3</v>
      </c>
    </row>
    <row r="1560" spans="1:26" s="29" customFormat="1" ht="90.75" customHeight="1" x14ac:dyDescent="0.25">
      <c r="A1560" s="20"/>
      <c r="B1560" s="31" t="s">
        <v>0</v>
      </c>
      <c r="C1560" s="31">
        <v>47918</v>
      </c>
      <c r="D1560" s="41">
        <v>0</v>
      </c>
      <c r="E1560" s="41">
        <v>1</v>
      </c>
      <c r="F1560" s="43">
        <v>26</v>
      </c>
      <c r="G1560" s="21" t="s">
        <v>209</v>
      </c>
      <c r="H1560" s="36">
        <f t="shared" si="256"/>
        <v>126</v>
      </c>
      <c r="I1560" s="40">
        <v>4500</v>
      </c>
      <c r="J1560" s="28">
        <f t="shared" si="257"/>
        <v>567000</v>
      </c>
      <c r="K1560" s="37">
        <v>15</v>
      </c>
      <c r="L1560" s="31" t="s">
        <v>15</v>
      </c>
      <c r="M1560" s="48"/>
      <c r="N1560" s="51">
        <v>3</v>
      </c>
      <c r="O1560" s="45">
        <v>504</v>
      </c>
      <c r="P1560" s="35">
        <v>100</v>
      </c>
      <c r="Q1560" s="40">
        <v>5950</v>
      </c>
      <c r="R1560" s="36">
        <f t="shared" si="258"/>
        <v>2998800</v>
      </c>
      <c r="S1560" s="37">
        <v>7</v>
      </c>
      <c r="T1560" s="28">
        <f t="shared" si="259"/>
        <v>209916</v>
      </c>
      <c r="U1560" s="36">
        <f t="shared" si="260"/>
        <v>2788884</v>
      </c>
      <c r="V1560" s="36">
        <f t="shared" si="261"/>
        <v>3355884</v>
      </c>
      <c r="W1560" s="36">
        <f t="shared" si="262"/>
        <v>3355884</v>
      </c>
      <c r="X1560" s="28">
        <v>0</v>
      </c>
      <c r="Y1560" s="28">
        <f t="shared" si="263"/>
        <v>3355884</v>
      </c>
      <c r="Z1560" s="49">
        <v>3.0000000000000001E-3</v>
      </c>
    </row>
    <row r="1561" spans="1:26" s="29" customFormat="1" ht="90.75" customHeight="1" x14ac:dyDescent="0.25">
      <c r="A1561" s="20"/>
      <c r="B1561" s="31" t="s">
        <v>0</v>
      </c>
      <c r="C1561" s="31">
        <v>47918</v>
      </c>
      <c r="D1561" s="41">
        <v>1</v>
      </c>
      <c r="E1561" s="41">
        <v>3</v>
      </c>
      <c r="F1561" s="43">
        <v>15.56</v>
      </c>
      <c r="G1561" s="21" t="s">
        <v>209</v>
      </c>
      <c r="H1561" s="36">
        <f t="shared" si="256"/>
        <v>715.55499999999995</v>
      </c>
      <c r="I1561" s="40">
        <v>4500</v>
      </c>
      <c r="J1561" s="28">
        <f t="shared" si="257"/>
        <v>3219997.5</v>
      </c>
      <c r="K1561" s="37">
        <v>16</v>
      </c>
      <c r="L1561" s="31" t="s">
        <v>15</v>
      </c>
      <c r="M1561" s="48"/>
      <c r="N1561" s="51">
        <v>3</v>
      </c>
      <c r="O1561" s="45">
        <v>2862.22</v>
      </c>
      <c r="P1561" s="35">
        <v>100</v>
      </c>
      <c r="Q1561" s="40">
        <v>5950</v>
      </c>
      <c r="R1561" s="36">
        <f t="shared" si="258"/>
        <v>17030209</v>
      </c>
      <c r="S1561" s="37">
        <v>7</v>
      </c>
      <c r="T1561" s="28">
        <f t="shared" si="259"/>
        <v>1192114.6299999999</v>
      </c>
      <c r="U1561" s="36">
        <f t="shared" si="260"/>
        <v>15838094.370000001</v>
      </c>
      <c r="V1561" s="36">
        <f t="shared" si="261"/>
        <v>19058091.870000001</v>
      </c>
      <c r="W1561" s="36">
        <f t="shared" si="262"/>
        <v>19058091.870000001</v>
      </c>
      <c r="X1561" s="28">
        <v>0</v>
      </c>
      <c r="Y1561" s="28">
        <f t="shared" si="263"/>
        <v>19058091.870000001</v>
      </c>
      <c r="Z1561" s="49">
        <v>3.0000000000000001E-3</v>
      </c>
    </row>
    <row r="1562" spans="1:26" s="29" customFormat="1" ht="90.75" customHeight="1" x14ac:dyDescent="0.25">
      <c r="A1562" s="20"/>
      <c r="B1562" s="31" t="s">
        <v>0</v>
      </c>
      <c r="C1562" s="31">
        <v>47918</v>
      </c>
      <c r="D1562" s="41">
        <v>1</v>
      </c>
      <c r="E1562" s="41">
        <v>2</v>
      </c>
      <c r="F1562" s="43">
        <v>6.02</v>
      </c>
      <c r="G1562" s="21" t="s">
        <v>209</v>
      </c>
      <c r="H1562" s="36">
        <f t="shared" si="256"/>
        <v>606.01499999999999</v>
      </c>
      <c r="I1562" s="40">
        <v>4500</v>
      </c>
      <c r="J1562" s="28">
        <f t="shared" si="257"/>
        <v>2727067.5</v>
      </c>
      <c r="K1562" s="37">
        <v>17</v>
      </c>
      <c r="L1562" s="31" t="s">
        <v>15</v>
      </c>
      <c r="M1562" s="48"/>
      <c r="N1562" s="51">
        <v>3</v>
      </c>
      <c r="O1562" s="45">
        <v>2424.06</v>
      </c>
      <c r="P1562" s="35">
        <v>100</v>
      </c>
      <c r="Q1562" s="40">
        <v>5950</v>
      </c>
      <c r="R1562" s="36">
        <f t="shared" si="258"/>
        <v>14423157</v>
      </c>
      <c r="S1562" s="37">
        <v>7</v>
      </c>
      <c r="T1562" s="28">
        <f t="shared" si="259"/>
        <v>1009620.99</v>
      </c>
      <c r="U1562" s="36">
        <f t="shared" si="260"/>
        <v>13413536.01</v>
      </c>
      <c r="V1562" s="36">
        <f t="shared" si="261"/>
        <v>16140603.51</v>
      </c>
      <c r="W1562" s="36">
        <f t="shared" si="262"/>
        <v>16140603.51</v>
      </c>
      <c r="X1562" s="28">
        <v>0</v>
      </c>
      <c r="Y1562" s="28">
        <f t="shared" si="263"/>
        <v>16140603.51</v>
      </c>
      <c r="Z1562" s="49">
        <v>3.0000000000000001E-3</v>
      </c>
    </row>
    <row r="1563" spans="1:26" s="29" customFormat="1" ht="90.75" customHeight="1" x14ac:dyDescent="0.25">
      <c r="A1563" s="20"/>
      <c r="B1563" s="31" t="s">
        <v>0</v>
      </c>
      <c r="C1563" s="31">
        <v>47918</v>
      </c>
      <c r="D1563" s="41">
        <v>0</v>
      </c>
      <c r="E1563" s="41">
        <v>2</v>
      </c>
      <c r="F1563" s="43">
        <v>96.44</v>
      </c>
      <c r="G1563" s="21" t="s">
        <v>209</v>
      </c>
      <c r="H1563" s="36">
        <f t="shared" si="256"/>
        <v>296.4375</v>
      </c>
      <c r="I1563" s="40">
        <v>4500</v>
      </c>
      <c r="J1563" s="28">
        <f t="shared" si="257"/>
        <v>1333968.75</v>
      </c>
      <c r="K1563" s="37">
        <v>18</v>
      </c>
      <c r="L1563" s="31" t="s">
        <v>15</v>
      </c>
      <c r="M1563" s="48"/>
      <c r="N1563" s="51">
        <v>3</v>
      </c>
      <c r="O1563" s="45">
        <v>1185.75</v>
      </c>
      <c r="P1563" s="35">
        <v>100</v>
      </c>
      <c r="Q1563" s="40">
        <v>5950</v>
      </c>
      <c r="R1563" s="36">
        <f t="shared" si="258"/>
        <v>7055212.5</v>
      </c>
      <c r="S1563" s="37">
        <v>7</v>
      </c>
      <c r="T1563" s="28">
        <f t="shared" si="259"/>
        <v>493864.875</v>
      </c>
      <c r="U1563" s="36">
        <f t="shared" si="260"/>
        <v>6561347.625</v>
      </c>
      <c r="V1563" s="36">
        <f t="shared" si="261"/>
        <v>7895316.375</v>
      </c>
      <c r="W1563" s="36">
        <f t="shared" si="262"/>
        <v>7895316.375</v>
      </c>
      <c r="X1563" s="28">
        <v>0</v>
      </c>
      <c r="Y1563" s="28">
        <f t="shared" si="263"/>
        <v>7895316.375</v>
      </c>
      <c r="Z1563" s="49">
        <v>3.0000000000000001E-3</v>
      </c>
    </row>
    <row r="1564" spans="1:26" s="29" customFormat="1" ht="90.75" customHeight="1" x14ac:dyDescent="0.25">
      <c r="A1564" s="20"/>
      <c r="B1564" s="31" t="s">
        <v>0</v>
      </c>
      <c r="C1564" s="31">
        <v>47918</v>
      </c>
      <c r="D1564" s="41">
        <v>0</v>
      </c>
      <c r="E1564" s="41">
        <v>1</v>
      </c>
      <c r="F1564" s="43">
        <v>93.87</v>
      </c>
      <c r="G1564" s="21" t="s">
        <v>209</v>
      </c>
      <c r="H1564" s="36">
        <f t="shared" si="256"/>
        <v>193.8725</v>
      </c>
      <c r="I1564" s="40">
        <v>4500</v>
      </c>
      <c r="J1564" s="28">
        <f t="shared" si="257"/>
        <v>872426.25</v>
      </c>
      <c r="K1564" s="37">
        <v>19</v>
      </c>
      <c r="L1564" s="31" t="s">
        <v>48</v>
      </c>
      <c r="M1564" s="48"/>
      <c r="N1564" s="51">
        <v>3</v>
      </c>
      <c r="O1564" s="45">
        <v>775.49</v>
      </c>
      <c r="P1564" s="35">
        <v>100</v>
      </c>
      <c r="Q1564" s="40">
        <v>3500</v>
      </c>
      <c r="R1564" s="36">
        <f t="shared" si="258"/>
        <v>2714215</v>
      </c>
      <c r="S1564" s="37">
        <v>7</v>
      </c>
      <c r="T1564" s="28">
        <f t="shared" si="259"/>
        <v>189995.05</v>
      </c>
      <c r="U1564" s="36">
        <f t="shared" si="260"/>
        <v>2524219.9500000002</v>
      </c>
      <c r="V1564" s="36">
        <f t="shared" si="261"/>
        <v>3396646.2</v>
      </c>
      <c r="W1564" s="36">
        <f t="shared" si="262"/>
        <v>3396646.2</v>
      </c>
      <c r="X1564" s="28">
        <v>0</v>
      </c>
      <c r="Y1564" s="28">
        <f t="shared" si="263"/>
        <v>3396646.2</v>
      </c>
      <c r="Z1564" s="49">
        <v>3.0000000000000001E-3</v>
      </c>
    </row>
    <row r="1565" spans="1:26" s="29" customFormat="1" ht="90.75" customHeight="1" x14ac:dyDescent="0.25">
      <c r="A1565" s="20"/>
      <c r="B1565" s="31" t="s">
        <v>0</v>
      </c>
      <c r="C1565" s="31">
        <v>47918</v>
      </c>
      <c r="D1565" s="41">
        <v>76</v>
      </c>
      <c r="E1565" s="41">
        <v>1</v>
      </c>
      <c r="F1565" s="43">
        <v>65.14</v>
      </c>
      <c r="G1565" s="21" t="s">
        <v>209</v>
      </c>
      <c r="H1565" s="36">
        <v>105041.60000000001</v>
      </c>
      <c r="I1565" s="40">
        <v>4500</v>
      </c>
      <c r="J1565" s="28">
        <f t="shared" si="257"/>
        <v>472687200</v>
      </c>
      <c r="K1565" s="37"/>
      <c r="L1565" s="31"/>
      <c r="M1565" s="48"/>
      <c r="N1565" s="51"/>
      <c r="O1565" s="45"/>
      <c r="P1565" s="35"/>
      <c r="Q1565" s="40"/>
      <c r="R1565" s="36"/>
      <c r="S1565" s="37"/>
      <c r="T1565" s="28"/>
      <c r="U1565" s="36"/>
      <c r="V1565" s="36">
        <f>(J1565)</f>
        <v>472687200</v>
      </c>
      <c r="W1565" s="36">
        <f>(V1565*100/100)</f>
        <v>472687200</v>
      </c>
      <c r="X1565" s="28">
        <v>0</v>
      </c>
      <c r="Y1565" s="28">
        <f t="shared" si="263"/>
        <v>472687200</v>
      </c>
      <c r="Z1565" s="20" t="s">
        <v>279</v>
      </c>
    </row>
    <row r="1566" spans="1:26" s="29" customFormat="1" ht="90.75" customHeight="1" x14ac:dyDescent="0.25">
      <c r="A1566" s="20"/>
      <c r="B1566" s="31" t="s">
        <v>0</v>
      </c>
      <c r="C1566" s="31">
        <v>47918</v>
      </c>
      <c r="D1566" s="41">
        <v>2</v>
      </c>
      <c r="E1566" s="41">
        <v>0</v>
      </c>
      <c r="F1566" s="43">
        <v>2.5</v>
      </c>
      <c r="G1566" s="51" t="s">
        <v>198</v>
      </c>
      <c r="H1566" s="36">
        <f>(D1566*400)+(E1566*100)+F1566</f>
        <v>802.5</v>
      </c>
      <c r="I1566" s="40">
        <v>4500</v>
      </c>
      <c r="J1566" s="28">
        <f t="shared" si="257"/>
        <v>3611250</v>
      </c>
      <c r="K1566" s="37"/>
      <c r="L1566" s="31"/>
      <c r="M1566" s="48"/>
      <c r="N1566" s="51"/>
      <c r="O1566" s="45"/>
      <c r="P1566" s="35"/>
      <c r="Q1566" s="40"/>
      <c r="R1566" s="36"/>
      <c r="S1566" s="37"/>
      <c r="T1566" s="28"/>
      <c r="U1566" s="36"/>
      <c r="V1566" s="36">
        <f>(J1566)</f>
        <v>3611250</v>
      </c>
      <c r="W1566" s="36">
        <f>(V1566*100/100)</f>
        <v>3611250</v>
      </c>
      <c r="X1566" s="28">
        <v>0</v>
      </c>
      <c r="Y1566" s="28">
        <f t="shared" si="263"/>
        <v>3611250</v>
      </c>
      <c r="Z1566" s="49">
        <v>1E-4</v>
      </c>
    </row>
    <row r="1567" spans="1:26" s="29" customFormat="1" ht="90.75" customHeight="1" x14ac:dyDescent="0.25">
      <c r="A1567" s="20">
        <v>1017</v>
      </c>
      <c r="B1567" s="20" t="s">
        <v>0</v>
      </c>
      <c r="C1567" s="20">
        <v>47963</v>
      </c>
      <c r="D1567" s="21">
        <v>131</v>
      </c>
      <c r="E1567" s="21">
        <v>3</v>
      </c>
      <c r="F1567" s="22">
        <v>41</v>
      </c>
      <c r="G1567" s="23"/>
      <c r="H1567" s="24"/>
      <c r="I1567" s="25"/>
      <c r="J1567" s="24"/>
      <c r="K1567" s="20"/>
      <c r="L1567" s="20"/>
      <c r="M1567" s="20"/>
      <c r="N1567" s="20"/>
      <c r="O1567" s="24"/>
      <c r="P1567" s="24"/>
      <c r="Q1567" s="25"/>
      <c r="R1567" s="24"/>
      <c r="S1567" s="20"/>
      <c r="T1567" s="27"/>
      <c r="U1567" s="20"/>
      <c r="V1567" s="20"/>
      <c r="W1567" s="26"/>
      <c r="X1567" s="27"/>
      <c r="Y1567" s="20"/>
      <c r="Z1567" s="20"/>
    </row>
    <row r="1568" spans="1:26" s="29" customFormat="1" ht="90.75" customHeight="1" x14ac:dyDescent="0.25">
      <c r="A1568" s="20"/>
      <c r="B1568" s="31" t="s">
        <v>0</v>
      </c>
      <c r="C1568" s="31">
        <v>47963</v>
      </c>
      <c r="D1568" s="41">
        <v>1</v>
      </c>
      <c r="E1568" s="41">
        <v>1</v>
      </c>
      <c r="F1568" s="43">
        <v>44.21</v>
      </c>
      <c r="G1568" s="21" t="s">
        <v>209</v>
      </c>
      <c r="H1568" s="36">
        <v>8431.23</v>
      </c>
      <c r="I1568" s="40">
        <v>4500</v>
      </c>
      <c r="J1568" s="28">
        <f>(H1568*I1568)</f>
        <v>37940535</v>
      </c>
      <c r="K1568" s="37"/>
      <c r="L1568" s="31"/>
      <c r="M1568" s="48"/>
      <c r="N1568" s="51"/>
      <c r="O1568" s="45"/>
      <c r="P1568" s="35"/>
      <c r="Q1568" s="40"/>
      <c r="R1568" s="36"/>
      <c r="S1568" s="37"/>
      <c r="T1568" s="28"/>
      <c r="U1568" s="36"/>
      <c r="V1568" s="36">
        <f>(J1568)</f>
        <v>37940535</v>
      </c>
      <c r="W1568" s="36">
        <f>(V1568*100/100)</f>
        <v>37940535</v>
      </c>
      <c r="X1568" s="28">
        <v>0</v>
      </c>
      <c r="Y1568" s="28">
        <f>(W1568-X1568)</f>
        <v>37940535</v>
      </c>
      <c r="Z1568" s="49">
        <v>3.0000000000000001E-3</v>
      </c>
    </row>
    <row r="1569" spans="1:26" s="29" customFormat="1" ht="90.75" customHeight="1" x14ac:dyDescent="0.25">
      <c r="A1569" s="20"/>
      <c r="B1569" s="31" t="s">
        <v>0</v>
      </c>
      <c r="C1569" s="31">
        <v>47963</v>
      </c>
      <c r="D1569" s="41">
        <v>110</v>
      </c>
      <c r="E1569" s="41">
        <v>3</v>
      </c>
      <c r="F1569" s="43">
        <v>9.77</v>
      </c>
      <c r="G1569" s="51" t="s">
        <v>198</v>
      </c>
      <c r="H1569" s="36">
        <f>(D1569*400)+(E1569*100)+F1569</f>
        <v>44309.77</v>
      </c>
      <c r="I1569" s="40">
        <v>4500</v>
      </c>
      <c r="J1569" s="28">
        <f>(H1569*I1569)</f>
        <v>199393965</v>
      </c>
      <c r="K1569" s="37"/>
      <c r="L1569" s="31"/>
      <c r="M1569" s="48"/>
      <c r="N1569" s="51"/>
      <c r="O1569" s="45"/>
      <c r="P1569" s="35"/>
      <c r="Q1569" s="40"/>
      <c r="R1569" s="36"/>
      <c r="S1569" s="37"/>
      <c r="T1569" s="28"/>
      <c r="U1569" s="36"/>
      <c r="V1569" s="36">
        <f>(J1569)</f>
        <v>199393965</v>
      </c>
      <c r="W1569" s="36">
        <f>(V1569*100/100)</f>
        <v>199393965</v>
      </c>
      <c r="X1569" s="28">
        <v>0</v>
      </c>
      <c r="Y1569" s="28">
        <f>(W1569-X1569)</f>
        <v>199393965</v>
      </c>
      <c r="Z1569" s="20" t="s">
        <v>277</v>
      </c>
    </row>
    <row r="1570" spans="1:26" s="29" customFormat="1" ht="90.75" customHeight="1" x14ac:dyDescent="0.25">
      <c r="A1570" s="20">
        <v>1018</v>
      </c>
      <c r="B1570" s="20" t="s">
        <v>0</v>
      </c>
      <c r="C1570" s="20">
        <v>47921</v>
      </c>
      <c r="D1570" s="21">
        <v>101</v>
      </c>
      <c r="E1570" s="21">
        <v>0</v>
      </c>
      <c r="F1570" s="22">
        <v>30</v>
      </c>
      <c r="G1570" s="23"/>
      <c r="H1570" s="24"/>
      <c r="I1570" s="25"/>
      <c r="J1570" s="24"/>
      <c r="K1570" s="20"/>
      <c r="L1570" s="20"/>
      <c r="M1570" s="20"/>
      <c r="N1570" s="20"/>
      <c r="O1570" s="24"/>
      <c r="P1570" s="24"/>
      <c r="Q1570" s="25"/>
      <c r="R1570" s="24"/>
      <c r="S1570" s="20"/>
      <c r="T1570" s="27"/>
      <c r="U1570" s="20"/>
      <c r="V1570" s="20"/>
      <c r="W1570" s="26"/>
      <c r="X1570" s="27"/>
      <c r="Y1570" s="20"/>
      <c r="Z1570" s="20"/>
    </row>
    <row r="1571" spans="1:26" s="29" customFormat="1" ht="90.75" customHeight="1" x14ac:dyDescent="0.25">
      <c r="A1571" s="20"/>
      <c r="B1571" s="31" t="s">
        <v>0</v>
      </c>
      <c r="C1571" s="31">
        <v>47921</v>
      </c>
      <c r="D1571" s="41">
        <v>1</v>
      </c>
      <c r="E1571" s="41">
        <v>0</v>
      </c>
      <c r="F1571" s="43">
        <v>56.4</v>
      </c>
      <c r="G1571" s="21" t="s">
        <v>209</v>
      </c>
      <c r="H1571" s="36">
        <v>7062.14</v>
      </c>
      <c r="I1571" s="40">
        <v>4500</v>
      </c>
      <c r="J1571" s="28">
        <f t="shared" ref="J1571:J1602" si="264">(H1571*I1571)</f>
        <v>31779630</v>
      </c>
      <c r="K1571" s="20"/>
      <c r="L1571" s="20"/>
      <c r="M1571" s="20"/>
      <c r="N1571" s="20"/>
      <c r="O1571" s="24"/>
      <c r="P1571" s="24"/>
      <c r="Q1571" s="25"/>
      <c r="R1571" s="24"/>
      <c r="S1571" s="20"/>
      <c r="T1571" s="27"/>
      <c r="U1571" s="20"/>
      <c r="V1571" s="36">
        <f>(J1571)</f>
        <v>31779630</v>
      </c>
      <c r="W1571" s="36">
        <f t="shared" ref="W1571:W1602" si="265">(V1571*100/100)</f>
        <v>31779630</v>
      </c>
      <c r="X1571" s="28">
        <v>0</v>
      </c>
      <c r="Y1571" s="28">
        <f t="shared" ref="Y1571:Y1602" si="266">(W1571-X1571)</f>
        <v>31779630</v>
      </c>
      <c r="Z1571" s="49">
        <v>3.0000000000000001E-3</v>
      </c>
    </row>
    <row r="1572" spans="1:26" s="29" customFormat="1" ht="90.75" customHeight="1" x14ac:dyDescent="0.25">
      <c r="A1572" s="20"/>
      <c r="B1572" s="31" t="s">
        <v>0</v>
      </c>
      <c r="C1572" s="31">
        <v>47921</v>
      </c>
      <c r="D1572" s="41">
        <v>83</v>
      </c>
      <c r="E1572" s="41">
        <v>1</v>
      </c>
      <c r="F1572" s="43">
        <v>40.86</v>
      </c>
      <c r="G1572" s="51" t="s">
        <v>198</v>
      </c>
      <c r="H1572" s="36">
        <v>33340.86</v>
      </c>
      <c r="I1572" s="40">
        <v>4500</v>
      </c>
      <c r="J1572" s="28">
        <f t="shared" si="264"/>
        <v>150033870</v>
      </c>
      <c r="K1572" s="20"/>
      <c r="L1572" s="20"/>
      <c r="M1572" s="20"/>
      <c r="N1572" s="20"/>
      <c r="O1572" s="24"/>
      <c r="P1572" s="24"/>
      <c r="Q1572" s="25"/>
      <c r="R1572" s="24"/>
      <c r="S1572" s="20"/>
      <c r="T1572" s="27"/>
      <c r="U1572" s="20"/>
      <c r="V1572" s="36">
        <f>(J1572)</f>
        <v>150033870</v>
      </c>
      <c r="W1572" s="36">
        <f t="shared" si="265"/>
        <v>150033870</v>
      </c>
      <c r="X1572" s="28">
        <v>0</v>
      </c>
      <c r="Y1572" s="28">
        <f t="shared" si="266"/>
        <v>150033870</v>
      </c>
      <c r="Z1572" s="20" t="s">
        <v>277</v>
      </c>
    </row>
    <row r="1573" spans="1:26" s="29" customFormat="1" ht="90.75" customHeight="1" x14ac:dyDescent="0.25">
      <c r="A1573" s="20">
        <v>1019</v>
      </c>
      <c r="B1573" s="20" t="s">
        <v>0</v>
      </c>
      <c r="C1573" s="20">
        <v>46053</v>
      </c>
      <c r="D1573" s="21">
        <v>28</v>
      </c>
      <c r="E1573" s="21">
        <v>1</v>
      </c>
      <c r="F1573" s="22">
        <v>53</v>
      </c>
      <c r="G1573" s="23" t="s">
        <v>198</v>
      </c>
      <c r="H1573" s="24">
        <f t="shared" ref="H1573:H1604" si="267">(D1573*400)+(E1573*100)+F1573</f>
        <v>11353</v>
      </c>
      <c r="I1573" s="25">
        <v>350</v>
      </c>
      <c r="J1573" s="24">
        <f t="shared" si="264"/>
        <v>3973550</v>
      </c>
      <c r="K1573" s="20"/>
      <c r="L1573" s="20"/>
      <c r="M1573" s="20"/>
      <c r="N1573" s="20"/>
      <c r="O1573" s="24"/>
      <c r="P1573" s="24"/>
      <c r="Q1573" s="25"/>
      <c r="R1573" s="24"/>
      <c r="S1573" s="20"/>
      <c r="T1573" s="27"/>
      <c r="U1573" s="20"/>
      <c r="V1573" s="27">
        <f t="shared" ref="V1573:V1604" si="268">(J1573+U1573)</f>
        <v>3973550</v>
      </c>
      <c r="W1573" s="26">
        <f t="shared" si="265"/>
        <v>3973550</v>
      </c>
      <c r="X1573" s="27">
        <v>0</v>
      </c>
      <c r="Y1573" s="78">
        <f t="shared" si="266"/>
        <v>3973550</v>
      </c>
      <c r="Z1573" s="49">
        <v>1E-4</v>
      </c>
    </row>
    <row r="1574" spans="1:26" s="29" customFormat="1" ht="90.75" customHeight="1" x14ac:dyDescent="0.25">
      <c r="A1574" s="20">
        <v>1020</v>
      </c>
      <c r="B1574" s="20" t="s">
        <v>0</v>
      </c>
      <c r="C1574" s="20">
        <v>9706</v>
      </c>
      <c r="D1574" s="21">
        <v>48</v>
      </c>
      <c r="E1574" s="21">
        <v>0</v>
      </c>
      <c r="F1574" s="22">
        <v>15</v>
      </c>
      <c r="G1574" s="23" t="s">
        <v>198</v>
      </c>
      <c r="H1574" s="24">
        <f t="shared" si="267"/>
        <v>19215</v>
      </c>
      <c r="I1574" s="25" t="s">
        <v>7</v>
      </c>
      <c r="J1574" s="24">
        <f t="shared" si="264"/>
        <v>6725250</v>
      </c>
      <c r="K1574" s="20"/>
      <c r="L1574" s="20"/>
      <c r="M1574" s="20"/>
      <c r="N1574" s="20"/>
      <c r="O1574" s="24"/>
      <c r="P1574" s="24"/>
      <c r="Q1574" s="25"/>
      <c r="R1574" s="24"/>
      <c r="S1574" s="20"/>
      <c r="T1574" s="27"/>
      <c r="U1574" s="20"/>
      <c r="V1574" s="27">
        <f t="shared" si="268"/>
        <v>6725250</v>
      </c>
      <c r="W1574" s="26">
        <f t="shared" si="265"/>
        <v>6725250</v>
      </c>
      <c r="X1574" s="27">
        <v>0</v>
      </c>
      <c r="Y1574" s="78">
        <f t="shared" si="266"/>
        <v>6725250</v>
      </c>
      <c r="Z1574" s="49">
        <v>1E-4</v>
      </c>
    </row>
    <row r="1575" spans="1:26" s="29" customFormat="1" ht="90.75" customHeight="1" x14ac:dyDescent="0.25">
      <c r="A1575" s="20">
        <v>1021</v>
      </c>
      <c r="B1575" s="20" t="s">
        <v>0</v>
      </c>
      <c r="C1575" s="20">
        <v>11336</v>
      </c>
      <c r="D1575" s="21">
        <v>15</v>
      </c>
      <c r="E1575" s="21">
        <v>3</v>
      </c>
      <c r="F1575" s="22">
        <v>68</v>
      </c>
      <c r="G1575" s="23" t="s">
        <v>198</v>
      </c>
      <c r="H1575" s="24">
        <f t="shared" si="267"/>
        <v>6368</v>
      </c>
      <c r="I1575" s="25" t="s">
        <v>7</v>
      </c>
      <c r="J1575" s="24">
        <f t="shared" si="264"/>
        <v>2228800</v>
      </c>
      <c r="K1575" s="20"/>
      <c r="L1575" s="20"/>
      <c r="M1575" s="20"/>
      <c r="N1575" s="20"/>
      <c r="O1575" s="24"/>
      <c r="P1575" s="24"/>
      <c r="Q1575" s="25"/>
      <c r="R1575" s="24"/>
      <c r="S1575" s="20"/>
      <c r="T1575" s="27"/>
      <c r="U1575" s="20"/>
      <c r="V1575" s="27">
        <f t="shared" si="268"/>
        <v>2228800</v>
      </c>
      <c r="W1575" s="26">
        <f t="shared" si="265"/>
        <v>2228800</v>
      </c>
      <c r="X1575" s="27">
        <v>0</v>
      </c>
      <c r="Y1575" s="78">
        <f t="shared" si="266"/>
        <v>2228800</v>
      </c>
      <c r="Z1575" s="49">
        <v>1E-4</v>
      </c>
    </row>
    <row r="1576" spans="1:26" s="29" customFormat="1" ht="90.75" customHeight="1" x14ac:dyDescent="0.25">
      <c r="A1576" s="20">
        <v>1022</v>
      </c>
      <c r="B1576" s="20" t="s">
        <v>0</v>
      </c>
      <c r="C1576" s="20">
        <v>6833</v>
      </c>
      <c r="D1576" s="21">
        <v>7</v>
      </c>
      <c r="E1576" s="21">
        <v>1</v>
      </c>
      <c r="F1576" s="22">
        <v>72</v>
      </c>
      <c r="G1576" s="23" t="s">
        <v>198</v>
      </c>
      <c r="H1576" s="24">
        <f t="shared" si="267"/>
        <v>2972</v>
      </c>
      <c r="I1576" s="25" t="s">
        <v>7</v>
      </c>
      <c r="J1576" s="24">
        <f t="shared" si="264"/>
        <v>1040200</v>
      </c>
      <c r="K1576" s="20"/>
      <c r="L1576" s="20"/>
      <c r="M1576" s="20"/>
      <c r="N1576" s="20"/>
      <c r="O1576" s="24"/>
      <c r="P1576" s="24"/>
      <c r="Q1576" s="25"/>
      <c r="R1576" s="24"/>
      <c r="S1576" s="20"/>
      <c r="T1576" s="27"/>
      <c r="U1576" s="20"/>
      <c r="V1576" s="27">
        <f t="shared" si="268"/>
        <v>1040200</v>
      </c>
      <c r="W1576" s="26">
        <f t="shared" si="265"/>
        <v>1040200</v>
      </c>
      <c r="X1576" s="27">
        <v>0</v>
      </c>
      <c r="Y1576" s="78">
        <f t="shared" si="266"/>
        <v>1040200</v>
      </c>
      <c r="Z1576" s="49">
        <v>1E-4</v>
      </c>
    </row>
    <row r="1577" spans="1:26" s="29" customFormat="1" ht="90.75" customHeight="1" x14ac:dyDescent="0.25">
      <c r="A1577" s="20">
        <v>1023</v>
      </c>
      <c r="B1577" s="20" t="s">
        <v>0</v>
      </c>
      <c r="C1577" s="20">
        <v>11675</v>
      </c>
      <c r="D1577" s="21">
        <v>9</v>
      </c>
      <c r="E1577" s="21">
        <v>1</v>
      </c>
      <c r="F1577" s="22">
        <v>26</v>
      </c>
      <c r="G1577" s="23" t="s">
        <v>198</v>
      </c>
      <c r="H1577" s="24">
        <f t="shared" si="267"/>
        <v>3726</v>
      </c>
      <c r="I1577" s="25" t="s">
        <v>32</v>
      </c>
      <c r="J1577" s="24">
        <f t="shared" si="264"/>
        <v>745200</v>
      </c>
      <c r="K1577" s="20"/>
      <c r="L1577" s="20"/>
      <c r="M1577" s="20"/>
      <c r="N1577" s="20"/>
      <c r="O1577" s="24"/>
      <c r="P1577" s="24"/>
      <c r="Q1577" s="25"/>
      <c r="R1577" s="24"/>
      <c r="S1577" s="20"/>
      <c r="T1577" s="27"/>
      <c r="U1577" s="20"/>
      <c r="V1577" s="27">
        <f t="shared" si="268"/>
        <v>745200</v>
      </c>
      <c r="W1577" s="26">
        <f t="shared" si="265"/>
        <v>745200</v>
      </c>
      <c r="X1577" s="27">
        <v>0</v>
      </c>
      <c r="Y1577" s="78">
        <f t="shared" si="266"/>
        <v>745200</v>
      </c>
      <c r="Z1577" s="49">
        <v>1E-4</v>
      </c>
    </row>
    <row r="1578" spans="1:26" s="29" customFormat="1" ht="90.75" customHeight="1" x14ac:dyDescent="0.25">
      <c r="A1578" s="20">
        <v>1024</v>
      </c>
      <c r="B1578" s="20" t="s">
        <v>0</v>
      </c>
      <c r="C1578" s="20">
        <v>6838</v>
      </c>
      <c r="D1578" s="21">
        <v>13</v>
      </c>
      <c r="E1578" s="21">
        <v>2</v>
      </c>
      <c r="F1578" s="22">
        <v>35</v>
      </c>
      <c r="G1578" s="23" t="s">
        <v>198</v>
      </c>
      <c r="H1578" s="24">
        <f t="shared" si="267"/>
        <v>5435</v>
      </c>
      <c r="I1578" s="25" t="s">
        <v>32</v>
      </c>
      <c r="J1578" s="24">
        <f t="shared" si="264"/>
        <v>1087000</v>
      </c>
      <c r="K1578" s="20"/>
      <c r="L1578" s="20"/>
      <c r="M1578" s="20"/>
      <c r="N1578" s="20"/>
      <c r="O1578" s="24"/>
      <c r="P1578" s="24"/>
      <c r="Q1578" s="25"/>
      <c r="R1578" s="24"/>
      <c r="S1578" s="20"/>
      <c r="T1578" s="27"/>
      <c r="U1578" s="20"/>
      <c r="V1578" s="27">
        <f t="shared" si="268"/>
        <v>1087000</v>
      </c>
      <c r="W1578" s="26">
        <f t="shared" si="265"/>
        <v>1087000</v>
      </c>
      <c r="X1578" s="27">
        <v>0</v>
      </c>
      <c r="Y1578" s="78">
        <f t="shared" si="266"/>
        <v>1087000</v>
      </c>
      <c r="Z1578" s="49">
        <v>1E-4</v>
      </c>
    </row>
    <row r="1579" spans="1:26" s="29" customFormat="1" ht="90.75" customHeight="1" x14ac:dyDescent="0.25">
      <c r="A1579" s="20">
        <v>1025</v>
      </c>
      <c r="B1579" s="20" t="s">
        <v>0</v>
      </c>
      <c r="C1579" s="20">
        <v>6890</v>
      </c>
      <c r="D1579" s="21">
        <v>28</v>
      </c>
      <c r="E1579" s="21">
        <v>1</v>
      </c>
      <c r="F1579" s="22">
        <v>27</v>
      </c>
      <c r="G1579" s="23" t="s">
        <v>198</v>
      </c>
      <c r="H1579" s="24">
        <f t="shared" si="267"/>
        <v>11327</v>
      </c>
      <c r="I1579" s="25" t="s">
        <v>32</v>
      </c>
      <c r="J1579" s="24">
        <f t="shared" si="264"/>
        <v>2265400</v>
      </c>
      <c r="K1579" s="20"/>
      <c r="L1579" s="20"/>
      <c r="M1579" s="20"/>
      <c r="N1579" s="20"/>
      <c r="O1579" s="24"/>
      <c r="P1579" s="24"/>
      <c r="Q1579" s="25"/>
      <c r="R1579" s="24"/>
      <c r="S1579" s="20"/>
      <c r="T1579" s="27"/>
      <c r="U1579" s="20"/>
      <c r="V1579" s="27">
        <f t="shared" si="268"/>
        <v>2265400</v>
      </c>
      <c r="W1579" s="26">
        <f t="shared" si="265"/>
        <v>2265400</v>
      </c>
      <c r="X1579" s="27">
        <v>0</v>
      </c>
      <c r="Y1579" s="78">
        <f t="shared" si="266"/>
        <v>2265400</v>
      </c>
      <c r="Z1579" s="49">
        <v>1E-4</v>
      </c>
    </row>
    <row r="1580" spans="1:26" s="29" customFormat="1" ht="90.75" customHeight="1" x14ac:dyDescent="0.25">
      <c r="A1580" s="20">
        <v>1026</v>
      </c>
      <c r="B1580" s="20" t="s">
        <v>0</v>
      </c>
      <c r="C1580" s="20">
        <v>8255</v>
      </c>
      <c r="D1580" s="21">
        <v>40</v>
      </c>
      <c r="E1580" s="21">
        <v>0</v>
      </c>
      <c r="F1580" s="22">
        <v>74</v>
      </c>
      <c r="G1580" s="23" t="s">
        <v>198</v>
      </c>
      <c r="H1580" s="24">
        <f t="shared" si="267"/>
        <v>16074</v>
      </c>
      <c r="I1580" s="25" t="s">
        <v>19</v>
      </c>
      <c r="J1580" s="24">
        <f t="shared" si="264"/>
        <v>6027750</v>
      </c>
      <c r="K1580" s="20"/>
      <c r="L1580" s="20"/>
      <c r="M1580" s="20"/>
      <c r="N1580" s="20"/>
      <c r="O1580" s="24"/>
      <c r="P1580" s="24"/>
      <c r="Q1580" s="25"/>
      <c r="R1580" s="24"/>
      <c r="S1580" s="20"/>
      <c r="T1580" s="27"/>
      <c r="U1580" s="20"/>
      <c r="V1580" s="27">
        <f t="shared" si="268"/>
        <v>6027750</v>
      </c>
      <c r="W1580" s="26">
        <f t="shared" si="265"/>
        <v>6027750</v>
      </c>
      <c r="X1580" s="27">
        <v>0</v>
      </c>
      <c r="Y1580" s="78">
        <f t="shared" si="266"/>
        <v>6027750</v>
      </c>
      <c r="Z1580" s="49">
        <v>1E-4</v>
      </c>
    </row>
    <row r="1581" spans="1:26" s="29" customFormat="1" ht="90.75" customHeight="1" x14ac:dyDescent="0.25">
      <c r="A1581" s="20">
        <v>1027</v>
      </c>
      <c r="B1581" s="20" t="s">
        <v>0</v>
      </c>
      <c r="C1581" s="20">
        <v>9667</v>
      </c>
      <c r="D1581" s="21">
        <v>10</v>
      </c>
      <c r="E1581" s="21">
        <v>2</v>
      </c>
      <c r="F1581" s="22">
        <v>93</v>
      </c>
      <c r="G1581" s="23" t="s">
        <v>198</v>
      </c>
      <c r="H1581" s="24">
        <f t="shared" si="267"/>
        <v>4293</v>
      </c>
      <c r="I1581" s="25" t="s">
        <v>32</v>
      </c>
      <c r="J1581" s="24">
        <f t="shared" si="264"/>
        <v>858600</v>
      </c>
      <c r="K1581" s="20"/>
      <c r="L1581" s="20"/>
      <c r="M1581" s="20"/>
      <c r="N1581" s="20"/>
      <c r="O1581" s="24"/>
      <c r="P1581" s="24"/>
      <c r="Q1581" s="25"/>
      <c r="R1581" s="24"/>
      <c r="S1581" s="20"/>
      <c r="T1581" s="27"/>
      <c r="U1581" s="20"/>
      <c r="V1581" s="27">
        <f t="shared" si="268"/>
        <v>858600</v>
      </c>
      <c r="W1581" s="26">
        <f t="shared" si="265"/>
        <v>858600</v>
      </c>
      <c r="X1581" s="27">
        <v>0</v>
      </c>
      <c r="Y1581" s="78">
        <f t="shared" si="266"/>
        <v>858600</v>
      </c>
      <c r="Z1581" s="49">
        <v>1E-4</v>
      </c>
    </row>
    <row r="1582" spans="1:26" s="29" customFormat="1" ht="90.75" customHeight="1" x14ac:dyDescent="0.25">
      <c r="A1582" s="20">
        <v>1028</v>
      </c>
      <c r="B1582" s="20" t="s">
        <v>0</v>
      </c>
      <c r="C1582" s="20">
        <v>11406</v>
      </c>
      <c r="D1582" s="21">
        <v>2</v>
      </c>
      <c r="E1582" s="21">
        <v>0</v>
      </c>
      <c r="F1582" s="22">
        <v>85</v>
      </c>
      <c r="G1582" s="23" t="s">
        <v>198</v>
      </c>
      <c r="H1582" s="24">
        <f t="shared" si="267"/>
        <v>885</v>
      </c>
      <c r="I1582" s="25" t="s">
        <v>32</v>
      </c>
      <c r="J1582" s="24">
        <f t="shared" si="264"/>
        <v>177000</v>
      </c>
      <c r="K1582" s="20"/>
      <c r="L1582" s="20"/>
      <c r="M1582" s="20"/>
      <c r="N1582" s="20"/>
      <c r="O1582" s="24"/>
      <c r="P1582" s="24"/>
      <c r="Q1582" s="25"/>
      <c r="R1582" s="24"/>
      <c r="S1582" s="20"/>
      <c r="T1582" s="27"/>
      <c r="U1582" s="20"/>
      <c r="V1582" s="27">
        <f t="shared" si="268"/>
        <v>177000</v>
      </c>
      <c r="W1582" s="26">
        <f t="shared" si="265"/>
        <v>177000</v>
      </c>
      <c r="X1582" s="27">
        <v>0</v>
      </c>
      <c r="Y1582" s="78">
        <f t="shared" si="266"/>
        <v>177000</v>
      </c>
      <c r="Z1582" s="49">
        <v>1E-4</v>
      </c>
    </row>
    <row r="1583" spans="1:26" s="29" customFormat="1" ht="90.75" customHeight="1" x14ac:dyDescent="0.25">
      <c r="A1583" s="20">
        <v>1029</v>
      </c>
      <c r="B1583" s="20" t="s">
        <v>0</v>
      </c>
      <c r="C1583" s="20">
        <v>6793</v>
      </c>
      <c r="D1583" s="21">
        <v>3</v>
      </c>
      <c r="E1583" s="21">
        <v>2</v>
      </c>
      <c r="F1583" s="22">
        <v>5</v>
      </c>
      <c r="G1583" s="23" t="s">
        <v>198</v>
      </c>
      <c r="H1583" s="24">
        <f t="shared" si="267"/>
        <v>1405</v>
      </c>
      <c r="I1583" s="25" t="s">
        <v>22</v>
      </c>
      <c r="J1583" s="24">
        <f t="shared" si="264"/>
        <v>737625</v>
      </c>
      <c r="K1583" s="20"/>
      <c r="L1583" s="20"/>
      <c r="M1583" s="20"/>
      <c r="N1583" s="20"/>
      <c r="O1583" s="24"/>
      <c r="P1583" s="24"/>
      <c r="Q1583" s="25"/>
      <c r="R1583" s="24"/>
      <c r="S1583" s="20"/>
      <c r="T1583" s="27"/>
      <c r="U1583" s="20"/>
      <c r="V1583" s="27">
        <f t="shared" si="268"/>
        <v>737625</v>
      </c>
      <c r="W1583" s="26">
        <f t="shared" si="265"/>
        <v>737625</v>
      </c>
      <c r="X1583" s="27">
        <v>0</v>
      </c>
      <c r="Y1583" s="78">
        <f t="shared" si="266"/>
        <v>737625</v>
      </c>
      <c r="Z1583" s="49">
        <v>1E-4</v>
      </c>
    </row>
    <row r="1584" spans="1:26" s="29" customFormat="1" ht="90.75" customHeight="1" x14ac:dyDescent="0.25">
      <c r="A1584" s="20">
        <v>1030</v>
      </c>
      <c r="B1584" s="20" t="s">
        <v>0</v>
      </c>
      <c r="C1584" s="20">
        <v>9672</v>
      </c>
      <c r="D1584" s="21">
        <v>5</v>
      </c>
      <c r="E1584" s="21">
        <v>2</v>
      </c>
      <c r="F1584" s="22">
        <v>64</v>
      </c>
      <c r="G1584" s="23" t="s">
        <v>198</v>
      </c>
      <c r="H1584" s="24">
        <f t="shared" si="267"/>
        <v>2264</v>
      </c>
      <c r="I1584" s="25" t="s">
        <v>22</v>
      </c>
      <c r="J1584" s="24">
        <f t="shared" si="264"/>
        <v>1188600</v>
      </c>
      <c r="K1584" s="20"/>
      <c r="L1584" s="20"/>
      <c r="M1584" s="20"/>
      <c r="N1584" s="20"/>
      <c r="O1584" s="24"/>
      <c r="P1584" s="24"/>
      <c r="Q1584" s="25"/>
      <c r="R1584" s="24"/>
      <c r="S1584" s="20"/>
      <c r="T1584" s="27"/>
      <c r="U1584" s="20"/>
      <c r="V1584" s="27">
        <f t="shared" si="268"/>
        <v>1188600</v>
      </c>
      <c r="W1584" s="26">
        <f t="shared" si="265"/>
        <v>1188600</v>
      </c>
      <c r="X1584" s="27">
        <v>0</v>
      </c>
      <c r="Y1584" s="78">
        <f t="shared" si="266"/>
        <v>1188600</v>
      </c>
      <c r="Z1584" s="49">
        <v>1E-4</v>
      </c>
    </row>
    <row r="1585" spans="1:26" s="29" customFormat="1" ht="90.75" customHeight="1" x14ac:dyDescent="0.25">
      <c r="A1585" s="20">
        <v>1031</v>
      </c>
      <c r="B1585" s="20" t="s">
        <v>0</v>
      </c>
      <c r="C1585" s="20">
        <v>12591</v>
      </c>
      <c r="D1585" s="21">
        <v>47</v>
      </c>
      <c r="E1585" s="21">
        <v>0</v>
      </c>
      <c r="F1585" s="22">
        <v>13</v>
      </c>
      <c r="G1585" s="23" t="s">
        <v>198</v>
      </c>
      <c r="H1585" s="24">
        <f t="shared" si="267"/>
        <v>18813</v>
      </c>
      <c r="I1585" s="25" t="s">
        <v>7</v>
      </c>
      <c r="J1585" s="24">
        <f t="shared" si="264"/>
        <v>6584550</v>
      </c>
      <c r="K1585" s="20"/>
      <c r="L1585" s="20"/>
      <c r="M1585" s="20"/>
      <c r="N1585" s="20"/>
      <c r="O1585" s="24"/>
      <c r="P1585" s="24"/>
      <c r="Q1585" s="25"/>
      <c r="R1585" s="24"/>
      <c r="S1585" s="20"/>
      <c r="T1585" s="27"/>
      <c r="U1585" s="20"/>
      <c r="V1585" s="27">
        <f t="shared" si="268"/>
        <v>6584550</v>
      </c>
      <c r="W1585" s="26">
        <f t="shared" si="265"/>
        <v>6584550</v>
      </c>
      <c r="X1585" s="27">
        <v>0</v>
      </c>
      <c r="Y1585" s="78">
        <f t="shared" si="266"/>
        <v>6584550</v>
      </c>
      <c r="Z1585" s="49">
        <v>1E-4</v>
      </c>
    </row>
    <row r="1586" spans="1:26" s="29" customFormat="1" ht="90.75" customHeight="1" x14ac:dyDescent="0.25">
      <c r="A1586" s="20">
        <v>1032</v>
      </c>
      <c r="B1586" s="20" t="s">
        <v>0</v>
      </c>
      <c r="C1586" s="20">
        <v>38442</v>
      </c>
      <c r="D1586" s="21">
        <v>22</v>
      </c>
      <c r="E1586" s="21">
        <v>0</v>
      </c>
      <c r="F1586" s="22">
        <v>45</v>
      </c>
      <c r="G1586" s="23" t="s">
        <v>198</v>
      </c>
      <c r="H1586" s="24">
        <f t="shared" si="267"/>
        <v>8845</v>
      </c>
      <c r="I1586" s="25" t="s">
        <v>75</v>
      </c>
      <c r="J1586" s="24">
        <f t="shared" si="264"/>
        <v>5528125</v>
      </c>
      <c r="K1586" s="20"/>
      <c r="L1586" s="20"/>
      <c r="M1586" s="20"/>
      <c r="N1586" s="20"/>
      <c r="O1586" s="24"/>
      <c r="P1586" s="24"/>
      <c r="Q1586" s="25"/>
      <c r="R1586" s="24"/>
      <c r="S1586" s="20"/>
      <c r="T1586" s="27"/>
      <c r="U1586" s="20"/>
      <c r="V1586" s="27">
        <f t="shared" si="268"/>
        <v>5528125</v>
      </c>
      <c r="W1586" s="26">
        <f t="shared" si="265"/>
        <v>5528125</v>
      </c>
      <c r="X1586" s="27">
        <v>0</v>
      </c>
      <c r="Y1586" s="78">
        <f t="shared" si="266"/>
        <v>5528125</v>
      </c>
      <c r="Z1586" s="49">
        <v>1E-4</v>
      </c>
    </row>
    <row r="1587" spans="1:26" s="29" customFormat="1" ht="90.75" customHeight="1" x14ac:dyDescent="0.25">
      <c r="A1587" s="20">
        <v>1033</v>
      </c>
      <c r="B1587" s="20" t="s">
        <v>0</v>
      </c>
      <c r="C1587" s="20">
        <v>38441</v>
      </c>
      <c r="D1587" s="21">
        <v>9</v>
      </c>
      <c r="E1587" s="21">
        <v>0</v>
      </c>
      <c r="F1587" s="22">
        <v>57</v>
      </c>
      <c r="G1587" s="23" t="s">
        <v>198</v>
      </c>
      <c r="H1587" s="24">
        <f t="shared" si="267"/>
        <v>3657</v>
      </c>
      <c r="I1587" s="25" t="s">
        <v>87</v>
      </c>
      <c r="J1587" s="24">
        <f t="shared" si="264"/>
        <v>3017025</v>
      </c>
      <c r="K1587" s="20"/>
      <c r="L1587" s="20"/>
      <c r="M1587" s="20"/>
      <c r="N1587" s="20"/>
      <c r="O1587" s="24"/>
      <c r="P1587" s="24"/>
      <c r="Q1587" s="25"/>
      <c r="R1587" s="24"/>
      <c r="S1587" s="20"/>
      <c r="T1587" s="27"/>
      <c r="U1587" s="20"/>
      <c r="V1587" s="27">
        <f t="shared" si="268"/>
        <v>3017025</v>
      </c>
      <c r="W1587" s="26">
        <f t="shared" si="265"/>
        <v>3017025</v>
      </c>
      <c r="X1587" s="27">
        <v>0</v>
      </c>
      <c r="Y1587" s="78">
        <f t="shared" si="266"/>
        <v>3017025</v>
      </c>
      <c r="Z1587" s="49">
        <v>1E-4</v>
      </c>
    </row>
    <row r="1588" spans="1:26" s="29" customFormat="1" ht="90.75" customHeight="1" x14ac:dyDescent="0.25">
      <c r="A1588" s="20">
        <v>1034</v>
      </c>
      <c r="B1588" s="20" t="s">
        <v>0</v>
      </c>
      <c r="C1588" s="20">
        <v>38440</v>
      </c>
      <c r="D1588" s="21">
        <v>4</v>
      </c>
      <c r="E1588" s="21">
        <v>1</v>
      </c>
      <c r="F1588" s="22">
        <v>50</v>
      </c>
      <c r="G1588" s="23" t="s">
        <v>198</v>
      </c>
      <c r="H1588" s="24">
        <f t="shared" si="267"/>
        <v>1750</v>
      </c>
      <c r="I1588" s="25">
        <v>300</v>
      </c>
      <c r="J1588" s="24">
        <f t="shared" si="264"/>
        <v>525000</v>
      </c>
      <c r="K1588" s="20"/>
      <c r="L1588" s="20"/>
      <c r="M1588" s="20"/>
      <c r="N1588" s="20"/>
      <c r="O1588" s="24"/>
      <c r="P1588" s="24"/>
      <c r="Q1588" s="25"/>
      <c r="R1588" s="24"/>
      <c r="S1588" s="20"/>
      <c r="T1588" s="27"/>
      <c r="U1588" s="20"/>
      <c r="V1588" s="27">
        <f t="shared" si="268"/>
        <v>525000</v>
      </c>
      <c r="W1588" s="26">
        <f t="shared" si="265"/>
        <v>525000</v>
      </c>
      <c r="X1588" s="27">
        <v>0</v>
      </c>
      <c r="Y1588" s="78">
        <f t="shared" si="266"/>
        <v>525000</v>
      </c>
      <c r="Z1588" s="49">
        <v>1E-4</v>
      </c>
    </row>
    <row r="1589" spans="1:26" s="29" customFormat="1" ht="90.75" customHeight="1" x14ac:dyDescent="0.25">
      <c r="A1589" s="20">
        <v>1035</v>
      </c>
      <c r="B1589" s="20" t="s">
        <v>0</v>
      </c>
      <c r="C1589" s="20">
        <v>10641</v>
      </c>
      <c r="D1589" s="21">
        <v>26</v>
      </c>
      <c r="E1589" s="21">
        <v>2</v>
      </c>
      <c r="F1589" s="22">
        <v>95</v>
      </c>
      <c r="G1589" s="23" t="s">
        <v>198</v>
      </c>
      <c r="H1589" s="24">
        <f t="shared" si="267"/>
        <v>10695</v>
      </c>
      <c r="I1589" s="25" t="s">
        <v>9</v>
      </c>
      <c r="J1589" s="24">
        <f t="shared" si="264"/>
        <v>3208500</v>
      </c>
      <c r="K1589" s="20"/>
      <c r="L1589" s="20"/>
      <c r="M1589" s="20"/>
      <c r="N1589" s="20"/>
      <c r="O1589" s="24"/>
      <c r="P1589" s="24"/>
      <c r="Q1589" s="25"/>
      <c r="R1589" s="24"/>
      <c r="S1589" s="20"/>
      <c r="T1589" s="27"/>
      <c r="U1589" s="20"/>
      <c r="V1589" s="27">
        <f t="shared" si="268"/>
        <v>3208500</v>
      </c>
      <c r="W1589" s="26">
        <f t="shared" si="265"/>
        <v>3208500</v>
      </c>
      <c r="X1589" s="27">
        <v>0</v>
      </c>
      <c r="Y1589" s="78">
        <f t="shared" si="266"/>
        <v>3208500</v>
      </c>
      <c r="Z1589" s="49">
        <v>1E-4</v>
      </c>
    </row>
    <row r="1590" spans="1:26" s="29" customFormat="1" ht="90.75" customHeight="1" x14ac:dyDescent="0.25">
      <c r="A1590" s="20">
        <v>1036</v>
      </c>
      <c r="B1590" s="20" t="s">
        <v>0</v>
      </c>
      <c r="C1590" s="20">
        <v>11748</v>
      </c>
      <c r="D1590" s="21">
        <v>11</v>
      </c>
      <c r="E1590" s="21">
        <v>1</v>
      </c>
      <c r="F1590" s="22">
        <v>68</v>
      </c>
      <c r="G1590" s="23" t="s">
        <v>198</v>
      </c>
      <c r="H1590" s="24">
        <f t="shared" si="267"/>
        <v>4568</v>
      </c>
      <c r="I1590" s="25" t="s">
        <v>9</v>
      </c>
      <c r="J1590" s="24">
        <f t="shared" si="264"/>
        <v>1370400</v>
      </c>
      <c r="K1590" s="20"/>
      <c r="L1590" s="20"/>
      <c r="M1590" s="20"/>
      <c r="N1590" s="20"/>
      <c r="O1590" s="24"/>
      <c r="P1590" s="24"/>
      <c r="Q1590" s="25"/>
      <c r="R1590" s="24"/>
      <c r="S1590" s="20"/>
      <c r="T1590" s="27"/>
      <c r="U1590" s="20"/>
      <c r="V1590" s="27">
        <f t="shared" si="268"/>
        <v>1370400</v>
      </c>
      <c r="W1590" s="26">
        <f t="shared" si="265"/>
        <v>1370400</v>
      </c>
      <c r="X1590" s="27">
        <v>0</v>
      </c>
      <c r="Y1590" s="78">
        <f t="shared" si="266"/>
        <v>1370400</v>
      </c>
      <c r="Z1590" s="49">
        <v>1E-4</v>
      </c>
    </row>
    <row r="1591" spans="1:26" s="29" customFormat="1" ht="90.75" customHeight="1" x14ac:dyDescent="0.25">
      <c r="A1591" s="20">
        <v>1037</v>
      </c>
      <c r="B1591" s="20" t="s">
        <v>0</v>
      </c>
      <c r="C1591" s="20">
        <v>38439</v>
      </c>
      <c r="D1591" s="21">
        <v>60</v>
      </c>
      <c r="E1591" s="21">
        <v>0</v>
      </c>
      <c r="F1591" s="22">
        <v>1</v>
      </c>
      <c r="G1591" s="23" t="s">
        <v>198</v>
      </c>
      <c r="H1591" s="24">
        <f t="shared" si="267"/>
        <v>24001</v>
      </c>
      <c r="I1591" s="25" t="s">
        <v>80</v>
      </c>
      <c r="J1591" s="24">
        <f t="shared" si="264"/>
        <v>13800575</v>
      </c>
      <c r="K1591" s="20"/>
      <c r="L1591" s="20"/>
      <c r="M1591" s="20"/>
      <c r="N1591" s="20"/>
      <c r="O1591" s="24"/>
      <c r="P1591" s="24"/>
      <c r="Q1591" s="25"/>
      <c r="R1591" s="24"/>
      <c r="S1591" s="20"/>
      <c r="T1591" s="27"/>
      <c r="U1591" s="20"/>
      <c r="V1591" s="27">
        <f t="shared" si="268"/>
        <v>13800575</v>
      </c>
      <c r="W1591" s="26">
        <f t="shared" si="265"/>
        <v>13800575</v>
      </c>
      <c r="X1591" s="27">
        <v>0</v>
      </c>
      <c r="Y1591" s="78">
        <f t="shared" si="266"/>
        <v>13800575</v>
      </c>
      <c r="Z1591" s="49">
        <v>1E-4</v>
      </c>
    </row>
    <row r="1592" spans="1:26" s="29" customFormat="1" ht="90.75" customHeight="1" x14ac:dyDescent="0.25">
      <c r="A1592" s="20">
        <v>1038</v>
      </c>
      <c r="B1592" s="20" t="s">
        <v>0</v>
      </c>
      <c r="C1592" s="20">
        <v>38438</v>
      </c>
      <c r="D1592" s="21">
        <v>26</v>
      </c>
      <c r="E1592" s="21">
        <v>0</v>
      </c>
      <c r="F1592" s="22">
        <v>9</v>
      </c>
      <c r="G1592" s="23" t="s">
        <v>198</v>
      </c>
      <c r="H1592" s="24">
        <f t="shared" si="267"/>
        <v>10409</v>
      </c>
      <c r="I1592" s="25" t="s">
        <v>53</v>
      </c>
      <c r="J1592" s="24">
        <f t="shared" si="264"/>
        <v>4684050</v>
      </c>
      <c r="K1592" s="20"/>
      <c r="L1592" s="20"/>
      <c r="M1592" s="20"/>
      <c r="N1592" s="20"/>
      <c r="O1592" s="24"/>
      <c r="P1592" s="24"/>
      <c r="Q1592" s="25"/>
      <c r="R1592" s="24"/>
      <c r="S1592" s="20"/>
      <c r="T1592" s="27"/>
      <c r="U1592" s="20"/>
      <c r="V1592" s="27">
        <f t="shared" si="268"/>
        <v>4684050</v>
      </c>
      <c r="W1592" s="26">
        <f t="shared" si="265"/>
        <v>4684050</v>
      </c>
      <c r="X1592" s="27">
        <v>0</v>
      </c>
      <c r="Y1592" s="78">
        <f t="shared" si="266"/>
        <v>4684050</v>
      </c>
      <c r="Z1592" s="49">
        <v>1E-4</v>
      </c>
    </row>
    <row r="1593" spans="1:26" s="29" customFormat="1" ht="90.75" customHeight="1" x14ac:dyDescent="0.25">
      <c r="A1593" s="20">
        <v>1039</v>
      </c>
      <c r="B1593" s="20" t="s">
        <v>0</v>
      </c>
      <c r="C1593" s="20">
        <v>7987</v>
      </c>
      <c r="D1593" s="21">
        <v>84</v>
      </c>
      <c r="E1593" s="21">
        <v>3</v>
      </c>
      <c r="F1593" s="22">
        <v>35</v>
      </c>
      <c r="G1593" s="23" t="s">
        <v>198</v>
      </c>
      <c r="H1593" s="24">
        <f t="shared" si="267"/>
        <v>33935</v>
      </c>
      <c r="I1593" s="25" t="s">
        <v>80</v>
      </c>
      <c r="J1593" s="24">
        <f t="shared" si="264"/>
        <v>19512625</v>
      </c>
      <c r="K1593" s="20"/>
      <c r="L1593" s="20"/>
      <c r="M1593" s="20"/>
      <c r="N1593" s="20"/>
      <c r="O1593" s="24"/>
      <c r="P1593" s="24"/>
      <c r="Q1593" s="25"/>
      <c r="R1593" s="24"/>
      <c r="S1593" s="20"/>
      <c r="T1593" s="27"/>
      <c r="U1593" s="20"/>
      <c r="V1593" s="27">
        <f t="shared" si="268"/>
        <v>19512625</v>
      </c>
      <c r="W1593" s="26">
        <f t="shared" si="265"/>
        <v>19512625</v>
      </c>
      <c r="X1593" s="27">
        <v>0</v>
      </c>
      <c r="Y1593" s="78">
        <f t="shared" si="266"/>
        <v>19512625</v>
      </c>
      <c r="Z1593" s="49">
        <v>1E-4</v>
      </c>
    </row>
    <row r="1594" spans="1:26" s="29" customFormat="1" ht="90.75" customHeight="1" x14ac:dyDescent="0.25">
      <c r="A1594" s="20">
        <v>1040</v>
      </c>
      <c r="B1594" s="20" t="s">
        <v>0</v>
      </c>
      <c r="C1594" s="20">
        <v>20242</v>
      </c>
      <c r="D1594" s="21">
        <v>52</v>
      </c>
      <c r="E1594" s="21">
        <v>2</v>
      </c>
      <c r="F1594" s="22">
        <v>27</v>
      </c>
      <c r="G1594" s="23" t="s">
        <v>198</v>
      </c>
      <c r="H1594" s="24">
        <f t="shared" si="267"/>
        <v>21027</v>
      </c>
      <c r="I1594" s="25" t="s">
        <v>53</v>
      </c>
      <c r="J1594" s="24">
        <f t="shared" si="264"/>
        <v>9462150</v>
      </c>
      <c r="K1594" s="20"/>
      <c r="L1594" s="20"/>
      <c r="M1594" s="20"/>
      <c r="N1594" s="20"/>
      <c r="O1594" s="24"/>
      <c r="P1594" s="24"/>
      <c r="Q1594" s="25"/>
      <c r="R1594" s="24"/>
      <c r="S1594" s="20"/>
      <c r="T1594" s="27"/>
      <c r="U1594" s="20"/>
      <c r="V1594" s="27">
        <f t="shared" si="268"/>
        <v>9462150</v>
      </c>
      <c r="W1594" s="26">
        <f t="shared" si="265"/>
        <v>9462150</v>
      </c>
      <c r="X1594" s="27">
        <v>0</v>
      </c>
      <c r="Y1594" s="78">
        <f t="shared" si="266"/>
        <v>9462150</v>
      </c>
      <c r="Z1594" s="49">
        <v>1E-4</v>
      </c>
    </row>
    <row r="1595" spans="1:26" s="29" customFormat="1" ht="90.75" customHeight="1" x14ac:dyDescent="0.25">
      <c r="A1595" s="20">
        <v>1041</v>
      </c>
      <c r="B1595" s="37" t="s">
        <v>213</v>
      </c>
      <c r="C1595" s="20">
        <v>305</v>
      </c>
      <c r="D1595" s="21">
        <v>9</v>
      </c>
      <c r="E1595" s="21">
        <v>3</v>
      </c>
      <c r="F1595" s="22">
        <v>60</v>
      </c>
      <c r="G1595" s="23" t="s">
        <v>198</v>
      </c>
      <c r="H1595" s="24">
        <f t="shared" si="267"/>
        <v>3960</v>
      </c>
      <c r="I1595" s="25">
        <v>575</v>
      </c>
      <c r="J1595" s="24">
        <f t="shared" si="264"/>
        <v>2277000</v>
      </c>
      <c r="K1595" s="20"/>
      <c r="L1595" s="20"/>
      <c r="M1595" s="20"/>
      <c r="N1595" s="20"/>
      <c r="O1595" s="24"/>
      <c r="P1595" s="24"/>
      <c r="Q1595" s="25"/>
      <c r="R1595" s="24"/>
      <c r="S1595" s="20"/>
      <c r="T1595" s="27"/>
      <c r="U1595" s="20"/>
      <c r="V1595" s="27">
        <f t="shared" si="268"/>
        <v>2277000</v>
      </c>
      <c r="W1595" s="26">
        <f t="shared" si="265"/>
        <v>2277000</v>
      </c>
      <c r="X1595" s="27">
        <v>0</v>
      </c>
      <c r="Y1595" s="78">
        <f t="shared" si="266"/>
        <v>2277000</v>
      </c>
      <c r="Z1595" s="49">
        <v>1E-4</v>
      </c>
    </row>
    <row r="1596" spans="1:26" s="29" customFormat="1" ht="90.75" customHeight="1" x14ac:dyDescent="0.25">
      <c r="A1596" s="20">
        <v>1042</v>
      </c>
      <c r="B1596" s="76" t="s">
        <v>214</v>
      </c>
      <c r="C1596" s="37">
        <v>83</v>
      </c>
      <c r="D1596" s="37">
        <v>20</v>
      </c>
      <c r="E1596" s="37">
        <v>2</v>
      </c>
      <c r="F1596" s="37">
        <v>50</v>
      </c>
      <c r="G1596" s="23" t="s">
        <v>198</v>
      </c>
      <c r="H1596" s="24">
        <f t="shared" si="267"/>
        <v>8250</v>
      </c>
      <c r="I1596" s="40">
        <v>200</v>
      </c>
      <c r="J1596" s="24">
        <f t="shared" si="264"/>
        <v>1650000</v>
      </c>
      <c r="K1596" s="20"/>
      <c r="L1596" s="20"/>
      <c r="M1596" s="20"/>
      <c r="N1596" s="20"/>
      <c r="O1596" s="24"/>
      <c r="P1596" s="24"/>
      <c r="Q1596" s="25"/>
      <c r="R1596" s="24"/>
      <c r="S1596" s="20"/>
      <c r="T1596" s="27"/>
      <c r="U1596" s="20"/>
      <c r="V1596" s="27">
        <f t="shared" si="268"/>
        <v>1650000</v>
      </c>
      <c r="W1596" s="26">
        <f t="shared" si="265"/>
        <v>1650000</v>
      </c>
      <c r="X1596" s="27">
        <v>0</v>
      </c>
      <c r="Y1596" s="78">
        <f t="shared" si="266"/>
        <v>1650000</v>
      </c>
      <c r="Z1596" s="49">
        <v>1E-4</v>
      </c>
    </row>
    <row r="1597" spans="1:26" s="29" customFormat="1" ht="90.75" customHeight="1" x14ac:dyDescent="0.25">
      <c r="A1597" s="20">
        <v>1043</v>
      </c>
      <c r="B1597" s="76" t="s">
        <v>214</v>
      </c>
      <c r="C1597" s="37">
        <v>415</v>
      </c>
      <c r="D1597" s="37">
        <v>10</v>
      </c>
      <c r="E1597" s="37">
        <v>3</v>
      </c>
      <c r="F1597" s="37">
        <v>83</v>
      </c>
      <c r="G1597" s="23" t="s">
        <v>198</v>
      </c>
      <c r="H1597" s="24">
        <f t="shared" si="267"/>
        <v>4383</v>
      </c>
      <c r="I1597" s="40">
        <v>200</v>
      </c>
      <c r="J1597" s="28">
        <f t="shared" si="264"/>
        <v>876600</v>
      </c>
      <c r="K1597" s="37"/>
      <c r="L1597" s="37"/>
      <c r="M1597" s="37"/>
      <c r="N1597" s="37"/>
      <c r="O1597" s="65"/>
      <c r="P1597" s="37"/>
      <c r="Q1597" s="79"/>
      <c r="R1597" s="37"/>
      <c r="S1597" s="37"/>
      <c r="T1597" s="65"/>
      <c r="U1597" s="37"/>
      <c r="V1597" s="90">
        <f t="shared" si="268"/>
        <v>876600</v>
      </c>
      <c r="W1597" s="90">
        <f t="shared" si="265"/>
        <v>876600</v>
      </c>
      <c r="X1597" s="89">
        <v>0</v>
      </c>
      <c r="Y1597" s="48">
        <f t="shared" si="266"/>
        <v>876600</v>
      </c>
      <c r="Z1597" s="49">
        <v>1E-4</v>
      </c>
    </row>
    <row r="1598" spans="1:26" s="29" customFormat="1" ht="90.75" customHeight="1" x14ac:dyDescent="0.25">
      <c r="A1598" s="20">
        <v>1044</v>
      </c>
      <c r="B1598" s="37" t="s">
        <v>213</v>
      </c>
      <c r="C1598" s="37">
        <v>1069</v>
      </c>
      <c r="D1598" s="37">
        <v>16</v>
      </c>
      <c r="E1598" s="37">
        <v>2</v>
      </c>
      <c r="F1598" s="37">
        <v>60</v>
      </c>
      <c r="G1598" s="23" t="s">
        <v>198</v>
      </c>
      <c r="H1598" s="24">
        <f t="shared" si="267"/>
        <v>6660</v>
      </c>
      <c r="I1598" s="40">
        <v>200</v>
      </c>
      <c r="J1598" s="24">
        <f t="shared" si="264"/>
        <v>1332000</v>
      </c>
      <c r="K1598" s="20"/>
      <c r="L1598" s="20"/>
      <c r="M1598" s="20"/>
      <c r="N1598" s="20"/>
      <c r="O1598" s="24"/>
      <c r="P1598" s="24"/>
      <c r="Q1598" s="25"/>
      <c r="R1598" s="24"/>
      <c r="S1598" s="20"/>
      <c r="T1598" s="27"/>
      <c r="U1598" s="20"/>
      <c r="V1598" s="27">
        <f t="shared" si="268"/>
        <v>1332000</v>
      </c>
      <c r="W1598" s="26">
        <f t="shared" si="265"/>
        <v>1332000</v>
      </c>
      <c r="X1598" s="27">
        <v>0</v>
      </c>
      <c r="Y1598" s="78">
        <f t="shared" si="266"/>
        <v>1332000</v>
      </c>
      <c r="Z1598" s="49">
        <v>1E-4</v>
      </c>
    </row>
    <row r="1599" spans="1:26" s="29" customFormat="1" ht="90.75" customHeight="1" x14ac:dyDescent="0.25">
      <c r="A1599" s="20">
        <v>1045</v>
      </c>
      <c r="B1599" s="20" t="s">
        <v>0</v>
      </c>
      <c r="C1599" s="20">
        <v>6824</v>
      </c>
      <c r="D1599" s="21">
        <v>6</v>
      </c>
      <c r="E1599" s="21">
        <v>2</v>
      </c>
      <c r="F1599" s="22">
        <v>15</v>
      </c>
      <c r="G1599" s="23" t="s">
        <v>198</v>
      </c>
      <c r="H1599" s="24">
        <f t="shared" si="267"/>
        <v>2615</v>
      </c>
      <c r="I1599" s="25" t="s">
        <v>19</v>
      </c>
      <c r="J1599" s="24">
        <f t="shared" si="264"/>
        <v>980625</v>
      </c>
      <c r="K1599" s="20"/>
      <c r="L1599" s="20"/>
      <c r="M1599" s="20"/>
      <c r="N1599" s="20"/>
      <c r="O1599" s="24"/>
      <c r="P1599" s="24"/>
      <c r="Q1599" s="25"/>
      <c r="R1599" s="24"/>
      <c r="S1599" s="20"/>
      <c r="T1599" s="27"/>
      <c r="U1599" s="20"/>
      <c r="V1599" s="27">
        <f t="shared" si="268"/>
        <v>980625</v>
      </c>
      <c r="W1599" s="26">
        <f t="shared" si="265"/>
        <v>980625</v>
      </c>
      <c r="X1599" s="27">
        <v>0</v>
      </c>
      <c r="Y1599" s="78">
        <f t="shared" si="266"/>
        <v>980625</v>
      </c>
      <c r="Z1599" s="49">
        <v>1E-4</v>
      </c>
    </row>
    <row r="1600" spans="1:26" s="29" customFormat="1" ht="90.75" customHeight="1" x14ac:dyDescent="0.25">
      <c r="A1600" s="20">
        <v>1046</v>
      </c>
      <c r="B1600" s="20" t="s">
        <v>0</v>
      </c>
      <c r="C1600" s="20">
        <v>6831</v>
      </c>
      <c r="D1600" s="21">
        <v>11</v>
      </c>
      <c r="E1600" s="21">
        <v>3</v>
      </c>
      <c r="F1600" s="22">
        <v>88</v>
      </c>
      <c r="G1600" s="23" t="s">
        <v>198</v>
      </c>
      <c r="H1600" s="24">
        <f t="shared" si="267"/>
        <v>4788</v>
      </c>
      <c r="I1600" s="25" t="s">
        <v>53</v>
      </c>
      <c r="J1600" s="24">
        <f t="shared" si="264"/>
        <v>2154600</v>
      </c>
      <c r="K1600" s="20"/>
      <c r="L1600" s="20"/>
      <c r="M1600" s="20"/>
      <c r="N1600" s="20"/>
      <c r="O1600" s="24"/>
      <c r="P1600" s="24"/>
      <c r="Q1600" s="25"/>
      <c r="R1600" s="24"/>
      <c r="S1600" s="20"/>
      <c r="T1600" s="27"/>
      <c r="U1600" s="20"/>
      <c r="V1600" s="27">
        <f t="shared" si="268"/>
        <v>2154600</v>
      </c>
      <c r="W1600" s="26">
        <f t="shared" si="265"/>
        <v>2154600</v>
      </c>
      <c r="X1600" s="27">
        <v>0</v>
      </c>
      <c r="Y1600" s="78">
        <f t="shared" si="266"/>
        <v>2154600</v>
      </c>
      <c r="Z1600" s="49">
        <v>1E-4</v>
      </c>
    </row>
    <row r="1601" spans="1:26" s="29" customFormat="1" ht="90.75" customHeight="1" x14ac:dyDescent="0.25">
      <c r="A1601" s="20">
        <v>1047</v>
      </c>
      <c r="B1601" s="20" t="s">
        <v>0</v>
      </c>
      <c r="C1601" s="20">
        <v>6835</v>
      </c>
      <c r="D1601" s="21">
        <v>77</v>
      </c>
      <c r="E1601" s="21">
        <v>3</v>
      </c>
      <c r="F1601" s="22">
        <v>74</v>
      </c>
      <c r="G1601" s="23" t="s">
        <v>198</v>
      </c>
      <c r="H1601" s="24">
        <f t="shared" si="267"/>
        <v>31174</v>
      </c>
      <c r="I1601" s="25" t="s">
        <v>37</v>
      </c>
      <c r="J1601" s="24">
        <f t="shared" si="264"/>
        <v>13248950</v>
      </c>
      <c r="K1601" s="20"/>
      <c r="L1601" s="20"/>
      <c r="M1601" s="20"/>
      <c r="N1601" s="20"/>
      <c r="O1601" s="24"/>
      <c r="P1601" s="24"/>
      <c r="Q1601" s="25"/>
      <c r="R1601" s="24"/>
      <c r="S1601" s="20"/>
      <c r="T1601" s="27"/>
      <c r="U1601" s="20"/>
      <c r="V1601" s="27">
        <f t="shared" si="268"/>
        <v>13248950</v>
      </c>
      <c r="W1601" s="26">
        <f t="shared" si="265"/>
        <v>13248950</v>
      </c>
      <c r="X1601" s="27">
        <v>0</v>
      </c>
      <c r="Y1601" s="78">
        <f t="shared" si="266"/>
        <v>13248950</v>
      </c>
      <c r="Z1601" s="49">
        <v>1E-4</v>
      </c>
    </row>
    <row r="1602" spans="1:26" s="29" customFormat="1" ht="90.75" customHeight="1" x14ac:dyDescent="0.25">
      <c r="A1602" s="20">
        <v>1048</v>
      </c>
      <c r="B1602" s="20" t="s">
        <v>0</v>
      </c>
      <c r="C1602" s="20">
        <v>6840</v>
      </c>
      <c r="D1602" s="21">
        <v>95</v>
      </c>
      <c r="E1602" s="21">
        <v>0</v>
      </c>
      <c r="F1602" s="22">
        <v>42</v>
      </c>
      <c r="G1602" s="23" t="s">
        <v>198</v>
      </c>
      <c r="H1602" s="24">
        <f t="shared" si="267"/>
        <v>38042</v>
      </c>
      <c r="I1602" s="25" t="s">
        <v>32</v>
      </c>
      <c r="J1602" s="24">
        <f t="shared" si="264"/>
        <v>7608400</v>
      </c>
      <c r="K1602" s="20"/>
      <c r="L1602" s="20"/>
      <c r="M1602" s="20"/>
      <c r="N1602" s="20"/>
      <c r="O1602" s="24"/>
      <c r="P1602" s="24"/>
      <c r="Q1602" s="25"/>
      <c r="R1602" s="24"/>
      <c r="S1602" s="20"/>
      <c r="T1602" s="27"/>
      <c r="U1602" s="20"/>
      <c r="V1602" s="27">
        <f t="shared" si="268"/>
        <v>7608400</v>
      </c>
      <c r="W1602" s="26">
        <f t="shared" si="265"/>
        <v>7608400</v>
      </c>
      <c r="X1602" s="27">
        <v>0</v>
      </c>
      <c r="Y1602" s="78">
        <f t="shared" si="266"/>
        <v>7608400</v>
      </c>
      <c r="Z1602" s="49">
        <v>1E-4</v>
      </c>
    </row>
    <row r="1603" spans="1:26" s="29" customFormat="1" ht="90.75" customHeight="1" x14ac:dyDescent="0.25">
      <c r="A1603" s="20">
        <v>1049</v>
      </c>
      <c r="B1603" s="20" t="s">
        <v>0</v>
      </c>
      <c r="C1603" s="20">
        <v>11352</v>
      </c>
      <c r="D1603" s="21">
        <v>76</v>
      </c>
      <c r="E1603" s="21">
        <v>0</v>
      </c>
      <c r="F1603" s="22">
        <v>52</v>
      </c>
      <c r="G1603" s="23" t="s">
        <v>198</v>
      </c>
      <c r="H1603" s="24">
        <f t="shared" si="267"/>
        <v>30452</v>
      </c>
      <c r="I1603" s="25" t="s">
        <v>7</v>
      </c>
      <c r="J1603" s="24">
        <f t="shared" ref="J1603:J1634" si="269">(H1603*I1603)</f>
        <v>10658200</v>
      </c>
      <c r="K1603" s="20"/>
      <c r="L1603" s="20"/>
      <c r="M1603" s="20"/>
      <c r="N1603" s="20"/>
      <c r="O1603" s="24"/>
      <c r="P1603" s="24"/>
      <c r="Q1603" s="25"/>
      <c r="R1603" s="24"/>
      <c r="S1603" s="20"/>
      <c r="T1603" s="27"/>
      <c r="U1603" s="20"/>
      <c r="V1603" s="27">
        <f t="shared" si="268"/>
        <v>10658200</v>
      </c>
      <c r="W1603" s="26">
        <f t="shared" ref="W1603:W1634" si="270">(V1603*100/100)</f>
        <v>10658200</v>
      </c>
      <c r="X1603" s="27">
        <v>0</v>
      </c>
      <c r="Y1603" s="78">
        <f t="shared" ref="Y1603:Y1634" si="271">(W1603-X1603)</f>
        <v>10658200</v>
      </c>
      <c r="Z1603" s="49">
        <v>1E-4</v>
      </c>
    </row>
    <row r="1604" spans="1:26" s="29" customFormat="1" ht="90.75" customHeight="1" x14ac:dyDescent="0.25">
      <c r="A1604" s="20">
        <v>1050</v>
      </c>
      <c r="B1604" s="20" t="s">
        <v>0</v>
      </c>
      <c r="C1604" s="20">
        <v>7620</v>
      </c>
      <c r="D1604" s="21">
        <v>24</v>
      </c>
      <c r="E1604" s="21">
        <v>3</v>
      </c>
      <c r="F1604" s="22">
        <v>10</v>
      </c>
      <c r="G1604" s="23" t="s">
        <v>198</v>
      </c>
      <c r="H1604" s="24">
        <f t="shared" si="267"/>
        <v>9910</v>
      </c>
      <c r="I1604" s="25" t="s">
        <v>9</v>
      </c>
      <c r="J1604" s="24">
        <f t="shared" si="269"/>
        <v>2973000</v>
      </c>
      <c r="K1604" s="20"/>
      <c r="L1604" s="20"/>
      <c r="M1604" s="20"/>
      <c r="N1604" s="20"/>
      <c r="O1604" s="24"/>
      <c r="P1604" s="24"/>
      <c r="Q1604" s="25"/>
      <c r="R1604" s="24"/>
      <c r="S1604" s="20"/>
      <c r="T1604" s="27"/>
      <c r="U1604" s="20"/>
      <c r="V1604" s="27">
        <f t="shared" si="268"/>
        <v>2973000</v>
      </c>
      <c r="W1604" s="26">
        <f t="shared" si="270"/>
        <v>2973000</v>
      </c>
      <c r="X1604" s="27">
        <v>0</v>
      </c>
      <c r="Y1604" s="78">
        <f t="shared" si="271"/>
        <v>2973000</v>
      </c>
      <c r="Z1604" s="49">
        <v>1E-4</v>
      </c>
    </row>
    <row r="1605" spans="1:26" s="29" customFormat="1" ht="90.75" customHeight="1" x14ac:dyDescent="0.25">
      <c r="A1605" s="20">
        <v>1051</v>
      </c>
      <c r="B1605" s="20" t="s">
        <v>0</v>
      </c>
      <c r="C1605" s="20">
        <v>7988</v>
      </c>
      <c r="D1605" s="21">
        <v>26</v>
      </c>
      <c r="E1605" s="21">
        <v>3</v>
      </c>
      <c r="F1605" s="22">
        <v>46</v>
      </c>
      <c r="G1605" s="23" t="s">
        <v>198</v>
      </c>
      <c r="H1605" s="24">
        <f t="shared" ref="H1605:H1636" si="272">(D1605*400)+(E1605*100)+F1605</f>
        <v>10746</v>
      </c>
      <c r="I1605" s="25" t="s">
        <v>75</v>
      </c>
      <c r="J1605" s="24">
        <f t="shared" si="269"/>
        <v>6716250</v>
      </c>
      <c r="K1605" s="20"/>
      <c r="L1605" s="20"/>
      <c r="M1605" s="20"/>
      <c r="N1605" s="20"/>
      <c r="O1605" s="24"/>
      <c r="P1605" s="24"/>
      <c r="Q1605" s="25"/>
      <c r="R1605" s="24"/>
      <c r="S1605" s="20"/>
      <c r="T1605" s="27"/>
      <c r="U1605" s="20"/>
      <c r="V1605" s="27">
        <f t="shared" ref="V1605:V1636" si="273">(J1605+U1605)</f>
        <v>6716250</v>
      </c>
      <c r="W1605" s="26">
        <f t="shared" si="270"/>
        <v>6716250</v>
      </c>
      <c r="X1605" s="27">
        <v>0</v>
      </c>
      <c r="Y1605" s="78">
        <f t="shared" si="271"/>
        <v>6716250</v>
      </c>
      <c r="Z1605" s="49">
        <v>1E-4</v>
      </c>
    </row>
    <row r="1606" spans="1:26" s="29" customFormat="1" ht="90.75" customHeight="1" x14ac:dyDescent="0.25">
      <c r="A1606" s="20">
        <v>1052</v>
      </c>
      <c r="B1606" s="20" t="s">
        <v>0</v>
      </c>
      <c r="C1606" s="20">
        <v>7989</v>
      </c>
      <c r="D1606" s="21">
        <v>20</v>
      </c>
      <c r="E1606" s="21">
        <v>2</v>
      </c>
      <c r="F1606" s="22">
        <v>9</v>
      </c>
      <c r="G1606" s="23" t="s">
        <v>198</v>
      </c>
      <c r="H1606" s="24">
        <f t="shared" si="272"/>
        <v>8209</v>
      </c>
      <c r="I1606" s="25" t="s">
        <v>9</v>
      </c>
      <c r="J1606" s="24">
        <f t="shared" si="269"/>
        <v>2462700</v>
      </c>
      <c r="K1606" s="20"/>
      <c r="L1606" s="20"/>
      <c r="M1606" s="20"/>
      <c r="N1606" s="20"/>
      <c r="O1606" s="24"/>
      <c r="P1606" s="24"/>
      <c r="Q1606" s="25"/>
      <c r="R1606" s="24"/>
      <c r="S1606" s="20"/>
      <c r="T1606" s="27"/>
      <c r="U1606" s="20"/>
      <c r="V1606" s="27">
        <f t="shared" si="273"/>
        <v>2462700</v>
      </c>
      <c r="W1606" s="26">
        <f t="shared" si="270"/>
        <v>2462700</v>
      </c>
      <c r="X1606" s="27">
        <v>0</v>
      </c>
      <c r="Y1606" s="78">
        <f t="shared" si="271"/>
        <v>2462700</v>
      </c>
      <c r="Z1606" s="49">
        <v>1E-4</v>
      </c>
    </row>
    <row r="1607" spans="1:26" s="29" customFormat="1" ht="90.75" customHeight="1" x14ac:dyDescent="0.25">
      <c r="A1607" s="20">
        <v>1053</v>
      </c>
      <c r="B1607" s="20" t="s">
        <v>0</v>
      </c>
      <c r="C1607" s="20">
        <v>8221</v>
      </c>
      <c r="D1607" s="21">
        <v>40</v>
      </c>
      <c r="E1607" s="21">
        <v>2</v>
      </c>
      <c r="F1607" s="22">
        <v>22</v>
      </c>
      <c r="G1607" s="23" t="s">
        <v>198</v>
      </c>
      <c r="H1607" s="24">
        <f t="shared" si="272"/>
        <v>16222</v>
      </c>
      <c r="I1607" s="25" t="s">
        <v>9</v>
      </c>
      <c r="J1607" s="24">
        <f t="shared" si="269"/>
        <v>4866600</v>
      </c>
      <c r="K1607" s="20"/>
      <c r="L1607" s="20"/>
      <c r="M1607" s="20"/>
      <c r="N1607" s="20"/>
      <c r="O1607" s="24"/>
      <c r="P1607" s="24"/>
      <c r="Q1607" s="25"/>
      <c r="R1607" s="24"/>
      <c r="S1607" s="20"/>
      <c r="T1607" s="27"/>
      <c r="U1607" s="20"/>
      <c r="V1607" s="27">
        <f t="shared" si="273"/>
        <v>4866600</v>
      </c>
      <c r="W1607" s="26">
        <f t="shared" si="270"/>
        <v>4866600</v>
      </c>
      <c r="X1607" s="27">
        <v>0</v>
      </c>
      <c r="Y1607" s="78">
        <f t="shared" si="271"/>
        <v>4866600</v>
      </c>
      <c r="Z1607" s="49">
        <v>1E-4</v>
      </c>
    </row>
    <row r="1608" spans="1:26" s="29" customFormat="1" ht="90.75" customHeight="1" x14ac:dyDescent="0.25">
      <c r="A1608" s="20">
        <v>1054</v>
      </c>
      <c r="B1608" s="20" t="s">
        <v>0</v>
      </c>
      <c r="C1608" s="20">
        <v>8222</v>
      </c>
      <c r="D1608" s="21">
        <v>41</v>
      </c>
      <c r="E1608" s="21">
        <v>3</v>
      </c>
      <c r="F1608" s="22">
        <v>18</v>
      </c>
      <c r="G1608" s="23" t="s">
        <v>198</v>
      </c>
      <c r="H1608" s="24">
        <f t="shared" si="272"/>
        <v>16718</v>
      </c>
      <c r="I1608" s="25" t="s">
        <v>80</v>
      </c>
      <c r="J1608" s="24">
        <f t="shared" si="269"/>
        <v>9612850</v>
      </c>
      <c r="K1608" s="20"/>
      <c r="L1608" s="20"/>
      <c r="M1608" s="20"/>
      <c r="N1608" s="20"/>
      <c r="O1608" s="24"/>
      <c r="P1608" s="24"/>
      <c r="Q1608" s="25"/>
      <c r="R1608" s="24"/>
      <c r="S1608" s="20"/>
      <c r="T1608" s="27"/>
      <c r="U1608" s="20"/>
      <c r="V1608" s="27">
        <f t="shared" si="273"/>
        <v>9612850</v>
      </c>
      <c r="W1608" s="26">
        <f t="shared" si="270"/>
        <v>9612850</v>
      </c>
      <c r="X1608" s="27">
        <v>0</v>
      </c>
      <c r="Y1608" s="78">
        <f t="shared" si="271"/>
        <v>9612850</v>
      </c>
      <c r="Z1608" s="49">
        <v>1E-4</v>
      </c>
    </row>
    <row r="1609" spans="1:26" s="29" customFormat="1" ht="90.75" customHeight="1" x14ac:dyDescent="0.25">
      <c r="A1609" s="20">
        <v>1055</v>
      </c>
      <c r="B1609" s="20" t="s">
        <v>0</v>
      </c>
      <c r="C1609" s="20">
        <v>8223</v>
      </c>
      <c r="D1609" s="21">
        <v>14</v>
      </c>
      <c r="E1609" s="21">
        <v>3</v>
      </c>
      <c r="F1609" s="22">
        <v>21</v>
      </c>
      <c r="G1609" s="23" t="s">
        <v>198</v>
      </c>
      <c r="H1609" s="24">
        <f t="shared" si="272"/>
        <v>5921</v>
      </c>
      <c r="I1609" s="25" t="s">
        <v>21</v>
      </c>
      <c r="J1609" s="24">
        <f t="shared" si="269"/>
        <v>4144700</v>
      </c>
      <c r="K1609" s="20"/>
      <c r="L1609" s="20"/>
      <c r="M1609" s="20"/>
      <c r="N1609" s="20"/>
      <c r="O1609" s="24"/>
      <c r="P1609" s="24"/>
      <c r="Q1609" s="25"/>
      <c r="R1609" s="24"/>
      <c r="S1609" s="20"/>
      <c r="T1609" s="27"/>
      <c r="U1609" s="20"/>
      <c r="V1609" s="27">
        <f t="shared" si="273"/>
        <v>4144700</v>
      </c>
      <c r="W1609" s="26">
        <f t="shared" si="270"/>
        <v>4144700</v>
      </c>
      <c r="X1609" s="27">
        <v>0</v>
      </c>
      <c r="Y1609" s="78">
        <f t="shared" si="271"/>
        <v>4144700</v>
      </c>
      <c r="Z1609" s="49">
        <v>1E-4</v>
      </c>
    </row>
    <row r="1610" spans="1:26" s="29" customFormat="1" ht="90.75" customHeight="1" x14ac:dyDescent="0.25">
      <c r="A1610" s="20">
        <v>1056</v>
      </c>
      <c r="B1610" s="20" t="s">
        <v>0</v>
      </c>
      <c r="C1610" s="20">
        <v>8224</v>
      </c>
      <c r="D1610" s="21">
        <v>34</v>
      </c>
      <c r="E1610" s="21">
        <v>3</v>
      </c>
      <c r="F1610" s="22">
        <v>17</v>
      </c>
      <c r="G1610" s="23" t="s">
        <v>198</v>
      </c>
      <c r="H1610" s="24">
        <f t="shared" si="272"/>
        <v>13917</v>
      </c>
      <c r="I1610" s="25" t="s">
        <v>9</v>
      </c>
      <c r="J1610" s="24">
        <f t="shared" si="269"/>
        <v>4175100</v>
      </c>
      <c r="K1610" s="20"/>
      <c r="L1610" s="20"/>
      <c r="M1610" s="20"/>
      <c r="N1610" s="20"/>
      <c r="O1610" s="24"/>
      <c r="P1610" s="24"/>
      <c r="Q1610" s="25"/>
      <c r="R1610" s="24"/>
      <c r="S1610" s="20"/>
      <c r="T1610" s="27"/>
      <c r="U1610" s="20"/>
      <c r="V1610" s="27">
        <f t="shared" si="273"/>
        <v>4175100</v>
      </c>
      <c r="W1610" s="26">
        <f t="shared" si="270"/>
        <v>4175100</v>
      </c>
      <c r="X1610" s="27">
        <v>0</v>
      </c>
      <c r="Y1610" s="78">
        <f t="shared" si="271"/>
        <v>4175100</v>
      </c>
      <c r="Z1610" s="49">
        <v>1E-4</v>
      </c>
    </row>
    <row r="1611" spans="1:26" s="29" customFormat="1" ht="90.75" customHeight="1" x14ac:dyDescent="0.25">
      <c r="A1611" s="20">
        <v>1057</v>
      </c>
      <c r="B1611" s="20" t="s">
        <v>0</v>
      </c>
      <c r="C1611" s="20">
        <v>8182</v>
      </c>
      <c r="D1611" s="21">
        <v>42</v>
      </c>
      <c r="E1611" s="21">
        <v>0</v>
      </c>
      <c r="F1611" s="22">
        <v>84</v>
      </c>
      <c r="G1611" s="23" t="s">
        <v>198</v>
      </c>
      <c r="H1611" s="24">
        <f t="shared" si="272"/>
        <v>16884</v>
      </c>
      <c r="I1611" s="25" t="s">
        <v>9</v>
      </c>
      <c r="J1611" s="24">
        <f t="shared" si="269"/>
        <v>5065200</v>
      </c>
      <c r="K1611" s="20"/>
      <c r="L1611" s="20"/>
      <c r="M1611" s="20"/>
      <c r="N1611" s="20"/>
      <c r="O1611" s="24"/>
      <c r="P1611" s="24"/>
      <c r="Q1611" s="25"/>
      <c r="R1611" s="24"/>
      <c r="S1611" s="20"/>
      <c r="T1611" s="27"/>
      <c r="U1611" s="20"/>
      <c r="V1611" s="27">
        <f t="shared" si="273"/>
        <v>5065200</v>
      </c>
      <c r="W1611" s="26">
        <f t="shared" si="270"/>
        <v>5065200</v>
      </c>
      <c r="X1611" s="27">
        <v>0</v>
      </c>
      <c r="Y1611" s="78">
        <f t="shared" si="271"/>
        <v>5065200</v>
      </c>
      <c r="Z1611" s="49">
        <v>1E-4</v>
      </c>
    </row>
    <row r="1612" spans="1:26" s="29" customFormat="1" ht="90.75" customHeight="1" x14ac:dyDescent="0.25">
      <c r="A1612" s="20">
        <v>1058</v>
      </c>
      <c r="B1612" s="20" t="s">
        <v>0</v>
      </c>
      <c r="C1612" s="20">
        <v>11305</v>
      </c>
      <c r="D1612" s="21">
        <v>51</v>
      </c>
      <c r="E1612" s="21">
        <v>3</v>
      </c>
      <c r="F1612" s="22">
        <v>65</v>
      </c>
      <c r="G1612" s="23" t="s">
        <v>198</v>
      </c>
      <c r="H1612" s="24">
        <f t="shared" si="272"/>
        <v>20765</v>
      </c>
      <c r="I1612" s="25" t="s">
        <v>9</v>
      </c>
      <c r="J1612" s="24">
        <f t="shared" si="269"/>
        <v>6229500</v>
      </c>
      <c r="K1612" s="20"/>
      <c r="L1612" s="20"/>
      <c r="M1612" s="20"/>
      <c r="N1612" s="20"/>
      <c r="O1612" s="24"/>
      <c r="P1612" s="24"/>
      <c r="Q1612" s="25"/>
      <c r="R1612" s="24"/>
      <c r="S1612" s="20"/>
      <c r="T1612" s="27"/>
      <c r="U1612" s="20"/>
      <c r="V1612" s="27">
        <f t="shared" si="273"/>
        <v>6229500</v>
      </c>
      <c r="W1612" s="26">
        <f t="shared" si="270"/>
        <v>6229500</v>
      </c>
      <c r="X1612" s="27">
        <v>0</v>
      </c>
      <c r="Y1612" s="78">
        <f t="shared" si="271"/>
        <v>6229500</v>
      </c>
      <c r="Z1612" s="49">
        <v>1E-4</v>
      </c>
    </row>
    <row r="1613" spans="1:26" s="29" customFormat="1" ht="90.75" customHeight="1" x14ac:dyDescent="0.25">
      <c r="A1613" s="20">
        <v>1059</v>
      </c>
      <c r="B1613" s="20" t="s">
        <v>0</v>
      </c>
      <c r="C1613" s="20">
        <v>11307</v>
      </c>
      <c r="D1613" s="21">
        <v>27</v>
      </c>
      <c r="E1613" s="21">
        <v>2</v>
      </c>
      <c r="F1613" s="22">
        <v>66</v>
      </c>
      <c r="G1613" s="23" t="s">
        <v>198</v>
      </c>
      <c r="H1613" s="24">
        <f t="shared" si="272"/>
        <v>11066</v>
      </c>
      <c r="I1613" s="25" t="s">
        <v>75</v>
      </c>
      <c r="J1613" s="24">
        <f t="shared" si="269"/>
        <v>6916250</v>
      </c>
      <c r="K1613" s="20"/>
      <c r="L1613" s="20"/>
      <c r="M1613" s="20"/>
      <c r="N1613" s="20"/>
      <c r="O1613" s="24"/>
      <c r="P1613" s="24"/>
      <c r="Q1613" s="25"/>
      <c r="R1613" s="24"/>
      <c r="S1613" s="20"/>
      <c r="T1613" s="27"/>
      <c r="U1613" s="20"/>
      <c r="V1613" s="27">
        <f t="shared" si="273"/>
        <v>6916250</v>
      </c>
      <c r="W1613" s="26">
        <f t="shared" si="270"/>
        <v>6916250</v>
      </c>
      <c r="X1613" s="27">
        <v>0</v>
      </c>
      <c r="Y1613" s="78">
        <f t="shared" si="271"/>
        <v>6916250</v>
      </c>
      <c r="Z1613" s="49">
        <v>1E-4</v>
      </c>
    </row>
    <row r="1614" spans="1:26" s="29" customFormat="1" ht="90.75" customHeight="1" x14ac:dyDescent="0.25">
      <c r="A1614" s="20">
        <v>1060</v>
      </c>
      <c r="B1614" s="20" t="s">
        <v>0</v>
      </c>
      <c r="C1614" s="20">
        <v>11751</v>
      </c>
      <c r="D1614" s="21">
        <v>32</v>
      </c>
      <c r="E1614" s="21">
        <v>0</v>
      </c>
      <c r="F1614" s="22">
        <v>9</v>
      </c>
      <c r="G1614" s="23" t="s">
        <v>198</v>
      </c>
      <c r="H1614" s="24">
        <f t="shared" si="272"/>
        <v>12809</v>
      </c>
      <c r="I1614" s="25" t="s">
        <v>75</v>
      </c>
      <c r="J1614" s="24">
        <f t="shared" si="269"/>
        <v>8005625</v>
      </c>
      <c r="K1614" s="20"/>
      <c r="L1614" s="20"/>
      <c r="M1614" s="20"/>
      <c r="N1614" s="20"/>
      <c r="O1614" s="24"/>
      <c r="P1614" s="24"/>
      <c r="Q1614" s="25"/>
      <c r="R1614" s="24"/>
      <c r="S1614" s="20"/>
      <c r="T1614" s="27"/>
      <c r="U1614" s="20"/>
      <c r="V1614" s="27">
        <f t="shared" si="273"/>
        <v>8005625</v>
      </c>
      <c r="W1614" s="26">
        <f t="shared" si="270"/>
        <v>8005625</v>
      </c>
      <c r="X1614" s="27">
        <v>0</v>
      </c>
      <c r="Y1614" s="78">
        <f t="shared" si="271"/>
        <v>8005625</v>
      </c>
      <c r="Z1614" s="49">
        <v>1E-4</v>
      </c>
    </row>
    <row r="1615" spans="1:26" s="29" customFormat="1" ht="90.75" customHeight="1" x14ac:dyDescent="0.25">
      <c r="A1615" s="20">
        <v>1061</v>
      </c>
      <c r="B1615" s="20" t="s">
        <v>0</v>
      </c>
      <c r="C1615" s="20">
        <v>11567</v>
      </c>
      <c r="D1615" s="21">
        <v>33</v>
      </c>
      <c r="E1615" s="21">
        <v>2</v>
      </c>
      <c r="F1615" s="22">
        <v>35</v>
      </c>
      <c r="G1615" s="23" t="s">
        <v>198</v>
      </c>
      <c r="H1615" s="24">
        <f t="shared" si="272"/>
        <v>13435</v>
      </c>
      <c r="I1615" s="25" t="s">
        <v>75</v>
      </c>
      <c r="J1615" s="24">
        <f t="shared" si="269"/>
        <v>8396875</v>
      </c>
      <c r="K1615" s="20"/>
      <c r="L1615" s="20"/>
      <c r="M1615" s="20"/>
      <c r="N1615" s="20"/>
      <c r="O1615" s="24"/>
      <c r="P1615" s="24"/>
      <c r="Q1615" s="25"/>
      <c r="R1615" s="24"/>
      <c r="S1615" s="20"/>
      <c r="T1615" s="27"/>
      <c r="U1615" s="20"/>
      <c r="V1615" s="27">
        <f t="shared" si="273"/>
        <v>8396875</v>
      </c>
      <c r="W1615" s="26">
        <f t="shared" si="270"/>
        <v>8396875</v>
      </c>
      <c r="X1615" s="27">
        <v>0</v>
      </c>
      <c r="Y1615" s="78">
        <f t="shared" si="271"/>
        <v>8396875</v>
      </c>
      <c r="Z1615" s="49">
        <v>1E-4</v>
      </c>
    </row>
    <row r="1616" spans="1:26" s="29" customFormat="1" ht="90.75" customHeight="1" x14ac:dyDescent="0.25">
      <c r="A1616" s="20">
        <v>1062</v>
      </c>
      <c r="B1616" s="20" t="s">
        <v>0</v>
      </c>
      <c r="C1616" s="20">
        <v>11757</v>
      </c>
      <c r="D1616" s="21">
        <v>56</v>
      </c>
      <c r="E1616" s="21">
        <v>2</v>
      </c>
      <c r="F1616" s="22">
        <v>90</v>
      </c>
      <c r="G1616" s="23" t="s">
        <v>198</v>
      </c>
      <c r="H1616" s="24">
        <f t="shared" si="272"/>
        <v>22690</v>
      </c>
      <c r="I1616" s="25">
        <v>625</v>
      </c>
      <c r="J1616" s="24">
        <f t="shared" si="269"/>
        <v>14181250</v>
      </c>
      <c r="K1616" s="20"/>
      <c r="L1616" s="20"/>
      <c r="M1616" s="20"/>
      <c r="N1616" s="20"/>
      <c r="O1616" s="24"/>
      <c r="P1616" s="24"/>
      <c r="Q1616" s="25"/>
      <c r="R1616" s="24"/>
      <c r="S1616" s="20"/>
      <c r="T1616" s="27"/>
      <c r="U1616" s="20"/>
      <c r="V1616" s="27">
        <f t="shared" si="273"/>
        <v>14181250</v>
      </c>
      <c r="W1616" s="26">
        <f t="shared" si="270"/>
        <v>14181250</v>
      </c>
      <c r="X1616" s="27">
        <v>0</v>
      </c>
      <c r="Y1616" s="78">
        <f t="shared" si="271"/>
        <v>14181250</v>
      </c>
      <c r="Z1616" s="49">
        <v>1E-4</v>
      </c>
    </row>
    <row r="1617" spans="1:26" s="29" customFormat="1" ht="90.75" customHeight="1" x14ac:dyDescent="0.25">
      <c r="A1617" s="20">
        <v>1063</v>
      </c>
      <c r="B1617" s="20" t="s">
        <v>0</v>
      </c>
      <c r="C1617" s="20">
        <v>11301</v>
      </c>
      <c r="D1617" s="21">
        <v>53</v>
      </c>
      <c r="E1617" s="21">
        <v>3</v>
      </c>
      <c r="F1617" s="22">
        <v>19</v>
      </c>
      <c r="G1617" s="23" t="s">
        <v>198</v>
      </c>
      <c r="H1617" s="24">
        <f t="shared" si="272"/>
        <v>21519</v>
      </c>
      <c r="I1617" s="25" t="s">
        <v>75</v>
      </c>
      <c r="J1617" s="24">
        <f t="shared" si="269"/>
        <v>13449375</v>
      </c>
      <c r="K1617" s="20"/>
      <c r="L1617" s="20"/>
      <c r="M1617" s="20"/>
      <c r="N1617" s="20"/>
      <c r="O1617" s="24"/>
      <c r="P1617" s="24"/>
      <c r="Q1617" s="25"/>
      <c r="R1617" s="24"/>
      <c r="S1617" s="20"/>
      <c r="T1617" s="27"/>
      <c r="U1617" s="20"/>
      <c r="V1617" s="27">
        <f t="shared" si="273"/>
        <v>13449375</v>
      </c>
      <c r="W1617" s="26">
        <f t="shared" si="270"/>
        <v>13449375</v>
      </c>
      <c r="X1617" s="27">
        <v>0</v>
      </c>
      <c r="Y1617" s="78">
        <f t="shared" si="271"/>
        <v>13449375</v>
      </c>
      <c r="Z1617" s="49">
        <v>1E-4</v>
      </c>
    </row>
    <row r="1618" spans="1:26" s="29" customFormat="1" ht="90.75" customHeight="1" x14ac:dyDescent="0.25">
      <c r="A1618" s="20">
        <v>1064</v>
      </c>
      <c r="B1618" s="20" t="s">
        <v>0</v>
      </c>
      <c r="C1618" s="20">
        <v>11318</v>
      </c>
      <c r="D1618" s="21">
        <v>5</v>
      </c>
      <c r="E1618" s="21">
        <v>0</v>
      </c>
      <c r="F1618" s="22">
        <v>80</v>
      </c>
      <c r="G1618" s="23" t="s">
        <v>198</v>
      </c>
      <c r="H1618" s="24">
        <f t="shared" si="272"/>
        <v>2080</v>
      </c>
      <c r="I1618" s="25" t="s">
        <v>65</v>
      </c>
      <c r="J1618" s="24">
        <f t="shared" si="269"/>
        <v>1508000</v>
      </c>
      <c r="K1618" s="20"/>
      <c r="L1618" s="20"/>
      <c r="M1618" s="20"/>
      <c r="N1618" s="20"/>
      <c r="O1618" s="24"/>
      <c r="P1618" s="24"/>
      <c r="Q1618" s="25"/>
      <c r="R1618" s="24"/>
      <c r="S1618" s="20"/>
      <c r="T1618" s="27"/>
      <c r="U1618" s="20"/>
      <c r="V1618" s="27">
        <f t="shared" si="273"/>
        <v>1508000</v>
      </c>
      <c r="W1618" s="26">
        <f t="shared" si="270"/>
        <v>1508000</v>
      </c>
      <c r="X1618" s="27">
        <v>0</v>
      </c>
      <c r="Y1618" s="78">
        <f t="shared" si="271"/>
        <v>1508000</v>
      </c>
      <c r="Z1618" s="49">
        <v>1E-4</v>
      </c>
    </row>
    <row r="1619" spans="1:26" s="29" customFormat="1" ht="90.75" customHeight="1" x14ac:dyDescent="0.25">
      <c r="A1619" s="20">
        <v>1065</v>
      </c>
      <c r="B1619" s="20" t="s">
        <v>0</v>
      </c>
      <c r="C1619" s="20">
        <v>11287</v>
      </c>
      <c r="D1619" s="21">
        <v>36</v>
      </c>
      <c r="E1619" s="21">
        <v>0</v>
      </c>
      <c r="F1619" s="22">
        <v>13</v>
      </c>
      <c r="G1619" s="23" t="s">
        <v>198</v>
      </c>
      <c r="H1619" s="24">
        <f t="shared" si="272"/>
        <v>14413</v>
      </c>
      <c r="I1619" s="25" t="s">
        <v>75</v>
      </c>
      <c r="J1619" s="24">
        <f t="shared" si="269"/>
        <v>9008125</v>
      </c>
      <c r="K1619" s="20"/>
      <c r="L1619" s="20"/>
      <c r="M1619" s="20"/>
      <c r="N1619" s="20"/>
      <c r="O1619" s="24"/>
      <c r="P1619" s="24"/>
      <c r="Q1619" s="25"/>
      <c r="R1619" s="24"/>
      <c r="S1619" s="20"/>
      <c r="T1619" s="27"/>
      <c r="U1619" s="20"/>
      <c r="V1619" s="27">
        <f t="shared" si="273"/>
        <v>9008125</v>
      </c>
      <c r="W1619" s="26">
        <f t="shared" si="270"/>
        <v>9008125</v>
      </c>
      <c r="X1619" s="27">
        <v>0</v>
      </c>
      <c r="Y1619" s="78">
        <f t="shared" si="271"/>
        <v>9008125</v>
      </c>
      <c r="Z1619" s="49">
        <v>1E-4</v>
      </c>
    </row>
    <row r="1620" spans="1:26" s="29" customFormat="1" ht="90.75" customHeight="1" x14ac:dyDescent="0.25">
      <c r="A1620" s="20">
        <v>1066</v>
      </c>
      <c r="B1620" s="20" t="s">
        <v>0</v>
      </c>
      <c r="C1620" s="20">
        <v>11288</v>
      </c>
      <c r="D1620" s="21">
        <v>16</v>
      </c>
      <c r="E1620" s="21">
        <v>0</v>
      </c>
      <c r="F1620" s="22">
        <v>15</v>
      </c>
      <c r="G1620" s="23" t="s">
        <v>198</v>
      </c>
      <c r="H1620" s="24">
        <f t="shared" si="272"/>
        <v>6415</v>
      </c>
      <c r="I1620" s="25" t="s">
        <v>75</v>
      </c>
      <c r="J1620" s="24">
        <f t="shared" si="269"/>
        <v>4009375</v>
      </c>
      <c r="K1620" s="20"/>
      <c r="L1620" s="20"/>
      <c r="M1620" s="20"/>
      <c r="N1620" s="20"/>
      <c r="O1620" s="24"/>
      <c r="P1620" s="24"/>
      <c r="Q1620" s="25"/>
      <c r="R1620" s="24"/>
      <c r="S1620" s="20"/>
      <c r="T1620" s="27"/>
      <c r="U1620" s="20"/>
      <c r="V1620" s="27">
        <f t="shared" si="273"/>
        <v>4009375</v>
      </c>
      <c r="W1620" s="26">
        <f t="shared" si="270"/>
        <v>4009375</v>
      </c>
      <c r="X1620" s="27">
        <v>0</v>
      </c>
      <c r="Y1620" s="78">
        <f t="shared" si="271"/>
        <v>4009375</v>
      </c>
      <c r="Z1620" s="49">
        <v>1E-4</v>
      </c>
    </row>
    <row r="1621" spans="1:26" s="29" customFormat="1" ht="90.75" customHeight="1" x14ac:dyDescent="0.25">
      <c r="A1621" s="20">
        <v>1067</v>
      </c>
      <c r="B1621" s="20" t="s">
        <v>0</v>
      </c>
      <c r="C1621" s="20">
        <v>11753</v>
      </c>
      <c r="D1621" s="21">
        <v>33</v>
      </c>
      <c r="E1621" s="21">
        <v>0</v>
      </c>
      <c r="F1621" s="22">
        <v>76</v>
      </c>
      <c r="G1621" s="23" t="s">
        <v>198</v>
      </c>
      <c r="H1621" s="24">
        <f t="shared" si="272"/>
        <v>13276</v>
      </c>
      <c r="I1621" s="25" t="s">
        <v>80</v>
      </c>
      <c r="J1621" s="24">
        <f t="shared" si="269"/>
        <v>7633700</v>
      </c>
      <c r="K1621" s="20"/>
      <c r="L1621" s="20"/>
      <c r="M1621" s="20"/>
      <c r="N1621" s="20"/>
      <c r="O1621" s="24"/>
      <c r="P1621" s="24"/>
      <c r="Q1621" s="25"/>
      <c r="R1621" s="24"/>
      <c r="S1621" s="20"/>
      <c r="T1621" s="27"/>
      <c r="U1621" s="20"/>
      <c r="V1621" s="27">
        <f t="shared" si="273"/>
        <v>7633700</v>
      </c>
      <c r="W1621" s="26">
        <f t="shared" si="270"/>
        <v>7633700</v>
      </c>
      <c r="X1621" s="27">
        <v>0</v>
      </c>
      <c r="Y1621" s="78">
        <f t="shared" si="271"/>
        <v>7633700</v>
      </c>
      <c r="Z1621" s="49">
        <v>1E-4</v>
      </c>
    </row>
    <row r="1622" spans="1:26" s="29" customFormat="1" ht="90.75" customHeight="1" x14ac:dyDescent="0.25">
      <c r="A1622" s="20">
        <v>1068</v>
      </c>
      <c r="B1622" s="20" t="s">
        <v>0</v>
      </c>
      <c r="C1622" s="20">
        <v>11752</v>
      </c>
      <c r="D1622" s="21">
        <v>34</v>
      </c>
      <c r="E1622" s="21">
        <v>2</v>
      </c>
      <c r="F1622" s="22">
        <v>0</v>
      </c>
      <c r="G1622" s="23" t="s">
        <v>198</v>
      </c>
      <c r="H1622" s="24">
        <f t="shared" si="272"/>
        <v>13800</v>
      </c>
      <c r="I1622" s="25" t="s">
        <v>9</v>
      </c>
      <c r="J1622" s="24">
        <f t="shared" si="269"/>
        <v>4140000</v>
      </c>
      <c r="K1622" s="20"/>
      <c r="L1622" s="20"/>
      <c r="M1622" s="20"/>
      <c r="N1622" s="20"/>
      <c r="O1622" s="24"/>
      <c r="P1622" s="24"/>
      <c r="Q1622" s="25"/>
      <c r="R1622" s="24"/>
      <c r="S1622" s="20"/>
      <c r="T1622" s="27"/>
      <c r="U1622" s="20"/>
      <c r="V1622" s="27">
        <f t="shared" si="273"/>
        <v>4140000</v>
      </c>
      <c r="W1622" s="26">
        <f t="shared" si="270"/>
        <v>4140000</v>
      </c>
      <c r="X1622" s="27">
        <v>0</v>
      </c>
      <c r="Y1622" s="78">
        <f t="shared" si="271"/>
        <v>4140000</v>
      </c>
      <c r="Z1622" s="49">
        <v>1E-4</v>
      </c>
    </row>
    <row r="1623" spans="1:26" s="29" customFormat="1" ht="90.75" customHeight="1" x14ac:dyDescent="0.25">
      <c r="A1623" s="20">
        <v>1069</v>
      </c>
      <c r="B1623" s="20" t="s">
        <v>0</v>
      </c>
      <c r="C1623" s="20">
        <v>11570</v>
      </c>
      <c r="D1623" s="21">
        <v>26</v>
      </c>
      <c r="E1623" s="21">
        <v>0</v>
      </c>
      <c r="F1623" s="22">
        <v>18</v>
      </c>
      <c r="G1623" s="23" t="s">
        <v>198</v>
      </c>
      <c r="H1623" s="24">
        <f t="shared" si="272"/>
        <v>10418</v>
      </c>
      <c r="I1623" s="25" t="s">
        <v>75</v>
      </c>
      <c r="J1623" s="24">
        <f t="shared" si="269"/>
        <v>6511250</v>
      </c>
      <c r="K1623" s="20"/>
      <c r="L1623" s="20"/>
      <c r="M1623" s="20"/>
      <c r="N1623" s="20"/>
      <c r="O1623" s="24"/>
      <c r="P1623" s="24"/>
      <c r="Q1623" s="25"/>
      <c r="R1623" s="24"/>
      <c r="S1623" s="20"/>
      <c r="T1623" s="27"/>
      <c r="U1623" s="20"/>
      <c r="V1623" s="27">
        <f t="shared" si="273"/>
        <v>6511250</v>
      </c>
      <c r="W1623" s="26">
        <f t="shared" si="270"/>
        <v>6511250</v>
      </c>
      <c r="X1623" s="27">
        <v>0</v>
      </c>
      <c r="Y1623" s="78">
        <f t="shared" si="271"/>
        <v>6511250</v>
      </c>
      <c r="Z1623" s="49">
        <v>1E-4</v>
      </c>
    </row>
    <row r="1624" spans="1:26" s="29" customFormat="1" ht="90.75" customHeight="1" x14ac:dyDescent="0.25">
      <c r="A1624" s="20">
        <v>1070</v>
      </c>
      <c r="B1624" s="20" t="s">
        <v>0</v>
      </c>
      <c r="C1624" s="20">
        <v>11571</v>
      </c>
      <c r="D1624" s="21">
        <v>27</v>
      </c>
      <c r="E1624" s="21">
        <v>0</v>
      </c>
      <c r="F1624" s="22">
        <v>45</v>
      </c>
      <c r="G1624" s="23" t="s">
        <v>198</v>
      </c>
      <c r="H1624" s="24">
        <f t="shared" si="272"/>
        <v>10845</v>
      </c>
      <c r="I1624" s="25" t="s">
        <v>75</v>
      </c>
      <c r="J1624" s="24">
        <f t="shared" si="269"/>
        <v>6778125</v>
      </c>
      <c r="K1624" s="20"/>
      <c r="L1624" s="20"/>
      <c r="M1624" s="20"/>
      <c r="N1624" s="20"/>
      <c r="O1624" s="24"/>
      <c r="P1624" s="24"/>
      <c r="Q1624" s="25"/>
      <c r="R1624" s="24"/>
      <c r="S1624" s="20"/>
      <c r="T1624" s="27"/>
      <c r="U1624" s="20"/>
      <c r="V1624" s="27">
        <f t="shared" si="273"/>
        <v>6778125</v>
      </c>
      <c r="W1624" s="26">
        <f t="shared" si="270"/>
        <v>6778125</v>
      </c>
      <c r="X1624" s="27">
        <v>0</v>
      </c>
      <c r="Y1624" s="78">
        <f t="shared" si="271"/>
        <v>6778125</v>
      </c>
      <c r="Z1624" s="49">
        <v>1E-4</v>
      </c>
    </row>
    <row r="1625" spans="1:26" s="29" customFormat="1" ht="90.75" customHeight="1" x14ac:dyDescent="0.25">
      <c r="A1625" s="20">
        <v>1071</v>
      </c>
      <c r="B1625" s="20" t="s">
        <v>0</v>
      </c>
      <c r="C1625" s="20">
        <v>11572</v>
      </c>
      <c r="D1625" s="21">
        <v>42</v>
      </c>
      <c r="E1625" s="21">
        <v>3</v>
      </c>
      <c r="F1625" s="22">
        <v>67</v>
      </c>
      <c r="G1625" s="23" t="s">
        <v>198</v>
      </c>
      <c r="H1625" s="24">
        <f t="shared" si="272"/>
        <v>17167</v>
      </c>
      <c r="I1625" s="25" t="s">
        <v>77</v>
      </c>
      <c r="J1625" s="24">
        <f t="shared" si="269"/>
        <v>12875250</v>
      </c>
      <c r="K1625" s="20"/>
      <c r="L1625" s="20"/>
      <c r="M1625" s="20"/>
      <c r="N1625" s="20"/>
      <c r="O1625" s="24"/>
      <c r="P1625" s="24"/>
      <c r="Q1625" s="25"/>
      <c r="R1625" s="24"/>
      <c r="S1625" s="20"/>
      <c r="T1625" s="27"/>
      <c r="U1625" s="20"/>
      <c r="V1625" s="27">
        <f t="shared" si="273"/>
        <v>12875250</v>
      </c>
      <c r="W1625" s="26">
        <f t="shared" si="270"/>
        <v>12875250</v>
      </c>
      <c r="X1625" s="27">
        <v>0</v>
      </c>
      <c r="Y1625" s="78">
        <f t="shared" si="271"/>
        <v>12875250</v>
      </c>
      <c r="Z1625" s="49">
        <v>1E-4</v>
      </c>
    </row>
    <row r="1626" spans="1:26" s="29" customFormat="1" ht="90.75" customHeight="1" x14ac:dyDescent="0.25">
      <c r="A1626" s="20">
        <v>1072</v>
      </c>
      <c r="B1626" s="20" t="s">
        <v>0</v>
      </c>
      <c r="C1626" s="20">
        <v>11573</v>
      </c>
      <c r="D1626" s="21">
        <v>46</v>
      </c>
      <c r="E1626" s="21">
        <v>0</v>
      </c>
      <c r="F1626" s="22">
        <v>9</v>
      </c>
      <c r="G1626" s="23" t="s">
        <v>198</v>
      </c>
      <c r="H1626" s="24">
        <f t="shared" si="272"/>
        <v>18409</v>
      </c>
      <c r="I1626" s="25" t="s">
        <v>9</v>
      </c>
      <c r="J1626" s="24">
        <f t="shared" si="269"/>
        <v>5522700</v>
      </c>
      <c r="K1626" s="20"/>
      <c r="L1626" s="20"/>
      <c r="M1626" s="20"/>
      <c r="N1626" s="20"/>
      <c r="O1626" s="24"/>
      <c r="P1626" s="24"/>
      <c r="Q1626" s="25"/>
      <c r="R1626" s="24"/>
      <c r="S1626" s="20"/>
      <c r="T1626" s="27"/>
      <c r="U1626" s="20"/>
      <c r="V1626" s="27">
        <f t="shared" si="273"/>
        <v>5522700</v>
      </c>
      <c r="W1626" s="26">
        <f t="shared" si="270"/>
        <v>5522700</v>
      </c>
      <c r="X1626" s="27">
        <v>0</v>
      </c>
      <c r="Y1626" s="78">
        <f t="shared" si="271"/>
        <v>5522700</v>
      </c>
      <c r="Z1626" s="49">
        <v>1E-4</v>
      </c>
    </row>
    <row r="1627" spans="1:26" s="29" customFormat="1" ht="90.75" customHeight="1" x14ac:dyDescent="0.25">
      <c r="A1627" s="20">
        <v>1073</v>
      </c>
      <c r="B1627" s="20" t="s">
        <v>0</v>
      </c>
      <c r="C1627" s="20">
        <v>11300</v>
      </c>
      <c r="D1627" s="21">
        <v>20</v>
      </c>
      <c r="E1627" s="21">
        <v>0</v>
      </c>
      <c r="F1627" s="22">
        <v>20</v>
      </c>
      <c r="G1627" s="23" t="s">
        <v>198</v>
      </c>
      <c r="H1627" s="24">
        <f t="shared" si="272"/>
        <v>8020</v>
      </c>
      <c r="I1627" s="25" t="s">
        <v>78</v>
      </c>
      <c r="J1627" s="24">
        <f t="shared" si="269"/>
        <v>7017500</v>
      </c>
      <c r="K1627" s="20"/>
      <c r="L1627" s="20"/>
      <c r="M1627" s="20"/>
      <c r="N1627" s="20"/>
      <c r="O1627" s="24"/>
      <c r="P1627" s="24"/>
      <c r="Q1627" s="25"/>
      <c r="R1627" s="24"/>
      <c r="S1627" s="20"/>
      <c r="T1627" s="27"/>
      <c r="U1627" s="20"/>
      <c r="V1627" s="27">
        <f t="shared" si="273"/>
        <v>7017500</v>
      </c>
      <c r="W1627" s="26">
        <f t="shared" si="270"/>
        <v>7017500</v>
      </c>
      <c r="X1627" s="27">
        <v>0</v>
      </c>
      <c r="Y1627" s="78">
        <f t="shared" si="271"/>
        <v>7017500</v>
      </c>
      <c r="Z1627" s="49">
        <v>1E-4</v>
      </c>
    </row>
    <row r="1628" spans="1:26" s="29" customFormat="1" ht="90.75" customHeight="1" x14ac:dyDescent="0.25">
      <c r="A1628" s="20">
        <v>1074</v>
      </c>
      <c r="B1628" s="20" t="s">
        <v>0</v>
      </c>
      <c r="C1628" s="20">
        <v>11756</v>
      </c>
      <c r="D1628" s="21">
        <v>28</v>
      </c>
      <c r="E1628" s="21">
        <v>2</v>
      </c>
      <c r="F1628" s="22">
        <v>73</v>
      </c>
      <c r="G1628" s="23" t="s">
        <v>198</v>
      </c>
      <c r="H1628" s="24">
        <f t="shared" si="272"/>
        <v>11473</v>
      </c>
      <c r="I1628" s="25" t="s">
        <v>77</v>
      </c>
      <c r="J1628" s="24">
        <f t="shared" si="269"/>
        <v>8604750</v>
      </c>
      <c r="K1628" s="20"/>
      <c r="L1628" s="20"/>
      <c r="M1628" s="20"/>
      <c r="N1628" s="20"/>
      <c r="O1628" s="24"/>
      <c r="P1628" s="24"/>
      <c r="Q1628" s="25"/>
      <c r="R1628" s="24"/>
      <c r="S1628" s="20"/>
      <c r="T1628" s="27"/>
      <c r="U1628" s="20"/>
      <c r="V1628" s="27">
        <f t="shared" si="273"/>
        <v>8604750</v>
      </c>
      <c r="W1628" s="26">
        <f t="shared" si="270"/>
        <v>8604750</v>
      </c>
      <c r="X1628" s="27">
        <v>0</v>
      </c>
      <c r="Y1628" s="78">
        <f t="shared" si="271"/>
        <v>8604750</v>
      </c>
      <c r="Z1628" s="49">
        <v>1E-4</v>
      </c>
    </row>
    <row r="1629" spans="1:26" s="29" customFormat="1" ht="90.75" customHeight="1" x14ac:dyDescent="0.25">
      <c r="A1629" s="20">
        <v>1075</v>
      </c>
      <c r="B1629" s="20" t="s">
        <v>0</v>
      </c>
      <c r="C1629" s="20">
        <v>11319</v>
      </c>
      <c r="D1629" s="21">
        <v>4</v>
      </c>
      <c r="E1629" s="21">
        <v>0</v>
      </c>
      <c r="F1629" s="22">
        <v>9</v>
      </c>
      <c r="G1629" s="23" t="s">
        <v>198</v>
      </c>
      <c r="H1629" s="24">
        <f t="shared" si="272"/>
        <v>1609</v>
      </c>
      <c r="I1629" s="25" t="s">
        <v>118</v>
      </c>
      <c r="J1629" s="24">
        <f t="shared" si="269"/>
        <v>1930800</v>
      </c>
      <c r="K1629" s="20"/>
      <c r="L1629" s="20"/>
      <c r="M1629" s="20"/>
      <c r="N1629" s="20"/>
      <c r="O1629" s="24"/>
      <c r="P1629" s="24"/>
      <c r="Q1629" s="25"/>
      <c r="R1629" s="24"/>
      <c r="S1629" s="20"/>
      <c r="T1629" s="27"/>
      <c r="U1629" s="20"/>
      <c r="V1629" s="27">
        <f t="shared" si="273"/>
        <v>1930800</v>
      </c>
      <c r="W1629" s="26">
        <f t="shared" si="270"/>
        <v>1930800</v>
      </c>
      <c r="X1629" s="27">
        <v>0</v>
      </c>
      <c r="Y1629" s="78">
        <f t="shared" si="271"/>
        <v>1930800</v>
      </c>
      <c r="Z1629" s="49">
        <v>1E-4</v>
      </c>
    </row>
    <row r="1630" spans="1:26" s="29" customFormat="1" ht="90.75" customHeight="1" x14ac:dyDescent="0.25">
      <c r="A1630" s="20">
        <v>1076</v>
      </c>
      <c r="B1630" s="20" t="s">
        <v>0</v>
      </c>
      <c r="C1630" s="20">
        <v>11530</v>
      </c>
      <c r="D1630" s="21">
        <v>4</v>
      </c>
      <c r="E1630" s="21">
        <v>1</v>
      </c>
      <c r="F1630" s="22">
        <v>7</v>
      </c>
      <c r="G1630" s="23" t="s">
        <v>198</v>
      </c>
      <c r="H1630" s="24">
        <f t="shared" si="272"/>
        <v>1707</v>
      </c>
      <c r="I1630" s="25" t="s">
        <v>9</v>
      </c>
      <c r="J1630" s="24">
        <f t="shared" si="269"/>
        <v>512100</v>
      </c>
      <c r="K1630" s="20"/>
      <c r="L1630" s="20"/>
      <c r="M1630" s="20"/>
      <c r="N1630" s="20"/>
      <c r="O1630" s="24"/>
      <c r="P1630" s="24"/>
      <c r="Q1630" s="25"/>
      <c r="R1630" s="24"/>
      <c r="S1630" s="20"/>
      <c r="T1630" s="27"/>
      <c r="U1630" s="20"/>
      <c r="V1630" s="27">
        <f t="shared" si="273"/>
        <v>512100</v>
      </c>
      <c r="W1630" s="26">
        <f t="shared" si="270"/>
        <v>512100</v>
      </c>
      <c r="X1630" s="27">
        <v>0</v>
      </c>
      <c r="Y1630" s="78">
        <f t="shared" si="271"/>
        <v>512100</v>
      </c>
      <c r="Z1630" s="49">
        <v>3.0000000000000001E-3</v>
      </c>
    </row>
    <row r="1631" spans="1:26" s="29" customFormat="1" ht="90.75" customHeight="1" x14ac:dyDescent="0.25">
      <c r="A1631" s="20">
        <v>1077</v>
      </c>
      <c r="B1631" s="20" t="s">
        <v>0</v>
      </c>
      <c r="C1631" s="20">
        <v>16118</v>
      </c>
      <c r="D1631" s="21">
        <v>9</v>
      </c>
      <c r="E1631" s="21">
        <v>3</v>
      </c>
      <c r="F1631" s="22">
        <v>1</v>
      </c>
      <c r="G1631" s="23" t="s">
        <v>198</v>
      </c>
      <c r="H1631" s="24">
        <f t="shared" si="272"/>
        <v>3901</v>
      </c>
      <c r="I1631" s="25">
        <v>300</v>
      </c>
      <c r="J1631" s="24">
        <f t="shared" si="269"/>
        <v>1170300</v>
      </c>
      <c r="K1631" s="20"/>
      <c r="L1631" s="20"/>
      <c r="M1631" s="20"/>
      <c r="N1631" s="20"/>
      <c r="O1631" s="24"/>
      <c r="P1631" s="24"/>
      <c r="Q1631" s="25"/>
      <c r="R1631" s="24"/>
      <c r="S1631" s="20"/>
      <c r="T1631" s="27"/>
      <c r="U1631" s="20"/>
      <c r="V1631" s="27">
        <f t="shared" si="273"/>
        <v>1170300</v>
      </c>
      <c r="W1631" s="26">
        <f t="shared" si="270"/>
        <v>1170300</v>
      </c>
      <c r="X1631" s="27">
        <v>0</v>
      </c>
      <c r="Y1631" s="78">
        <f t="shared" si="271"/>
        <v>1170300</v>
      </c>
      <c r="Z1631" s="49">
        <v>3.0000000000000001E-3</v>
      </c>
    </row>
    <row r="1632" spans="1:26" s="29" customFormat="1" ht="90.75" customHeight="1" x14ac:dyDescent="0.25">
      <c r="A1632" s="20">
        <v>1078</v>
      </c>
      <c r="B1632" s="20" t="s">
        <v>0</v>
      </c>
      <c r="C1632" s="20">
        <v>16119</v>
      </c>
      <c r="D1632" s="21">
        <v>3</v>
      </c>
      <c r="E1632" s="21">
        <v>1</v>
      </c>
      <c r="F1632" s="22">
        <v>94</v>
      </c>
      <c r="G1632" s="23" t="s">
        <v>198</v>
      </c>
      <c r="H1632" s="24">
        <f t="shared" si="272"/>
        <v>1394</v>
      </c>
      <c r="I1632" s="25" t="s">
        <v>9</v>
      </c>
      <c r="J1632" s="24">
        <f t="shared" si="269"/>
        <v>418200</v>
      </c>
      <c r="K1632" s="20"/>
      <c r="L1632" s="20"/>
      <c r="M1632" s="20"/>
      <c r="N1632" s="20"/>
      <c r="O1632" s="24"/>
      <c r="P1632" s="24"/>
      <c r="Q1632" s="25"/>
      <c r="R1632" s="24"/>
      <c r="S1632" s="20"/>
      <c r="T1632" s="27"/>
      <c r="U1632" s="20"/>
      <c r="V1632" s="27">
        <f t="shared" si="273"/>
        <v>418200</v>
      </c>
      <c r="W1632" s="26">
        <f t="shared" si="270"/>
        <v>418200</v>
      </c>
      <c r="X1632" s="27">
        <v>0</v>
      </c>
      <c r="Y1632" s="78">
        <f t="shared" si="271"/>
        <v>418200</v>
      </c>
      <c r="Z1632" s="49">
        <v>3.0000000000000001E-3</v>
      </c>
    </row>
    <row r="1633" spans="1:26" s="29" customFormat="1" ht="90.75" customHeight="1" x14ac:dyDescent="0.25">
      <c r="A1633" s="20">
        <v>1079</v>
      </c>
      <c r="B1633" s="20" t="s">
        <v>0</v>
      </c>
      <c r="C1633" s="20">
        <v>16120</v>
      </c>
      <c r="D1633" s="21">
        <v>3</v>
      </c>
      <c r="E1633" s="21">
        <v>2</v>
      </c>
      <c r="F1633" s="22">
        <v>12</v>
      </c>
      <c r="G1633" s="23" t="s">
        <v>198</v>
      </c>
      <c r="H1633" s="24">
        <f t="shared" si="272"/>
        <v>1412</v>
      </c>
      <c r="I1633" s="25" t="s">
        <v>9</v>
      </c>
      <c r="J1633" s="24">
        <f t="shared" si="269"/>
        <v>423600</v>
      </c>
      <c r="K1633" s="20"/>
      <c r="L1633" s="20"/>
      <c r="M1633" s="20"/>
      <c r="N1633" s="20"/>
      <c r="O1633" s="24"/>
      <c r="P1633" s="24"/>
      <c r="Q1633" s="25"/>
      <c r="R1633" s="24"/>
      <c r="S1633" s="20"/>
      <c r="T1633" s="27"/>
      <c r="U1633" s="20"/>
      <c r="V1633" s="27">
        <f t="shared" si="273"/>
        <v>423600</v>
      </c>
      <c r="W1633" s="26">
        <f t="shared" si="270"/>
        <v>423600</v>
      </c>
      <c r="X1633" s="27">
        <v>0</v>
      </c>
      <c r="Y1633" s="78">
        <f t="shared" si="271"/>
        <v>423600</v>
      </c>
      <c r="Z1633" s="49">
        <v>3.0000000000000001E-3</v>
      </c>
    </row>
    <row r="1634" spans="1:26" s="29" customFormat="1" ht="90.75" customHeight="1" x14ac:dyDescent="0.25">
      <c r="A1634" s="20">
        <v>1080</v>
      </c>
      <c r="B1634" s="20" t="s">
        <v>0</v>
      </c>
      <c r="C1634" s="20">
        <v>16121</v>
      </c>
      <c r="D1634" s="21">
        <v>3</v>
      </c>
      <c r="E1634" s="21">
        <v>2</v>
      </c>
      <c r="F1634" s="22">
        <v>32</v>
      </c>
      <c r="G1634" s="23" t="s">
        <v>198</v>
      </c>
      <c r="H1634" s="24">
        <f t="shared" si="272"/>
        <v>1432</v>
      </c>
      <c r="I1634" s="25" t="s">
        <v>9</v>
      </c>
      <c r="J1634" s="24">
        <f t="shared" si="269"/>
        <v>429600</v>
      </c>
      <c r="K1634" s="20"/>
      <c r="L1634" s="20"/>
      <c r="M1634" s="20"/>
      <c r="N1634" s="20"/>
      <c r="O1634" s="24"/>
      <c r="P1634" s="24"/>
      <c r="Q1634" s="25"/>
      <c r="R1634" s="24"/>
      <c r="S1634" s="20"/>
      <c r="T1634" s="27"/>
      <c r="U1634" s="20"/>
      <c r="V1634" s="27">
        <f t="shared" si="273"/>
        <v>429600</v>
      </c>
      <c r="W1634" s="26">
        <f t="shared" si="270"/>
        <v>429600</v>
      </c>
      <c r="X1634" s="27">
        <v>0</v>
      </c>
      <c r="Y1634" s="78">
        <f t="shared" si="271"/>
        <v>429600</v>
      </c>
      <c r="Z1634" s="49">
        <v>3.0000000000000001E-3</v>
      </c>
    </row>
    <row r="1635" spans="1:26" s="29" customFormat="1" ht="90.75" customHeight="1" x14ac:dyDescent="0.25">
      <c r="A1635" s="20">
        <v>1081</v>
      </c>
      <c r="B1635" s="20" t="s">
        <v>0</v>
      </c>
      <c r="C1635" s="20">
        <v>16122</v>
      </c>
      <c r="D1635" s="21">
        <v>3</v>
      </c>
      <c r="E1635" s="21">
        <v>2</v>
      </c>
      <c r="F1635" s="22">
        <v>53</v>
      </c>
      <c r="G1635" s="23" t="s">
        <v>198</v>
      </c>
      <c r="H1635" s="24">
        <f t="shared" si="272"/>
        <v>1453</v>
      </c>
      <c r="I1635" s="25" t="s">
        <v>117</v>
      </c>
      <c r="J1635" s="24">
        <f t="shared" ref="J1635:J1644" si="274">(H1635*I1635)</f>
        <v>1344025</v>
      </c>
      <c r="K1635" s="20"/>
      <c r="L1635" s="20"/>
      <c r="M1635" s="20"/>
      <c r="N1635" s="20"/>
      <c r="O1635" s="24"/>
      <c r="P1635" s="24"/>
      <c r="Q1635" s="25"/>
      <c r="R1635" s="24"/>
      <c r="S1635" s="20"/>
      <c r="T1635" s="27"/>
      <c r="U1635" s="20"/>
      <c r="V1635" s="27">
        <f t="shared" si="273"/>
        <v>1344025</v>
      </c>
      <c r="W1635" s="26">
        <f t="shared" ref="W1635:W1643" si="275">(V1635*100/100)</f>
        <v>1344025</v>
      </c>
      <c r="X1635" s="27">
        <v>0</v>
      </c>
      <c r="Y1635" s="78">
        <f t="shared" ref="Y1635:Y1643" si="276">(W1635-X1635)</f>
        <v>1344025</v>
      </c>
      <c r="Z1635" s="49">
        <v>3.0000000000000001E-3</v>
      </c>
    </row>
    <row r="1636" spans="1:26" s="29" customFormat="1" ht="90.75" customHeight="1" x14ac:dyDescent="0.25">
      <c r="A1636" s="20">
        <v>1082</v>
      </c>
      <c r="B1636" s="20" t="s">
        <v>0</v>
      </c>
      <c r="C1636" s="20">
        <v>16123</v>
      </c>
      <c r="D1636" s="21">
        <v>3</v>
      </c>
      <c r="E1636" s="21">
        <v>2</v>
      </c>
      <c r="F1636" s="22">
        <v>65</v>
      </c>
      <c r="G1636" s="23" t="s">
        <v>198</v>
      </c>
      <c r="H1636" s="24">
        <f t="shared" si="272"/>
        <v>1465</v>
      </c>
      <c r="I1636" s="25" t="s">
        <v>9</v>
      </c>
      <c r="J1636" s="24">
        <f t="shared" si="274"/>
        <v>439500</v>
      </c>
      <c r="K1636" s="20"/>
      <c r="L1636" s="20"/>
      <c r="M1636" s="20"/>
      <c r="N1636" s="20"/>
      <c r="O1636" s="24"/>
      <c r="P1636" s="24"/>
      <c r="Q1636" s="25"/>
      <c r="R1636" s="24"/>
      <c r="S1636" s="20"/>
      <c r="T1636" s="27"/>
      <c r="U1636" s="20"/>
      <c r="V1636" s="27">
        <f t="shared" si="273"/>
        <v>439500</v>
      </c>
      <c r="W1636" s="26">
        <f t="shared" si="275"/>
        <v>439500</v>
      </c>
      <c r="X1636" s="27">
        <v>0</v>
      </c>
      <c r="Y1636" s="78">
        <f t="shared" si="276"/>
        <v>439500</v>
      </c>
      <c r="Z1636" s="49">
        <v>3.0000000000000001E-3</v>
      </c>
    </row>
    <row r="1637" spans="1:26" s="29" customFormat="1" ht="90.75" customHeight="1" x14ac:dyDescent="0.25">
      <c r="A1637" s="20">
        <v>1083</v>
      </c>
      <c r="B1637" s="20" t="s">
        <v>0</v>
      </c>
      <c r="C1637" s="20">
        <v>16124</v>
      </c>
      <c r="D1637" s="21">
        <v>3</v>
      </c>
      <c r="E1637" s="21">
        <v>0</v>
      </c>
      <c r="F1637" s="22">
        <v>37</v>
      </c>
      <c r="G1637" s="23" t="s">
        <v>198</v>
      </c>
      <c r="H1637" s="24">
        <f t="shared" ref="H1637:H1644" si="277">(D1637*400)+(E1637*100)+F1637</f>
        <v>1237</v>
      </c>
      <c r="I1637" s="25" t="s">
        <v>9</v>
      </c>
      <c r="J1637" s="24">
        <f t="shared" si="274"/>
        <v>371100</v>
      </c>
      <c r="K1637" s="20"/>
      <c r="L1637" s="20"/>
      <c r="M1637" s="20"/>
      <c r="N1637" s="20"/>
      <c r="O1637" s="24"/>
      <c r="P1637" s="24"/>
      <c r="Q1637" s="25"/>
      <c r="R1637" s="24"/>
      <c r="S1637" s="20"/>
      <c r="T1637" s="27"/>
      <c r="U1637" s="20"/>
      <c r="V1637" s="27">
        <f t="shared" ref="V1637:V1643" si="278">(J1637+U1637)</f>
        <v>371100</v>
      </c>
      <c r="W1637" s="26">
        <f t="shared" si="275"/>
        <v>371100</v>
      </c>
      <c r="X1637" s="27">
        <v>0</v>
      </c>
      <c r="Y1637" s="78">
        <f t="shared" si="276"/>
        <v>371100</v>
      </c>
      <c r="Z1637" s="49">
        <v>3.0000000000000001E-3</v>
      </c>
    </row>
    <row r="1638" spans="1:26" s="29" customFormat="1" ht="90.75" customHeight="1" x14ac:dyDescent="0.25">
      <c r="A1638" s="20">
        <v>1084</v>
      </c>
      <c r="B1638" s="20" t="s">
        <v>0</v>
      </c>
      <c r="C1638" s="20">
        <v>16125</v>
      </c>
      <c r="D1638" s="21">
        <v>3</v>
      </c>
      <c r="E1638" s="21">
        <v>0</v>
      </c>
      <c r="F1638" s="22">
        <v>84</v>
      </c>
      <c r="G1638" s="23" t="s">
        <v>198</v>
      </c>
      <c r="H1638" s="24">
        <f t="shared" si="277"/>
        <v>1284</v>
      </c>
      <c r="I1638" s="25" t="s">
        <v>9</v>
      </c>
      <c r="J1638" s="24">
        <f t="shared" si="274"/>
        <v>385200</v>
      </c>
      <c r="K1638" s="20"/>
      <c r="L1638" s="20"/>
      <c r="M1638" s="20"/>
      <c r="N1638" s="20"/>
      <c r="O1638" s="24"/>
      <c r="P1638" s="24"/>
      <c r="Q1638" s="25"/>
      <c r="R1638" s="24"/>
      <c r="S1638" s="20"/>
      <c r="T1638" s="27"/>
      <c r="U1638" s="20"/>
      <c r="V1638" s="27">
        <f t="shared" si="278"/>
        <v>385200</v>
      </c>
      <c r="W1638" s="26">
        <f t="shared" si="275"/>
        <v>385200</v>
      </c>
      <c r="X1638" s="27">
        <v>0</v>
      </c>
      <c r="Y1638" s="78">
        <f t="shared" si="276"/>
        <v>385200</v>
      </c>
      <c r="Z1638" s="49">
        <v>3.0000000000000001E-3</v>
      </c>
    </row>
    <row r="1639" spans="1:26" s="29" customFormat="1" ht="90.75" customHeight="1" x14ac:dyDescent="0.25">
      <c r="A1639" s="20">
        <v>1085</v>
      </c>
      <c r="B1639" s="20" t="s">
        <v>0</v>
      </c>
      <c r="C1639" s="20">
        <v>15830</v>
      </c>
      <c r="D1639" s="21">
        <v>3</v>
      </c>
      <c r="E1639" s="21">
        <v>1</v>
      </c>
      <c r="F1639" s="22">
        <v>36</v>
      </c>
      <c r="G1639" s="23" t="s">
        <v>198</v>
      </c>
      <c r="H1639" s="24">
        <f t="shared" si="277"/>
        <v>1336</v>
      </c>
      <c r="I1639" s="25" t="s">
        <v>155</v>
      </c>
      <c r="J1639" s="24">
        <f t="shared" si="274"/>
        <v>4141600</v>
      </c>
      <c r="K1639" s="20"/>
      <c r="L1639" s="20"/>
      <c r="M1639" s="20"/>
      <c r="N1639" s="20"/>
      <c r="O1639" s="24"/>
      <c r="P1639" s="24"/>
      <c r="Q1639" s="25"/>
      <c r="R1639" s="24"/>
      <c r="S1639" s="20"/>
      <c r="T1639" s="27"/>
      <c r="U1639" s="20"/>
      <c r="V1639" s="27">
        <f t="shared" si="278"/>
        <v>4141600</v>
      </c>
      <c r="W1639" s="26">
        <f t="shared" si="275"/>
        <v>4141600</v>
      </c>
      <c r="X1639" s="27">
        <v>0</v>
      </c>
      <c r="Y1639" s="78">
        <f t="shared" si="276"/>
        <v>4141600</v>
      </c>
      <c r="Z1639" s="49">
        <v>3.0000000000000001E-3</v>
      </c>
    </row>
    <row r="1640" spans="1:26" s="29" customFormat="1" ht="90.75" customHeight="1" x14ac:dyDescent="0.25">
      <c r="A1640" s="20">
        <v>1086</v>
      </c>
      <c r="B1640" s="20" t="s">
        <v>0</v>
      </c>
      <c r="C1640" s="20">
        <v>16740</v>
      </c>
      <c r="D1640" s="21">
        <v>2</v>
      </c>
      <c r="E1640" s="21">
        <v>3</v>
      </c>
      <c r="F1640" s="22">
        <v>81</v>
      </c>
      <c r="G1640" s="23" t="s">
        <v>198</v>
      </c>
      <c r="H1640" s="24">
        <f t="shared" si="277"/>
        <v>1181</v>
      </c>
      <c r="I1640" s="25" t="s">
        <v>9</v>
      </c>
      <c r="J1640" s="24">
        <f t="shared" si="274"/>
        <v>354300</v>
      </c>
      <c r="K1640" s="20"/>
      <c r="L1640" s="20"/>
      <c r="M1640" s="20"/>
      <c r="N1640" s="20"/>
      <c r="O1640" s="24"/>
      <c r="P1640" s="24"/>
      <c r="Q1640" s="25"/>
      <c r="R1640" s="24"/>
      <c r="S1640" s="20"/>
      <c r="T1640" s="27"/>
      <c r="U1640" s="20"/>
      <c r="V1640" s="27">
        <f t="shared" si="278"/>
        <v>354300</v>
      </c>
      <c r="W1640" s="26">
        <f t="shared" si="275"/>
        <v>354300</v>
      </c>
      <c r="X1640" s="27">
        <v>0</v>
      </c>
      <c r="Y1640" s="78">
        <f t="shared" si="276"/>
        <v>354300</v>
      </c>
      <c r="Z1640" s="49">
        <v>3.0000000000000001E-3</v>
      </c>
    </row>
    <row r="1641" spans="1:26" s="29" customFormat="1" ht="90.75" customHeight="1" x14ac:dyDescent="0.25">
      <c r="A1641" s="20">
        <v>1087</v>
      </c>
      <c r="B1641" s="20" t="s">
        <v>0</v>
      </c>
      <c r="C1641" s="20">
        <v>16741</v>
      </c>
      <c r="D1641" s="21">
        <v>2</v>
      </c>
      <c r="E1641" s="21">
        <v>3</v>
      </c>
      <c r="F1641" s="22">
        <v>96</v>
      </c>
      <c r="G1641" s="23" t="s">
        <v>198</v>
      </c>
      <c r="H1641" s="24">
        <f t="shared" si="277"/>
        <v>1196</v>
      </c>
      <c r="I1641" s="25" t="s">
        <v>9</v>
      </c>
      <c r="J1641" s="24">
        <f t="shared" si="274"/>
        <v>358800</v>
      </c>
      <c r="K1641" s="20"/>
      <c r="L1641" s="20"/>
      <c r="M1641" s="20"/>
      <c r="N1641" s="20"/>
      <c r="O1641" s="24"/>
      <c r="P1641" s="24"/>
      <c r="Q1641" s="25"/>
      <c r="R1641" s="24"/>
      <c r="S1641" s="20"/>
      <c r="T1641" s="27"/>
      <c r="U1641" s="20"/>
      <c r="V1641" s="27">
        <f t="shared" si="278"/>
        <v>358800</v>
      </c>
      <c r="W1641" s="26">
        <f t="shared" si="275"/>
        <v>358800</v>
      </c>
      <c r="X1641" s="27">
        <v>0</v>
      </c>
      <c r="Y1641" s="78">
        <f t="shared" si="276"/>
        <v>358800</v>
      </c>
      <c r="Z1641" s="49">
        <v>3.0000000000000001E-3</v>
      </c>
    </row>
    <row r="1642" spans="1:26" s="29" customFormat="1" ht="90.75" customHeight="1" x14ac:dyDescent="0.25">
      <c r="A1642" s="20">
        <v>1088</v>
      </c>
      <c r="B1642" s="20" t="s">
        <v>0</v>
      </c>
      <c r="C1642" s="20">
        <v>16742</v>
      </c>
      <c r="D1642" s="21">
        <v>2</v>
      </c>
      <c r="E1642" s="21">
        <v>3</v>
      </c>
      <c r="F1642" s="22">
        <v>51</v>
      </c>
      <c r="G1642" s="23" t="s">
        <v>198</v>
      </c>
      <c r="H1642" s="24">
        <f t="shared" si="277"/>
        <v>1151</v>
      </c>
      <c r="I1642" s="25" t="s">
        <v>9</v>
      </c>
      <c r="J1642" s="24">
        <f t="shared" si="274"/>
        <v>345300</v>
      </c>
      <c r="K1642" s="20"/>
      <c r="L1642" s="20"/>
      <c r="M1642" s="20"/>
      <c r="N1642" s="20"/>
      <c r="O1642" s="24"/>
      <c r="P1642" s="24"/>
      <c r="Q1642" s="25"/>
      <c r="R1642" s="24"/>
      <c r="S1642" s="20"/>
      <c r="T1642" s="27"/>
      <c r="U1642" s="20"/>
      <c r="V1642" s="27">
        <f t="shared" si="278"/>
        <v>345300</v>
      </c>
      <c r="W1642" s="26">
        <f t="shared" si="275"/>
        <v>345300</v>
      </c>
      <c r="X1642" s="27">
        <v>0</v>
      </c>
      <c r="Y1642" s="78">
        <f t="shared" si="276"/>
        <v>345300</v>
      </c>
      <c r="Z1642" s="49">
        <v>3.0000000000000001E-3</v>
      </c>
    </row>
    <row r="1643" spans="1:26" s="29" customFormat="1" ht="90.75" customHeight="1" x14ac:dyDescent="0.25">
      <c r="A1643" s="20">
        <v>1089</v>
      </c>
      <c r="B1643" s="20" t="s">
        <v>0</v>
      </c>
      <c r="C1643" s="20">
        <v>16743</v>
      </c>
      <c r="D1643" s="21">
        <v>2</v>
      </c>
      <c r="E1643" s="21">
        <v>3</v>
      </c>
      <c r="F1643" s="22">
        <v>6</v>
      </c>
      <c r="G1643" s="23" t="s">
        <v>198</v>
      </c>
      <c r="H1643" s="24">
        <f t="shared" si="277"/>
        <v>1106</v>
      </c>
      <c r="I1643" s="25" t="s">
        <v>9</v>
      </c>
      <c r="J1643" s="24">
        <f t="shared" si="274"/>
        <v>331800</v>
      </c>
      <c r="K1643" s="20"/>
      <c r="L1643" s="20"/>
      <c r="M1643" s="20"/>
      <c r="N1643" s="20"/>
      <c r="O1643" s="24"/>
      <c r="P1643" s="24"/>
      <c r="Q1643" s="25"/>
      <c r="R1643" s="24"/>
      <c r="S1643" s="20"/>
      <c r="T1643" s="27"/>
      <c r="U1643" s="20"/>
      <c r="V1643" s="27">
        <f t="shared" si="278"/>
        <v>331800</v>
      </c>
      <c r="W1643" s="26">
        <f t="shared" si="275"/>
        <v>331800</v>
      </c>
      <c r="X1643" s="27">
        <v>0</v>
      </c>
      <c r="Y1643" s="78">
        <f t="shared" si="276"/>
        <v>331800</v>
      </c>
      <c r="Z1643" s="49">
        <v>3.0000000000000001E-3</v>
      </c>
    </row>
    <row r="1644" spans="1:26" s="29" customFormat="1" ht="90.75" customHeight="1" x14ac:dyDescent="0.25">
      <c r="A1644" s="20">
        <v>1090</v>
      </c>
      <c r="B1644" s="20" t="s">
        <v>0</v>
      </c>
      <c r="C1644" s="20">
        <v>16744</v>
      </c>
      <c r="D1644" s="21">
        <v>31</v>
      </c>
      <c r="E1644" s="21">
        <v>1</v>
      </c>
      <c r="F1644" s="22">
        <v>21</v>
      </c>
      <c r="G1644" s="21" t="s">
        <v>209</v>
      </c>
      <c r="H1644" s="24">
        <f t="shared" si="277"/>
        <v>12521</v>
      </c>
      <c r="I1644" s="25">
        <v>3150</v>
      </c>
      <c r="J1644" s="24">
        <f t="shared" si="274"/>
        <v>39441150</v>
      </c>
      <c r="K1644" s="20">
        <v>1</v>
      </c>
      <c r="L1644" s="20" t="s">
        <v>27</v>
      </c>
      <c r="M1644" s="20" t="s">
        <v>24</v>
      </c>
      <c r="N1644" s="20">
        <v>3</v>
      </c>
      <c r="O1644" s="24">
        <v>1800</v>
      </c>
      <c r="P1644" s="35">
        <v>100</v>
      </c>
      <c r="Q1644" s="40">
        <v>7100</v>
      </c>
      <c r="R1644" s="77">
        <f t="shared" ref="R1644:R1654" si="279">(O1644*Q1644)</f>
        <v>12780000</v>
      </c>
      <c r="S1644" s="37">
        <v>26</v>
      </c>
      <c r="T1644" s="28">
        <f t="shared" ref="T1644:T1654" si="280">(R1644*42/100)</f>
        <v>5367600</v>
      </c>
      <c r="U1644" s="77">
        <f t="shared" ref="U1644:U1654" si="281">(R1644-T1644)</f>
        <v>7412400</v>
      </c>
      <c r="V1644" s="64"/>
      <c r="W1644" s="26"/>
      <c r="X1644" s="27"/>
      <c r="Y1644" s="64"/>
      <c r="Z1644" s="64"/>
    </row>
    <row r="1645" spans="1:26" s="29" customFormat="1" ht="90.75" customHeight="1" x14ac:dyDescent="0.25">
      <c r="A1645" s="20"/>
      <c r="B1645" s="20"/>
      <c r="C1645" s="20"/>
      <c r="D1645" s="21"/>
      <c r="E1645" s="21"/>
      <c r="F1645" s="22"/>
      <c r="G1645" s="23"/>
      <c r="H1645" s="24"/>
      <c r="I1645" s="25"/>
      <c r="J1645" s="24"/>
      <c r="K1645" s="20">
        <v>2</v>
      </c>
      <c r="L1645" s="20" t="s">
        <v>15</v>
      </c>
      <c r="M1645" s="20" t="s">
        <v>13</v>
      </c>
      <c r="N1645" s="20">
        <v>3</v>
      </c>
      <c r="O1645" s="24">
        <v>11520</v>
      </c>
      <c r="P1645" s="35">
        <v>100</v>
      </c>
      <c r="Q1645" s="40">
        <v>5950</v>
      </c>
      <c r="R1645" s="77">
        <f t="shared" si="279"/>
        <v>68544000</v>
      </c>
      <c r="S1645" s="37">
        <v>26</v>
      </c>
      <c r="T1645" s="28">
        <f t="shared" si="280"/>
        <v>28788480</v>
      </c>
      <c r="U1645" s="77">
        <f t="shared" si="281"/>
        <v>39755520</v>
      </c>
      <c r="V1645" s="64"/>
      <c r="W1645" s="26"/>
      <c r="X1645" s="27"/>
      <c r="Y1645" s="64"/>
      <c r="Z1645" s="64"/>
    </row>
    <row r="1646" spans="1:26" s="29" customFormat="1" ht="90.75" customHeight="1" x14ac:dyDescent="0.25">
      <c r="A1646" s="20"/>
      <c r="B1646" s="20"/>
      <c r="C1646" s="20"/>
      <c r="D1646" s="21"/>
      <c r="E1646" s="21"/>
      <c r="F1646" s="22"/>
      <c r="G1646" s="23"/>
      <c r="H1646" s="24"/>
      <c r="I1646" s="25"/>
      <c r="J1646" s="24"/>
      <c r="K1646" s="20">
        <v>3</v>
      </c>
      <c r="L1646" s="20" t="s">
        <v>174</v>
      </c>
      <c r="M1646" s="20" t="s">
        <v>24</v>
      </c>
      <c r="N1646" s="20">
        <v>3</v>
      </c>
      <c r="O1646" s="24">
        <v>270</v>
      </c>
      <c r="P1646" s="35">
        <v>100</v>
      </c>
      <c r="Q1646" s="40">
        <v>6400</v>
      </c>
      <c r="R1646" s="77">
        <f t="shared" si="279"/>
        <v>1728000</v>
      </c>
      <c r="S1646" s="37">
        <v>26</v>
      </c>
      <c r="T1646" s="28">
        <f t="shared" si="280"/>
        <v>725760</v>
      </c>
      <c r="U1646" s="77">
        <f t="shared" si="281"/>
        <v>1002240</v>
      </c>
      <c r="V1646" s="64"/>
      <c r="W1646" s="26"/>
      <c r="X1646" s="27"/>
      <c r="Y1646" s="64"/>
      <c r="Z1646" s="64"/>
    </row>
    <row r="1647" spans="1:26" s="29" customFormat="1" ht="90.75" customHeight="1" x14ac:dyDescent="0.25">
      <c r="A1647" s="20"/>
      <c r="B1647" s="20"/>
      <c r="C1647" s="20"/>
      <c r="D1647" s="21"/>
      <c r="E1647" s="21"/>
      <c r="F1647" s="22"/>
      <c r="G1647" s="23"/>
      <c r="H1647" s="24"/>
      <c r="I1647" s="25"/>
      <c r="J1647" s="24"/>
      <c r="K1647" s="20">
        <v>4</v>
      </c>
      <c r="L1647" s="20" t="s">
        <v>175</v>
      </c>
      <c r="M1647" s="20" t="s">
        <v>24</v>
      </c>
      <c r="N1647" s="20">
        <v>3</v>
      </c>
      <c r="O1647" s="24">
        <v>720</v>
      </c>
      <c r="P1647" s="35">
        <v>100</v>
      </c>
      <c r="Q1647" s="40">
        <v>7750</v>
      </c>
      <c r="R1647" s="77">
        <f t="shared" si="279"/>
        <v>5580000</v>
      </c>
      <c r="S1647" s="37">
        <v>26</v>
      </c>
      <c r="T1647" s="28">
        <f t="shared" si="280"/>
        <v>2343600</v>
      </c>
      <c r="U1647" s="77">
        <f t="shared" si="281"/>
        <v>3236400</v>
      </c>
      <c r="V1647" s="64"/>
      <c r="W1647" s="26"/>
      <c r="X1647" s="27"/>
      <c r="Y1647" s="64"/>
      <c r="Z1647" s="64"/>
    </row>
    <row r="1648" spans="1:26" s="29" customFormat="1" ht="90.75" customHeight="1" x14ac:dyDescent="0.25">
      <c r="A1648" s="20"/>
      <c r="B1648" s="20"/>
      <c r="C1648" s="20"/>
      <c r="D1648" s="21"/>
      <c r="E1648" s="21"/>
      <c r="F1648" s="22"/>
      <c r="G1648" s="23"/>
      <c r="H1648" s="24"/>
      <c r="I1648" s="25"/>
      <c r="J1648" s="24"/>
      <c r="K1648" s="20">
        <v>5</v>
      </c>
      <c r="L1648" s="20" t="s">
        <v>16</v>
      </c>
      <c r="M1648" s="20" t="s">
        <v>13</v>
      </c>
      <c r="N1648" s="20">
        <v>3</v>
      </c>
      <c r="O1648" s="24">
        <v>30</v>
      </c>
      <c r="P1648" s="35">
        <v>100</v>
      </c>
      <c r="Q1648" s="40">
        <v>6450</v>
      </c>
      <c r="R1648" s="77">
        <f t="shared" si="279"/>
        <v>193500</v>
      </c>
      <c r="S1648" s="37">
        <v>26</v>
      </c>
      <c r="T1648" s="28">
        <f t="shared" si="280"/>
        <v>81270</v>
      </c>
      <c r="U1648" s="77">
        <f t="shared" si="281"/>
        <v>112230</v>
      </c>
      <c r="V1648" s="64"/>
      <c r="W1648" s="26"/>
      <c r="X1648" s="27"/>
      <c r="Y1648" s="64"/>
      <c r="Z1648" s="64"/>
    </row>
    <row r="1649" spans="1:26" s="29" customFormat="1" ht="90.75" customHeight="1" x14ac:dyDescent="0.25">
      <c r="A1649" s="20"/>
      <c r="B1649" s="20"/>
      <c r="C1649" s="20"/>
      <c r="D1649" s="21"/>
      <c r="E1649" s="21"/>
      <c r="F1649" s="22"/>
      <c r="G1649" s="23"/>
      <c r="H1649" s="24"/>
      <c r="I1649" s="25"/>
      <c r="J1649" s="24"/>
      <c r="K1649" s="20">
        <v>6</v>
      </c>
      <c r="L1649" s="20" t="s">
        <v>16</v>
      </c>
      <c r="M1649" s="20" t="s">
        <v>13</v>
      </c>
      <c r="N1649" s="20">
        <v>3</v>
      </c>
      <c r="O1649" s="24">
        <v>35.28</v>
      </c>
      <c r="P1649" s="35">
        <v>100</v>
      </c>
      <c r="Q1649" s="40">
        <v>6450</v>
      </c>
      <c r="R1649" s="77">
        <f t="shared" si="279"/>
        <v>227556</v>
      </c>
      <c r="S1649" s="37">
        <v>26</v>
      </c>
      <c r="T1649" s="28">
        <f t="shared" si="280"/>
        <v>95573.52</v>
      </c>
      <c r="U1649" s="77">
        <f t="shared" si="281"/>
        <v>131982.47999999998</v>
      </c>
      <c r="V1649" s="64"/>
      <c r="W1649" s="26"/>
      <c r="X1649" s="27"/>
      <c r="Y1649" s="64"/>
      <c r="Z1649" s="64"/>
    </row>
    <row r="1650" spans="1:26" s="29" customFormat="1" ht="90.75" customHeight="1" x14ac:dyDescent="0.25">
      <c r="A1650" s="20"/>
      <c r="B1650" s="20"/>
      <c r="C1650" s="20"/>
      <c r="D1650" s="21"/>
      <c r="E1650" s="21"/>
      <c r="F1650" s="22"/>
      <c r="G1650" s="23"/>
      <c r="H1650" s="24"/>
      <c r="I1650" s="25"/>
      <c r="J1650" s="24"/>
      <c r="K1650" s="20">
        <v>7</v>
      </c>
      <c r="L1650" s="20" t="s">
        <v>31</v>
      </c>
      <c r="M1650" s="20" t="s">
        <v>13</v>
      </c>
      <c r="N1650" s="20">
        <v>3</v>
      </c>
      <c r="O1650" s="24">
        <v>120</v>
      </c>
      <c r="P1650" s="35">
        <v>100</v>
      </c>
      <c r="Q1650" s="40">
        <v>2550</v>
      </c>
      <c r="R1650" s="77">
        <f t="shared" si="279"/>
        <v>306000</v>
      </c>
      <c r="S1650" s="37">
        <v>26</v>
      </c>
      <c r="T1650" s="28">
        <f t="shared" si="280"/>
        <v>128520</v>
      </c>
      <c r="U1650" s="77">
        <f t="shared" si="281"/>
        <v>177480</v>
      </c>
      <c r="V1650" s="64"/>
      <c r="W1650" s="26"/>
      <c r="X1650" s="27"/>
      <c r="Y1650" s="64"/>
      <c r="Z1650" s="64"/>
    </row>
    <row r="1651" spans="1:26" s="29" customFormat="1" ht="90.75" customHeight="1" x14ac:dyDescent="0.25">
      <c r="A1651" s="20"/>
      <c r="B1651" s="20"/>
      <c r="C1651" s="20"/>
      <c r="D1651" s="21"/>
      <c r="E1651" s="21"/>
      <c r="F1651" s="22"/>
      <c r="G1651" s="23"/>
      <c r="H1651" s="24"/>
      <c r="I1651" s="25"/>
      <c r="J1651" s="24"/>
      <c r="K1651" s="20">
        <v>8</v>
      </c>
      <c r="L1651" s="20" t="s">
        <v>31</v>
      </c>
      <c r="M1651" s="20" t="s">
        <v>13</v>
      </c>
      <c r="N1651" s="20">
        <v>3</v>
      </c>
      <c r="O1651" s="24">
        <v>109.22</v>
      </c>
      <c r="P1651" s="35">
        <v>100</v>
      </c>
      <c r="Q1651" s="40">
        <v>2550</v>
      </c>
      <c r="R1651" s="77">
        <f t="shared" si="279"/>
        <v>278511</v>
      </c>
      <c r="S1651" s="37">
        <v>26</v>
      </c>
      <c r="T1651" s="28">
        <f t="shared" si="280"/>
        <v>116974.62</v>
      </c>
      <c r="U1651" s="77">
        <f t="shared" si="281"/>
        <v>161536.38</v>
      </c>
      <c r="V1651" s="64"/>
      <c r="W1651" s="26"/>
      <c r="X1651" s="27"/>
      <c r="Y1651" s="64"/>
      <c r="Z1651" s="64"/>
    </row>
    <row r="1652" spans="1:26" s="29" customFormat="1" ht="90.75" customHeight="1" x14ac:dyDescent="0.25">
      <c r="A1652" s="20"/>
      <c r="B1652" s="20"/>
      <c r="C1652" s="20"/>
      <c r="D1652" s="21"/>
      <c r="E1652" s="21"/>
      <c r="F1652" s="22"/>
      <c r="G1652" s="23"/>
      <c r="H1652" s="24"/>
      <c r="I1652" s="25"/>
      <c r="J1652" s="24"/>
      <c r="K1652" s="20">
        <v>9</v>
      </c>
      <c r="L1652" s="20" t="s">
        <v>31</v>
      </c>
      <c r="M1652" s="20" t="s">
        <v>13</v>
      </c>
      <c r="N1652" s="20">
        <v>3</v>
      </c>
      <c r="O1652" s="24">
        <v>10</v>
      </c>
      <c r="P1652" s="35">
        <v>100</v>
      </c>
      <c r="Q1652" s="40">
        <v>2550</v>
      </c>
      <c r="R1652" s="77">
        <f t="shared" si="279"/>
        <v>25500</v>
      </c>
      <c r="S1652" s="37">
        <v>26</v>
      </c>
      <c r="T1652" s="28">
        <f t="shared" si="280"/>
        <v>10710</v>
      </c>
      <c r="U1652" s="77">
        <f t="shared" si="281"/>
        <v>14790</v>
      </c>
      <c r="V1652" s="64"/>
      <c r="W1652" s="26"/>
      <c r="X1652" s="27"/>
      <c r="Y1652" s="64"/>
      <c r="Z1652" s="64"/>
    </row>
    <row r="1653" spans="1:26" s="29" customFormat="1" ht="90.75" customHeight="1" x14ac:dyDescent="0.25">
      <c r="A1653" s="20"/>
      <c r="B1653" s="20"/>
      <c r="C1653" s="20"/>
      <c r="D1653" s="21"/>
      <c r="E1653" s="21"/>
      <c r="F1653" s="22"/>
      <c r="G1653" s="23"/>
      <c r="H1653" s="24"/>
      <c r="I1653" s="25"/>
      <c r="J1653" s="24"/>
      <c r="K1653" s="20">
        <v>10</v>
      </c>
      <c r="L1653" s="20" t="s">
        <v>176</v>
      </c>
      <c r="M1653" s="20" t="s">
        <v>13</v>
      </c>
      <c r="N1653" s="20">
        <v>3</v>
      </c>
      <c r="O1653" s="24">
        <v>78</v>
      </c>
      <c r="P1653" s="35">
        <v>100</v>
      </c>
      <c r="Q1653" s="40">
        <v>5550</v>
      </c>
      <c r="R1653" s="77">
        <f t="shared" si="279"/>
        <v>432900</v>
      </c>
      <c r="S1653" s="37">
        <v>26</v>
      </c>
      <c r="T1653" s="28">
        <f t="shared" si="280"/>
        <v>181818</v>
      </c>
      <c r="U1653" s="77">
        <f t="shared" si="281"/>
        <v>251082</v>
      </c>
      <c r="V1653" s="64"/>
      <c r="W1653" s="26"/>
      <c r="X1653" s="27"/>
      <c r="Y1653" s="64"/>
      <c r="Z1653" s="64"/>
    </row>
    <row r="1654" spans="1:26" s="29" customFormat="1" ht="90.75" customHeight="1" x14ac:dyDescent="0.25">
      <c r="A1654" s="20"/>
      <c r="B1654" s="20"/>
      <c r="C1654" s="20"/>
      <c r="D1654" s="21"/>
      <c r="E1654" s="21"/>
      <c r="F1654" s="22"/>
      <c r="G1654" s="23"/>
      <c r="H1654" s="24"/>
      <c r="I1654" s="25"/>
      <c r="J1654" s="24"/>
      <c r="K1654" s="20">
        <v>11</v>
      </c>
      <c r="L1654" s="20" t="s">
        <v>31</v>
      </c>
      <c r="M1654" s="20" t="s">
        <v>13</v>
      </c>
      <c r="N1654" s="20">
        <v>3</v>
      </c>
      <c r="O1654" s="24">
        <v>40</v>
      </c>
      <c r="P1654" s="35">
        <v>100</v>
      </c>
      <c r="Q1654" s="40">
        <v>2550</v>
      </c>
      <c r="R1654" s="77">
        <f t="shared" si="279"/>
        <v>102000</v>
      </c>
      <c r="S1654" s="37">
        <v>26</v>
      </c>
      <c r="T1654" s="28">
        <f t="shared" si="280"/>
        <v>42840</v>
      </c>
      <c r="U1654" s="77">
        <f t="shared" si="281"/>
        <v>59160</v>
      </c>
      <c r="V1654" s="64"/>
      <c r="W1654" s="26"/>
      <c r="X1654" s="27"/>
      <c r="Y1654" s="64"/>
      <c r="Z1654" s="64"/>
    </row>
    <row r="1655" spans="1:26" s="29" customFormat="1" ht="90.75" customHeight="1" x14ac:dyDescent="0.25">
      <c r="A1655" s="20"/>
      <c r="B1655" s="20"/>
      <c r="C1655" s="20"/>
      <c r="D1655" s="21"/>
      <c r="E1655" s="21"/>
      <c r="F1655" s="22"/>
      <c r="G1655" s="23"/>
      <c r="H1655" s="24"/>
      <c r="I1655" s="25"/>
      <c r="J1655" s="24"/>
      <c r="K1655" s="20"/>
      <c r="L1655" s="20"/>
      <c r="M1655" s="20"/>
      <c r="N1655" s="20"/>
      <c r="O1655" s="24"/>
      <c r="P1655" s="24"/>
      <c r="Q1655" s="25"/>
      <c r="R1655" s="24"/>
      <c r="S1655" s="64"/>
      <c r="T1655" s="27"/>
      <c r="U1655" s="64">
        <f>SUM(U1644:U1654)</f>
        <v>52314820.859999999</v>
      </c>
      <c r="V1655" s="64">
        <f>(J1644+U1655)</f>
        <v>91755970.859999999</v>
      </c>
      <c r="W1655" s="26">
        <f>(V1655*100/100)</f>
        <v>91755970.859999999</v>
      </c>
      <c r="X1655" s="27">
        <v>0</v>
      </c>
      <c r="Y1655" s="78">
        <f>(W1655-X1655)</f>
        <v>91755970.859999999</v>
      </c>
      <c r="Z1655" s="49" t="s">
        <v>250</v>
      </c>
    </row>
    <row r="1656" spans="1:26" s="29" customFormat="1" ht="90.75" customHeight="1" x14ac:dyDescent="0.25">
      <c r="A1656" s="20">
        <v>1091</v>
      </c>
      <c r="B1656" s="20" t="s">
        <v>0</v>
      </c>
      <c r="C1656" s="20">
        <v>6830</v>
      </c>
      <c r="D1656" s="21">
        <v>2</v>
      </c>
      <c r="E1656" s="21">
        <v>3</v>
      </c>
      <c r="F1656" s="22">
        <v>82</v>
      </c>
      <c r="G1656" s="23" t="s">
        <v>198</v>
      </c>
      <c r="H1656" s="24">
        <f>(D1656*400)+(E1656*100)+F1656</f>
        <v>1182</v>
      </c>
      <c r="I1656" s="25" t="s">
        <v>53</v>
      </c>
      <c r="J1656" s="24">
        <f t="shared" ref="J1656:J1669" si="282">(H1656*I1656)</f>
        <v>531900</v>
      </c>
      <c r="K1656" s="20"/>
      <c r="L1656" s="20"/>
      <c r="M1656" s="20"/>
      <c r="N1656" s="20"/>
      <c r="O1656" s="24"/>
      <c r="P1656" s="24"/>
      <c r="Q1656" s="25"/>
      <c r="R1656" s="24"/>
      <c r="S1656" s="20"/>
      <c r="T1656" s="27"/>
      <c r="U1656" s="20"/>
      <c r="V1656" s="27">
        <f>(J1656+U1656)</f>
        <v>531900</v>
      </c>
      <c r="W1656" s="26">
        <f>(V1656*100/100)</f>
        <v>531900</v>
      </c>
      <c r="X1656" s="27">
        <v>0</v>
      </c>
      <c r="Y1656" s="78">
        <f>(W1656-X1656)</f>
        <v>531900</v>
      </c>
      <c r="Z1656" s="49">
        <v>1E-4</v>
      </c>
    </row>
    <row r="1657" spans="1:26" s="29" customFormat="1" ht="90.75" customHeight="1" x14ac:dyDescent="0.25">
      <c r="A1657" s="20">
        <v>1092</v>
      </c>
      <c r="B1657" s="20" t="s">
        <v>0</v>
      </c>
      <c r="C1657" s="20">
        <v>6829</v>
      </c>
      <c r="D1657" s="21">
        <v>2</v>
      </c>
      <c r="E1657" s="21">
        <v>2</v>
      </c>
      <c r="F1657" s="22">
        <v>98</v>
      </c>
      <c r="G1657" s="23" t="s">
        <v>198</v>
      </c>
      <c r="H1657" s="24">
        <f>(D1657*400)+(E1657*100)+F1657</f>
        <v>1098</v>
      </c>
      <c r="I1657" s="25" t="s">
        <v>22</v>
      </c>
      <c r="J1657" s="24">
        <f t="shared" si="282"/>
        <v>576450</v>
      </c>
      <c r="K1657" s="20"/>
      <c r="L1657" s="20"/>
      <c r="M1657" s="20"/>
      <c r="N1657" s="20"/>
      <c r="O1657" s="24"/>
      <c r="P1657" s="24"/>
      <c r="Q1657" s="25"/>
      <c r="R1657" s="24"/>
      <c r="S1657" s="20"/>
      <c r="T1657" s="27"/>
      <c r="U1657" s="20"/>
      <c r="V1657" s="27">
        <f>(J1657+U1657)</f>
        <v>576450</v>
      </c>
      <c r="W1657" s="26">
        <f>(V1657*100/100)</f>
        <v>576450</v>
      </c>
      <c r="X1657" s="27">
        <v>0</v>
      </c>
      <c r="Y1657" s="78">
        <f>(W1657-X1657)</f>
        <v>576450</v>
      </c>
      <c r="Z1657" s="49">
        <v>1E-4</v>
      </c>
    </row>
    <row r="1658" spans="1:26" s="29" customFormat="1" ht="90.75" customHeight="1" x14ac:dyDescent="0.25">
      <c r="A1658" s="20">
        <v>1093</v>
      </c>
      <c r="B1658" s="20" t="s">
        <v>0</v>
      </c>
      <c r="C1658" s="20">
        <v>11550</v>
      </c>
      <c r="D1658" s="21">
        <v>0</v>
      </c>
      <c r="E1658" s="21">
        <v>2</v>
      </c>
      <c r="F1658" s="22">
        <v>69</v>
      </c>
      <c r="G1658" s="23" t="s">
        <v>211</v>
      </c>
      <c r="H1658" s="24">
        <f>(D1658*400)+(E1658*100)+F1658</f>
        <v>269</v>
      </c>
      <c r="I1658" s="25" t="s">
        <v>23</v>
      </c>
      <c r="J1658" s="24">
        <f t="shared" si="282"/>
        <v>269000</v>
      </c>
      <c r="K1658" s="20"/>
      <c r="L1658" s="20"/>
      <c r="M1658" s="20"/>
      <c r="N1658" s="20"/>
      <c r="O1658" s="24"/>
      <c r="P1658" s="24"/>
      <c r="Q1658" s="25"/>
      <c r="R1658" s="24"/>
      <c r="S1658" s="20"/>
      <c r="T1658" s="27"/>
      <c r="U1658" s="20"/>
      <c r="V1658" s="20"/>
      <c r="W1658" s="26"/>
      <c r="X1658" s="27"/>
      <c r="Y1658" s="20"/>
      <c r="Z1658" s="20"/>
    </row>
    <row r="1659" spans="1:26" s="29" customFormat="1" ht="90.75" customHeight="1" x14ac:dyDescent="0.25">
      <c r="A1659" s="20"/>
      <c r="B1659" s="20"/>
      <c r="C1659" s="20"/>
      <c r="D1659" s="21"/>
      <c r="E1659" s="21"/>
      <c r="F1659" s="22"/>
      <c r="G1659" s="23"/>
      <c r="H1659" s="36">
        <v>211.25</v>
      </c>
      <c r="I1659" s="40">
        <v>1000</v>
      </c>
      <c r="J1659" s="28">
        <f t="shared" si="282"/>
        <v>211250</v>
      </c>
      <c r="K1659" s="37">
        <v>1</v>
      </c>
      <c r="L1659" s="31" t="s">
        <v>215</v>
      </c>
      <c r="M1659" s="31"/>
      <c r="N1659" s="41">
        <v>2</v>
      </c>
      <c r="O1659" s="42">
        <v>120</v>
      </c>
      <c r="P1659" s="86" t="s">
        <v>256</v>
      </c>
      <c r="Q1659" s="36">
        <v>6450</v>
      </c>
      <c r="R1659" s="36">
        <f>(O1659*Q1659)</f>
        <v>774000</v>
      </c>
      <c r="S1659" s="37">
        <v>25</v>
      </c>
      <c r="T1659" s="28">
        <f>(R1659*40/100)</f>
        <v>309600</v>
      </c>
      <c r="U1659" s="36">
        <f>(R1659-T1659)</f>
        <v>464400</v>
      </c>
      <c r="V1659" s="36">
        <f t="shared" ref="V1659:V1668" si="283">(J1659+U1659)</f>
        <v>675650</v>
      </c>
      <c r="W1659" s="36">
        <f t="shared" ref="W1659:W1668" si="284">(V1659*100/100)</f>
        <v>675650</v>
      </c>
      <c r="X1659" s="28">
        <v>10000000</v>
      </c>
      <c r="Y1659" s="28"/>
      <c r="Z1659" s="49"/>
    </row>
    <row r="1660" spans="1:26" s="29" customFormat="1" ht="90.75" customHeight="1" x14ac:dyDescent="0.25">
      <c r="A1660" s="20"/>
      <c r="B1660" s="20"/>
      <c r="C1660" s="20"/>
      <c r="D1660" s="21"/>
      <c r="E1660" s="21"/>
      <c r="F1660" s="22"/>
      <c r="G1660" s="23"/>
      <c r="H1660" s="36">
        <f>(O1660*0.55)</f>
        <v>8.25</v>
      </c>
      <c r="I1660" s="40">
        <v>1000</v>
      </c>
      <c r="J1660" s="28">
        <f t="shared" si="282"/>
        <v>8250</v>
      </c>
      <c r="K1660" s="37">
        <v>2</v>
      </c>
      <c r="L1660" s="31" t="s">
        <v>93</v>
      </c>
      <c r="M1660" s="31" t="s">
        <v>13</v>
      </c>
      <c r="N1660" s="41">
        <v>3</v>
      </c>
      <c r="O1660" s="42">
        <v>15</v>
      </c>
      <c r="P1660" s="86" t="s">
        <v>256</v>
      </c>
      <c r="Q1660" s="36">
        <v>7100</v>
      </c>
      <c r="R1660" s="36">
        <f>(O1660*Q1660)</f>
        <v>106500</v>
      </c>
      <c r="S1660" s="37">
        <v>7</v>
      </c>
      <c r="T1660" s="28">
        <f>(R1660*7/100)</f>
        <v>7455</v>
      </c>
      <c r="U1660" s="36">
        <f>(R1660-T1660)</f>
        <v>99045</v>
      </c>
      <c r="V1660" s="36">
        <f t="shared" si="283"/>
        <v>107295</v>
      </c>
      <c r="W1660" s="36">
        <f t="shared" si="284"/>
        <v>107295</v>
      </c>
      <c r="X1660" s="28">
        <v>0</v>
      </c>
      <c r="Y1660" s="28">
        <f t="shared" ref="Y1660:Y1668" si="285">(W1660-X1660)</f>
        <v>107295</v>
      </c>
      <c r="Z1660" s="49">
        <v>3.0000000000000001E-3</v>
      </c>
    </row>
    <row r="1661" spans="1:26" s="29" customFormat="1" ht="90.75" customHeight="1" x14ac:dyDescent="0.25">
      <c r="A1661" s="20"/>
      <c r="B1661" s="20"/>
      <c r="C1661" s="20"/>
      <c r="D1661" s="21"/>
      <c r="E1661" s="21"/>
      <c r="F1661" s="22"/>
      <c r="G1661" s="23"/>
      <c r="H1661" s="36">
        <f>(O1661*0.55)</f>
        <v>49.500000000000007</v>
      </c>
      <c r="I1661" s="40">
        <v>1000</v>
      </c>
      <c r="J1661" s="28">
        <f t="shared" si="282"/>
        <v>49500.000000000007</v>
      </c>
      <c r="K1661" s="37">
        <v>3</v>
      </c>
      <c r="L1661" s="31" t="s">
        <v>15</v>
      </c>
      <c r="M1661" s="31" t="s">
        <v>13</v>
      </c>
      <c r="N1661" s="41">
        <v>3</v>
      </c>
      <c r="O1661" s="42">
        <v>90</v>
      </c>
      <c r="P1661" s="86" t="s">
        <v>256</v>
      </c>
      <c r="Q1661" s="36">
        <v>5950</v>
      </c>
      <c r="R1661" s="36">
        <f>(O1661*Q1661)</f>
        <v>535500</v>
      </c>
      <c r="S1661" s="37">
        <v>7</v>
      </c>
      <c r="T1661" s="28">
        <f>(R1661*7/100)</f>
        <v>37485</v>
      </c>
      <c r="U1661" s="36">
        <f>(R1661-T1661)</f>
        <v>498015</v>
      </c>
      <c r="V1661" s="36">
        <f t="shared" si="283"/>
        <v>547515</v>
      </c>
      <c r="W1661" s="36">
        <f t="shared" si="284"/>
        <v>547515</v>
      </c>
      <c r="X1661" s="28">
        <v>0</v>
      </c>
      <c r="Y1661" s="28">
        <f t="shared" si="285"/>
        <v>547515</v>
      </c>
      <c r="Z1661" s="49">
        <v>3.0000000000000001E-3</v>
      </c>
    </row>
    <row r="1662" spans="1:26" s="29" customFormat="1" ht="90.75" customHeight="1" x14ac:dyDescent="0.25">
      <c r="A1662" s="20">
        <v>1094</v>
      </c>
      <c r="B1662" s="20" t="s">
        <v>0</v>
      </c>
      <c r="C1662" s="20">
        <v>36783</v>
      </c>
      <c r="D1662" s="21">
        <v>1</v>
      </c>
      <c r="E1662" s="21">
        <v>2</v>
      </c>
      <c r="F1662" s="22">
        <v>0</v>
      </c>
      <c r="G1662" s="22" t="s">
        <v>210</v>
      </c>
      <c r="H1662" s="24">
        <f t="shared" ref="H1662:H1669" si="286">(D1662*400)+(E1662*100)+F1662</f>
        <v>600</v>
      </c>
      <c r="I1662" s="25" t="s">
        <v>23</v>
      </c>
      <c r="J1662" s="24">
        <f t="shared" si="282"/>
        <v>600000</v>
      </c>
      <c r="K1662" s="20"/>
      <c r="L1662" s="20"/>
      <c r="M1662" s="20"/>
      <c r="N1662" s="20"/>
      <c r="O1662" s="24"/>
      <c r="P1662" s="24"/>
      <c r="Q1662" s="25"/>
      <c r="R1662" s="24"/>
      <c r="S1662" s="20"/>
      <c r="T1662" s="27"/>
      <c r="U1662" s="20"/>
      <c r="V1662" s="27">
        <f t="shared" si="283"/>
        <v>600000</v>
      </c>
      <c r="W1662" s="26">
        <f t="shared" si="284"/>
        <v>600000</v>
      </c>
      <c r="X1662" s="27">
        <v>0</v>
      </c>
      <c r="Y1662" s="78">
        <f t="shared" si="285"/>
        <v>600000</v>
      </c>
      <c r="Z1662" s="49">
        <v>1E-4</v>
      </c>
    </row>
    <row r="1663" spans="1:26" s="29" customFormat="1" ht="90.75" customHeight="1" x14ac:dyDescent="0.25">
      <c r="A1663" s="20">
        <v>1095</v>
      </c>
      <c r="B1663" s="20" t="s">
        <v>0</v>
      </c>
      <c r="C1663" s="20">
        <v>36146</v>
      </c>
      <c r="D1663" s="21">
        <v>0</v>
      </c>
      <c r="E1663" s="21">
        <v>1</v>
      </c>
      <c r="F1663" s="22">
        <v>0</v>
      </c>
      <c r="G1663" s="22" t="s">
        <v>210</v>
      </c>
      <c r="H1663" s="24">
        <f t="shared" si="286"/>
        <v>100</v>
      </c>
      <c r="I1663" s="25" t="s">
        <v>23</v>
      </c>
      <c r="J1663" s="24">
        <f t="shared" si="282"/>
        <v>100000</v>
      </c>
      <c r="K1663" s="20"/>
      <c r="L1663" s="20"/>
      <c r="M1663" s="20"/>
      <c r="N1663" s="20"/>
      <c r="O1663" s="24"/>
      <c r="P1663" s="24"/>
      <c r="Q1663" s="25"/>
      <c r="R1663" s="24"/>
      <c r="S1663" s="20"/>
      <c r="T1663" s="27"/>
      <c r="U1663" s="20"/>
      <c r="V1663" s="27">
        <f t="shared" si="283"/>
        <v>100000</v>
      </c>
      <c r="W1663" s="26">
        <f t="shared" si="284"/>
        <v>100000</v>
      </c>
      <c r="X1663" s="27">
        <v>0</v>
      </c>
      <c r="Y1663" s="78">
        <f t="shared" si="285"/>
        <v>100000</v>
      </c>
      <c r="Z1663" s="49">
        <v>1E-4</v>
      </c>
    </row>
    <row r="1664" spans="1:26" s="29" customFormat="1" ht="90.75" customHeight="1" x14ac:dyDescent="0.25">
      <c r="A1664" s="20">
        <v>1096</v>
      </c>
      <c r="B1664" s="20" t="s">
        <v>0</v>
      </c>
      <c r="C1664" s="20">
        <v>37518</v>
      </c>
      <c r="D1664" s="21">
        <v>1</v>
      </c>
      <c r="E1664" s="21">
        <v>1</v>
      </c>
      <c r="F1664" s="22">
        <v>21</v>
      </c>
      <c r="G1664" s="22" t="s">
        <v>210</v>
      </c>
      <c r="H1664" s="24">
        <f t="shared" si="286"/>
        <v>521</v>
      </c>
      <c r="I1664" s="25" t="s">
        <v>77</v>
      </c>
      <c r="J1664" s="24">
        <f t="shared" si="282"/>
        <v>390750</v>
      </c>
      <c r="K1664" s="20"/>
      <c r="L1664" s="20"/>
      <c r="M1664" s="20"/>
      <c r="N1664" s="20"/>
      <c r="O1664" s="24"/>
      <c r="P1664" s="24"/>
      <c r="Q1664" s="25"/>
      <c r="R1664" s="24"/>
      <c r="S1664" s="20"/>
      <c r="T1664" s="27"/>
      <c r="U1664" s="20"/>
      <c r="V1664" s="27">
        <f t="shared" si="283"/>
        <v>390750</v>
      </c>
      <c r="W1664" s="26">
        <f t="shared" si="284"/>
        <v>390750</v>
      </c>
      <c r="X1664" s="27">
        <v>0</v>
      </c>
      <c r="Y1664" s="78">
        <f t="shared" si="285"/>
        <v>390750</v>
      </c>
      <c r="Z1664" s="49">
        <v>3.0000000000000001E-3</v>
      </c>
    </row>
    <row r="1665" spans="1:26" s="29" customFormat="1" ht="90.75" customHeight="1" x14ac:dyDescent="0.25">
      <c r="A1665" s="20">
        <v>1097</v>
      </c>
      <c r="B1665" s="20" t="s">
        <v>0</v>
      </c>
      <c r="C1665" s="20">
        <v>46507</v>
      </c>
      <c r="D1665" s="21">
        <v>2</v>
      </c>
      <c r="E1665" s="21">
        <v>2</v>
      </c>
      <c r="F1665" s="22">
        <v>79</v>
      </c>
      <c r="G1665" s="22" t="s">
        <v>210</v>
      </c>
      <c r="H1665" s="24">
        <f t="shared" si="286"/>
        <v>1079</v>
      </c>
      <c r="I1665" s="25" t="s">
        <v>32</v>
      </c>
      <c r="J1665" s="24">
        <f t="shared" si="282"/>
        <v>215800</v>
      </c>
      <c r="K1665" s="20"/>
      <c r="L1665" s="20"/>
      <c r="M1665" s="20"/>
      <c r="N1665" s="20"/>
      <c r="O1665" s="24"/>
      <c r="P1665" s="24"/>
      <c r="Q1665" s="25"/>
      <c r="R1665" s="24"/>
      <c r="S1665" s="20"/>
      <c r="T1665" s="27"/>
      <c r="U1665" s="20"/>
      <c r="V1665" s="27">
        <f t="shared" si="283"/>
        <v>215800</v>
      </c>
      <c r="W1665" s="26">
        <f t="shared" si="284"/>
        <v>215800</v>
      </c>
      <c r="X1665" s="27">
        <v>0</v>
      </c>
      <c r="Y1665" s="78">
        <f t="shared" si="285"/>
        <v>215800</v>
      </c>
      <c r="Z1665" s="49">
        <v>1E-4</v>
      </c>
    </row>
    <row r="1666" spans="1:26" s="29" customFormat="1" ht="90.75" customHeight="1" x14ac:dyDescent="0.25">
      <c r="A1666" s="20">
        <v>1098</v>
      </c>
      <c r="B1666" s="20" t="s">
        <v>0</v>
      </c>
      <c r="C1666" s="20">
        <v>46508</v>
      </c>
      <c r="D1666" s="21">
        <v>1</v>
      </c>
      <c r="E1666" s="21">
        <v>1</v>
      </c>
      <c r="F1666" s="22">
        <v>57</v>
      </c>
      <c r="G1666" s="22" t="s">
        <v>210</v>
      </c>
      <c r="H1666" s="24">
        <f t="shared" si="286"/>
        <v>557</v>
      </c>
      <c r="I1666" s="25" t="s">
        <v>32</v>
      </c>
      <c r="J1666" s="24">
        <f t="shared" si="282"/>
        <v>111400</v>
      </c>
      <c r="K1666" s="20"/>
      <c r="L1666" s="20"/>
      <c r="M1666" s="20"/>
      <c r="N1666" s="20"/>
      <c r="O1666" s="24"/>
      <c r="P1666" s="24"/>
      <c r="Q1666" s="25"/>
      <c r="R1666" s="24"/>
      <c r="S1666" s="20"/>
      <c r="T1666" s="27"/>
      <c r="U1666" s="20"/>
      <c r="V1666" s="27">
        <f t="shared" si="283"/>
        <v>111400</v>
      </c>
      <c r="W1666" s="26">
        <f t="shared" si="284"/>
        <v>111400</v>
      </c>
      <c r="X1666" s="27">
        <v>0</v>
      </c>
      <c r="Y1666" s="78">
        <f t="shared" si="285"/>
        <v>111400</v>
      </c>
      <c r="Z1666" s="49">
        <v>1E-4</v>
      </c>
    </row>
    <row r="1667" spans="1:26" s="29" customFormat="1" ht="90.75" customHeight="1" x14ac:dyDescent="0.25">
      <c r="A1667" s="20">
        <v>1099</v>
      </c>
      <c r="B1667" s="20" t="s">
        <v>0</v>
      </c>
      <c r="C1667" s="20">
        <v>8089</v>
      </c>
      <c r="D1667" s="21">
        <v>1</v>
      </c>
      <c r="E1667" s="21">
        <v>0</v>
      </c>
      <c r="F1667" s="22">
        <v>9</v>
      </c>
      <c r="G1667" s="22" t="s">
        <v>210</v>
      </c>
      <c r="H1667" s="24">
        <f t="shared" si="286"/>
        <v>409</v>
      </c>
      <c r="I1667" s="25" t="s">
        <v>32</v>
      </c>
      <c r="J1667" s="24">
        <f t="shared" si="282"/>
        <v>81800</v>
      </c>
      <c r="K1667" s="20"/>
      <c r="L1667" s="20"/>
      <c r="M1667" s="20"/>
      <c r="N1667" s="20"/>
      <c r="O1667" s="24"/>
      <c r="P1667" s="24"/>
      <c r="Q1667" s="25"/>
      <c r="R1667" s="24"/>
      <c r="S1667" s="20"/>
      <c r="T1667" s="27"/>
      <c r="U1667" s="20"/>
      <c r="V1667" s="27">
        <f t="shared" si="283"/>
        <v>81800</v>
      </c>
      <c r="W1667" s="26">
        <f t="shared" si="284"/>
        <v>81800</v>
      </c>
      <c r="X1667" s="27">
        <v>0</v>
      </c>
      <c r="Y1667" s="78">
        <f t="shared" si="285"/>
        <v>81800</v>
      </c>
      <c r="Z1667" s="49">
        <v>1E-4</v>
      </c>
    </row>
    <row r="1668" spans="1:26" s="29" customFormat="1" ht="90.75" customHeight="1" x14ac:dyDescent="0.25">
      <c r="A1668" s="20">
        <v>1100</v>
      </c>
      <c r="B1668" s="20" t="s">
        <v>0</v>
      </c>
      <c r="C1668" s="20">
        <v>43135</v>
      </c>
      <c r="D1668" s="21">
        <v>1</v>
      </c>
      <c r="E1668" s="21">
        <v>0</v>
      </c>
      <c r="F1668" s="22">
        <v>80</v>
      </c>
      <c r="G1668" s="22" t="s">
        <v>210</v>
      </c>
      <c r="H1668" s="24">
        <f t="shared" si="286"/>
        <v>480</v>
      </c>
      <c r="I1668" s="25" t="s">
        <v>75</v>
      </c>
      <c r="J1668" s="24">
        <f t="shared" si="282"/>
        <v>300000</v>
      </c>
      <c r="K1668" s="20"/>
      <c r="L1668" s="20"/>
      <c r="M1668" s="20"/>
      <c r="N1668" s="20"/>
      <c r="O1668" s="24"/>
      <c r="P1668" s="24"/>
      <c r="Q1668" s="25"/>
      <c r="R1668" s="24"/>
      <c r="S1668" s="20"/>
      <c r="T1668" s="27"/>
      <c r="U1668" s="20"/>
      <c r="V1668" s="27">
        <f t="shared" si="283"/>
        <v>300000</v>
      </c>
      <c r="W1668" s="26">
        <f t="shared" si="284"/>
        <v>300000</v>
      </c>
      <c r="X1668" s="27">
        <v>0</v>
      </c>
      <c r="Y1668" s="78">
        <f t="shared" si="285"/>
        <v>300000</v>
      </c>
      <c r="Z1668" s="49">
        <v>3.0000000000000001E-3</v>
      </c>
    </row>
    <row r="1669" spans="1:26" s="29" customFormat="1" ht="90.75" customHeight="1" x14ac:dyDescent="0.25">
      <c r="A1669" s="20">
        <v>1101</v>
      </c>
      <c r="B1669" s="20" t="s">
        <v>0</v>
      </c>
      <c r="C1669" s="20">
        <v>24875</v>
      </c>
      <c r="D1669" s="21">
        <v>9</v>
      </c>
      <c r="E1669" s="21">
        <v>2</v>
      </c>
      <c r="F1669" s="22">
        <v>71</v>
      </c>
      <c r="G1669" s="21" t="s">
        <v>209</v>
      </c>
      <c r="H1669" s="24">
        <f t="shared" si="286"/>
        <v>3871</v>
      </c>
      <c r="I1669" s="25" t="s">
        <v>155</v>
      </c>
      <c r="J1669" s="24">
        <f t="shared" si="282"/>
        <v>12000100</v>
      </c>
      <c r="K1669" s="20">
        <v>1</v>
      </c>
      <c r="L1669" s="20" t="s">
        <v>27</v>
      </c>
      <c r="M1669" s="20" t="s">
        <v>129</v>
      </c>
      <c r="N1669" s="20">
        <v>3</v>
      </c>
      <c r="O1669" s="24">
        <v>228</v>
      </c>
      <c r="P1669" s="24">
        <v>100</v>
      </c>
      <c r="Q1669" s="25">
        <v>7100</v>
      </c>
      <c r="R1669" s="24">
        <f t="shared" ref="R1669:R1677" si="287">(O1669*Q1669)</f>
        <v>1618800</v>
      </c>
      <c r="S1669" s="20">
        <v>6</v>
      </c>
      <c r="T1669" s="24">
        <f t="shared" ref="T1669:T1677" si="288">(R1669*6/100)</f>
        <v>97128</v>
      </c>
      <c r="U1669" s="27">
        <f t="shared" ref="U1669:U1677" si="289">(R1669-T1669)</f>
        <v>1521672</v>
      </c>
      <c r="V1669" s="20"/>
      <c r="W1669" s="26"/>
      <c r="X1669" s="27"/>
      <c r="Y1669" s="20"/>
      <c r="Z1669" s="20"/>
    </row>
    <row r="1670" spans="1:26" s="29" customFormat="1" ht="90.75" customHeight="1" x14ac:dyDescent="0.25">
      <c r="A1670" s="20"/>
      <c r="B1670" s="20"/>
      <c r="C1670" s="20"/>
      <c r="D1670" s="21"/>
      <c r="E1670" s="21"/>
      <c r="F1670" s="22"/>
      <c r="G1670" s="23"/>
      <c r="H1670" s="24"/>
      <c r="I1670" s="25"/>
      <c r="J1670" s="24"/>
      <c r="K1670" s="20">
        <v>2</v>
      </c>
      <c r="L1670" s="20" t="s">
        <v>15</v>
      </c>
      <c r="M1670" s="20" t="s">
        <v>13</v>
      </c>
      <c r="N1670" s="20">
        <v>3</v>
      </c>
      <c r="O1670" s="24">
        <v>1160</v>
      </c>
      <c r="P1670" s="24">
        <v>100</v>
      </c>
      <c r="Q1670" s="25">
        <v>5950</v>
      </c>
      <c r="R1670" s="24">
        <f t="shared" si="287"/>
        <v>6902000</v>
      </c>
      <c r="S1670" s="20">
        <v>6</v>
      </c>
      <c r="T1670" s="24">
        <f t="shared" si="288"/>
        <v>414120</v>
      </c>
      <c r="U1670" s="27">
        <f t="shared" si="289"/>
        <v>6487880</v>
      </c>
      <c r="V1670" s="20"/>
      <c r="W1670" s="26"/>
      <c r="X1670" s="27"/>
      <c r="Y1670" s="20"/>
      <c r="Z1670" s="20"/>
    </row>
    <row r="1671" spans="1:26" s="29" customFormat="1" ht="90.75" customHeight="1" x14ac:dyDescent="0.25">
      <c r="A1671" s="20"/>
      <c r="B1671" s="20"/>
      <c r="C1671" s="20"/>
      <c r="D1671" s="21"/>
      <c r="E1671" s="21"/>
      <c r="F1671" s="22"/>
      <c r="G1671" s="23"/>
      <c r="H1671" s="24"/>
      <c r="I1671" s="25"/>
      <c r="J1671" s="24"/>
      <c r="K1671" s="20">
        <v>3</v>
      </c>
      <c r="L1671" s="20" t="s">
        <v>31</v>
      </c>
      <c r="M1671" s="20"/>
      <c r="N1671" s="20">
        <v>3</v>
      </c>
      <c r="O1671" s="24">
        <v>260</v>
      </c>
      <c r="P1671" s="24">
        <v>100</v>
      </c>
      <c r="Q1671" s="25">
        <v>2550</v>
      </c>
      <c r="R1671" s="24">
        <f t="shared" si="287"/>
        <v>663000</v>
      </c>
      <c r="S1671" s="20">
        <v>6</v>
      </c>
      <c r="T1671" s="24">
        <f t="shared" si="288"/>
        <v>39780</v>
      </c>
      <c r="U1671" s="27">
        <f t="shared" si="289"/>
        <v>623220</v>
      </c>
      <c r="V1671" s="20"/>
      <c r="W1671" s="26"/>
      <c r="X1671" s="27"/>
      <c r="Y1671" s="20"/>
      <c r="Z1671" s="20"/>
    </row>
    <row r="1672" spans="1:26" s="29" customFormat="1" ht="90.75" customHeight="1" x14ac:dyDescent="0.25">
      <c r="A1672" s="20"/>
      <c r="B1672" s="20"/>
      <c r="C1672" s="20"/>
      <c r="D1672" s="21"/>
      <c r="E1672" s="21"/>
      <c r="F1672" s="22"/>
      <c r="G1672" s="23"/>
      <c r="H1672" s="24"/>
      <c r="I1672" s="25"/>
      <c r="J1672" s="24"/>
      <c r="K1672" s="20">
        <v>4</v>
      </c>
      <c r="L1672" s="20" t="s">
        <v>17</v>
      </c>
      <c r="M1672" s="20" t="s">
        <v>13</v>
      </c>
      <c r="N1672" s="20">
        <v>3</v>
      </c>
      <c r="O1672" s="24">
        <v>66.31</v>
      </c>
      <c r="P1672" s="24">
        <v>100</v>
      </c>
      <c r="Q1672" s="25">
        <v>5900</v>
      </c>
      <c r="R1672" s="24">
        <f t="shared" si="287"/>
        <v>391229</v>
      </c>
      <c r="S1672" s="20">
        <v>6</v>
      </c>
      <c r="T1672" s="24">
        <f t="shared" si="288"/>
        <v>23473.74</v>
      </c>
      <c r="U1672" s="27">
        <f t="shared" si="289"/>
        <v>367755.26</v>
      </c>
      <c r="V1672" s="20"/>
      <c r="W1672" s="26"/>
      <c r="X1672" s="27"/>
      <c r="Y1672" s="20"/>
      <c r="Z1672" s="20"/>
    </row>
    <row r="1673" spans="1:26" s="29" customFormat="1" ht="90.75" customHeight="1" x14ac:dyDescent="0.25">
      <c r="A1673" s="20"/>
      <c r="B1673" s="20"/>
      <c r="C1673" s="20"/>
      <c r="D1673" s="21"/>
      <c r="E1673" s="21"/>
      <c r="F1673" s="22"/>
      <c r="G1673" s="23"/>
      <c r="H1673" s="24"/>
      <c r="I1673" s="25"/>
      <c r="J1673" s="24"/>
      <c r="K1673" s="20">
        <v>5</v>
      </c>
      <c r="L1673" s="20" t="s">
        <v>18</v>
      </c>
      <c r="M1673" s="20" t="s">
        <v>24</v>
      </c>
      <c r="N1673" s="20">
        <v>3</v>
      </c>
      <c r="O1673" s="24">
        <v>256</v>
      </c>
      <c r="P1673" s="24">
        <v>100</v>
      </c>
      <c r="Q1673" s="25">
        <v>7750</v>
      </c>
      <c r="R1673" s="24">
        <f t="shared" si="287"/>
        <v>1984000</v>
      </c>
      <c r="S1673" s="20">
        <v>6</v>
      </c>
      <c r="T1673" s="24">
        <f t="shared" si="288"/>
        <v>119040</v>
      </c>
      <c r="U1673" s="27">
        <f t="shared" si="289"/>
        <v>1864960</v>
      </c>
      <c r="V1673" s="20"/>
      <c r="W1673" s="26"/>
      <c r="X1673" s="27"/>
      <c r="Y1673" s="20"/>
      <c r="Z1673" s="20"/>
    </row>
    <row r="1674" spans="1:26" s="29" customFormat="1" ht="90.75" customHeight="1" x14ac:dyDescent="0.25">
      <c r="A1674" s="20"/>
      <c r="B1674" s="20"/>
      <c r="C1674" s="20"/>
      <c r="D1674" s="21"/>
      <c r="E1674" s="21"/>
      <c r="F1674" s="22"/>
      <c r="G1674" s="23"/>
      <c r="H1674" s="24"/>
      <c r="I1674" s="25"/>
      <c r="J1674" s="24"/>
      <c r="K1674" s="20">
        <v>6</v>
      </c>
      <c r="L1674" s="20" t="s">
        <v>18</v>
      </c>
      <c r="M1674" s="20" t="s">
        <v>24</v>
      </c>
      <c r="N1674" s="20">
        <v>3</v>
      </c>
      <c r="O1674" s="24">
        <v>251.6</v>
      </c>
      <c r="P1674" s="24">
        <v>100</v>
      </c>
      <c r="Q1674" s="25">
        <v>7750</v>
      </c>
      <c r="R1674" s="24">
        <f t="shared" si="287"/>
        <v>1949900</v>
      </c>
      <c r="S1674" s="20">
        <v>6</v>
      </c>
      <c r="T1674" s="24">
        <f t="shared" si="288"/>
        <v>116994</v>
      </c>
      <c r="U1674" s="27">
        <f t="shared" si="289"/>
        <v>1832906</v>
      </c>
      <c r="V1674" s="20"/>
      <c r="W1674" s="26"/>
      <c r="X1674" s="27"/>
      <c r="Y1674" s="20"/>
      <c r="Z1674" s="20"/>
    </row>
    <row r="1675" spans="1:26" s="29" customFormat="1" ht="90.75" customHeight="1" x14ac:dyDescent="0.25">
      <c r="A1675" s="20"/>
      <c r="B1675" s="20"/>
      <c r="C1675" s="20"/>
      <c r="D1675" s="21"/>
      <c r="E1675" s="21"/>
      <c r="F1675" s="22"/>
      <c r="G1675" s="23"/>
      <c r="H1675" s="24"/>
      <c r="I1675" s="25"/>
      <c r="J1675" s="24"/>
      <c r="K1675" s="20">
        <v>7</v>
      </c>
      <c r="L1675" s="20" t="s">
        <v>18</v>
      </c>
      <c r="M1675" s="20" t="s">
        <v>24</v>
      </c>
      <c r="N1675" s="20">
        <v>3</v>
      </c>
      <c r="O1675" s="24">
        <v>251.6</v>
      </c>
      <c r="P1675" s="24">
        <v>100</v>
      </c>
      <c r="Q1675" s="25">
        <v>7750</v>
      </c>
      <c r="R1675" s="24">
        <f t="shared" si="287"/>
        <v>1949900</v>
      </c>
      <c r="S1675" s="20">
        <v>6</v>
      </c>
      <c r="T1675" s="24">
        <f t="shared" si="288"/>
        <v>116994</v>
      </c>
      <c r="U1675" s="27">
        <f t="shared" si="289"/>
        <v>1832906</v>
      </c>
      <c r="V1675" s="20"/>
      <c r="W1675" s="26"/>
      <c r="X1675" s="27"/>
      <c r="Y1675" s="20"/>
      <c r="Z1675" s="20"/>
    </row>
    <row r="1676" spans="1:26" s="29" customFormat="1" ht="90.75" customHeight="1" x14ac:dyDescent="0.25">
      <c r="A1676" s="20"/>
      <c r="B1676" s="20"/>
      <c r="C1676" s="20"/>
      <c r="D1676" s="21"/>
      <c r="E1676" s="21"/>
      <c r="F1676" s="22"/>
      <c r="G1676" s="23"/>
      <c r="H1676" s="24"/>
      <c r="I1676" s="25"/>
      <c r="J1676" s="24"/>
      <c r="K1676" s="20">
        <v>8</v>
      </c>
      <c r="L1676" s="20" t="s">
        <v>16</v>
      </c>
      <c r="M1676" s="20" t="s">
        <v>13</v>
      </c>
      <c r="N1676" s="20">
        <v>3</v>
      </c>
      <c r="O1676" s="24">
        <v>9.5399999999999991</v>
      </c>
      <c r="P1676" s="24">
        <v>100</v>
      </c>
      <c r="Q1676" s="25">
        <v>6450</v>
      </c>
      <c r="R1676" s="24">
        <f t="shared" si="287"/>
        <v>61532.999999999993</v>
      </c>
      <c r="S1676" s="20">
        <v>6</v>
      </c>
      <c r="T1676" s="24">
        <f t="shared" si="288"/>
        <v>3691.9799999999996</v>
      </c>
      <c r="U1676" s="27">
        <f t="shared" si="289"/>
        <v>57841.01999999999</v>
      </c>
      <c r="V1676" s="20"/>
      <c r="W1676" s="26"/>
      <c r="X1676" s="27"/>
      <c r="Y1676" s="20"/>
      <c r="Z1676" s="20"/>
    </row>
    <row r="1677" spans="1:26" s="29" customFormat="1" ht="90.75" customHeight="1" x14ac:dyDescent="0.25">
      <c r="A1677" s="20"/>
      <c r="B1677" s="20"/>
      <c r="C1677" s="20"/>
      <c r="D1677" s="21"/>
      <c r="E1677" s="21"/>
      <c r="F1677" s="22"/>
      <c r="G1677" s="23"/>
      <c r="H1677" s="24"/>
      <c r="I1677" s="25"/>
      <c r="J1677" s="24"/>
      <c r="K1677" s="20">
        <v>9</v>
      </c>
      <c r="L1677" s="20" t="s">
        <v>16</v>
      </c>
      <c r="M1677" s="20" t="s">
        <v>13</v>
      </c>
      <c r="N1677" s="20">
        <v>3</v>
      </c>
      <c r="O1677" s="24">
        <v>18</v>
      </c>
      <c r="P1677" s="24">
        <v>100</v>
      </c>
      <c r="Q1677" s="25">
        <v>6450</v>
      </c>
      <c r="R1677" s="24">
        <f t="shared" si="287"/>
        <v>116100</v>
      </c>
      <c r="S1677" s="20">
        <v>6</v>
      </c>
      <c r="T1677" s="24">
        <f t="shared" si="288"/>
        <v>6966</v>
      </c>
      <c r="U1677" s="27">
        <f t="shared" si="289"/>
        <v>109134</v>
      </c>
      <c r="V1677" s="20"/>
      <c r="W1677" s="26"/>
      <c r="X1677" s="27"/>
      <c r="Y1677" s="20"/>
      <c r="Z1677" s="20"/>
    </row>
    <row r="1678" spans="1:26" s="29" customFormat="1" ht="90.75" customHeight="1" x14ac:dyDescent="0.25">
      <c r="A1678" s="20"/>
      <c r="B1678" s="20"/>
      <c r="C1678" s="20"/>
      <c r="D1678" s="21"/>
      <c r="E1678" s="21"/>
      <c r="F1678" s="22"/>
      <c r="G1678" s="23"/>
      <c r="H1678" s="24"/>
      <c r="I1678" s="25"/>
      <c r="J1678" s="24"/>
      <c r="K1678" s="20"/>
      <c r="L1678" s="20"/>
      <c r="M1678" s="20"/>
      <c r="N1678" s="20"/>
      <c r="O1678" s="24"/>
      <c r="P1678" s="24"/>
      <c r="Q1678" s="25"/>
      <c r="R1678" s="24"/>
      <c r="S1678" s="20"/>
      <c r="T1678" s="24"/>
      <c r="U1678" s="27">
        <f>SUM(U1669:U1677)</f>
        <v>14698274.279999999</v>
      </c>
      <c r="V1678" s="27">
        <f>(J1669+U1678)</f>
        <v>26698374.280000001</v>
      </c>
      <c r="W1678" s="26">
        <f>(V1678*100/100)</f>
        <v>26698374.280000001</v>
      </c>
      <c r="X1678" s="27">
        <v>0</v>
      </c>
      <c r="Y1678" s="80">
        <f>(W1678-X1678)</f>
        <v>26698374.280000001</v>
      </c>
      <c r="Z1678" s="49">
        <v>3.0000000000000001E-3</v>
      </c>
    </row>
    <row r="1679" spans="1:26" s="29" customFormat="1" ht="90.75" customHeight="1" x14ac:dyDescent="0.25">
      <c r="A1679" s="20">
        <v>1102</v>
      </c>
      <c r="B1679" s="20" t="s">
        <v>0</v>
      </c>
      <c r="C1679" s="20">
        <v>48855</v>
      </c>
      <c r="D1679" s="21">
        <v>20</v>
      </c>
      <c r="E1679" s="21">
        <v>2</v>
      </c>
      <c r="F1679" s="22">
        <v>59</v>
      </c>
      <c r="G1679" s="23" t="s">
        <v>198</v>
      </c>
      <c r="H1679" s="97">
        <f>(D1679*400)+(E1679*100)+F1679</f>
        <v>8259</v>
      </c>
      <c r="I1679" s="98" t="s">
        <v>78</v>
      </c>
      <c r="J1679" s="99">
        <f>(H1679*I1679)</f>
        <v>7226625</v>
      </c>
      <c r="K1679" s="100"/>
      <c r="L1679" s="20"/>
      <c r="M1679" s="35"/>
      <c r="N1679" s="30"/>
      <c r="O1679" s="36"/>
      <c r="P1679" s="86"/>
      <c r="Q1679" s="40"/>
      <c r="R1679" s="84"/>
      <c r="S1679" s="84"/>
      <c r="T1679" s="28"/>
      <c r="U1679" s="84"/>
      <c r="V1679" s="36">
        <f>(J1679+U1679)</f>
        <v>7226625</v>
      </c>
      <c r="W1679" s="36">
        <f>(V1679*100/100)</f>
        <v>7226625</v>
      </c>
      <c r="X1679" s="28">
        <v>0</v>
      </c>
      <c r="Y1679" s="26">
        <f>(W1679-X1679)</f>
        <v>7226625</v>
      </c>
      <c r="Z1679" s="49">
        <v>1E-4</v>
      </c>
    </row>
    <row r="1680" spans="1:26" s="29" customFormat="1" ht="90.75" customHeight="1" x14ac:dyDescent="0.25">
      <c r="A1680" s="20">
        <v>1103</v>
      </c>
      <c r="B1680" s="20" t="s">
        <v>0</v>
      </c>
      <c r="C1680" s="20">
        <v>11492</v>
      </c>
      <c r="D1680" s="21">
        <v>20</v>
      </c>
      <c r="E1680" s="21">
        <v>2</v>
      </c>
      <c r="F1680" s="22">
        <v>59</v>
      </c>
      <c r="G1680" s="23" t="s">
        <v>211</v>
      </c>
      <c r="H1680" s="24">
        <f>(D1680*400)+(E1680*100)+F1680</f>
        <v>8259</v>
      </c>
      <c r="I1680" s="25" t="s">
        <v>78</v>
      </c>
      <c r="J1680" s="24">
        <f>(H1680*I1680)</f>
        <v>7226625</v>
      </c>
      <c r="K1680" s="20"/>
      <c r="L1680" s="20"/>
      <c r="M1680" s="20"/>
      <c r="N1680" s="20"/>
      <c r="O1680" s="24"/>
      <c r="P1680" s="24"/>
      <c r="Q1680" s="25"/>
      <c r="R1680" s="24"/>
      <c r="S1680" s="20"/>
      <c r="T1680" s="27"/>
      <c r="U1680" s="20"/>
      <c r="V1680" s="20"/>
      <c r="W1680" s="26"/>
      <c r="X1680" s="27"/>
      <c r="Y1680" s="20"/>
      <c r="Z1680" s="20"/>
    </row>
    <row r="1681" spans="1:26" s="29" customFormat="1" ht="90.75" customHeight="1" x14ac:dyDescent="0.25">
      <c r="A1681" s="20"/>
      <c r="B1681" s="20"/>
      <c r="C1681" s="20"/>
      <c r="D1681" s="21"/>
      <c r="E1681" s="21"/>
      <c r="F1681" s="22"/>
      <c r="G1681" s="23"/>
      <c r="H1681" s="36">
        <v>133</v>
      </c>
      <c r="I1681" s="40">
        <v>875</v>
      </c>
      <c r="J1681" s="28">
        <f>(H1681*I1681)</f>
        <v>116375</v>
      </c>
      <c r="K1681" s="30">
        <v>1</v>
      </c>
      <c r="L1681" s="31" t="s">
        <v>43</v>
      </c>
      <c r="M1681" s="31" t="s">
        <v>121</v>
      </c>
      <c r="N1681" s="51">
        <v>5</v>
      </c>
      <c r="O1681" s="42">
        <v>2660</v>
      </c>
      <c r="P1681" s="35">
        <v>100</v>
      </c>
      <c r="Q1681" s="36">
        <v>7700</v>
      </c>
      <c r="R1681" s="36">
        <f>(O1681*Q1681)</f>
        <v>20482000</v>
      </c>
      <c r="S1681" s="37">
        <v>22</v>
      </c>
      <c r="T1681" s="28">
        <f>(R1681*34/100)</f>
        <v>6963880</v>
      </c>
      <c r="U1681" s="36">
        <f>(R1681-T1681)</f>
        <v>13518120</v>
      </c>
      <c r="V1681" s="36">
        <f>(J1681+U1681)</f>
        <v>13634495</v>
      </c>
      <c r="W1681" s="36"/>
      <c r="X1681" s="28"/>
      <c r="Y1681" s="28"/>
      <c r="Z1681" s="20"/>
    </row>
    <row r="1682" spans="1:26" s="29" customFormat="1" ht="90.75" customHeight="1" x14ac:dyDescent="0.25">
      <c r="A1682" s="20"/>
      <c r="B1682" s="20"/>
      <c r="C1682" s="20"/>
      <c r="D1682" s="21"/>
      <c r="E1682" s="21"/>
      <c r="F1682" s="22"/>
      <c r="G1682" s="23"/>
      <c r="H1682" s="36"/>
      <c r="I1682" s="40"/>
      <c r="J1682" s="28"/>
      <c r="K1682" s="30"/>
      <c r="L1682" s="31" t="s">
        <v>261</v>
      </c>
      <c r="M1682" s="31"/>
      <c r="N1682" s="51">
        <v>2</v>
      </c>
      <c r="O1682" s="42">
        <v>2596</v>
      </c>
      <c r="P1682" s="46">
        <v>97.59</v>
      </c>
      <c r="Q1682" s="36"/>
      <c r="R1682" s="36"/>
      <c r="S1682" s="37"/>
      <c r="T1682" s="28"/>
      <c r="U1682" s="36"/>
      <c r="V1682" s="36"/>
      <c r="W1682" s="36">
        <f>(V1681*P1682/100)</f>
        <v>13305903.670499999</v>
      </c>
      <c r="X1682" s="28">
        <v>10000000</v>
      </c>
      <c r="Y1682" s="28"/>
      <c r="Z1682" s="49"/>
    </row>
    <row r="1683" spans="1:26" s="29" customFormat="1" ht="90.75" customHeight="1" x14ac:dyDescent="0.25">
      <c r="A1683" s="20"/>
      <c r="B1683" s="20"/>
      <c r="C1683" s="20"/>
      <c r="D1683" s="21"/>
      <c r="E1683" s="21"/>
      <c r="F1683" s="22"/>
      <c r="G1683" s="23"/>
      <c r="H1683" s="36"/>
      <c r="I1683" s="40"/>
      <c r="J1683" s="28"/>
      <c r="K1683" s="30"/>
      <c r="L1683" s="31" t="s">
        <v>39</v>
      </c>
      <c r="M1683" s="31"/>
      <c r="N1683" s="51">
        <v>3</v>
      </c>
      <c r="O1683" s="42">
        <v>64</v>
      </c>
      <c r="P1683" s="46">
        <v>2.41</v>
      </c>
      <c r="Q1683" s="36"/>
      <c r="R1683" s="36"/>
      <c r="S1683" s="37"/>
      <c r="T1683" s="28"/>
      <c r="U1683" s="36"/>
      <c r="V1683" s="36"/>
      <c r="W1683" s="36">
        <f>(V1681*P1683/100)</f>
        <v>328591.32950000005</v>
      </c>
      <c r="X1683" s="28">
        <v>0</v>
      </c>
      <c r="Y1683" s="28">
        <f t="shared" ref="Y1683:Y1714" si="290">(W1683-X1683)</f>
        <v>328591.32950000005</v>
      </c>
      <c r="Z1683" s="49">
        <v>3.0000000000000001E-3</v>
      </c>
    </row>
    <row r="1684" spans="1:26" s="29" customFormat="1" ht="90.75" customHeight="1" x14ac:dyDescent="0.25">
      <c r="A1684" s="20"/>
      <c r="B1684" s="20"/>
      <c r="C1684" s="20"/>
      <c r="D1684" s="21"/>
      <c r="E1684" s="21"/>
      <c r="F1684" s="22"/>
      <c r="G1684" s="23"/>
      <c r="H1684" s="36">
        <f>(O1684*0.25)</f>
        <v>243.75</v>
      </c>
      <c r="I1684" s="40">
        <v>875</v>
      </c>
      <c r="J1684" s="28">
        <f t="shared" ref="J1684:J1697" si="291">(H1684*I1684)</f>
        <v>213281.25</v>
      </c>
      <c r="K1684" s="30">
        <v>2</v>
      </c>
      <c r="L1684" s="31" t="s">
        <v>15</v>
      </c>
      <c r="M1684" s="31" t="s">
        <v>13</v>
      </c>
      <c r="N1684" s="51">
        <v>3</v>
      </c>
      <c r="O1684" s="42">
        <v>975</v>
      </c>
      <c r="P1684" s="35">
        <v>100</v>
      </c>
      <c r="Q1684" s="36">
        <v>5950</v>
      </c>
      <c r="R1684" s="36">
        <f>(O1684*Q1684)</f>
        <v>5801250</v>
      </c>
      <c r="S1684" s="37">
        <v>22</v>
      </c>
      <c r="T1684" s="28">
        <f>(R1684*34/100)</f>
        <v>1972425</v>
      </c>
      <c r="U1684" s="36">
        <f>(R1684-T1684)</f>
        <v>3828825</v>
      </c>
      <c r="V1684" s="36">
        <f>(J1684+U1684)</f>
        <v>4042106.25</v>
      </c>
      <c r="W1684" s="36">
        <f>(V1684*400/100)</f>
        <v>16168425</v>
      </c>
      <c r="X1684" s="28">
        <v>0</v>
      </c>
      <c r="Y1684" s="28">
        <f t="shared" si="290"/>
        <v>16168425</v>
      </c>
      <c r="Z1684" s="49">
        <v>3.0000000000000001E-3</v>
      </c>
    </row>
    <row r="1685" spans="1:26" s="29" customFormat="1" ht="90.75" customHeight="1" x14ac:dyDescent="0.25">
      <c r="A1685" s="20"/>
      <c r="B1685" s="20"/>
      <c r="C1685" s="20"/>
      <c r="D1685" s="21"/>
      <c r="E1685" s="21"/>
      <c r="F1685" s="22"/>
      <c r="G1685" s="23"/>
      <c r="H1685" s="36">
        <f>(O1685*0.25)</f>
        <v>151.125</v>
      </c>
      <c r="I1685" s="40">
        <v>875</v>
      </c>
      <c r="J1685" s="28">
        <f t="shared" si="291"/>
        <v>132234.375</v>
      </c>
      <c r="K1685" s="30">
        <v>3</v>
      </c>
      <c r="L1685" s="31" t="s">
        <v>15</v>
      </c>
      <c r="M1685" s="31" t="s">
        <v>13</v>
      </c>
      <c r="N1685" s="51">
        <v>3</v>
      </c>
      <c r="O1685" s="42">
        <v>604.5</v>
      </c>
      <c r="P1685" s="35">
        <v>100</v>
      </c>
      <c r="Q1685" s="36">
        <v>5950</v>
      </c>
      <c r="R1685" s="36">
        <f>(O1685*Q1685)</f>
        <v>3596775</v>
      </c>
      <c r="S1685" s="37">
        <v>22</v>
      </c>
      <c r="T1685" s="28">
        <f>(R1685*34/100)</f>
        <v>1222903.5</v>
      </c>
      <c r="U1685" s="36">
        <f>(R1685-T1685)</f>
        <v>2373871.5</v>
      </c>
      <c r="V1685" s="36">
        <f>(J1685+U1685)</f>
        <v>2506105.875</v>
      </c>
      <c r="W1685" s="36">
        <f>(V1685*400/100)</f>
        <v>10024423.5</v>
      </c>
      <c r="X1685" s="28">
        <v>0</v>
      </c>
      <c r="Y1685" s="28">
        <f t="shared" si="290"/>
        <v>10024423.5</v>
      </c>
      <c r="Z1685" s="49">
        <v>3.0000000000000001E-3</v>
      </c>
    </row>
    <row r="1686" spans="1:26" s="29" customFormat="1" ht="90.75" customHeight="1" x14ac:dyDescent="0.25">
      <c r="A1686" s="20"/>
      <c r="B1686" s="20"/>
      <c r="C1686" s="20"/>
      <c r="D1686" s="21"/>
      <c r="E1686" s="21"/>
      <c r="F1686" s="22"/>
      <c r="G1686" s="23"/>
      <c r="H1686" s="36">
        <f>(O1686*0.25)</f>
        <v>183.35</v>
      </c>
      <c r="I1686" s="40">
        <v>875</v>
      </c>
      <c r="J1686" s="28">
        <f t="shared" si="291"/>
        <v>160431.25</v>
      </c>
      <c r="K1686" s="30">
        <v>4</v>
      </c>
      <c r="L1686" s="31" t="s">
        <v>14</v>
      </c>
      <c r="M1686" s="31" t="s">
        <v>13</v>
      </c>
      <c r="N1686" s="51">
        <v>3</v>
      </c>
      <c r="O1686" s="42">
        <v>733.4</v>
      </c>
      <c r="P1686" s="35">
        <v>100</v>
      </c>
      <c r="Q1686" s="36">
        <v>3500</v>
      </c>
      <c r="R1686" s="36">
        <f>(O1686*Q1686)</f>
        <v>2566900</v>
      </c>
      <c r="S1686" s="37">
        <v>22</v>
      </c>
      <c r="T1686" s="28">
        <f>(R1686*34/100)</f>
        <v>872746</v>
      </c>
      <c r="U1686" s="36">
        <f>(R1686-T1686)</f>
        <v>1694154</v>
      </c>
      <c r="V1686" s="36">
        <f>(J1686+U1686)</f>
        <v>1854585.25</v>
      </c>
      <c r="W1686" s="36">
        <f>(V1686*400/100)</f>
        <v>7418341</v>
      </c>
      <c r="X1686" s="28">
        <v>0</v>
      </c>
      <c r="Y1686" s="28">
        <f t="shared" si="290"/>
        <v>7418341</v>
      </c>
      <c r="Z1686" s="49">
        <v>3.0000000000000001E-3</v>
      </c>
    </row>
    <row r="1687" spans="1:26" s="29" customFormat="1" ht="90.75" customHeight="1" x14ac:dyDescent="0.25">
      <c r="A1687" s="20"/>
      <c r="B1687" s="20"/>
      <c r="C1687" s="20"/>
      <c r="D1687" s="21"/>
      <c r="E1687" s="21"/>
      <c r="F1687" s="22"/>
      <c r="G1687" s="23"/>
      <c r="H1687" s="36">
        <f>(O1687*0.25)</f>
        <v>30</v>
      </c>
      <c r="I1687" s="40">
        <v>875</v>
      </c>
      <c r="J1687" s="28">
        <f t="shared" si="291"/>
        <v>26250</v>
      </c>
      <c r="K1687" s="30">
        <v>5</v>
      </c>
      <c r="L1687" s="31" t="s">
        <v>122</v>
      </c>
      <c r="M1687" s="31" t="s">
        <v>13</v>
      </c>
      <c r="N1687" s="51">
        <v>3</v>
      </c>
      <c r="O1687" s="42">
        <v>120</v>
      </c>
      <c r="P1687" s="35">
        <v>100</v>
      </c>
      <c r="Q1687" s="36">
        <v>7750</v>
      </c>
      <c r="R1687" s="36">
        <f>(O1687*Q1687)</f>
        <v>930000</v>
      </c>
      <c r="S1687" s="37">
        <v>22</v>
      </c>
      <c r="T1687" s="28">
        <f>(R1687*34/100)</f>
        <v>316200</v>
      </c>
      <c r="U1687" s="36">
        <f>(R1687-T1687)</f>
        <v>613800</v>
      </c>
      <c r="V1687" s="36">
        <f>(J1687+U1687)</f>
        <v>640050</v>
      </c>
      <c r="W1687" s="36">
        <f>(V1687*400/100)</f>
        <v>2560200</v>
      </c>
      <c r="X1687" s="28">
        <v>0</v>
      </c>
      <c r="Y1687" s="28">
        <f t="shared" si="290"/>
        <v>2560200</v>
      </c>
      <c r="Z1687" s="49">
        <v>3.0000000000000001E-3</v>
      </c>
    </row>
    <row r="1688" spans="1:26" s="29" customFormat="1" ht="90.75" customHeight="1" x14ac:dyDescent="0.25">
      <c r="A1688" s="20"/>
      <c r="B1688" s="20"/>
      <c r="C1688" s="20"/>
      <c r="D1688" s="21"/>
      <c r="E1688" s="21"/>
      <c r="F1688" s="22"/>
      <c r="G1688" s="23"/>
      <c r="H1688" s="36">
        <v>3258.77</v>
      </c>
      <c r="I1688" s="40">
        <v>875</v>
      </c>
      <c r="J1688" s="28">
        <f t="shared" si="291"/>
        <v>2851423.75</v>
      </c>
      <c r="K1688" s="30"/>
      <c r="L1688" s="31"/>
      <c r="M1688" s="31"/>
      <c r="N1688" s="51"/>
      <c r="O1688" s="42"/>
      <c r="P1688" s="35"/>
      <c r="Q1688" s="36"/>
      <c r="R1688" s="36"/>
      <c r="S1688" s="37"/>
      <c r="T1688" s="28"/>
      <c r="U1688" s="36"/>
      <c r="V1688" s="36">
        <f>(J1688)</f>
        <v>2851423.75</v>
      </c>
      <c r="W1688" s="36">
        <f t="shared" ref="W1688:W1719" si="292">(V1688*100/100)</f>
        <v>2851423.75</v>
      </c>
      <c r="X1688" s="28">
        <v>0</v>
      </c>
      <c r="Y1688" s="28">
        <f t="shared" si="290"/>
        <v>2851423.75</v>
      </c>
      <c r="Z1688" s="49">
        <v>3.0000000000000001E-3</v>
      </c>
    </row>
    <row r="1689" spans="1:26" s="29" customFormat="1" ht="90.75" customHeight="1" x14ac:dyDescent="0.25">
      <c r="A1689" s="20"/>
      <c r="B1689" s="20"/>
      <c r="C1689" s="20"/>
      <c r="D1689" s="41">
        <v>10</v>
      </c>
      <c r="E1689" s="41">
        <v>2</v>
      </c>
      <c r="F1689" s="43">
        <v>59</v>
      </c>
      <c r="G1689" s="51" t="s">
        <v>198</v>
      </c>
      <c r="H1689" s="36">
        <f t="shared" ref="H1689:H1697" si="293">(D1689*400)+(E1689*100)+F1689</f>
        <v>4259</v>
      </c>
      <c r="I1689" s="40">
        <v>875</v>
      </c>
      <c r="J1689" s="28">
        <f t="shared" si="291"/>
        <v>3726625</v>
      </c>
      <c r="K1689" s="30"/>
      <c r="L1689" s="31"/>
      <c r="M1689" s="31"/>
      <c r="N1689" s="51"/>
      <c r="O1689" s="42"/>
      <c r="P1689" s="35"/>
      <c r="Q1689" s="36"/>
      <c r="R1689" s="36"/>
      <c r="S1689" s="37"/>
      <c r="T1689" s="28"/>
      <c r="U1689" s="36"/>
      <c r="V1689" s="36">
        <f>(J1689)</f>
        <v>3726625</v>
      </c>
      <c r="W1689" s="36">
        <f t="shared" si="292"/>
        <v>3726625</v>
      </c>
      <c r="X1689" s="28">
        <v>0</v>
      </c>
      <c r="Y1689" s="28">
        <f t="shared" si="290"/>
        <v>3726625</v>
      </c>
      <c r="Z1689" s="49">
        <v>1E-4</v>
      </c>
    </row>
    <row r="1690" spans="1:26" s="29" customFormat="1" ht="90.75" customHeight="1" x14ac:dyDescent="0.25">
      <c r="A1690" s="20">
        <v>1104</v>
      </c>
      <c r="B1690" s="20" t="s">
        <v>0</v>
      </c>
      <c r="C1690" s="20">
        <v>10645</v>
      </c>
      <c r="D1690" s="21">
        <v>7</v>
      </c>
      <c r="E1690" s="21">
        <v>1</v>
      </c>
      <c r="F1690" s="22">
        <v>99</v>
      </c>
      <c r="G1690" s="21" t="s">
        <v>209</v>
      </c>
      <c r="H1690" s="24">
        <f t="shared" si="293"/>
        <v>2999</v>
      </c>
      <c r="I1690" s="25" t="s">
        <v>78</v>
      </c>
      <c r="J1690" s="24">
        <f t="shared" si="291"/>
        <v>2624125</v>
      </c>
      <c r="K1690" s="20">
        <v>1</v>
      </c>
      <c r="L1690" s="20" t="s">
        <v>14</v>
      </c>
      <c r="M1690" s="20" t="s">
        <v>13</v>
      </c>
      <c r="N1690" s="20">
        <v>3</v>
      </c>
      <c r="O1690" s="24">
        <v>1200</v>
      </c>
      <c r="P1690" s="24">
        <v>100</v>
      </c>
      <c r="Q1690" s="36">
        <v>3500</v>
      </c>
      <c r="R1690" s="36">
        <f>(O1690*Q1690)</f>
        <v>4200000</v>
      </c>
      <c r="S1690" s="20">
        <v>3</v>
      </c>
      <c r="T1690" s="28">
        <f>(R1690*3/100)</f>
        <v>126000</v>
      </c>
      <c r="U1690" s="36">
        <f>(R1690-T1690)</f>
        <v>4074000</v>
      </c>
      <c r="V1690" s="36">
        <f t="shared" ref="V1690:V1721" si="294">(J1690+U1690)</f>
        <v>6698125</v>
      </c>
      <c r="W1690" s="36">
        <f t="shared" si="292"/>
        <v>6698125</v>
      </c>
      <c r="X1690" s="28">
        <v>0</v>
      </c>
      <c r="Y1690" s="28">
        <f t="shared" si="290"/>
        <v>6698125</v>
      </c>
      <c r="Z1690" s="49">
        <v>3.0000000000000001E-3</v>
      </c>
    </row>
    <row r="1691" spans="1:26" s="29" customFormat="1" ht="90.75" customHeight="1" x14ac:dyDescent="0.25">
      <c r="A1691" s="20">
        <v>1105</v>
      </c>
      <c r="B1691" s="20" t="s">
        <v>0</v>
      </c>
      <c r="C1691" s="20">
        <v>51976</v>
      </c>
      <c r="D1691" s="21">
        <v>96</v>
      </c>
      <c r="E1691" s="21">
        <v>3</v>
      </c>
      <c r="F1691" s="22">
        <v>2</v>
      </c>
      <c r="G1691" s="21" t="s">
        <v>209</v>
      </c>
      <c r="H1691" s="24">
        <f t="shared" si="293"/>
        <v>38702</v>
      </c>
      <c r="I1691" s="25">
        <v>450</v>
      </c>
      <c r="J1691" s="24">
        <f t="shared" si="291"/>
        <v>17415900</v>
      </c>
      <c r="K1691" s="20"/>
      <c r="L1691" s="20" t="s">
        <v>2</v>
      </c>
      <c r="M1691" s="20" t="s">
        <v>2</v>
      </c>
      <c r="N1691" s="20"/>
      <c r="O1691" s="24"/>
      <c r="P1691" s="24"/>
      <c r="Q1691" s="25"/>
      <c r="R1691" s="24"/>
      <c r="S1691" s="20" t="s">
        <v>2</v>
      </c>
      <c r="T1691" s="27"/>
      <c r="U1691" s="20"/>
      <c r="V1691" s="27">
        <f t="shared" si="294"/>
        <v>17415900</v>
      </c>
      <c r="W1691" s="26">
        <f t="shared" si="292"/>
        <v>17415900</v>
      </c>
      <c r="X1691" s="27">
        <v>0</v>
      </c>
      <c r="Y1691" s="78">
        <f t="shared" si="290"/>
        <v>17415900</v>
      </c>
      <c r="Z1691" s="49">
        <v>3.0000000000000001E-3</v>
      </c>
    </row>
    <row r="1692" spans="1:26" s="29" customFormat="1" ht="90.75" customHeight="1" x14ac:dyDescent="0.25">
      <c r="A1692" s="20">
        <v>1106</v>
      </c>
      <c r="B1692" s="20" t="s">
        <v>0</v>
      </c>
      <c r="C1692" s="20">
        <v>51971</v>
      </c>
      <c r="D1692" s="21">
        <v>25</v>
      </c>
      <c r="E1692" s="21">
        <v>1</v>
      </c>
      <c r="F1692" s="22">
        <v>57</v>
      </c>
      <c r="G1692" s="21" t="s">
        <v>209</v>
      </c>
      <c r="H1692" s="24">
        <f t="shared" si="293"/>
        <v>10157</v>
      </c>
      <c r="I1692" s="25">
        <v>450</v>
      </c>
      <c r="J1692" s="24">
        <f t="shared" si="291"/>
        <v>4570650</v>
      </c>
      <c r="K1692" s="20"/>
      <c r="L1692" s="20" t="s">
        <v>2</v>
      </c>
      <c r="M1692" s="20" t="s">
        <v>2</v>
      </c>
      <c r="N1692" s="20"/>
      <c r="O1692" s="24"/>
      <c r="P1692" s="24"/>
      <c r="Q1692" s="25"/>
      <c r="R1692" s="24"/>
      <c r="S1692" s="20" t="s">
        <v>2</v>
      </c>
      <c r="T1692" s="27"/>
      <c r="U1692" s="20"/>
      <c r="V1692" s="27">
        <f t="shared" si="294"/>
        <v>4570650</v>
      </c>
      <c r="W1692" s="26">
        <f t="shared" si="292"/>
        <v>4570650</v>
      </c>
      <c r="X1692" s="27">
        <v>0</v>
      </c>
      <c r="Y1692" s="78">
        <f t="shared" si="290"/>
        <v>4570650</v>
      </c>
      <c r="Z1692" s="49">
        <v>3.0000000000000001E-3</v>
      </c>
    </row>
    <row r="1693" spans="1:26" s="29" customFormat="1" ht="90.75" customHeight="1" x14ac:dyDescent="0.25">
      <c r="A1693" s="20">
        <v>1107</v>
      </c>
      <c r="B1693" s="20" t="s">
        <v>0</v>
      </c>
      <c r="C1693" s="20">
        <v>48030</v>
      </c>
      <c r="D1693" s="21">
        <v>89</v>
      </c>
      <c r="E1693" s="21">
        <v>0</v>
      </c>
      <c r="F1693" s="22">
        <v>4</v>
      </c>
      <c r="G1693" s="21" t="s">
        <v>209</v>
      </c>
      <c r="H1693" s="24">
        <f t="shared" si="293"/>
        <v>35604</v>
      </c>
      <c r="I1693" s="25" t="s">
        <v>123</v>
      </c>
      <c r="J1693" s="24">
        <f t="shared" si="291"/>
        <v>160218000</v>
      </c>
      <c r="K1693" s="20"/>
      <c r="L1693" s="20" t="s">
        <v>2</v>
      </c>
      <c r="M1693" s="20" t="s">
        <v>2</v>
      </c>
      <c r="N1693" s="20"/>
      <c r="O1693" s="24"/>
      <c r="P1693" s="24"/>
      <c r="Q1693" s="25"/>
      <c r="R1693" s="24"/>
      <c r="S1693" s="20" t="s">
        <v>2</v>
      </c>
      <c r="T1693" s="27"/>
      <c r="U1693" s="20"/>
      <c r="V1693" s="27">
        <f t="shared" si="294"/>
        <v>160218000</v>
      </c>
      <c r="W1693" s="26">
        <f t="shared" si="292"/>
        <v>160218000</v>
      </c>
      <c r="X1693" s="27">
        <v>0</v>
      </c>
      <c r="Y1693" s="78">
        <f t="shared" si="290"/>
        <v>160218000</v>
      </c>
      <c r="Z1693" s="49">
        <v>3.0000000000000001E-3</v>
      </c>
    </row>
    <row r="1694" spans="1:26" s="29" customFormat="1" ht="90.75" customHeight="1" x14ac:dyDescent="0.25">
      <c r="A1694" s="20">
        <v>1108</v>
      </c>
      <c r="B1694" s="20" t="s">
        <v>0</v>
      </c>
      <c r="C1694" s="20">
        <v>51973</v>
      </c>
      <c r="D1694" s="21">
        <v>6</v>
      </c>
      <c r="E1694" s="21">
        <v>2</v>
      </c>
      <c r="F1694" s="22">
        <v>74</v>
      </c>
      <c r="G1694" s="21" t="s">
        <v>209</v>
      </c>
      <c r="H1694" s="24">
        <f t="shared" si="293"/>
        <v>2674</v>
      </c>
      <c r="I1694" s="25">
        <v>4500</v>
      </c>
      <c r="J1694" s="24">
        <f t="shared" si="291"/>
        <v>12033000</v>
      </c>
      <c r="K1694" s="20"/>
      <c r="L1694" s="20" t="s">
        <v>2</v>
      </c>
      <c r="M1694" s="20" t="s">
        <v>2</v>
      </c>
      <c r="N1694" s="20"/>
      <c r="O1694" s="24"/>
      <c r="P1694" s="24"/>
      <c r="Q1694" s="25"/>
      <c r="R1694" s="24"/>
      <c r="S1694" s="20" t="s">
        <v>2</v>
      </c>
      <c r="T1694" s="27"/>
      <c r="U1694" s="20"/>
      <c r="V1694" s="27">
        <f t="shared" si="294"/>
        <v>12033000</v>
      </c>
      <c r="W1694" s="26">
        <f t="shared" si="292"/>
        <v>12033000</v>
      </c>
      <c r="X1694" s="27">
        <v>0</v>
      </c>
      <c r="Y1694" s="78">
        <f t="shared" si="290"/>
        <v>12033000</v>
      </c>
      <c r="Z1694" s="49">
        <v>3.0000000000000001E-3</v>
      </c>
    </row>
    <row r="1695" spans="1:26" s="29" customFormat="1" ht="90.75" customHeight="1" x14ac:dyDescent="0.25">
      <c r="A1695" s="20">
        <v>1109</v>
      </c>
      <c r="B1695" s="20" t="s">
        <v>0</v>
      </c>
      <c r="C1695" s="20">
        <v>51975</v>
      </c>
      <c r="D1695" s="21">
        <v>8</v>
      </c>
      <c r="E1695" s="21">
        <v>3</v>
      </c>
      <c r="F1695" s="22">
        <v>76</v>
      </c>
      <c r="G1695" s="21" t="s">
        <v>209</v>
      </c>
      <c r="H1695" s="24">
        <f t="shared" si="293"/>
        <v>3576</v>
      </c>
      <c r="I1695" s="25">
        <v>4500</v>
      </c>
      <c r="J1695" s="24">
        <f t="shared" si="291"/>
        <v>16092000</v>
      </c>
      <c r="K1695" s="20"/>
      <c r="L1695" s="20" t="s">
        <v>2</v>
      </c>
      <c r="M1695" s="20" t="s">
        <v>2</v>
      </c>
      <c r="N1695" s="20"/>
      <c r="O1695" s="24"/>
      <c r="P1695" s="24"/>
      <c r="Q1695" s="25"/>
      <c r="R1695" s="24"/>
      <c r="S1695" s="20" t="s">
        <v>2</v>
      </c>
      <c r="T1695" s="27"/>
      <c r="U1695" s="20"/>
      <c r="V1695" s="27">
        <f t="shared" si="294"/>
        <v>16092000</v>
      </c>
      <c r="W1695" s="26">
        <f t="shared" si="292"/>
        <v>16092000</v>
      </c>
      <c r="X1695" s="27">
        <v>0</v>
      </c>
      <c r="Y1695" s="78">
        <f t="shared" si="290"/>
        <v>16092000</v>
      </c>
      <c r="Z1695" s="49">
        <v>3.0000000000000001E-3</v>
      </c>
    </row>
    <row r="1696" spans="1:26" s="29" customFormat="1" ht="90.75" customHeight="1" x14ac:dyDescent="0.25">
      <c r="A1696" s="20">
        <v>1110</v>
      </c>
      <c r="B1696" s="20" t="s">
        <v>0</v>
      </c>
      <c r="C1696" s="20">
        <v>51974</v>
      </c>
      <c r="D1696" s="21">
        <v>20</v>
      </c>
      <c r="E1696" s="21">
        <v>0</v>
      </c>
      <c r="F1696" s="22">
        <v>85</v>
      </c>
      <c r="G1696" s="21" t="s">
        <v>209</v>
      </c>
      <c r="H1696" s="24">
        <f t="shared" si="293"/>
        <v>8085</v>
      </c>
      <c r="I1696" s="25">
        <v>4500</v>
      </c>
      <c r="J1696" s="24">
        <f t="shared" si="291"/>
        <v>36382500</v>
      </c>
      <c r="K1696" s="20"/>
      <c r="L1696" s="20" t="s">
        <v>2</v>
      </c>
      <c r="M1696" s="20" t="s">
        <v>2</v>
      </c>
      <c r="N1696" s="20"/>
      <c r="O1696" s="24"/>
      <c r="P1696" s="24"/>
      <c r="Q1696" s="25"/>
      <c r="R1696" s="24"/>
      <c r="S1696" s="20" t="s">
        <v>2</v>
      </c>
      <c r="T1696" s="27"/>
      <c r="U1696" s="20"/>
      <c r="V1696" s="27">
        <f t="shared" si="294"/>
        <v>36382500</v>
      </c>
      <c r="W1696" s="26">
        <f t="shared" si="292"/>
        <v>36382500</v>
      </c>
      <c r="X1696" s="27">
        <v>0</v>
      </c>
      <c r="Y1696" s="78">
        <f t="shared" si="290"/>
        <v>36382500</v>
      </c>
      <c r="Z1696" s="49">
        <v>3.0000000000000001E-3</v>
      </c>
    </row>
    <row r="1697" spans="1:26" s="29" customFormat="1" ht="90.75" customHeight="1" x14ac:dyDescent="0.25">
      <c r="A1697" s="20"/>
      <c r="B1697" s="20" t="s">
        <v>0</v>
      </c>
      <c r="C1697" s="20">
        <v>51974</v>
      </c>
      <c r="D1697" s="21">
        <v>20</v>
      </c>
      <c r="E1697" s="21">
        <v>0</v>
      </c>
      <c r="F1697" s="22">
        <v>85</v>
      </c>
      <c r="G1697" s="21" t="s">
        <v>209</v>
      </c>
      <c r="H1697" s="24">
        <f t="shared" si="293"/>
        <v>8085</v>
      </c>
      <c r="I1697" s="25" t="s">
        <v>123</v>
      </c>
      <c r="J1697" s="24">
        <f t="shared" si="291"/>
        <v>36382500</v>
      </c>
      <c r="K1697" s="20"/>
      <c r="L1697" s="20" t="s">
        <v>2</v>
      </c>
      <c r="M1697" s="20" t="s">
        <v>2</v>
      </c>
      <c r="N1697" s="20"/>
      <c r="O1697" s="24"/>
      <c r="P1697" s="24"/>
      <c r="Q1697" s="25"/>
      <c r="R1697" s="24"/>
      <c r="S1697" s="20" t="s">
        <v>2</v>
      </c>
      <c r="T1697" s="27"/>
      <c r="U1697" s="20"/>
      <c r="V1697" s="27">
        <f t="shared" si="294"/>
        <v>36382500</v>
      </c>
      <c r="W1697" s="26">
        <f t="shared" si="292"/>
        <v>36382500</v>
      </c>
      <c r="X1697" s="27">
        <v>0</v>
      </c>
      <c r="Y1697" s="78">
        <f t="shared" si="290"/>
        <v>36382500</v>
      </c>
      <c r="Z1697" s="49">
        <v>3.0000000000000001E-3</v>
      </c>
    </row>
    <row r="1698" spans="1:26" s="29" customFormat="1" ht="90.75" customHeight="1" x14ac:dyDescent="0.25">
      <c r="A1698" s="20"/>
      <c r="B1698" s="20" t="s">
        <v>0</v>
      </c>
      <c r="C1698" s="20">
        <v>51974</v>
      </c>
      <c r="D1698" s="21"/>
      <c r="E1698" s="21"/>
      <c r="F1698" s="22"/>
      <c r="G1698" s="23"/>
      <c r="H1698" s="24">
        <v>0.75</v>
      </c>
      <c r="I1698" s="25">
        <v>4500</v>
      </c>
      <c r="J1698" s="24">
        <v>3375</v>
      </c>
      <c r="K1698" s="20">
        <v>1</v>
      </c>
      <c r="L1698" s="20" t="s">
        <v>215</v>
      </c>
      <c r="M1698" s="20" t="s">
        <v>13</v>
      </c>
      <c r="N1698" s="20">
        <v>3</v>
      </c>
      <c r="O1698" s="24">
        <v>3</v>
      </c>
      <c r="P1698" s="24">
        <v>100</v>
      </c>
      <c r="Q1698" s="25">
        <v>6450</v>
      </c>
      <c r="R1698" s="24">
        <f t="shared" ref="R1698:R1714" si="295">(O1698*Q1698)</f>
        <v>19350</v>
      </c>
      <c r="S1698" s="20">
        <v>7</v>
      </c>
      <c r="T1698" s="24">
        <f t="shared" ref="T1698:T1714" si="296">(R1698*7/100)</f>
        <v>1354.5</v>
      </c>
      <c r="U1698" s="27">
        <f t="shared" ref="U1698:U1714" si="297">(R1698-T1698)</f>
        <v>17995.5</v>
      </c>
      <c r="V1698" s="27">
        <f t="shared" si="294"/>
        <v>21370.5</v>
      </c>
      <c r="W1698" s="26">
        <f t="shared" si="292"/>
        <v>21370.5</v>
      </c>
      <c r="X1698" s="27">
        <v>0</v>
      </c>
      <c r="Y1698" s="78">
        <f t="shared" si="290"/>
        <v>21370.5</v>
      </c>
      <c r="Z1698" s="49">
        <v>3.0000000000000001E-3</v>
      </c>
    </row>
    <row r="1699" spans="1:26" s="29" customFormat="1" ht="90.75" customHeight="1" x14ac:dyDescent="0.25">
      <c r="A1699" s="20"/>
      <c r="B1699" s="20" t="s">
        <v>0</v>
      </c>
      <c r="C1699" s="20">
        <v>51974</v>
      </c>
      <c r="D1699" s="21"/>
      <c r="E1699" s="21"/>
      <c r="F1699" s="22"/>
      <c r="G1699" s="23"/>
      <c r="H1699" s="24">
        <v>123.31</v>
      </c>
      <c r="I1699" s="25">
        <v>4500</v>
      </c>
      <c r="J1699" s="24">
        <v>554895</v>
      </c>
      <c r="K1699" s="20">
        <v>2</v>
      </c>
      <c r="L1699" s="20" t="s">
        <v>15</v>
      </c>
      <c r="M1699" s="20"/>
      <c r="N1699" s="20">
        <v>3</v>
      </c>
      <c r="O1699" s="24" t="s">
        <v>124</v>
      </c>
      <c r="P1699" s="24">
        <v>100</v>
      </c>
      <c r="Q1699" s="25">
        <v>5950</v>
      </c>
      <c r="R1699" s="24">
        <f t="shared" si="295"/>
        <v>2934778</v>
      </c>
      <c r="S1699" s="20">
        <v>7</v>
      </c>
      <c r="T1699" s="24">
        <f t="shared" si="296"/>
        <v>205434.46</v>
      </c>
      <c r="U1699" s="27">
        <f t="shared" si="297"/>
        <v>2729343.54</v>
      </c>
      <c r="V1699" s="27">
        <f t="shared" si="294"/>
        <v>3284238.54</v>
      </c>
      <c r="W1699" s="26">
        <f t="shared" si="292"/>
        <v>3284238.54</v>
      </c>
      <c r="X1699" s="27">
        <v>0</v>
      </c>
      <c r="Y1699" s="78">
        <f t="shared" si="290"/>
        <v>3284238.54</v>
      </c>
      <c r="Z1699" s="49">
        <v>3.0000000000000001E-3</v>
      </c>
    </row>
    <row r="1700" spans="1:26" s="29" customFormat="1" ht="90.75" customHeight="1" x14ac:dyDescent="0.25">
      <c r="A1700" s="20"/>
      <c r="B1700" s="20" t="s">
        <v>0</v>
      </c>
      <c r="C1700" s="20">
        <v>51974</v>
      </c>
      <c r="D1700" s="21"/>
      <c r="E1700" s="21"/>
      <c r="F1700" s="22"/>
      <c r="G1700" s="23"/>
      <c r="H1700" s="24">
        <v>92.025000000000006</v>
      </c>
      <c r="I1700" s="25">
        <v>4500</v>
      </c>
      <c r="J1700" s="24">
        <v>414112.5</v>
      </c>
      <c r="K1700" s="20">
        <v>3</v>
      </c>
      <c r="L1700" s="20" t="s">
        <v>15</v>
      </c>
      <c r="M1700" s="20"/>
      <c r="N1700" s="20">
        <v>3</v>
      </c>
      <c r="O1700" s="24">
        <v>368.1</v>
      </c>
      <c r="P1700" s="24">
        <v>100</v>
      </c>
      <c r="Q1700" s="25">
        <v>5950</v>
      </c>
      <c r="R1700" s="24">
        <f t="shared" si="295"/>
        <v>2190195</v>
      </c>
      <c r="S1700" s="20">
        <v>7</v>
      </c>
      <c r="T1700" s="24">
        <f t="shared" si="296"/>
        <v>153313.65</v>
      </c>
      <c r="U1700" s="27">
        <f t="shared" si="297"/>
        <v>2036881.35</v>
      </c>
      <c r="V1700" s="27">
        <f t="shared" si="294"/>
        <v>2450993.85</v>
      </c>
      <c r="W1700" s="26">
        <f t="shared" si="292"/>
        <v>2450993.85</v>
      </c>
      <c r="X1700" s="27">
        <v>0</v>
      </c>
      <c r="Y1700" s="78">
        <f t="shared" si="290"/>
        <v>2450993.85</v>
      </c>
      <c r="Z1700" s="49">
        <v>3.0000000000000001E-3</v>
      </c>
    </row>
    <row r="1701" spans="1:26" s="29" customFormat="1" ht="90.75" customHeight="1" x14ac:dyDescent="0.25">
      <c r="A1701" s="20"/>
      <c r="B1701" s="20" t="s">
        <v>0</v>
      </c>
      <c r="C1701" s="20">
        <v>51974</v>
      </c>
      <c r="D1701" s="21"/>
      <c r="E1701" s="21"/>
      <c r="F1701" s="22"/>
      <c r="G1701" s="23"/>
      <c r="H1701" s="24">
        <v>66.422499999999999</v>
      </c>
      <c r="I1701" s="25">
        <v>4500</v>
      </c>
      <c r="J1701" s="24">
        <v>298901.25</v>
      </c>
      <c r="K1701" s="20">
        <v>4</v>
      </c>
      <c r="L1701" s="20" t="s">
        <v>15</v>
      </c>
      <c r="M1701" s="20"/>
      <c r="N1701" s="20">
        <v>3</v>
      </c>
      <c r="O1701" s="24">
        <v>265.69</v>
      </c>
      <c r="P1701" s="24">
        <v>100</v>
      </c>
      <c r="Q1701" s="25">
        <v>5950</v>
      </c>
      <c r="R1701" s="24">
        <f t="shared" si="295"/>
        <v>1580855.5</v>
      </c>
      <c r="S1701" s="20">
        <v>7</v>
      </c>
      <c r="T1701" s="24">
        <f t="shared" si="296"/>
        <v>110659.88499999999</v>
      </c>
      <c r="U1701" s="27">
        <f t="shared" si="297"/>
        <v>1470195.615</v>
      </c>
      <c r="V1701" s="27">
        <f t="shared" si="294"/>
        <v>1769096.865</v>
      </c>
      <c r="W1701" s="26">
        <f t="shared" si="292"/>
        <v>1769096.865</v>
      </c>
      <c r="X1701" s="27">
        <v>0</v>
      </c>
      <c r="Y1701" s="78">
        <f t="shared" si="290"/>
        <v>1769096.865</v>
      </c>
      <c r="Z1701" s="49">
        <v>3.0000000000000001E-3</v>
      </c>
    </row>
    <row r="1702" spans="1:26" s="29" customFormat="1" ht="90.75" customHeight="1" x14ac:dyDescent="0.25">
      <c r="A1702" s="20"/>
      <c r="B1702" s="20" t="s">
        <v>0</v>
      </c>
      <c r="C1702" s="20">
        <v>51974</v>
      </c>
      <c r="D1702" s="21"/>
      <c r="E1702" s="21"/>
      <c r="F1702" s="22"/>
      <c r="G1702" s="23"/>
      <c r="H1702" s="24">
        <v>121.44</v>
      </c>
      <c r="I1702" s="25">
        <v>4500</v>
      </c>
      <c r="J1702" s="24">
        <v>546480</v>
      </c>
      <c r="K1702" s="20">
        <v>5</v>
      </c>
      <c r="L1702" s="20" t="s">
        <v>15</v>
      </c>
      <c r="M1702" s="20"/>
      <c r="N1702" s="20">
        <v>3</v>
      </c>
      <c r="O1702" s="24">
        <v>485.76</v>
      </c>
      <c r="P1702" s="24">
        <v>100</v>
      </c>
      <c r="Q1702" s="25">
        <v>5950</v>
      </c>
      <c r="R1702" s="24">
        <f t="shared" si="295"/>
        <v>2890272</v>
      </c>
      <c r="S1702" s="20">
        <v>7</v>
      </c>
      <c r="T1702" s="24">
        <f t="shared" si="296"/>
        <v>202319.04</v>
      </c>
      <c r="U1702" s="27">
        <f t="shared" si="297"/>
        <v>2687952.96</v>
      </c>
      <c r="V1702" s="27">
        <f t="shared" si="294"/>
        <v>3234432.96</v>
      </c>
      <c r="W1702" s="26">
        <f t="shared" si="292"/>
        <v>3234432.96</v>
      </c>
      <c r="X1702" s="27">
        <v>0</v>
      </c>
      <c r="Y1702" s="78">
        <f t="shared" si="290"/>
        <v>3234432.96</v>
      </c>
      <c r="Z1702" s="49">
        <v>3.0000000000000001E-3</v>
      </c>
    </row>
    <row r="1703" spans="1:26" s="29" customFormat="1" ht="90.75" customHeight="1" x14ac:dyDescent="0.25">
      <c r="A1703" s="20"/>
      <c r="B1703" s="20" t="s">
        <v>0</v>
      </c>
      <c r="C1703" s="20">
        <v>51974</v>
      </c>
      <c r="D1703" s="21"/>
      <c r="E1703" s="21"/>
      <c r="F1703" s="22"/>
      <c r="G1703" s="23"/>
      <c r="H1703" s="24">
        <v>142.13999999999999</v>
      </c>
      <c r="I1703" s="25">
        <v>4500</v>
      </c>
      <c r="J1703" s="24">
        <v>639629.99999999988</v>
      </c>
      <c r="K1703" s="20">
        <v>6</v>
      </c>
      <c r="L1703" s="20" t="s">
        <v>15</v>
      </c>
      <c r="M1703" s="20"/>
      <c r="N1703" s="20">
        <v>3</v>
      </c>
      <c r="O1703" s="24">
        <v>568.55999999999995</v>
      </c>
      <c r="P1703" s="24">
        <v>100</v>
      </c>
      <c r="Q1703" s="25">
        <v>5950</v>
      </c>
      <c r="R1703" s="24">
        <f t="shared" si="295"/>
        <v>3382931.9999999995</v>
      </c>
      <c r="S1703" s="20">
        <v>7</v>
      </c>
      <c r="T1703" s="24">
        <f t="shared" si="296"/>
        <v>236805.23999999996</v>
      </c>
      <c r="U1703" s="27">
        <f t="shared" si="297"/>
        <v>3146126.76</v>
      </c>
      <c r="V1703" s="27">
        <f t="shared" si="294"/>
        <v>3785756.76</v>
      </c>
      <c r="W1703" s="26">
        <f t="shared" si="292"/>
        <v>3785756.76</v>
      </c>
      <c r="X1703" s="27">
        <v>0</v>
      </c>
      <c r="Y1703" s="78">
        <f t="shared" si="290"/>
        <v>3785756.76</v>
      </c>
      <c r="Z1703" s="49">
        <v>3.0000000000000001E-3</v>
      </c>
    </row>
    <row r="1704" spans="1:26" s="29" customFormat="1" ht="90.75" customHeight="1" x14ac:dyDescent="0.25">
      <c r="A1704" s="20"/>
      <c r="B1704" s="20" t="s">
        <v>0</v>
      </c>
      <c r="C1704" s="20">
        <v>51974</v>
      </c>
      <c r="D1704" s="21"/>
      <c r="E1704" s="21"/>
      <c r="F1704" s="22"/>
      <c r="G1704" s="23"/>
      <c r="H1704" s="24">
        <v>84</v>
      </c>
      <c r="I1704" s="25">
        <v>4500</v>
      </c>
      <c r="J1704" s="24">
        <v>378000</v>
      </c>
      <c r="K1704" s="20">
        <v>7</v>
      </c>
      <c r="L1704" s="20" t="s">
        <v>15</v>
      </c>
      <c r="M1704" s="20"/>
      <c r="N1704" s="20">
        <v>3</v>
      </c>
      <c r="O1704" s="24">
        <v>336</v>
      </c>
      <c r="P1704" s="24">
        <v>100</v>
      </c>
      <c r="Q1704" s="25">
        <v>5950</v>
      </c>
      <c r="R1704" s="24">
        <f t="shared" si="295"/>
        <v>1999200</v>
      </c>
      <c r="S1704" s="20">
        <v>7</v>
      </c>
      <c r="T1704" s="24">
        <f t="shared" si="296"/>
        <v>139944</v>
      </c>
      <c r="U1704" s="27">
        <f t="shared" si="297"/>
        <v>1859256</v>
      </c>
      <c r="V1704" s="27">
        <f t="shared" si="294"/>
        <v>2237256</v>
      </c>
      <c r="W1704" s="26">
        <f t="shared" si="292"/>
        <v>2237256</v>
      </c>
      <c r="X1704" s="27">
        <v>0</v>
      </c>
      <c r="Y1704" s="78">
        <f t="shared" si="290"/>
        <v>2237256</v>
      </c>
      <c r="Z1704" s="49">
        <v>3.0000000000000001E-3</v>
      </c>
    </row>
    <row r="1705" spans="1:26" s="29" customFormat="1" ht="90.75" customHeight="1" x14ac:dyDescent="0.25">
      <c r="A1705" s="20"/>
      <c r="B1705" s="20" t="s">
        <v>0</v>
      </c>
      <c r="C1705" s="20">
        <v>51974</v>
      </c>
      <c r="D1705" s="21"/>
      <c r="E1705" s="21"/>
      <c r="F1705" s="22"/>
      <c r="G1705" s="23"/>
      <c r="H1705" s="24">
        <v>285.10000000000002</v>
      </c>
      <c r="I1705" s="25">
        <v>4500</v>
      </c>
      <c r="J1705" s="24">
        <v>1282950</v>
      </c>
      <c r="K1705" s="20">
        <v>8</v>
      </c>
      <c r="L1705" s="20" t="s">
        <v>15</v>
      </c>
      <c r="M1705" s="20"/>
      <c r="N1705" s="20">
        <v>3</v>
      </c>
      <c r="O1705" s="24">
        <v>1140.4000000000001</v>
      </c>
      <c r="P1705" s="24">
        <v>100</v>
      </c>
      <c r="Q1705" s="25">
        <v>5950</v>
      </c>
      <c r="R1705" s="24">
        <f t="shared" si="295"/>
        <v>6785380.0000000009</v>
      </c>
      <c r="S1705" s="20">
        <v>7</v>
      </c>
      <c r="T1705" s="24">
        <f t="shared" si="296"/>
        <v>474976.60000000009</v>
      </c>
      <c r="U1705" s="27">
        <f t="shared" si="297"/>
        <v>6310403.4000000004</v>
      </c>
      <c r="V1705" s="27">
        <f t="shared" si="294"/>
        <v>7593353.4000000004</v>
      </c>
      <c r="W1705" s="26">
        <f t="shared" si="292"/>
        <v>7593353.4000000004</v>
      </c>
      <c r="X1705" s="27">
        <v>0</v>
      </c>
      <c r="Y1705" s="78">
        <f t="shared" si="290"/>
        <v>7593353.4000000004</v>
      </c>
      <c r="Z1705" s="49">
        <v>3.0000000000000001E-3</v>
      </c>
    </row>
    <row r="1706" spans="1:26" s="29" customFormat="1" ht="90.75" customHeight="1" x14ac:dyDescent="0.25">
      <c r="A1706" s="20"/>
      <c r="B1706" s="20" t="s">
        <v>0</v>
      </c>
      <c r="C1706" s="20">
        <v>51974</v>
      </c>
      <c r="D1706" s="21"/>
      <c r="E1706" s="21"/>
      <c r="F1706" s="22"/>
      <c r="G1706" s="23"/>
      <c r="H1706" s="24">
        <v>285.10000000000002</v>
      </c>
      <c r="I1706" s="25">
        <v>4500</v>
      </c>
      <c r="J1706" s="24">
        <v>1282950</v>
      </c>
      <c r="K1706" s="20">
        <v>9</v>
      </c>
      <c r="L1706" s="20" t="s">
        <v>15</v>
      </c>
      <c r="M1706" s="20"/>
      <c r="N1706" s="20">
        <v>3</v>
      </c>
      <c r="O1706" s="24">
        <v>1140.4000000000001</v>
      </c>
      <c r="P1706" s="24">
        <v>100</v>
      </c>
      <c r="Q1706" s="25">
        <v>5950</v>
      </c>
      <c r="R1706" s="24">
        <f t="shared" si="295"/>
        <v>6785380.0000000009</v>
      </c>
      <c r="S1706" s="20">
        <v>7</v>
      </c>
      <c r="T1706" s="24">
        <f t="shared" si="296"/>
        <v>474976.60000000009</v>
      </c>
      <c r="U1706" s="27">
        <f t="shared" si="297"/>
        <v>6310403.4000000004</v>
      </c>
      <c r="V1706" s="27">
        <f t="shared" si="294"/>
        <v>7593353.4000000004</v>
      </c>
      <c r="W1706" s="26">
        <f t="shared" si="292"/>
        <v>7593353.4000000004</v>
      </c>
      <c r="X1706" s="27">
        <v>0</v>
      </c>
      <c r="Y1706" s="78">
        <f t="shared" si="290"/>
        <v>7593353.4000000004</v>
      </c>
      <c r="Z1706" s="49">
        <v>3.0000000000000001E-3</v>
      </c>
    </row>
    <row r="1707" spans="1:26" s="29" customFormat="1" ht="90.75" customHeight="1" x14ac:dyDescent="0.25">
      <c r="A1707" s="20"/>
      <c r="B1707" s="20" t="s">
        <v>0</v>
      </c>
      <c r="C1707" s="20">
        <v>51974</v>
      </c>
      <c r="D1707" s="21"/>
      <c r="E1707" s="21"/>
      <c r="F1707" s="22"/>
      <c r="G1707" s="23"/>
      <c r="H1707" s="24">
        <v>285.10000000000002</v>
      </c>
      <c r="I1707" s="25">
        <v>4500</v>
      </c>
      <c r="J1707" s="24">
        <v>1282950</v>
      </c>
      <c r="K1707" s="20">
        <v>10</v>
      </c>
      <c r="L1707" s="20" t="s">
        <v>15</v>
      </c>
      <c r="M1707" s="20"/>
      <c r="N1707" s="20">
        <v>3</v>
      </c>
      <c r="O1707" s="24">
        <v>1140.4000000000001</v>
      </c>
      <c r="P1707" s="24">
        <v>100</v>
      </c>
      <c r="Q1707" s="25">
        <v>5950</v>
      </c>
      <c r="R1707" s="24">
        <f t="shared" si="295"/>
        <v>6785380.0000000009</v>
      </c>
      <c r="S1707" s="20">
        <v>7</v>
      </c>
      <c r="T1707" s="24">
        <f t="shared" si="296"/>
        <v>474976.60000000009</v>
      </c>
      <c r="U1707" s="27">
        <f t="shared" si="297"/>
        <v>6310403.4000000004</v>
      </c>
      <c r="V1707" s="27">
        <f t="shared" si="294"/>
        <v>7593353.4000000004</v>
      </c>
      <c r="W1707" s="26">
        <f t="shared" si="292"/>
        <v>7593353.4000000004</v>
      </c>
      <c r="X1707" s="27">
        <v>0</v>
      </c>
      <c r="Y1707" s="78">
        <f t="shared" si="290"/>
        <v>7593353.4000000004</v>
      </c>
      <c r="Z1707" s="49">
        <v>3.0000000000000001E-3</v>
      </c>
    </row>
    <row r="1708" spans="1:26" s="29" customFormat="1" ht="90.75" customHeight="1" x14ac:dyDescent="0.25">
      <c r="A1708" s="20"/>
      <c r="B1708" s="20" t="s">
        <v>0</v>
      </c>
      <c r="C1708" s="20">
        <v>51974</v>
      </c>
      <c r="D1708" s="21"/>
      <c r="E1708" s="21"/>
      <c r="F1708" s="22"/>
      <c r="G1708" s="23"/>
      <c r="H1708" s="24">
        <v>10.32</v>
      </c>
      <c r="I1708" s="25">
        <v>4500</v>
      </c>
      <c r="J1708" s="24">
        <v>46440</v>
      </c>
      <c r="K1708" s="20">
        <v>11</v>
      </c>
      <c r="L1708" s="20" t="s">
        <v>15</v>
      </c>
      <c r="M1708" s="20"/>
      <c r="N1708" s="20">
        <v>3</v>
      </c>
      <c r="O1708" s="24">
        <v>41.28</v>
      </c>
      <c r="P1708" s="24">
        <v>100</v>
      </c>
      <c r="Q1708" s="25">
        <v>5950</v>
      </c>
      <c r="R1708" s="24">
        <f t="shared" si="295"/>
        <v>245616</v>
      </c>
      <c r="S1708" s="20">
        <v>7</v>
      </c>
      <c r="T1708" s="24">
        <f t="shared" si="296"/>
        <v>17193.12</v>
      </c>
      <c r="U1708" s="27">
        <f t="shared" si="297"/>
        <v>228422.88</v>
      </c>
      <c r="V1708" s="27">
        <f t="shared" si="294"/>
        <v>274862.88</v>
      </c>
      <c r="W1708" s="26">
        <f t="shared" si="292"/>
        <v>274862.88</v>
      </c>
      <c r="X1708" s="27">
        <v>0</v>
      </c>
      <c r="Y1708" s="78">
        <f t="shared" si="290"/>
        <v>274862.88</v>
      </c>
      <c r="Z1708" s="49">
        <v>3.0000000000000001E-3</v>
      </c>
    </row>
    <row r="1709" spans="1:26" s="29" customFormat="1" ht="90.75" customHeight="1" x14ac:dyDescent="0.25">
      <c r="A1709" s="20"/>
      <c r="B1709" s="20" t="s">
        <v>0</v>
      </c>
      <c r="C1709" s="20">
        <v>51974</v>
      </c>
      <c r="D1709" s="21"/>
      <c r="E1709" s="21"/>
      <c r="F1709" s="22"/>
      <c r="G1709" s="23"/>
      <c r="H1709" s="24">
        <v>348.76749999999998</v>
      </c>
      <c r="I1709" s="25">
        <v>4500</v>
      </c>
      <c r="J1709" s="24">
        <v>1569453.75</v>
      </c>
      <c r="K1709" s="20">
        <v>12</v>
      </c>
      <c r="L1709" s="20" t="s">
        <v>15</v>
      </c>
      <c r="M1709" s="20"/>
      <c r="N1709" s="20">
        <v>3</v>
      </c>
      <c r="O1709" s="24">
        <v>1395.07</v>
      </c>
      <c r="P1709" s="24">
        <v>100</v>
      </c>
      <c r="Q1709" s="25">
        <v>5950</v>
      </c>
      <c r="R1709" s="24">
        <f t="shared" si="295"/>
        <v>8300666.5</v>
      </c>
      <c r="S1709" s="20">
        <v>7</v>
      </c>
      <c r="T1709" s="24">
        <f t="shared" si="296"/>
        <v>581046.65500000003</v>
      </c>
      <c r="U1709" s="27">
        <f t="shared" si="297"/>
        <v>7719619.8449999997</v>
      </c>
      <c r="V1709" s="27">
        <f t="shared" si="294"/>
        <v>9289073.5949999988</v>
      </c>
      <c r="W1709" s="26">
        <f t="shared" si="292"/>
        <v>9289073.5949999988</v>
      </c>
      <c r="X1709" s="27">
        <v>0</v>
      </c>
      <c r="Y1709" s="78">
        <f t="shared" si="290"/>
        <v>9289073.5949999988</v>
      </c>
      <c r="Z1709" s="49">
        <v>3.0000000000000001E-3</v>
      </c>
    </row>
    <row r="1710" spans="1:26" s="29" customFormat="1" ht="90.75" customHeight="1" x14ac:dyDescent="0.25">
      <c r="A1710" s="20"/>
      <c r="B1710" s="20" t="s">
        <v>0</v>
      </c>
      <c r="C1710" s="20">
        <v>51974</v>
      </c>
      <c r="D1710" s="21"/>
      <c r="E1710" s="21"/>
      <c r="F1710" s="22"/>
      <c r="G1710" s="23"/>
      <c r="H1710" s="24">
        <v>348.76749999999998</v>
      </c>
      <c r="I1710" s="25">
        <v>4500</v>
      </c>
      <c r="J1710" s="24">
        <v>1569453.75</v>
      </c>
      <c r="K1710" s="20">
        <v>13</v>
      </c>
      <c r="L1710" s="20" t="s">
        <v>15</v>
      </c>
      <c r="M1710" s="20"/>
      <c r="N1710" s="20">
        <v>3</v>
      </c>
      <c r="O1710" s="24">
        <v>1395.07</v>
      </c>
      <c r="P1710" s="24">
        <v>100</v>
      </c>
      <c r="Q1710" s="25">
        <v>5950</v>
      </c>
      <c r="R1710" s="24">
        <f t="shared" si="295"/>
        <v>8300666.5</v>
      </c>
      <c r="S1710" s="20">
        <v>7</v>
      </c>
      <c r="T1710" s="24">
        <f t="shared" si="296"/>
        <v>581046.65500000003</v>
      </c>
      <c r="U1710" s="27">
        <f t="shared" si="297"/>
        <v>7719619.8449999997</v>
      </c>
      <c r="V1710" s="27">
        <f t="shared" si="294"/>
        <v>9289073.5949999988</v>
      </c>
      <c r="W1710" s="26">
        <f t="shared" si="292"/>
        <v>9289073.5949999988</v>
      </c>
      <c r="X1710" s="27">
        <v>0</v>
      </c>
      <c r="Y1710" s="78">
        <f t="shared" si="290"/>
        <v>9289073.5949999988</v>
      </c>
      <c r="Z1710" s="49">
        <v>3.0000000000000001E-3</v>
      </c>
    </row>
    <row r="1711" spans="1:26" s="29" customFormat="1" ht="90.75" customHeight="1" x14ac:dyDescent="0.25">
      <c r="A1711" s="20"/>
      <c r="B1711" s="20" t="s">
        <v>0</v>
      </c>
      <c r="C1711" s="20">
        <v>51974</v>
      </c>
      <c r="D1711" s="21"/>
      <c r="E1711" s="21"/>
      <c r="F1711" s="22"/>
      <c r="G1711" s="23"/>
      <c r="H1711" s="24">
        <v>348.76749999999998</v>
      </c>
      <c r="I1711" s="25">
        <v>4500</v>
      </c>
      <c r="J1711" s="24">
        <v>1569453.75</v>
      </c>
      <c r="K1711" s="20">
        <v>14</v>
      </c>
      <c r="L1711" s="20" t="s">
        <v>15</v>
      </c>
      <c r="M1711" s="20"/>
      <c r="N1711" s="20">
        <v>3</v>
      </c>
      <c r="O1711" s="24">
        <v>1395.07</v>
      </c>
      <c r="P1711" s="24">
        <v>100</v>
      </c>
      <c r="Q1711" s="25">
        <v>5950</v>
      </c>
      <c r="R1711" s="24">
        <f t="shared" si="295"/>
        <v>8300666.5</v>
      </c>
      <c r="S1711" s="20">
        <v>7</v>
      </c>
      <c r="T1711" s="24">
        <f t="shared" si="296"/>
        <v>581046.65500000003</v>
      </c>
      <c r="U1711" s="27">
        <f t="shared" si="297"/>
        <v>7719619.8449999997</v>
      </c>
      <c r="V1711" s="27">
        <f t="shared" si="294"/>
        <v>9289073.5949999988</v>
      </c>
      <c r="W1711" s="26">
        <f t="shared" si="292"/>
        <v>9289073.5949999988</v>
      </c>
      <c r="X1711" s="27">
        <v>0</v>
      </c>
      <c r="Y1711" s="78">
        <f t="shared" si="290"/>
        <v>9289073.5949999988</v>
      </c>
      <c r="Z1711" s="49">
        <v>3.0000000000000001E-3</v>
      </c>
    </row>
    <row r="1712" spans="1:26" s="29" customFormat="1" ht="90.75" customHeight="1" x14ac:dyDescent="0.25">
      <c r="A1712" s="20"/>
      <c r="B1712" s="20" t="s">
        <v>0</v>
      </c>
      <c r="C1712" s="20">
        <v>51974</v>
      </c>
      <c r="D1712" s="21"/>
      <c r="E1712" s="21"/>
      <c r="F1712" s="22"/>
      <c r="G1712" s="23"/>
      <c r="H1712" s="24">
        <v>490.5</v>
      </c>
      <c r="I1712" s="25">
        <v>4500</v>
      </c>
      <c r="J1712" s="24">
        <v>2207250</v>
      </c>
      <c r="K1712" s="20">
        <v>15</v>
      </c>
      <c r="L1712" s="20" t="s">
        <v>15</v>
      </c>
      <c r="M1712" s="20"/>
      <c r="N1712" s="20">
        <v>3</v>
      </c>
      <c r="O1712" s="24">
        <v>1962</v>
      </c>
      <c r="P1712" s="24">
        <v>100</v>
      </c>
      <c r="Q1712" s="25">
        <v>5950</v>
      </c>
      <c r="R1712" s="24">
        <f t="shared" si="295"/>
        <v>11673900</v>
      </c>
      <c r="S1712" s="20">
        <v>7</v>
      </c>
      <c r="T1712" s="24">
        <f t="shared" si="296"/>
        <v>817173</v>
      </c>
      <c r="U1712" s="27">
        <f t="shared" si="297"/>
        <v>10856727</v>
      </c>
      <c r="V1712" s="27">
        <f t="shared" si="294"/>
        <v>13063977</v>
      </c>
      <c r="W1712" s="26">
        <f t="shared" si="292"/>
        <v>13063977</v>
      </c>
      <c r="X1712" s="27">
        <v>0</v>
      </c>
      <c r="Y1712" s="78">
        <f t="shared" si="290"/>
        <v>13063977</v>
      </c>
      <c r="Z1712" s="49">
        <v>3.0000000000000001E-3</v>
      </c>
    </row>
    <row r="1713" spans="1:26" s="29" customFormat="1" ht="90.75" customHeight="1" x14ac:dyDescent="0.25">
      <c r="A1713" s="20"/>
      <c r="B1713" s="20" t="s">
        <v>0</v>
      </c>
      <c r="C1713" s="20">
        <v>51974</v>
      </c>
      <c r="D1713" s="21"/>
      <c r="E1713" s="21"/>
      <c r="F1713" s="22"/>
      <c r="G1713" s="23"/>
      <c r="H1713" s="24">
        <v>490.5</v>
      </c>
      <c r="I1713" s="25">
        <v>4500</v>
      </c>
      <c r="J1713" s="24">
        <v>2207250</v>
      </c>
      <c r="K1713" s="20">
        <v>16</v>
      </c>
      <c r="L1713" s="20" t="s">
        <v>15</v>
      </c>
      <c r="M1713" s="20"/>
      <c r="N1713" s="20">
        <v>3</v>
      </c>
      <c r="O1713" s="24">
        <v>1962</v>
      </c>
      <c r="P1713" s="24">
        <v>100</v>
      </c>
      <c r="Q1713" s="25">
        <v>5950</v>
      </c>
      <c r="R1713" s="24">
        <f t="shared" si="295"/>
        <v>11673900</v>
      </c>
      <c r="S1713" s="20">
        <v>7</v>
      </c>
      <c r="T1713" s="24">
        <f t="shared" si="296"/>
        <v>817173</v>
      </c>
      <c r="U1713" s="27">
        <f t="shared" si="297"/>
        <v>10856727</v>
      </c>
      <c r="V1713" s="27">
        <f t="shared" si="294"/>
        <v>13063977</v>
      </c>
      <c r="W1713" s="26">
        <f t="shared" si="292"/>
        <v>13063977</v>
      </c>
      <c r="X1713" s="27">
        <v>0</v>
      </c>
      <c r="Y1713" s="78">
        <f t="shared" si="290"/>
        <v>13063977</v>
      </c>
      <c r="Z1713" s="49">
        <v>3.0000000000000001E-3</v>
      </c>
    </row>
    <row r="1714" spans="1:26" s="29" customFormat="1" ht="90.75" customHeight="1" x14ac:dyDescent="0.25">
      <c r="A1714" s="20"/>
      <c r="B1714" s="20" t="s">
        <v>0</v>
      </c>
      <c r="C1714" s="20">
        <v>51974</v>
      </c>
      <c r="D1714" s="21"/>
      <c r="E1714" s="21"/>
      <c r="F1714" s="22"/>
      <c r="G1714" s="23"/>
      <c r="H1714" s="24">
        <v>42.5</v>
      </c>
      <c r="I1714" s="25">
        <v>4500</v>
      </c>
      <c r="J1714" s="24">
        <v>191250</v>
      </c>
      <c r="K1714" s="20">
        <v>17</v>
      </c>
      <c r="L1714" s="20" t="s">
        <v>15</v>
      </c>
      <c r="M1714" s="20"/>
      <c r="N1714" s="20">
        <v>3</v>
      </c>
      <c r="O1714" s="24">
        <v>170</v>
      </c>
      <c r="P1714" s="24">
        <v>100</v>
      </c>
      <c r="Q1714" s="25">
        <v>5950</v>
      </c>
      <c r="R1714" s="24">
        <f t="shared" si="295"/>
        <v>1011500</v>
      </c>
      <c r="S1714" s="20">
        <v>7</v>
      </c>
      <c r="T1714" s="24">
        <f t="shared" si="296"/>
        <v>70805</v>
      </c>
      <c r="U1714" s="27">
        <f t="shared" si="297"/>
        <v>940695</v>
      </c>
      <c r="V1714" s="27">
        <f t="shared" si="294"/>
        <v>1131945</v>
      </c>
      <c r="W1714" s="26">
        <f t="shared" si="292"/>
        <v>1131945</v>
      </c>
      <c r="X1714" s="27">
        <v>0</v>
      </c>
      <c r="Y1714" s="78">
        <f t="shared" si="290"/>
        <v>1131945</v>
      </c>
      <c r="Z1714" s="49">
        <v>3.0000000000000001E-3</v>
      </c>
    </row>
    <row r="1715" spans="1:26" s="29" customFormat="1" ht="90.75" customHeight="1" x14ac:dyDescent="0.25">
      <c r="A1715" s="20"/>
      <c r="B1715" s="20" t="s">
        <v>0</v>
      </c>
      <c r="C1715" s="20">
        <v>51974</v>
      </c>
      <c r="D1715" s="21"/>
      <c r="E1715" s="21"/>
      <c r="F1715" s="22"/>
      <c r="G1715" s="21" t="s">
        <v>209</v>
      </c>
      <c r="H1715" s="24">
        <v>9</v>
      </c>
      <c r="I1715" s="25">
        <v>4500</v>
      </c>
      <c r="J1715" s="24">
        <f t="shared" ref="J1715:J1746" si="298">(H1715*I1715)</f>
        <v>40500</v>
      </c>
      <c r="K1715" s="20"/>
      <c r="L1715" s="20"/>
      <c r="M1715" s="20"/>
      <c r="N1715" s="20"/>
      <c r="O1715" s="24"/>
      <c r="P1715" s="24"/>
      <c r="Q1715" s="25"/>
      <c r="R1715" s="24"/>
      <c r="S1715" s="20"/>
      <c r="T1715" s="27"/>
      <c r="U1715" s="20"/>
      <c r="V1715" s="27">
        <f t="shared" si="294"/>
        <v>40500</v>
      </c>
      <c r="W1715" s="26">
        <f t="shared" si="292"/>
        <v>40500</v>
      </c>
      <c r="X1715" s="27">
        <v>0</v>
      </c>
      <c r="Y1715" s="78">
        <f t="shared" ref="Y1715:Y1746" si="299">(W1715-X1715)</f>
        <v>40500</v>
      </c>
      <c r="Z1715" s="49">
        <v>3.0000000000000001E-3</v>
      </c>
    </row>
    <row r="1716" spans="1:26" s="29" customFormat="1" ht="90.75" customHeight="1" x14ac:dyDescent="0.25">
      <c r="A1716" s="20">
        <v>1111</v>
      </c>
      <c r="B1716" s="20" t="s">
        <v>0</v>
      </c>
      <c r="C1716" s="20">
        <v>48021</v>
      </c>
      <c r="D1716" s="21">
        <v>72</v>
      </c>
      <c r="E1716" s="21">
        <v>2</v>
      </c>
      <c r="F1716" s="22">
        <v>2</v>
      </c>
      <c r="G1716" s="21" t="s">
        <v>209</v>
      </c>
      <c r="H1716" s="24">
        <f t="shared" ref="H1716:H1724" si="300">(D1716*400)+(E1716*100)+F1716</f>
        <v>29002</v>
      </c>
      <c r="I1716" s="25">
        <v>4500</v>
      </c>
      <c r="J1716" s="24">
        <f t="shared" si="298"/>
        <v>130509000</v>
      </c>
      <c r="K1716" s="20"/>
      <c r="L1716" s="20"/>
      <c r="M1716" s="20"/>
      <c r="N1716" s="20"/>
      <c r="O1716" s="24"/>
      <c r="P1716" s="24"/>
      <c r="Q1716" s="25"/>
      <c r="R1716" s="24"/>
      <c r="S1716" s="20"/>
      <c r="T1716" s="27"/>
      <c r="U1716" s="20"/>
      <c r="V1716" s="27">
        <f t="shared" si="294"/>
        <v>130509000</v>
      </c>
      <c r="W1716" s="26">
        <f t="shared" si="292"/>
        <v>130509000</v>
      </c>
      <c r="X1716" s="27">
        <v>0</v>
      </c>
      <c r="Y1716" s="78">
        <f t="shared" si="299"/>
        <v>130509000</v>
      </c>
      <c r="Z1716" s="49">
        <v>3.0000000000000001E-3</v>
      </c>
    </row>
    <row r="1717" spans="1:26" s="29" customFormat="1" ht="90.75" customHeight="1" x14ac:dyDescent="0.25">
      <c r="A1717" s="20">
        <v>1112</v>
      </c>
      <c r="B1717" s="20" t="s">
        <v>0</v>
      </c>
      <c r="C1717" s="20">
        <v>48023</v>
      </c>
      <c r="D1717" s="21">
        <v>50</v>
      </c>
      <c r="E1717" s="21">
        <v>3</v>
      </c>
      <c r="F1717" s="22">
        <v>93</v>
      </c>
      <c r="G1717" s="21" t="s">
        <v>209</v>
      </c>
      <c r="H1717" s="24">
        <f t="shared" si="300"/>
        <v>20393</v>
      </c>
      <c r="I1717" s="25" t="s">
        <v>123</v>
      </c>
      <c r="J1717" s="24">
        <f t="shared" si="298"/>
        <v>91768500</v>
      </c>
      <c r="K1717" s="20"/>
      <c r="L1717" s="20"/>
      <c r="M1717" s="20"/>
      <c r="N1717" s="20"/>
      <c r="O1717" s="24"/>
      <c r="P1717" s="24"/>
      <c r="Q1717" s="25"/>
      <c r="R1717" s="24"/>
      <c r="S1717" s="20" t="s">
        <v>2</v>
      </c>
      <c r="T1717" s="27"/>
      <c r="U1717" s="20"/>
      <c r="V1717" s="27">
        <f t="shared" si="294"/>
        <v>91768500</v>
      </c>
      <c r="W1717" s="26">
        <f t="shared" si="292"/>
        <v>91768500</v>
      </c>
      <c r="X1717" s="27">
        <v>0</v>
      </c>
      <c r="Y1717" s="78">
        <f t="shared" si="299"/>
        <v>91768500</v>
      </c>
      <c r="Z1717" s="49">
        <v>3.0000000000000001E-3</v>
      </c>
    </row>
    <row r="1718" spans="1:26" s="29" customFormat="1" ht="90.75" customHeight="1" x14ac:dyDescent="0.25">
      <c r="A1718" s="20">
        <v>1113</v>
      </c>
      <c r="B1718" s="20" t="s">
        <v>0</v>
      </c>
      <c r="C1718" s="20">
        <v>48031</v>
      </c>
      <c r="D1718" s="21">
        <v>99</v>
      </c>
      <c r="E1718" s="21">
        <v>0</v>
      </c>
      <c r="F1718" s="22">
        <v>72</v>
      </c>
      <c r="G1718" s="21" t="s">
        <v>209</v>
      </c>
      <c r="H1718" s="24">
        <f t="shared" si="300"/>
        <v>39672</v>
      </c>
      <c r="I1718" s="25" t="s">
        <v>123</v>
      </c>
      <c r="J1718" s="24">
        <f t="shared" si="298"/>
        <v>178524000</v>
      </c>
      <c r="K1718" s="20"/>
      <c r="L1718" s="20" t="s">
        <v>2</v>
      </c>
      <c r="M1718" s="20" t="s">
        <v>2</v>
      </c>
      <c r="N1718" s="20"/>
      <c r="O1718" s="24"/>
      <c r="P1718" s="24"/>
      <c r="Q1718" s="25"/>
      <c r="R1718" s="24"/>
      <c r="S1718" s="20" t="s">
        <v>2</v>
      </c>
      <c r="T1718" s="27"/>
      <c r="U1718" s="20"/>
      <c r="V1718" s="27">
        <f t="shared" si="294"/>
        <v>178524000</v>
      </c>
      <c r="W1718" s="26">
        <f t="shared" si="292"/>
        <v>178524000</v>
      </c>
      <c r="X1718" s="27">
        <v>0</v>
      </c>
      <c r="Y1718" s="78">
        <f t="shared" si="299"/>
        <v>178524000</v>
      </c>
      <c r="Z1718" s="49">
        <v>3.0000000000000001E-3</v>
      </c>
    </row>
    <row r="1719" spans="1:26" s="29" customFormat="1" ht="90.75" customHeight="1" x14ac:dyDescent="0.25">
      <c r="A1719" s="20">
        <v>1114</v>
      </c>
      <c r="B1719" s="20" t="s">
        <v>0</v>
      </c>
      <c r="C1719" s="20">
        <v>48034</v>
      </c>
      <c r="D1719" s="21">
        <v>1</v>
      </c>
      <c r="E1719" s="21">
        <v>2</v>
      </c>
      <c r="F1719" s="22">
        <v>4</v>
      </c>
      <c r="G1719" s="21" t="s">
        <v>209</v>
      </c>
      <c r="H1719" s="24">
        <f t="shared" si="300"/>
        <v>604</v>
      </c>
      <c r="I1719" s="25">
        <v>4500</v>
      </c>
      <c r="J1719" s="24">
        <f t="shared" si="298"/>
        <v>2718000</v>
      </c>
      <c r="K1719" s="20"/>
      <c r="L1719" s="20"/>
      <c r="M1719" s="20"/>
      <c r="N1719" s="20"/>
      <c r="O1719" s="24"/>
      <c r="P1719" s="24"/>
      <c r="Q1719" s="25"/>
      <c r="R1719" s="24"/>
      <c r="S1719" s="20" t="s">
        <v>2</v>
      </c>
      <c r="T1719" s="27"/>
      <c r="U1719" s="20"/>
      <c r="V1719" s="27">
        <f t="shared" si="294"/>
        <v>2718000</v>
      </c>
      <c r="W1719" s="26">
        <f t="shared" si="292"/>
        <v>2718000</v>
      </c>
      <c r="X1719" s="27">
        <v>0</v>
      </c>
      <c r="Y1719" s="78">
        <f t="shared" si="299"/>
        <v>2718000</v>
      </c>
      <c r="Z1719" s="49">
        <v>3.0000000000000001E-3</v>
      </c>
    </row>
    <row r="1720" spans="1:26" s="29" customFormat="1" ht="90.75" customHeight="1" x14ac:dyDescent="0.25">
      <c r="A1720" s="20">
        <v>1115</v>
      </c>
      <c r="B1720" s="20" t="s">
        <v>0</v>
      </c>
      <c r="C1720" s="20">
        <v>48037</v>
      </c>
      <c r="D1720" s="21">
        <v>10</v>
      </c>
      <c r="E1720" s="21">
        <v>2</v>
      </c>
      <c r="F1720" s="22">
        <v>81</v>
      </c>
      <c r="G1720" s="21" t="s">
        <v>209</v>
      </c>
      <c r="H1720" s="24">
        <f t="shared" si="300"/>
        <v>4281</v>
      </c>
      <c r="I1720" s="25" t="s">
        <v>123</v>
      </c>
      <c r="J1720" s="24">
        <f t="shared" si="298"/>
        <v>19264500</v>
      </c>
      <c r="K1720" s="20"/>
      <c r="L1720" s="20"/>
      <c r="M1720" s="20"/>
      <c r="N1720" s="20"/>
      <c r="O1720" s="24"/>
      <c r="P1720" s="24"/>
      <c r="Q1720" s="25"/>
      <c r="R1720" s="24"/>
      <c r="S1720" s="20"/>
      <c r="T1720" s="27"/>
      <c r="U1720" s="20"/>
      <c r="V1720" s="27">
        <f t="shared" si="294"/>
        <v>19264500</v>
      </c>
      <c r="W1720" s="26">
        <f t="shared" ref="W1720:W1749" si="301">(V1720*100/100)</f>
        <v>19264500</v>
      </c>
      <c r="X1720" s="27">
        <v>0</v>
      </c>
      <c r="Y1720" s="78">
        <f t="shared" si="299"/>
        <v>19264500</v>
      </c>
      <c r="Z1720" s="49">
        <v>3.0000000000000001E-3</v>
      </c>
    </row>
    <row r="1721" spans="1:26" s="29" customFormat="1" ht="90.75" customHeight="1" x14ac:dyDescent="0.25">
      <c r="A1721" s="20">
        <v>1116</v>
      </c>
      <c r="B1721" s="20" t="s">
        <v>0</v>
      </c>
      <c r="C1721" s="20">
        <v>48038</v>
      </c>
      <c r="D1721" s="21">
        <v>16</v>
      </c>
      <c r="E1721" s="21">
        <v>2</v>
      </c>
      <c r="F1721" s="22">
        <v>92</v>
      </c>
      <c r="G1721" s="21" t="s">
        <v>209</v>
      </c>
      <c r="H1721" s="24">
        <f t="shared" si="300"/>
        <v>6692</v>
      </c>
      <c r="I1721" s="25" t="s">
        <v>123</v>
      </c>
      <c r="J1721" s="24">
        <f t="shared" si="298"/>
        <v>30114000</v>
      </c>
      <c r="K1721" s="20"/>
      <c r="L1721" s="20"/>
      <c r="M1721" s="20"/>
      <c r="N1721" s="20"/>
      <c r="O1721" s="24"/>
      <c r="P1721" s="24"/>
      <c r="Q1721" s="25"/>
      <c r="R1721" s="24"/>
      <c r="S1721" s="20"/>
      <c r="T1721" s="27"/>
      <c r="U1721" s="20"/>
      <c r="V1721" s="27">
        <f t="shared" si="294"/>
        <v>30114000</v>
      </c>
      <c r="W1721" s="26">
        <f t="shared" si="301"/>
        <v>30114000</v>
      </c>
      <c r="X1721" s="27">
        <v>0</v>
      </c>
      <c r="Y1721" s="78">
        <f t="shared" si="299"/>
        <v>30114000</v>
      </c>
      <c r="Z1721" s="49">
        <v>3.0000000000000001E-3</v>
      </c>
    </row>
    <row r="1722" spans="1:26" s="29" customFormat="1" ht="90.75" customHeight="1" x14ac:dyDescent="0.25">
      <c r="A1722" s="20">
        <v>1117</v>
      </c>
      <c r="B1722" s="20" t="s">
        <v>0</v>
      </c>
      <c r="C1722" s="20">
        <v>47958</v>
      </c>
      <c r="D1722" s="21">
        <v>32</v>
      </c>
      <c r="E1722" s="21">
        <v>1</v>
      </c>
      <c r="F1722" s="22">
        <v>13</v>
      </c>
      <c r="G1722" s="21" t="s">
        <v>209</v>
      </c>
      <c r="H1722" s="24">
        <f t="shared" si="300"/>
        <v>12913</v>
      </c>
      <c r="I1722" s="25" t="s">
        <v>123</v>
      </c>
      <c r="J1722" s="24">
        <f t="shared" si="298"/>
        <v>58108500</v>
      </c>
      <c r="K1722" s="20"/>
      <c r="L1722" s="20"/>
      <c r="M1722" s="20"/>
      <c r="N1722" s="20"/>
      <c r="O1722" s="24"/>
      <c r="P1722" s="24"/>
      <c r="Q1722" s="25"/>
      <c r="R1722" s="24"/>
      <c r="S1722" s="20" t="s">
        <v>2</v>
      </c>
      <c r="T1722" s="27"/>
      <c r="U1722" s="20"/>
      <c r="V1722" s="27">
        <f t="shared" ref="V1722:V1749" si="302">(J1722+U1722)</f>
        <v>58108500</v>
      </c>
      <c r="W1722" s="26">
        <f t="shared" si="301"/>
        <v>58108500</v>
      </c>
      <c r="X1722" s="27">
        <v>0</v>
      </c>
      <c r="Y1722" s="78">
        <f t="shared" si="299"/>
        <v>58108500</v>
      </c>
      <c r="Z1722" s="49">
        <v>3.0000000000000001E-3</v>
      </c>
    </row>
    <row r="1723" spans="1:26" s="29" customFormat="1" ht="90.75" customHeight="1" x14ac:dyDescent="0.25">
      <c r="A1723" s="20">
        <v>1118</v>
      </c>
      <c r="B1723" s="20" t="s">
        <v>0</v>
      </c>
      <c r="C1723" s="20">
        <v>47959</v>
      </c>
      <c r="D1723" s="21">
        <v>20</v>
      </c>
      <c r="E1723" s="21">
        <v>2</v>
      </c>
      <c r="F1723" s="22">
        <v>91</v>
      </c>
      <c r="G1723" s="21" t="s">
        <v>209</v>
      </c>
      <c r="H1723" s="24">
        <f t="shared" si="300"/>
        <v>8291</v>
      </c>
      <c r="I1723" s="25" t="s">
        <v>123</v>
      </c>
      <c r="J1723" s="24">
        <f t="shared" si="298"/>
        <v>37309500</v>
      </c>
      <c r="K1723" s="20"/>
      <c r="L1723" s="20"/>
      <c r="M1723" s="20"/>
      <c r="N1723" s="20"/>
      <c r="O1723" s="24"/>
      <c r="P1723" s="24"/>
      <c r="Q1723" s="25"/>
      <c r="R1723" s="24"/>
      <c r="S1723" s="20" t="s">
        <v>2</v>
      </c>
      <c r="T1723" s="27"/>
      <c r="U1723" s="20"/>
      <c r="V1723" s="27">
        <f t="shared" si="302"/>
        <v>37309500</v>
      </c>
      <c r="W1723" s="26">
        <f t="shared" si="301"/>
        <v>37309500</v>
      </c>
      <c r="X1723" s="27">
        <v>0</v>
      </c>
      <c r="Y1723" s="78">
        <f t="shared" si="299"/>
        <v>37309500</v>
      </c>
      <c r="Z1723" s="49">
        <v>3.0000000000000001E-3</v>
      </c>
    </row>
    <row r="1724" spans="1:26" s="29" customFormat="1" ht="90.75" customHeight="1" x14ac:dyDescent="0.25">
      <c r="A1724" s="20">
        <v>1119</v>
      </c>
      <c r="B1724" s="20" t="s">
        <v>0</v>
      </c>
      <c r="C1724" s="20">
        <v>47956</v>
      </c>
      <c r="D1724" s="21">
        <v>27</v>
      </c>
      <c r="E1724" s="21">
        <v>0</v>
      </c>
      <c r="F1724" s="22">
        <v>71</v>
      </c>
      <c r="G1724" s="21" t="s">
        <v>209</v>
      </c>
      <c r="H1724" s="24">
        <f t="shared" si="300"/>
        <v>10871</v>
      </c>
      <c r="I1724" s="25" t="s">
        <v>123</v>
      </c>
      <c r="J1724" s="24">
        <f t="shared" si="298"/>
        <v>48919500</v>
      </c>
      <c r="K1724" s="20"/>
      <c r="L1724" s="20" t="s">
        <v>2</v>
      </c>
      <c r="M1724" s="20"/>
      <c r="N1724" s="20"/>
      <c r="O1724" s="24"/>
      <c r="P1724" s="24"/>
      <c r="Q1724" s="25"/>
      <c r="R1724" s="24"/>
      <c r="S1724" s="20" t="s">
        <v>2</v>
      </c>
      <c r="T1724" s="27"/>
      <c r="U1724" s="20"/>
      <c r="V1724" s="27">
        <f t="shared" si="302"/>
        <v>48919500</v>
      </c>
      <c r="W1724" s="26">
        <f t="shared" si="301"/>
        <v>48919500</v>
      </c>
      <c r="X1724" s="27">
        <v>0</v>
      </c>
      <c r="Y1724" s="78">
        <f t="shared" si="299"/>
        <v>48919500</v>
      </c>
      <c r="Z1724" s="49">
        <v>3.0000000000000001E-3</v>
      </c>
    </row>
    <row r="1725" spans="1:26" s="29" customFormat="1" ht="90.75" customHeight="1" x14ac:dyDescent="0.25">
      <c r="A1725" s="20"/>
      <c r="B1725" s="20" t="s">
        <v>0</v>
      </c>
      <c r="C1725" s="20">
        <v>47956</v>
      </c>
      <c r="D1725" s="21"/>
      <c r="E1725" s="21"/>
      <c r="F1725" s="22"/>
      <c r="G1725" s="21" t="s">
        <v>209</v>
      </c>
      <c r="H1725" s="24">
        <v>9</v>
      </c>
      <c r="I1725" s="25">
        <v>4500</v>
      </c>
      <c r="J1725" s="24">
        <f t="shared" si="298"/>
        <v>40500</v>
      </c>
      <c r="K1725" s="20"/>
      <c r="L1725" s="20"/>
      <c r="M1725" s="20"/>
      <c r="N1725" s="20"/>
      <c r="O1725" s="24"/>
      <c r="P1725" s="24"/>
      <c r="Q1725" s="25"/>
      <c r="R1725" s="24"/>
      <c r="S1725" s="20"/>
      <c r="T1725" s="27"/>
      <c r="U1725" s="20"/>
      <c r="V1725" s="27">
        <f t="shared" si="302"/>
        <v>40500</v>
      </c>
      <c r="W1725" s="26">
        <f t="shared" si="301"/>
        <v>40500</v>
      </c>
      <c r="X1725" s="27">
        <v>0</v>
      </c>
      <c r="Y1725" s="78">
        <f t="shared" si="299"/>
        <v>40500</v>
      </c>
      <c r="Z1725" s="49">
        <v>3.0000000000000001E-3</v>
      </c>
    </row>
    <row r="1726" spans="1:26" s="29" customFormat="1" ht="90.75" customHeight="1" x14ac:dyDescent="0.25">
      <c r="A1726" s="20">
        <v>1120</v>
      </c>
      <c r="B1726" s="20" t="s">
        <v>0</v>
      </c>
      <c r="C1726" s="20">
        <v>47955</v>
      </c>
      <c r="D1726" s="21">
        <v>9</v>
      </c>
      <c r="E1726" s="21">
        <v>0</v>
      </c>
      <c r="F1726" s="22">
        <v>52</v>
      </c>
      <c r="G1726" s="21" t="s">
        <v>209</v>
      </c>
      <c r="H1726" s="24">
        <f t="shared" ref="H1726:H1734" si="303">(D1726*400)+(E1726*100)+F1726</f>
        <v>3652</v>
      </c>
      <c r="I1726" s="25" t="s">
        <v>123</v>
      </c>
      <c r="J1726" s="24">
        <f t="shared" si="298"/>
        <v>16434000</v>
      </c>
      <c r="K1726" s="20"/>
      <c r="L1726" s="20"/>
      <c r="M1726" s="20"/>
      <c r="N1726" s="20"/>
      <c r="O1726" s="24"/>
      <c r="P1726" s="24"/>
      <c r="Q1726" s="25"/>
      <c r="R1726" s="24"/>
      <c r="S1726" s="20" t="s">
        <v>2</v>
      </c>
      <c r="T1726" s="27"/>
      <c r="U1726" s="20"/>
      <c r="V1726" s="27">
        <f t="shared" si="302"/>
        <v>16434000</v>
      </c>
      <c r="W1726" s="26">
        <f t="shared" si="301"/>
        <v>16434000</v>
      </c>
      <c r="X1726" s="27">
        <v>0</v>
      </c>
      <c r="Y1726" s="78">
        <f t="shared" si="299"/>
        <v>16434000</v>
      </c>
      <c r="Z1726" s="49">
        <v>3.0000000000000001E-3</v>
      </c>
    </row>
    <row r="1727" spans="1:26" s="29" customFormat="1" ht="90.75" customHeight="1" x14ac:dyDescent="0.25">
      <c r="A1727" s="20">
        <v>1121</v>
      </c>
      <c r="B1727" s="20" t="s">
        <v>0</v>
      </c>
      <c r="C1727" s="20">
        <v>47957</v>
      </c>
      <c r="D1727" s="21">
        <v>29</v>
      </c>
      <c r="E1727" s="21">
        <v>2</v>
      </c>
      <c r="F1727" s="22">
        <v>25</v>
      </c>
      <c r="G1727" s="21" t="s">
        <v>209</v>
      </c>
      <c r="H1727" s="24">
        <f t="shared" si="303"/>
        <v>11825</v>
      </c>
      <c r="I1727" s="25" t="s">
        <v>123</v>
      </c>
      <c r="J1727" s="24">
        <f t="shared" si="298"/>
        <v>53212500</v>
      </c>
      <c r="K1727" s="20"/>
      <c r="L1727" s="20" t="s">
        <v>2</v>
      </c>
      <c r="M1727" s="20" t="s">
        <v>2</v>
      </c>
      <c r="N1727" s="20"/>
      <c r="O1727" s="24"/>
      <c r="P1727" s="24"/>
      <c r="Q1727" s="25"/>
      <c r="R1727" s="24"/>
      <c r="S1727" s="20" t="s">
        <v>2</v>
      </c>
      <c r="T1727" s="27"/>
      <c r="U1727" s="20"/>
      <c r="V1727" s="27">
        <f t="shared" si="302"/>
        <v>53212500</v>
      </c>
      <c r="W1727" s="26">
        <f t="shared" si="301"/>
        <v>53212500</v>
      </c>
      <c r="X1727" s="27">
        <v>0</v>
      </c>
      <c r="Y1727" s="78">
        <f t="shared" si="299"/>
        <v>53212500</v>
      </c>
      <c r="Z1727" s="49">
        <v>3.0000000000000001E-3</v>
      </c>
    </row>
    <row r="1728" spans="1:26" s="29" customFormat="1" ht="90.75" customHeight="1" x14ac:dyDescent="0.25">
      <c r="A1728" s="20">
        <v>1122</v>
      </c>
      <c r="B1728" s="20" t="s">
        <v>0</v>
      </c>
      <c r="C1728" s="20">
        <v>47945</v>
      </c>
      <c r="D1728" s="21">
        <v>22</v>
      </c>
      <c r="E1728" s="21">
        <v>0</v>
      </c>
      <c r="F1728" s="22">
        <v>56</v>
      </c>
      <c r="G1728" s="21" t="s">
        <v>209</v>
      </c>
      <c r="H1728" s="24">
        <f t="shared" si="303"/>
        <v>8856</v>
      </c>
      <c r="I1728" s="25" t="s">
        <v>123</v>
      </c>
      <c r="J1728" s="24">
        <f t="shared" si="298"/>
        <v>39852000</v>
      </c>
      <c r="K1728" s="20"/>
      <c r="L1728" s="20"/>
      <c r="M1728" s="20"/>
      <c r="N1728" s="20"/>
      <c r="O1728" s="24"/>
      <c r="P1728" s="24"/>
      <c r="Q1728" s="25"/>
      <c r="R1728" s="24"/>
      <c r="S1728" s="20" t="s">
        <v>2</v>
      </c>
      <c r="T1728" s="27"/>
      <c r="U1728" s="20"/>
      <c r="V1728" s="27">
        <f t="shared" si="302"/>
        <v>39852000</v>
      </c>
      <c r="W1728" s="26">
        <f t="shared" si="301"/>
        <v>39852000</v>
      </c>
      <c r="X1728" s="27">
        <v>0</v>
      </c>
      <c r="Y1728" s="78">
        <f t="shared" si="299"/>
        <v>39852000</v>
      </c>
      <c r="Z1728" s="49">
        <v>3.0000000000000001E-3</v>
      </c>
    </row>
    <row r="1729" spans="1:26" s="29" customFormat="1" ht="90.75" customHeight="1" x14ac:dyDescent="0.25">
      <c r="A1729" s="20">
        <v>1123</v>
      </c>
      <c r="B1729" s="20" t="s">
        <v>0</v>
      </c>
      <c r="C1729" s="20">
        <v>47930</v>
      </c>
      <c r="D1729" s="21">
        <v>3</v>
      </c>
      <c r="E1729" s="21">
        <v>1</v>
      </c>
      <c r="F1729" s="22">
        <v>5</v>
      </c>
      <c r="G1729" s="21" t="s">
        <v>209</v>
      </c>
      <c r="H1729" s="24">
        <f t="shared" si="303"/>
        <v>1305</v>
      </c>
      <c r="I1729" s="25" t="s">
        <v>123</v>
      </c>
      <c r="J1729" s="24">
        <f t="shared" si="298"/>
        <v>5872500</v>
      </c>
      <c r="K1729" s="20"/>
      <c r="L1729" s="20" t="s">
        <v>2</v>
      </c>
      <c r="M1729" s="20" t="s">
        <v>2</v>
      </c>
      <c r="N1729" s="20"/>
      <c r="O1729" s="24"/>
      <c r="P1729" s="24"/>
      <c r="Q1729" s="25"/>
      <c r="R1729" s="24"/>
      <c r="S1729" s="20" t="s">
        <v>2</v>
      </c>
      <c r="T1729" s="27"/>
      <c r="U1729" s="20"/>
      <c r="V1729" s="27">
        <f t="shared" si="302"/>
        <v>5872500</v>
      </c>
      <c r="W1729" s="26">
        <f t="shared" si="301"/>
        <v>5872500</v>
      </c>
      <c r="X1729" s="27">
        <v>0</v>
      </c>
      <c r="Y1729" s="78">
        <f t="shared" si="299"/>
        <v>5872500</v>
      </c>
      <c r="Z1729" s="49">
        <v>3.0000000000000001E-3</v>
      </c>
    </row>
    <row r="1730" spans="1:26" s="29" customFormat="1" ht="90.75" customHeight="1" x14ac:dyDescent="0.25">
      <c r="A1730" s="20">
        <v>1124</v>
      </c>
      <c r="B1730" s="20" t="s">
        <v>0</v>
      </c>
      <c r="C1730" s="20">
        <v>47925</v>
      </c>
      <c r="D1730" s="21">
        <v>8</v>
      </c>
      <c r="E1730" s="21">
        <v>0</v>
      </c>
      <c r="F1730" s="22">
        <v>9</v>
      </c>
      <c r="G1730" s="21" t="s">
        <v>209</v>
      </c>
      <c r="H1730" s="24">
        <f t="shared" si="303"/>
        <v>3209</v>
      </c>
      <c r="I1730" s="25">
        <v>875</v>
      </c>
      <c r="J1730" s="24">
        <f t="shared" si="298"/>
        <v>2807875</v>
      </c>
      <c r="K1730" s="20"/>
      <c r="L1730" s="20"/>
      <c r="M1730" s="20"/>
      <c r="N1730" s="20"/>
      <c r="O1730" s="24"/>
      <c r="P1730" s="24"/>
      <c r="Q1730" s="25"/>
      <c r="R1730" s="24"/>
      <c r="S1730" s="20"/>
      <c r="T1730" s="27"/>
      <c r="U1730" s="20"/>
      <c r="V1730" s="27">
        <f t="shared" si="302"/>
        <v>2807875</v>
      </c>
      <c r="W1730" s="26">
        <f t="shared" si="301"/>
        <v>2807875</v>
      </c>
      <c r="X1730" s="27">
        <v>0</v>
      </c>
      <c r="Y1730" s="78">
        <f t="shared" si="299"/>
        <v>2807875</v>
      </c>
      <c r="Z1730" s="49">
        <v>3.0000000000000001E-3</v>
      </c>
    </row>
    <row r="1731" spans="1:26" s="29" customFormat="1" ht="90.75" customHeight="1" x14ac:dyDescent="0.25">
      <c r="A1731" s="20">
        <v>1125</v>
      </c>
      <c r="B1731" s="20" t="s">
        <v>0</v>
      </c>
      <c r="C1731" s="20">
        <v>11614</v>
      </c>
      <c r="D1731" s="21">
        <v>25</v>
      </c>
      <c r="E1731" s="21">
        <v>2</v>
      </c>
      <c r="F1731" s="22">
        <v>38</v>
      </c>
      <c r="G1731" s="21" t="s">
        <v>209</v>
      </c>
      <c r="H1731" s="24">
        <f t="shared" si="303"/>
        <v>10238</v>
      </c>
      <c r="I1731" s="25" t="s">
        <v>123</v>
      </c>
      <c r="J1731" s="24">
        <f t="shared" si="298"/>
        <v>46071000</v>
      </c>
      <c r="K1731" s="20"/>
      <c r="L1731" s="20" t="s">
        <v>2</v>
      </c>
      <c r="M1731" s="20" t="s">
        <v>2</v>
      </c>
      <c r="N1731" s="20"/>
      <c r="O1731" s="24"/>
      <c r="P1731" s="24"/>
      <c r="Q1731" s="25"/>
      <c r="R1731" s="24"/>
      <c r="S1731" s="20" t="s">
        <v>2</v>
      </c>
      <c r="T1731" s="27"/>
      <c r="U1731" s="20"/>
      <c r="V1731" s="27">
        <f t="shared" si="302"/>
        <v>46071000</v>
      </c>
      <c r="W1731" s="26">
        <f t="shared" si="301"/>
        <v>46071000</v>
      </c>
      <c r="X1731" s="27">
        <v>0</v>
      </c>
      <c r="Y1731" s="78">
        <f t="shared" si="299"/>
        <v>46071000</v>
      </c>
      <c r="Z1731" s="49">
        <v>3.0000000000000001E-3</v>
      </c>
    </row>
    <row r="1732" spans="1:26" s="29" customFormat="1" ht="90.75" customHeight="1" x14ac:dyDescent="0.25">
      <c r="A1732" s="20">
        <v>1126</v>
      </c>
      <c r="B1732" s="20" t="s">
        <v>0</v>
      </c>
      <c r="C1732" s="20">
        <v>11540</v>
      </c>
      <c r="D1732" s="21">
        <v>16</v>
      </c>
      <c r="E1732" s="21">
        <v>1</v>
      </c>
      <c r="F1732" s="22">
        <v>0</v>
      </c>
      <c r="G1732" s="21" t="s">
        <v>209</v>
      </c>
      <c r="H1732" s="24">
        <f t="shared" si="303"/>
        <v>6500</v>
      </c>
      <c r="I1732" s="25" t="s">
        <v>123</v>
      </c>
      <c r="J1732" s="24">
        <f t="shared" si="298"/>
        <v>29250000</v>
      </c>
      <c r="K1732" s="20"/>
      <c r="L1732" s="20" t="s">
        <v>2</v>
      </c>
      <c r="M1732" s="20" t="s">
        <v>2</v>
      </c>
      <c r="N1732" s="20"/>
      <c r="O1732" s="24"/>
      <c r="P1732" s="24"/>
      <c r="Q1732" s="25"/>
      <c r="R1732" s="24"/>
      <c r="S1732" s="20" t="s">
        <v>2</v>
      </c>
      <c r="T1732" s="27"/>
      <c r="U1732" s="20"/>
      <c r="V1732" s="27">
        <f t="shared" si="302"/>
        <v>29250000</v>
      </c>
      <c r="W1732" s="26">
        <f t="shared" si="301"/>
        <v>29250000</v>
      </c>
      <c r="X1732" s="27">
        <v>0</v>
      </c>
      <c r="Y1732" s="78">
        <f t="shared" si="299"/>
        <v>29250000</v>
      </c>
      <c r="Z1732" s="49">
        <v>3.0000000000000001E-3</v>
      </c>
    </row>
    <row r="1733" spans="1:26" s="29" customFormat="1" ht="90.75" customHeight="1" x14ac:dyDescent="0.25">
      <c r="A1733" s="20">
        <v>1127</v>
      </c>
      <c r="B1733" s="20" t="s">
        <v>0</v>
      </c>
      <c r="C1733" s="20">
        <v>47940</v>
      </c>
      <c r="D1733" s="21">
        <v>55</v>
      </c>
      <c r="E1733" s="21">
        <v>3</v>
      </c>
      <c r="F1733" s="22">
        <v>73</v>
      </c>
      <c r="G1733" s="21" t="s">
        <v>209</v>
      </c>
      <c r="H1733" s="24">
        <f t="shared" si="303"/>
        <v>22373</v>
      </c>
      <c r="I1733" s="25" t="s">
        <v>123</v>
      </c>
      <c r="J1733" s="24">
        <f t="shared" si="298"/>
        <v>100678500</v>
      </c>
      <c r="K1733" s="20"/>
      <c r="L1733" s="20" t="s">
        <v>2</v>
      </c>
      <c r="M1733" s="20" t="s">
        <v>2</v>
      </c>
      <c r="N1733" s="20"/>
      <c r="O1733" s="24"/>
      <c r="P1733" s="24"/>
      <c r="Q1733" s="25"/>
      <c r="R1733" s="24"/>
      <c r="S1733" s="20" t="s">
        <v>2</v>
      </c>
      <c r="T1733" s="27"/>
      <c r="U1733" s="20"/>
      <c r="V1733" s="27">
        <f t="shared" si="302"/>
        <v>100678500</v>
      </c>
      <c r="W1733" s="26">
        <f t="shared" si="301"/>
        <v>100678500</v>
      </c>
      <c r="X1733" s="27">
        <v>0</v>
      </c>
      <c r="Y1733" s="78">
        <f t="shared" si="299"/>
        <v>100678500</v>
      </c>
      <c r="Z1733" s="49">
        <v>3.0000000000000001E-3</v>
      </c>
    </row>
    <row r="1734" spans="1:26" s="29" customFormat="1" ht="90.75" customHeight="1" x14ac:dyDescent="0.25">
      <c r="A1734" s="20">
        <v>1128</v>
      </c>
      <c r="B1734" s="20" t="s">
        <v>0</v>
      </c>
      <c r="C1734" s="20">
        <v>47939</v>
      </c>
      <c r="D1734" s="21">
        <v>22</v>
      </c>
      <c r="E1734" s="21">
        <v>1</v>
      </c>
      <c r="F1734" s="22">
        <v>87</v>
      </c>
      <c r="G1734" s="21" t="s">
        <v>209</v>
      </c>
      <c r="H1734" s="24">
        <f t="shared" si="303"/>
        <v>8987</v>
      </c>
      <c r="I1734" s="25" t="s">
        <v>123</v>
      </c>
      <c r="J1734" s="24">
        <f t="shared" si="298"/>
        <v>40441500</v>
      </c>
      <c r="K1734" s="20"/>
      <c r="L1734" s="20" t="s">
        <v>2</v>
      </c>
      <c r="M1734" s="20" t="s">
        <v>2</v>
      </c>
      <c r="N1734" s="20"/>
      <c r="O1734" s="24"/>
      <c r="P1734" s="24"/>
      <c r="Q1734" s="25"/>
      <c r="R1734" s="24"/>
      <c r="S1734" s="20" t="s">
        <v>2</v>
      </c>
      <c r="T1734" s="27"/>
      <c r="U1734" s="20"/>
      <c r="V1734" s="27">
        <f t="shared" si="302"/>
        <v>40441500</v>
      </c>
      <c r="W1734" s="26">
        <f t="shared" si="301"/>
        <v>40441500</v>
      </c>
      <c r="X1734" s="27">
        <v>0</v>
      </c>
      <c r="Y1734" s="78">
        <f t="shared" si="299"/>
        <v>40441500</v>
      </c>
      <c r="Z1734" s="49">
        <v>3.0000000000000001E-3</v>
      </c>
    </row>
    <row r="1735" spans="1:26" s="29" customFormat="1" ht="90.75" customHeight="1" x14ac:dyDescent="0.25">
      <c r="A1735" s="20"/>
      <c r="B1735" s="20" t="s">
        <v>0</v>
      </c>
      <c r="C1735" s="20">
        <v>47939</v>
      </c>
      <c r="D1735" s="21"/>
      <c r="E1735" s="21"/>
      <c r="F1735" s="22"/>
      <c r="G1735" s="21" t="s">
        <v>209</v>
      </c>
      <c r="H1735" s="24">
        <v>0.75</v>
      </c>
      <c r="I1735" s="25">
        <v>4500</v>
      </c>
      <c r="J1735" s="24">
        <f t="shared" si="298"/>
        <v>3375</v>
      </c>
      <c r="K1735" s="20">
        <v>1</v>
      </c>
      <c r="L1735" s="20" t="s">
        <v>215</v>
      </c>
      <c r="M1735" s="20" t="s">
        <v>13</v>
      </c>
      <c r="N1735" s="20">
        <v>3</v>
      </c>
      <c r="O1735" s="24">
        <v>3</v>
      </c>
      <c r="P1735" s="24">
        <v>100</v>
      </c>
      <c r="Q1735" s="25">
        <v>6450</v>
      </c>
      <c r="R1735" s="24">
        <f t="shared" ref="R1735:R1747" si="304">(O1735*Q1735)</f>
        <v>19350</v>
      </c>
      <c r="S1735" s="20">
        <v>8</v>
      </c>
      <c r="T1735" s="24">
        <f t="shared" ref="T1735:T1747" si="305">(R1735*8/100)</f>
        <v>1548</v>
      </c>
      <c r="U1735" s="27">
        <f t="shared" ref="U1735:U1747" si="306">(R1735-T1735)</f>
        <v>17802</v>
      </c>
      <c r="V1735" s="27">
        <f t="shared" si="302"/>
        <v>21177</v>
      </c>
      <c r="W1735" s="26">
        <f t="shared" si="301"/>
        <v>21177</v>
      </c>
      <c r="X1735" s="27">
        <v>0</v>
      </c>
      <c r="Y1735" s="78">
        <f t="shared" si="299"/>
        <v>21177</v>
      </c>
      <c r="Z1735" s="49">
        <v>3.0000000000000001E-3</v>
      </c>
    </row>
    <row r="1736" spans="1:26" s="29" customFormat="1" ht="90.75" customHeight="1" x14ac:dyDescent="0.25">
      <c r="A1736" s="20"/>
      <c r="B1736" s="20" t="s">
        <v>0</v>
      </c>
      <c r="C1736" s="20">
        <v>47939</v>
      </c>
      <c r="D1736" s="21"/>
      <c r="E1736" s="21"/>
      <c r="F1736" s="22"/>
      <c r="G1736" s="23"/>
      <c r="H1736" s="24">
        <v>6.25</v>
      </c>
      <c r="I1736" s="25">
        <v>4500</v>
      </c>
      <c r="J1736" s="24">
        <f t="shared" si="298"/>
        <v>28125</v>
      </c>
      <c r="K1736" s="20">
        <v>2</v>
      </c>
      <c r="L1736" s="20" t="s">
        <v>29</v>
      </c>
      <c r="M1736" s="20" t="s">
        <v>13</v>
      </c>
      <c r="N1736" s="20">
        <v>3</v>
      </c>
      <c r="O1736" s="24">
        <v>25</v>
      </c>
      <c r="P1736" s="24">
        <v>100</v>
      </c>
      <c r="Q1736" s="25">
        <v>5550</v>
      </c>
      <c r="R1736" s="24">
        <f t="shared" si="304"/>
        <v>138750</v>
      </c>
      <c r="S1736" s="20">
        <v>8</v>
      </c>
      <c r="T1736" s="24">
        <f t="shared" si="305"/>
        <v>11100</v>
      </c>
      <c r="U1736" s="27">
        <f t="shared" si="306"/>
        <v>127650</v>
      </c>
      <c r="V1736" s="27">
        <f t="shared" si="302"/>
        <v>155775</v>
      </c>
      <c r="W1736" s="26">
        <f t="shared" si="301"/>
        <v>155775</v>
      </c>
      <c r="X1736" s="27">
        <v>0</v>
      </c>
      <c r="Y1736" s="78">
        <f t="shared" si="299"/>
        <v>155775</v>
      </c>
      <c r="Z1736" s="49">
        <v>3.0000000000000001E-3</v>
      </c>
    </row>
    <row r="1737" spans="1:26" s="29" customFormat="1" ht="90.75" customHeight="1" x14ac:dyDescent="0.25">
      <c r="A1737" s="20"/>
      <c r="B1737" s="20" t="s">
        <v>0</v>
      </c>
      <c r="C1737" s="20">
        <v>47939</v>
      </c>
      <c r="D1737" s="21"/>
      <c r="E1737" s="21"/>
      <c r="F1737" s="22"/>
      <c r="G1737" s="23"/>
      <c r="H1737" s="24">
        <v>15</v>
      </c>
      <c r="I1737" s="25">
        <v>4500</v>
      </c>
      <c r="J1737" s="24">
        <f t="shared" si="298"/>
        <v>67500</v>
      </c>
      <c r="K1737" s="20">
        <v>3</v>
      </c>
      <c r="L1737" s="20" t="s">
        <v>15</v>
      </c>
      <c r="M1737" s="20" t="s">
        <v>13</v>
      </c>
      <c r="N1737" s="20">
        <v>3</v>
      </c>
      <c r="O1737" s="24">
        <v>60</v>
      </c>
      <c r="P1737" s="24">
        <v>100</v>
      </c>
      <c r="Q1737" s="25">
        <v>5950</v>
      </c>
      <c r="R1737" s="24">
        <f t="shared" si="304"/>
        <v>357000</v>
      </c>
      <c r="S1737" s="20">
        <v>8</v>
      </c>
      <c r="T1737" s="24">
        <f t="shared" si="305"/>
        <v>28560</v>
      </c>
      <c r="U1737" s="27">
        <f t="shared" si="306"/>
        <v>328440</v>
      </c>
      <c r="V1737" s="27">
        <f t="shared" si="302"/>
        <v>395940</v>
      </c>
      <c r="W1737" s="26">
        <f t="shared" si="301"/>
        <v>395940</v>
      </c>
      <c r="X1737" s="27">
        <v>0</v>
      </c>
      <c r="Y1737" s="78">
        <f t="shared" si="299"/>
        <v>395940</v>
      </c>
      <c r="Z1737" s="49">
        <v>3.0000000000000001E-3</v>
      </c>
    </row>
    <row r="1738" spans="1:26" s="29" customFormat="1" ht="90.75" customHeight="1" x14ac:dyDescent="0.25">
      <c r="A1738" s="20"/>
      <c r="B1738" s="20" t="s">
        <v>0</v>
      </c>
      <c r="C1738" s="20">
        <v>47939</v>
      </c>
      <c r="D1738" s="21"/>
      <c r="E1738" s="21"/>
      <c r="F1738" s="22"/>
      <c r="G1738" s="23"/>
      <c r="H1738" s="24">
        <v>1.5625</v>
      </c>
      <c r="I1738" s="25">
        <v>4500</v>
      </c>
      <c r="J1738" s="24">
        <f t="shared" si="298"/>
        <v>7031.25</v>
      </c>
      <c r="K1738" s="20">
        <v>4</v>
      </c>
      <c r="L1738" s="20" t="s">
        <v>15</v>
      </c>
      <c r="M1738" s="20" t="s">
        <v>13</v>
      </c>
      <c r="N1738" s="20">
        <v>3</v>
      </c>
      <c r="O1738" s="24" t="s">
        <v>159</v>
      </c>
      <c r="P1738" s="24">
        <v>100</v>
      </c>
      <c r="Q1738" s="25">
        <v>5950</v>
      </c>
      <c r="R1738" s="24">
        <f t="shared" si="304"/>
        <v>37187.5</v>
      </c>
      <c r="S1738" s="20">
        <v>8</v>
      </c>
      <c r="T1738" s="24">
        <f t="shared" si="305"/>
        <v>2975</v>
      </c>
      <c r="U1738" s="27">
        <f t="shared" si="306"/>
        <v>34212.5</v>
      </c>
      <c r="V1738" s="27">
        <f t="shared" si="302"/>
        <v>41243.75</v>
      </c>
      <c r="W1738" s="26">
        <f t="shared" si="301"/>
        <v>41243.75</v>
      </c>
      <c r="X1738" s="27">
        <v>0</v>
      </c>
      <c r="Y1738" s="78">
        <f t="shared" si="299"/>
        <v>41243.75</v>
      </c>
      <c r="Z1738" s="49">
        <v>3.0000000000000001E-3</v>
      </c>
    </row>
    <row r="1739" spans="1:26" s="29" customFormat="1" ht="90.75" customHeight="1" x14ac:dyDescent="0.25">
      <c r="A1739" s="20"/>
      <c r="B1739" s="20" t="s">
        <v>0</v>
      </c>
      <c r="C1739" s="20">
        <v>47939</v>
      </c>
      <c r="D1739" s="21"/>
      <c r="E1739" s="21"/>
      <c r="F1739" s="22"/>
      <c r="G1739" s="23"/>
      <c r="H1739" s="24">
        <v>291.25</v>
      </c>
      <c r="I1739" s="25">
        <v>4500</v>
      </c>
      <c r="J1739" s="24">
        <f t="shared" si="298"/>
        <v>1310625</v>
      </c>
      <c r="K1739" s="20">
        <v>5</v>
      </c>
      <c r="L1739" s="20" t="s">
        <v>15</v>
      </c>
      <c r="M1739" s="20" t="s">
        <v>13</v>
      </c>
      <c r="N1739" s="20">
        <v>3</v>
      </c>
      <c r="O1739" s="24" t="s">
        <v>160</v>
      </c>
      <c r="P1739" s="24">
        <v>100</v>
      </c>
      <c r="Q1739" s="25">
        <v>5950</v>
      </c>
      <c r="R1739" s="24">
        <f t="shared" si="304"/>
        <v>6931750</v>
      </c>
      <c r="S1739" s="20">
        <v>8</v>
      </c>
      <c r="T1739" s="24">
        <f t="shared" si="305"/>
        <v>554540</v>
      </c>
      <c r="U1739" s="27">
        <f t="shared" si="306"/>
        <v>6377210</v>
      </c>
      <c r="V1739" s="27">
        <f t="shared" si="302"/>
        <v>7687835</v>
      </c>
      <c r="W1739" s="26">
        <f t="shared" si="301"/>
        <v>7687835</v>
      </c>
      <c r="X1739" s="27">
        <v>0</v>
      </c>
      <c r="Y1739" s="78">
        <f t="shared" si="299"/>
        <v>7687835</v>
      </c>
      <c r="Z1739" s="49">
        <v>3.0000000000000001E-3</v>
      </c>
    </row>
    <row r="1740" spans="1:26" s="29" customFormat="1" ht="90.75" customHeight="1" x14ac:dyDescent="0.25">
      <c r="A1740" s="20"/>
      <c r="B1740" s="20" t="s">
        <v>0</v>
      </c>
      <c r="C1740" s="20">
        <v>47939</v>
      </c>
      <c r="D1740" s="21"/>
      <c r="E1740" s="21"/>
      <c r="F1740" s="22"/>
      <c r="G1740" s="23"/>
      <c r="H1740" s="24">
        <v>191</v>
      </c>
      <c r="I1740" s="25">
        <v>4500</v>
      </c>
      <c r="J1740" s="24">
        <f t="shared" si="298"/>
        <v>859500</v>
      </c>
      <c r="K1740" s="20">
        <v>6</v>
      </c>
      <c r="L1740" s="20" t="s">
        <v>15</v>
      </c>
      <c r="M1740" s="20" t="s">
        <v>13</v>
      </c>
      <c r="N1740" s="20">
        <v>3</v>
      </c>
      <c r="O1740" s="24" t="s">
        <v>161</v>
      </c>
      <c r="P1740" s="24">
        <v>100</v>
      </c>
      <c r="Q1740" s="25">
        <v>5950</v>
      </c>
      <c r="R1740" s="24">
        <f t="shared" si="304"/>
        <v>4545800</v>
      </c>
      <c r="S1740" s="20">
        <v>8</v>
      </c>
      <c r="T1740" s="24">
        <f t="shared" si="305"/>
        <v>363664</v>
      </c>
      <c r="U1740" s="27">
        <f t="shared" si="306"/>
        <v>4182136</v>
      </c>
      <c r="V1740" s="27">
        <f t="shared" si="302"/>
        <v>5041636</v>
      </c>
      <c r="W1740" s="26">
        <f t="shared" si="301"/>
        <v>5041636</v>
      </c>
      <c r="X1740" s="27">
        <v>0</v>
      </c>
      <c r="Y1740" s="78">
        <f t="shared" si="299"/>
        <v>5041636</v>
      </c>
      <c r="Z1740" s="49">
        <v>3.0000000000000001E-3</v>
      </c>
    </row>
    <row r="1741" spans="1:26" s="29" customFormat="1" ht="90.75" customHeight="1" x14ac:dyDescent="0.25">
      <c r="A1741" s="20"/>
      <c r="B1741" s="20" t="s">
        <v>0</v>
      </c>
      <c r="C1741" s="20">
        <v>47939</v>
      </c>
      <c r="D1741" s="21"/>
      <c r="E1741" s="21"/>
      <c r="F1741" s="22"/>
      <c r="G1741" s="23"/>
      <c r="H1741" s="24">
        <v>22.5</v>
      </c>
      <c r="I1741" s="25">
        <v>4500</v>
      </c>
      <c r="J1741" s="24">
        <f t="shared" si="298"/>
        <v>101250</v>
      </c>
      <c r="K1741" s="20">
        <v>7</v>
      </c>
      <c r="L1741" s="20" t="s">
        <v>15</v>
      </c>
      <c r="M1741" s="20" t="s">
        <v>13</v>
      </c>
      <c r="N1741" s="20">
        <v>3</v>
      </c>
      <c r="O1741" s="24" t="s">
        <v>162</v>
      </c>
      <c r="P1741" s="24">
        <v>100</v>
      </c>
      <c r="Q1741" s="25">
        <v>5950</v>
      </c>
      <c r="R1741" s="24">
        <f t="shared" si="304"/>
        <v>535500</v>
      </c>
      <c r="S1741" s="20">
        <v>8</v>
      </c>
      <c r="T1741" s="24">
        <f t="shared" si="305"/>
        <v>42840</v>
      </c>
      <c r="U1741" s="27">
        <f t="shared" si="306"/>
        <v>492660</v>
      </c>
      <c r="V1741" s="27">
        <f t="shared" si="302"/>
        <v>593910</v>
      </c>
      <c r="W1741" s="26">
        <f t="shared" si="301"/>
        <v>593910</v>
      </c>
      <c r="X1741" s="27">
        <v>0</v>
      </c>
      <c r="Y1741" s="78">
        <f t="shared" si="299"/>
        <v>593910</v>
      </c>
      <c r="Z1741" s="49">
        <v>3.0000000000000001E-3</v>
      </c>
    </row>
    <row r="1742" spans="1:26" s="29" customFormat="1" ht="90.75" customHeight="1" x14ac:dyDescent="0.25">
      <c r="A1742" s="20"/>
      <c r="B1742" s="20" t="s">
        <v>0</v>
      </c>
      <c r="C1742" s="20">
        <v>47939</v>
      </c>
      <c r="D1742" s="21"/>
      <c r="E1742" s="21"/>
      <c r="F1742" s="22"/>
      <c r="G1742" s="23"/>
      <c r="H1742" s="24">
        <v>628.3175</v>
      </c>
      <c r="I1742" s="25">
        <v>4500</v>
      </c>
      <c r="J1742" s="24">
        <f t="shared" si="298"/>
        <v>2827428.75</v>
      </c>
      <c r="K1742" s="20">
        <v>8</v>
      </c>
      <c r="L1742" s="20" t="s">
        <v>15</v>
      </c>
      <c r="M1742" s="20" t="s">
        <v>13</v>
      </c>
      <c r="N1742" s="20">
        <v>3</v>
      </c>
      <c r="O1742" s="24">
        <v>2513.27</v>
      </c>
      <c r="P1742" s="24">
        <v>100</v>
      </c>
      <c r="Q1742" s="25">
        <v>5950</v>
      </c>
      <c r="R1742" s="24">
        <f t="shared" si="304"/>
        <v>14953956.5</v>
      </c>
      <c r="S1742" s="20">
        <v>8</v>
      </c>
      <c r="T1742" s="24">
        <f t="shared" si="305"/>
        <v>1196316.52</v>
      </c>
      <c r="U1742" s="27">
        <f t="shared" si="306"/>
        <v>13757639.98</v>
      </c>
      <c r="V1742" s="27">
        <f t="shared" si="302"/>
        <v>16585068.73</v>
      </c>
      <c r="W1742" s="26">
        <f t="shared" si="301"/>
        <v>16585068.73</v>
      </c>
      <c r="X1742" s="27">
        <v>0</v>
      </c>
      <c r="Y1742" s="78">
        <f t="shared" si="299"/>
        <v>16585068.73</v>
      </c>
      <c r="Z1742" s="49">
        <v>3.0000000000000001E-3</v>
      </c>
    </row>
    <row r="1743" spans="1:26" s="29" customFormat="1" ht="90.75" customHeight="1" x14ac:dyDescent="0.25">
      <c r="A1743" s="20"/>
      <c r="B1743" s="20" t="s">
        <v>0</v>
      </c>
      <c r="C1743" s="20">
        <v>47939</v>
      </c>
      <c r="D1743" s="21"/>
      <c r="E1743" s="21"/>
      <c r="F1743" s="22"/>
      <c r="G1743" s="23"/>
      <c r="H1743" s="24">
        <v>99.45</v>
      </c>
      <c r="I1743" s="25">
        <v>4500</v>
      </c>
      <c r="J1743" s="24">
        <f t="shared" si="298"/>
        <v>447525</v>
      </c>
      <c r="K1743" s="20">
        <v>9</v>
      </c>
      <c r="L1743" s="20" t="s">
        <v>15</v>
      </c>
      <c r="M1743" s="20" t="s">
        <v>13</v>
      </c>
      <c r="N1743" s="20">
        <v>3</v>
      </c>
      <c r="O1743" s="24" t="s">
        <v>163</v>
      </c>
      <c r="P1743" s="24">
        <v>100</v>
      </c>
      <c r="Q1743" s="25">
        <v>5950</v>
      </c>
      <c r="R1743" s="24">
        <f t="shared" si="304"/>
        <v>2366910</v>
      </c>
      <c r="S1743" s="20">
        <v>8</v>
      </c>
      <c r="T1743" s="24">
        <f t="shared" si="305"/>
        <v>189352.8</v>
      </c>
      <c r="U1743" s="27">
        <f t="shared" si="306"/>
        <v>2177557.2000000002</v>
      </c>
      <c r="V1743" s="27">
        <f t="shared" si="302"/>
        <v>2625082.2000000002</v>
      </c>
      <c r="W1743" s="26">
        <f t="shared" si="301"/>
        <v>2625082.2000000002</v>
      </c>
      <c r="X1743" s="27">
        <v>0</v>
      </c>
      <c r="Y1743" s="78">
        <f t="shared" si="299"/>
        <v>2625082.2000000002</v>
      </c>
      <c r="Z1743" s="49">
        <v>3.0000000000000001E-3</v>
      </c>
    </row>
    <row r="1744" spans="1:26" s="29" customFormat="1" ht="90.75" customHeight="1" x14ac:dyDescent="0.25">
      <c r="A1744" s="20"/>
      <c r="B1744" s="20" t="s">
        <v>0</v>
      </c>
      <c r="C1744" s="20">
        <v>47939</v>
      </c>
      <c r="D1744" s="21"/>
      <c r="E1744" s="21"/>
      <c r="F1744" s="22"/>
      <c r="G1744" s="23"/>
      <c r="H1744" s="24">
        <v>61.2</v>
      </c>
      <c r="I1744" s="25">
        <v>4500</v>
      </c>
      <c r="J1744" s="24">
        <f t="shared" si="298"/>
        <v>275400</v>
      </c>
      <c r="K1744" s="20">
        <v>10</v>
      </c>
      <c r="L1744" s="20" t="s">
        <v>15</v>
      </c>
      <c r="M1744" s="20" t="s">
        <v>13</v>
      </c>
      <c r="N1744" s="20">
        <v>3</v>
      </c>
      <c r="O1744" s="24" t="s">
        <v>164</v>
      </c>
      <c r="P1744" s="24">
        <v>100</v>
      </c>
      <c r="Q1744" s="25">
        <v>5950</v>
      </c>
      <c r="R1744" s="24">
        <f t="shared" si="304"/>
        <v>1456560</v>
      </c>
      <c r="S1744" s="20">
        <v>8</v>
      </c>
      <c r="T1744" s="24">
        <f t="shared" si="305"/>
        <v>116524.8</v>
      </c>
      <c r="U1744" s="27">
        <f t="shared" si="306"/>
        <v>1340035.2</v>
      </c>
      <c r="V1744" s="27">
        <f t="shared" si="302"/>
        <v>1615435.2</v>
      </c>
      <c r="W1744" s="26">
        <f t="shared" si="301"/>
        <v>1615435.2</v>
      </c>
      <c r="X1744" s="27">
        <v>0</v>
      </c>
      <c r="Y1744" s="78">
        <f t="shared" si="299"/>
        <v>1615435.2</v>
      </c>
      <c r="Z1744" s="49">
        <v>3.0000000000000001E-3</v>
      </c>
    </row>
    <row r="1745" spans="1:26" s="29" customFormat="1" ht="90.75" customHeight="1" x14ac:dyDescent="0.25">
      <c r="A1745" s="20"/>
      <c r="B1745" s="20" t="s">
        <v>0</v>
      </c>
      <c r="C1745" s="20">
        <v>47939</v>
      </c>
      <c r="D1745" s="21"/>
      <c r="E1745" s="21"/>
      <c r="F1745" s="22"/>
      <c r="G1745" s="23"/>
      <c r="H1745" s="24">
        <v>39.5</v>
      </c>
      <c r="I1745" s="25">
        <v>4500</v>
      </c>
      <c r="J1745" s="24">
        <f t="shared" si="298"/>
        <v>177750</v>
      </c>
      <c r="K1745" s="20">
        <v>11</v>
      </c>
      <c r="L1745" s="20" t="s">
        <v>15</v>
      </c>
      <c r="M1745" s="20" t="s">
        <v>13</v>
      </c>
      <c r="N1745" s="20">
        <v>3</v>
      </c>
      <c r="O1745" s="24" t="s">
        <v>165</v>
      </c>
      <c r="P1745" s="24">
        <v>100</v>
      </c>
      <c r="Q1745" s="25">
        <v>5950</v>
      </c>
      <c r="R1745" s="24">
        <f t="shared" si="304"/>
        <v>940100</v>
      </c>
      <c r="S1745" s="20">
        <v>8</v>
      </c>
      <c r="T1745" s="24">
        <f t="shared" si="305"/>
        <v>75208</v>
      </c>
      <c r="U1745" s="27">
        <f t="shared" si="306"/>
        <v>864892</v>
      </c>
      <c r="V1745" s="27">
        <f t="shared" si="302"/>
        <v>1042642</v>
      </c>
      <c r="W1745" s="26">
        <f t="shared" si="301"/>
        <v>1042642</v>
      </c>
      <c r="X1745" s="27">
        <v>0</v>
      </c>
      <c r="Y1745" s="78">
        <f t="shared" si="299"/>
        <v>1042642</v>
      </c>
      <c r="Z1745" s="49">
        <v>3.0000000000000001E-3</v>
      </c>
    </row>
    <row r="1746" spans="1:26" s="29" customFormat="1" ht="90.75" customHeight="1" x14ac:dyDescent="0.25">
      <c r="A1746" s="20"/>
      <c r="B1746" s="20" t="s">
        <v>0</v>
      </c>
      <c r="C1746" s="20">
        <v>47939</v>
      </c>
      <c r="D1746" s="21"/>
      <c r="E1746" s="21"/>
      <c r="F1746" s="22"/>
      <c r="G1746" s="23"/>
      <c r="H1746" s="24">
        <v>32</v>
      </c>
      <c r="I1746" s="25">
        <v>4500</v>
      </c>
      <c r="J1746" s="24">
        <f t="shared" si="298"/>
        <v>144000</v>
      </c>
      <c r="K1746" s="20">
        <v>12</v>
      </c>
      <c r="L1746" s="20" t="s">
        <v>15</v>
      </c>
      <c r="M1746" s="20" t="s">
        <v>13</v>
      </c>
      <c r="N1746" s="20">
        <v>3</v>
      </c>
      <c r="O1746" s="24" t="s">
        <v>166</v>
      </c>
      <c r="P1746" s="24">
        <v>100</v>
      </c>
      <c r="Q1746" s="25">
        <v>5950</v>
      </c>
      <c r="R1746" s="24">
        <f t="shared" si="304"/>
        <v>761600</v>
      </c>
      <c r="S1746" s="20">
        <v>8</v>
      </c>
      <c r="T1746" s="24">
        <f t="shared" si="305"/>
        <v>60928</v>
      </c>
      <c r="U1746" s="27">
        <f t="shared" si="306"/>
        <v>700672</v>
      </c>
      <c r="V1746" s="27">
        <f t="shared" si="302"/>
        <v>844672</v>
      </c>
      <c r="W1746" s="26">
        <f t="shared" si="301"/>
        <v>844672</v>
      </c>
      <c r="X1746" s="27">
        <v>0</v>
      </c>
      <c r="Y1746" s="78">
        <f t="shared" si="299"/>
        <v>844672</v>
      </c>
      <c r="Z1746" s="49">
        <v>3.0000000000000001E-3</v>
      </c>
    </row>
    <row r="1747" spans="1:26" s="29" customFormat="1" ht="90.75" customHeight="1" x14ac:dyDescent="0.25">
      <c r="A1747" s="20"/>
      <c r="B1747" s="20" t="s">
        <v>0</v>
      </c>
      <c r="C1747" s="20">
        <v>47939</v>
      </c>
      <c r="D1747" s="21"/>
      <c r="E1747" s="21"/>
      <c r="F1747" s="22"/>
      <c r="G1747" s="23"/>
      <c r="H1747" s="24">
        <v>12</v>
      </c>
      <c r="I1747" s="25">
        <v>4500</v>
      </c>
      <c r="J1747" s="24">
        <f t="shared" ref="J1747:J1778" si="307">(H1747*I1747)</f>
        <v>54000</v>
      </c>
      <c r="K1747" s="20">
        <v>13</v>
      </c>
      <c r="L1747" s="20" t="s">
        <v>15</v>
      </c>
      <c r="M1747" s="20" t="s">
        <v>13</v>
      </c>
      <c r="N1747" s="20">
        <v>3</v>
      </c>
      <c r="O1747" s="24" t="s">
        <v>167</v>
      </c>
      <c r="P1747" s="24">
        <v>100</v>
      </c>
      <c r="Q1747" s="25">
        <v>5950</v>
      </c>
      <c r="R1747" s="24">
        <f t="shared" si="304"/>
        <v>285600</v>
      </c>
      <c r="S1747" s="20">
        <v>8</v>
      </c>
      <c r="T1747" s="24">
        <f t="shared" si="305"/>
        <v>22848</v>
      </c>
      <c r="U1747" s="27">
        <f t="shared" si="306"/>
        <v>262752</v>
      </c>
      <c r="V1747" s="27">
        <f t="shared" si="302"/>
        <v>316752</v>
      </c>
      <c r="W1747" s="26">
        <f t="shared" si="301"/>
        <v>316752</v>
      </c>
      <c r="X1747" s="27">
        <v>0</v>
      </c>
      <c r="Y1747" s="78">
        <f t="shared" ref="Y1747:Y1749" si="308">(W1747-X1747)</f>
        <v>316752</v>
      </c>
      <c r="Z1747" s="49">
        <v>3.0000000000000001E-3</v>
      </c>
    </row>
    <row r="1748" spans="1:26" s="29" customFormat="1" ht="90.75" customHeight="1" x14ac:dyDescent="0.25">
      <c r="A1748" s="20">
        <v>1129</v>
      </c>
      <c r="B1748" s="20" t="s">
        <v>0</v>
      </c>
      <c r="C1748" s="20">
        <v>47936</v>
      </c>
      <c r="D1748" s="21">
        <v>0</v>
      </c>
      <c r="E1748" s="21">
        <v>0</v>
      </c>
      <c r="F1748" s="22">
        <v>55.8</v>
      </c>
      <c r="G1748" s="21" t="s">
        <v>209</v>
      </c>
      <c r="H1748" s="24">
        <f>(D1748*400)+(E1748*100)+F1748</f>
        <v>55.8</v>
      </c>
      <c r="I1748" s="25" t="s">
        <v>123</v>
      </c>
      <c r="J1748" s="24">
        <f t="shared" si="307"/>
        <v>251100</v>
      </c>
      <c r="K1748" s="20"/>
      <c r="L1748" s="20" t="s">
        <v>2</v>
      </c>
      <c r="M1748" s="20" t="s">
        <v>2</v>
      </c>
      <c r="N1748" s="20"/>
      <c r="O1748" s="24"/>
      <c r="P1748" s="24"/>
      <c r="Q1748" s="25"/>
      <c r="R1748" s="24"/>
      <c r="S1748" s="20" t="s">
        <v>2</v>
      </c>
      <c r="T1748" s="27"/>
      <c r="U1748" s="20"/>
      <c r="V1748" s="27">
        <f t="shared" si="302"/>
        <v>251100</v>
      </c>
      <c r="W1748" s="26">
        <f t="shared" si="301"/>
        <v>251100</v>
      </c>
      <c r="X1748" s="27">
        <v>0</v>
      </c>
      <c r="Y1748" s="78">
        <f t="shared" si="308"/>
        <v>251100</v>
      </c>
      <c r="Z1748" s="49">
        <v>3.0000000000000001E-3</v>
      </c>
    </row>
    <row r="1749" spans="1:26" s="29" customFormat="1" ht="90.75" customHeight="1" x14ac:dyDescent="0.25">
      <c r="A1749" s="20"/>
      <c r="B1749" s="20" t="s">
        <v>0</v>
      </c>
      <c r="C1749" s="20">
        <v>47936</v>
      </c>
      <c r="D1749" s="21"/>
      <c r="E1749" s="21"/>
      <c r="F1749" s="22"/>
      <c r="G1749" s="23"/>
      <c r="H1749" s="24">
        <v>6.25</v>
      </c>
      <c r="I1749" s="25" t="s">
        <v>123</v>
      </c>
      <c r="J1749" s="24">
        <f t="shared" si="307"/>
        <v>28125</v>
      </c>
      <c r="K1749" s="20">
        <v>1</v>
      </c>
      <c r="L1749" s="20" t="s">
        <v>29</v>
      </c>
      <c r="M1749" s="20"/>
      <c r="N1749" s="20">
        <v>3</v>
      </c>
      <c r="O1749" s="24">
        <v>25</v>
      </c>
      <c r="P1749" s="24">
        <v>100</v>
      </c>
      <c r="Q1749" s="25">
        <v>5550</v>
      </c>
      <c r="R1749" s="24">
        <f>(O1749*Q1749)</f>
        <v>138750</v>
      </c>
      <c r="S1749" s="20">
        <v>7</v>
      </c>
      <c r="T1749" s="24">
        <f>(R1749*7/100)</f>
        <v>9712.5</v>
      </c>
      <c r="U1749" s="27">
        <f>(R1749-T1749)</f>
        <v>129037.5</v>
      </c>
      <c r="V1749" s="27">
        <f t="shared" si="302"/>
        <v>157162.5</v>
      </c>
      <c r="W1749" s="26">
        <f t="shared" si="301"/>
        <v>157162.5</v>
      </c>
      <c r="X1749" s="27">
        <v>0</v>
      </c>
      <c r="Y1749" s="78">
        <f t="shared" si="308"/>
        <v>157162.5</v>
      </c>
      <c r="Z1749" s="49">
        <v>3.0000000000000001E-3</v>
      </c>
    </row>
    <row r="1750" spans="1:26" s="29" customFormat="1" ht="90.75" customHeight="1" x14ac:dyDescent="0.25">
      <c r="A1750" s="20">
        <v>1130</v>
      </c>
      <c r="B1750" s="20" t="s">
        <v>0</v>
      </c>
      <c r="C1750" s="20">
        <v>47935</v>
      </c>
      <c r="D1750" s="21">
        <v>28</v>
      </c>
      <c r="E1750" s="21">
        <v>1</v>
      </c>
      <c r="F1750" s="22">
        <v>14</v>
      </c>
      <c r="G1750" s="21" t="s">
        <v>209</v>
      </c>
      <c r="H1750" s="24">
        <f>(D1750*400)+(E1750*100)+F1750</f>
        <v>11314</v>
      </c>
      <c r="I1750" s="25" t="s">
        <v>123</v>
      </c>
      <c r="J1750" s="24">
        <f t="shared" si="307"/>
        <v>50913000</v>
      </c>
      <c r="K1750" s="20"/>
      <c r="L1750" s="20" t="s">
        <v>2</v>
      </c>
      <c r="M1750" s="20" t="s">
        <v>2</v>
      </c>
      <c r="N1750" s="20"/>
      <c r="O1750" s="24"/>
      <c r="P1750" s="24"/>
      <c r="Q1750" s="25"/>
      <c r="R1750" s="24"/>
      <c r="S1750" s="20" t="s">
        <v>2</v>
      </c>
      <c r="T1750" s="27"/>
      <c r="U1750" s="20"/>
      <c r="V1750" s="20"/>
      <c r="W1750" s="26"/>
      <c r="X1750" s="27"/>
      <c r="Y1750" s="20"/>
      <c r="Z1750" s="20"/>
    </row>
    <row r="1751" spans="1:26" s="29" customFormat="1" ht="90.75" customHeight="1" x14ac:dyDescent="0.25">
      <c r="A1751" s="20"/>
      <c r="B1751" s="20"/>
      <c r="C1751" s="20"/>
      <c r="D1751" s="21"/>
      <c r="E1751" s="21"/>
      <c r="F1751" s="22"/>
      <c r="G1751" s="23"/>
      <c r="H1751" s="24">
        <f t="shared" ref="H1751:H1759" si="309">(O1751*0.25)</f>
        <v>51.31</v>
      </c>
      <c r="I1751" s="25" t="s">
        <v>123</v>
      </c>
      <c r="J1751" s="24">
        <f t="shared" si="307"/>
        <v>230895</v>
      </c>
      <c r="K1751" s="20">
        <v>1</v>
      </c>
      <c r="L1751" s="20" t="s">
        <v>27</v>
      </c>
      <c r="M1751" s="20" t="s">
        <v>13</v>
      </c>
      <c r="N1751" s="20">
        <v>3</v>
      </c>
      <c r="O1751" s="45">
        <v>205.24</v>
      </c>
      <c r="P1751" s="46">
        <v>100</v>
      </c>
      <c r="Q1751" s="44">
        <v>7100</v>
      </c>
      <c r="R1751" s="36">
        <f t="shared" ref="R1751:R1759" si="310">(O1751*Q1751)</f>
        <v>1457204</v>
      </c>
      <c r="S1751" s="41">
        <v>5</v>
      </c>
      <c r="T1751" s="45">
        <f>(R1751*5/100)</f>
        <v>72860.2</v>
      </c>
      <c r="U1751" s="36">
        <f>(R1751-T1751)</f>
        <v>1384343.8</v>
      </c>
      <c r="V1751" s="27">
        <f>(J1751+U1751)</f>
        <v>1615238.8</v>
      </c>
      <c r="W1751" s="26">
        <f>(V1751*100/100)</f>
        <v>1615238.8</v>
      </c>
      <c r="X1751" s="27">
        <v>0</v>
      </c>
      <c r="Y1751" s="78">
        <f>(W1751-X1751)</f>
        <v>1615238.8</v>
      </c>
      <c r="Z1751" s="49">
        <v>3.0000000000000001E-3</v>
      </c>
    </row>
    <row r="1752" spans="1:26" s="29" customFormat="1" ht="90.75" customHeight="1" x14ac:dyDescent="0.25">
      <c r="A1752" s="20"/>
      <c r="B1752" s="20"/>
      <c r="C1752" s="20"/>
      <c r="D1752" s="21"/>
      <c r="E1752" s="21"/>
      <c r="F1752" s="22"/>
      <c r="G1752" s="23"/>
      <c r="H1752" s="24">
        <f t="shared" si="309"/>
        <v>18</v>
      </c>
      <c r="I1752" s="25" t="s">
        <v>123</v>
      </c>
      <c r="J1752" s="24">
        <f t="shared" si="307"/>
        <v>81000</v>
      </c>
      <c r="K1752" s="20">
        <v>2</v>
      </c>
      <c r="L1752" s="20" t="s">
        <v>31</v>
      </c>
      <c r="M1752" s="20"/>
      <c r="N1752" s="20">
        <v>3</v>
      </c>
      <c r="O1752" s="45">
        <v>72</v>
      </c>
      <c r="P1752" s="46">
        <v>100</v>
      </c>
      <c r="Q1752" s="44">
        <v>2550</v>
      </c>
      <c r="R1752" s="36">
        <f t="shared" si="310"/>
        <v>183600</v>
      </c>
      <c r="S1752" s="41">
        <v>3</v>
      </c>
      <c r="T1752" s="45">
        <f>(R1752*3/100)</f>
        <v>5508</v>
      </c>
      <c r="U1752" s="36">
        <f>(R1752-T1752)</f>
        <v>178092</v>
      </c>
      <c r="V1752" s="27">
        <f>(J1752+U1752)</f>
        <v>259092</v>
      </c>
      <c r="W1752" s="26">
        <f>(V1752*100/100)</f>
        <v>259092</v>
      </c>
      <c r="X1752" s="27">
        <v>0</v>
      </c>
      <c r="Y1752" s="78">
        <f>(W1752-X1752)</f>
        <v>259092</v>
      </c>
      <c r="Z1752" s="49">
        <v>3.0000000000000001E-3</v>
      </c>
    </row>
    <row r="1753" spans="1:26" s="29" customFormat="1" ht="90.75" customHeight="1" x14ac:dyDescent="0.25">
      <c r="A1753" s="20"/>
      <c r="B1753" s="20"/>
      <c r="C1753" s="20"/>
      <c r="D1753" s="21"/>
      <c r="E1753" s="21"/>
      <c r="F1753" s="22"/>
      <c r="G1753" s="23"/>
      <c r="H1753" s="24">
        <f t="shared" si="309"/>
        <v>18</v>
      </c>
      <c r="I1753" s="25" t="s">
        <v>123</v>
      </c>
      <c r="J1753" s="24">
        <f t="shared" si="307"/>
        <v>81000</v>
      </c>
      <c r="K1753" s="20">
        <v>3</v>
      </c>
      <c r="L1753" s="20" t="s">
        <v>27</v>
      </c>
      <c r="M1753" s="20" t="s">
        <v>13</v>
      </c>
      <c r="N1753" s="20">
        <v>3</v>
      </c>
      <c r="O1753" s="45">
        <v>72</v>
      </c>
      <c r="P1753" s="86">
        <v>100</v>
      </c>
      <c r="Q1753" s="40">
        <v>7100</v>
      </c>
      <c r="R1753" s="36">
        <f t="shared" si="310"/>
        <v>511200</v>
      </c>
      <c r="S1753" s="37">
        <v>6</v>
      </c>
      <c r="T1753" s="28">
        <f>(R1753*6/100)</f>
        <v>30672</v>
      </c>
      <c r="U1753" s="36">
        <f>(R1753-T1753)</f>
        <v>480528</v>
      </c>
      <c r="V1753" s="27">
        <f>(J1753+U1753)</f>
        <v>561528</v>
      </c>
      <c r="W1753" s="26">
        <f>(V1753*100/100)</f>
        <v>561528</v>
      </c>
      <c r="X1753" s="27">
        <v>0</v>
      </c>
      <c r="Y1753" s="78">
        <f>(W1753-X1753)</f>
        <v>561528</v>
      </c>
      <c r="Z1753" s="49">
        <v>3.0000000000000001E-3</v>
      </c>
    </row>
    <row r="1754" spans="1:26" s="29" customFormat="1" ht="90.75" customHeight="1" x14ac:dyDescent="0.25">
      <c r="A1754" s="20"/>
      <c r="B1754" s="20"/>
      <c r="C1754" s="20"/>
      <c r="D1754" s="21"/>
      <c r="E1754" s="21"/>
      <c r="F1754" s="22"/>
      <c r="G1754" s="23"/>
      <c r="H1754" s="24">
        <f t="shared" si="309"/>
        <v>15</v>
      </c>
      <c r="I1754" s="25" t="s">
        <v>123</v>
      </c>
      <c r="J1754" s="24">
        <f t="shared" si="307"/>
        <v>67500</v>
      </c>
      <c r="K1754" s="20">
        <v>4</v>
      </c>
      <c r="L1754" s="20" t="s">
        <v>31</v>
      </c>
      <c r="M1754" s="20"/>
      <c r="N1754" s="20">
        <v>3</v>
      </c>
      <c r="O1754" s="45">
        <v>60</v>
      </c>
      <c r="P1754" s="86">
        <v>100</v>
      </c>
      <c r="Q1754" s="40">
        <v>2550</v>
      </c>
      <c r="R1754" s="36">
        <f t="shared" si="310"/>
        <v>153000</v>
      </c>
      <c r="S1754" s="37">
        <v>6</v>
      </c>
      <c r="T1754" s="28">
        <f>(R1754*6/100)</f>
        <v>9180</v>
      </c>
      <c r="U1754" s="36">
        <f>(R1754-T1754)</f>
        <v>143820</v>
      </c>
      <c r="V1754" s="27">
        <f>(J1754+U1754)</f>
        <v>211320</v>
      </c>
      <c r="W1754" s="26">
        <f>(V1754*100/100)</f>
        <v>211320</v>
      </c>
      <c r="X1754" s="27">
        <v>0</v>
      </c>
      <c r="Y1754" s="78">
        <f>(W1754-X1754)</f>
        <v>211320</v>
      </c>
      <c r="Z1754" s="49">
        <v>3.0000000000000001E-3</v>
      </c>
    </row>
    <row r="1755" spans="1:26" s="29" customFormat="1" ht="90.75" customHeight="1" x14ac:dyDescent="0.25">
      <c r="A1755" s="20"/>
      <c r="B1755" s="20"/>
      <c r="C1755" s="20"/>
      <c r="D1755" s="21"/>
      <c r="E1755" s="21"/>
      <c r="F1755" s="22"/>
      <c r="G1755" s="23"/>
      <c r="H1755" s="24">
        <f t="shared" si="309"/>
        <v>18</v>
      </c>
      <c r="I1755" s="25" t="s">
        <v>123</v>
      </c>
      <c r="J1755" s="24">
        <f t="shared" si="307"/>
        <v>81000</v>
      </c>
      <c r="K1755" s="20">
        <v>5</v>
      </c>
      <c r="L1755" s="20" t="s">
        <v>31</v>
      </c>
      <c r="M1755" s="20"/>
      <c r="N1755" s="20">
        <v>3</v>
      </c>
      <c r="O1755" s="24">
        <v>72</v>
      </c>
      <c r="P1755" s="46">
        <v>100</v>
      </c>
      <c r="Q1755" s="40">
        <v>2550</v>
      </c>
      <c r="R1755" s="36">
        <f t="shared" si="310"/>
        <v>183600</v>
      </c>
      <c r="S1755" s="41">
        <v>6</v>
      </c>
      <c r="T1755" s="28">
        <f>(R1755*6/100)</f>
        <v>11016</v>
      </c>
      <c r="U1755" s="36">
        <f>(R1755-T1755)</f>
        <v>172584</v>
      </c>
      <c r="V1755" s="27">
        <f>(J1755+U1755)</f>
        <v>253584</v>
      </c>
      <c r="W1755" s="26">
        <f>(V1755*100/100)</f>
        <v>253584</v>
      </c>
      <c r="X1755" s="27">
        <v>0</v>
      </c>
      <c r="Y1755" s="78">
        <f>(W1755-X1755)</f>
        <v>253584</v>
      </c>
      <c r="Z1755" s="49">
        <v>3.0000000000000001E-3</v>
      </c>
    </row>
    <row r="1756" spans="1:26" s="29" customFormat="1" ht="90.75" customHeight="1" x14ac:dyDescent="0.25">
      <c r="A1756" s="20"/>
      <c r="B1756" s="20"/>
      <c r="C1756" s="20"/>
      <c r="D1756" s="21"/>
      <c r="E1756" s="21"/>
      <c r="F1756" s="22"/>
      <c r="G1756" s="23"/>
      <c r="H1756" s="24">
        <f t="shared" si="309"/>
        <v>159.75</v>
      </c>
      <c r="I1756" s="25" t="s">
        <v>123</v>
      </c>
      <c r="J1756" s="24">
        <f t="shared" si="307"/>
        <v>718875</v>
      </c>
      <c r="K1756" s="20">
        <v>6</v>
      </c>
      <c r="L1756" s="20" t="s">
        <v>27</v>
      </c>
      <c r="M1756" s="20" t="s">
        <v>13</v>
      </c>
      <c r="N1756" s="20">
        <v>3</v>
      </c>
      <c r="O1756" s="45">
        <v>639</v>
      </c>
      <c r="P1756" s="86">
        <v>100</v>
      </c>
      <c r="Q1756" s="40">
        <v>7100</v>
      </c>
      <c r="R1756" s="36">
        <f t="shared" si="310"/>
        <v>4536900</v>
      </c>
      <c r="S1756" s="37"/>
      <c r="T1756" s="28"/>
      <c r="U1756" s="36"/>
      <c r="V1756" s="27"/>
      <c r="W1756" s="26"/>
      <c r="X1756" s="27"/>
      <c r="Y1756" s="78"/>
      <c r="Z1756" s="49"/>
    </row>
    <row r="1757" spans="1:26" s="29" customFormat="1" ht="90.75" customHeight="1" x14ac:dyDescent="0.25">
      <c r="A1757" s="20"/>
      <c r="B1757" s="20"/>
      <c r="C1757" s="20"/>
      <c r="D1757" s="21"/>
      <c r="E1757" s="21"/>
      <c r="F1757" s="22"/>
      <c r="G1757" s="23"/>
      <c r="H1757" s="24">
        <f t="shared" si="309"/>
        <v>79.875</v>
      </c>
      <c r="I1757" s="25" t="s">
        <v>123</v>
      </c>
      <c r="J1757" s="24">
        <f t="shared" si="307"/>
        <v>359437.5</v>
      </c>
      <c r="K1757" s="20"/>
      <c r="L1757" s="20" t="s">
        <v>168</v>
      </c>
      <c r="M1757" s="20"/>
      <c r="N1757" s="20">
        <v>3</v>
      </c>
      <c r="O1757" s="24">
        <v>319.5</v>
      </c>
      <c r="P1757" s="24">
        <v>50</v>
      </c>
      <c r="Q1757" s="40">
        <v>7100</v>
      </c>
      <c r="R1757" s="36">
        <f t="shared" si="310"/>
        <v>2268450</v>
      </c>
      <c r="S1757" s="37">
        <v>6</v>
      </c>
      <c r="T1757" s="28">
        <f>(R1757*6/100)</f>
        <v>136107</v>
      </c>
      <c r="U1757" s="36">
        <f>(R1757-T1757)</f>
        <v>2132343</v>
      </c>
      <c r="V1757" s="27">
        <f t="shared" ref="V1757:V1800" si="311">(J1757+U1757)</f>
        <v>2491780.5</v>
      </c>
      <c r="W1757" s="26">
        <f t="shared" ref="W1757:W1800" si="312">(V1757*100/100)</f>
        <v>2491780.5</v>
      </c>
      <c r="X1757" s="27">
        <v>0</v>
      </c>
      <c r="Y1757" s="78">
        <f t="shared" ref="Y1757:Y1800" si="313">(W1757-X1757)</f>
        <v>2491780.5</v>
      </c>
      <c r="Z1757" s="49">
        <v>3.0000000000000001E-3</v>
      </c>
    </row>
    <row r="1758" spans="1:26" s="29" customFormat="1" ht="90.75" customHeight="1" x14ac:dyDescent="0.25">
      <c r="A1758" s="20"/>
      <c r="B1758" s="20"/>
      <c r="C1758" s="20"/>
      <c r="D1758" s="21"/>
      <c r="E1758" s="21"/>
      <c r="F1758" s="22"/>
      <c r="G1758" s="23"/>
      <c r="H1758" s="24">
        <f t="shared" si="309"/>
        <v>79.875</v>
      </c>
      <c r="I1758" s="25" t="s">
        <v>123</v>
      </c>
      <c r="J1758" s="24">
        <f t="shared" si="307"/>
        <v>359437.5</v>
      </c>
      <c r="K1758" s="20"/>
      <c r="L1758" s="20" t="s">
        <v>169</v>
      </c>
      <c r="M1758" s="20"/>
      <c r="N1758" s="20">
        <v>3</v>
      </c>
      <c r="O1758" s="24">
        <v>319.5</v>
      </c>
      <c r="P1758" s="24">
        <v>50</v>
      </c>
      <c r="Q1758" s="40">
        <v>7100</v>
      </c>
      <c r="R1758" s="36">
        <f t="shared" si="310"/>
        <v>2268450</v>
      </c>
      <c r="S1758" s="37">
        <v>6</v>
      </c>
      <c r="T1758" s="28">
        <f>(R1758*6/100)</f>
        <v>136107</v>
      </c>
      <c r="U1758" s="36">
        <f>(R1758-T1758)</f>
        <v>2132343</v>
      </c>
      <c r="V1758" s="27">
        <f t="shared" si="311"/>
        <v>2491780.5</v>
      </c>
      <c r="W1758" s="26">
        <f t="shared" si="312"/>
        <v>2491780.5</v>
      </c>
      <c r="X1758" s="27">
        <v>0</v>
      </c>
      <c r="Y1758" s="78">
        <f t="shared" si="313"/>
        <v>2491780.5</v>
      </c>
      <c r="Z1758" s="49">
        <v>3.0000000000000001E-3</v>
      </c>
    </row>
    <row r="1759" spans="1:26" s="29" customFormat="1" ht="90.75" customHeight="1" x14ac:dyDescent="0.25">
      <c r="A1759" s="20"/>
      <c r="B1759" s="20"/>
      <c r="C1759" s="20"/>
      <c r="D1759" s="21"/>
      <c r="E1759" s="21"/>
      <c r="F1759" s="22"/>
      <c r="G1759" s="23"/>
      <c r="H1759" s="24">
        <f t="shared" si="309"/>
        <v>16.5</v>
      </c>
      <c r="I1759" s="25" t="s">
        <v>123</v>
      </c>
      <c r="J1759" s="24">
        <f t="shared" si="307"/>
        <v>74250</v>
      </c>
      <c r="K1759" s="20">
        <v>7</v>
      </c>
      <c r="L1759" s="20" t="s">
        <v>31</v>
      </c>
      <c r="M1759" s="20"/>
      <c r="N1759" s="20">
        <v>3</v>
      </c>
      <c r="O1759" s="45">
        <v>66</v>
      </c>
      <c r="P1759" s="86">
        <v>100</v>
      </c>
      <c r="Q1759" s="40">
        <v>2550</v>
      </c>
      <c r="R1759" s="36">
        <f t="shared" si="310"/>
        <v>168300</v>
      </c>
      <c r="S1759" s="37">
        <v>6</v>
      </c>
      <c r="T1759" s="28">
        <f>(R1759*6/100)</f>
        <v>10098</v>
      </c>
      <c r="U1759" s="36">
        <f>(R1759-T1759)</f>
        <v>158202</v>
      </c>
      <c r="V1759" s="27">
        <f t="shared" si="311"/>
        <v>232452</v>
      </c>
      <c r="W1759" s="26">
        <f t="shared" si="312"/>
        <v>232452</v>
      </c>
      <c r="X1759" s="27">
        <v>0</v>
      </c>
      <c r="Y1759" s="78">
        <f t="shared" si="313"/>
        <v>232452</v>
      </c>
      <c r="Z1759" s="49">
        <v>3.0000000000000001E-3</v>
      </c>
    </row>
    <row r="1760" spans="1:26" s="29" customFormat="1" ht="90.75" customHeight="1" x14ac:dyDescent="0.25">
      <c r="A1760" s="20"/>
      <c r="B1760" s="20"/>
      <c r="C1760" s="20"/>
      <c r="D1760" s="21"/>
      <c r="E1760" s="21"/>
      <c r="F1760" s="22"/>
      <c r="G1760" s="23"/>
      <c r="H1760" s="24">
        <f>(H1750-H1751-H1752-H1753-H1754-H1755-H1756-H1757-H1758-H1759)</f>
        <v>10857.69</v>
      </c>
      <c r="I1760" s="25" t="s">
        <v>123</v>
      </c>
      <c r="J1760" s="24">
        <f t="shared" si="307"/>
        <v>48859605</v>
      </c>
      <c r="K1760" s="20"/>
      <c r="L1760" s="20"/>
      <c r="M1760" s="20"/>
      <c r="N1760" s="20"/>
      <c r="O1760" s="45"/>
      <c r="P1760" s="86"/>
      <c r="Q1760" s="40"/>
      <c r="R1760" s="36"/>
      <c r="S1760" s="37"/>
      <c r="T1760" s="28"/>
      <c r="U1760" s="36"/>
      <c r="V1760" s="27">
        <f t="shared" si="311"/>
        <v>48859605</v>
      </c>
      <c r="W1760" s="26">
        <f t="shared" si="312"/>
        <v>48859605</v>
      </c>
      <c r="X1760" s="27">
        <v>0</v>
      </c>
      <c r="Y1760" s="78">
        <f t="shared" si="313"/>
        <v>48859605</v>
      </c>
      <c r="Z1760" s="49">
        <v>3.0000000000000001E-3</v>
      </c>
    </row>
    <row r="1761" spans="1:26" s="29" customFormat="1" ht="90.75" customHeight="1" x14ac:dyDescent="0.25">
      <c r="A1761" s="20">
        <v>1131</v>
      </c>
      <c r="B1761" s="20" t="s">
        <v>0</v>
      </c>
      <c r="C1761" s="20">
        <v>14069</v>
      </c>
      <c r="D1761" s="21">
        <v>11</v>
      </c>
      <c r="E1761" s="21">
        <v>1</v>
      </c>
      <c r="F1761" s="22">
        <v>85</v>
      </c>
      <c r="G1761" s="21" t="s">
        <v>209</v>
      </c>
      <c r="H1761" s="24">
        <f t="shared" ref="H1761:H1772" si="314">(D1761*400)+(E1761*100)+F1761</f>
        <v>4585</v>
      </c>
      <c r="I1761" s="25">
        <v>625</v>
      </c>
      <c r="J1761" s="24">
        <f t="shared" si="307"/>
        <v>2865625</v>
      </c>
      <c r="K1761" s="20"/>
      <c r="L1761" s="20" t="s">
        <v>2</v>
      </c>
      <c r="M1761" s="20" t="s">
        <v>2</v>
      </c>
      <c r="N1761" s="20"/>
      <c r="O1761" s="24"/>
      <c r="P1761" s="24"/>
      <c r="Q1761" s="25"/>
      <c r="R1761" s="24"/>
      <c r="S1761" s="20" t="s">
        <v>2</v>
      </c>
      <c r="T1761" s="27"/>
      <c r="U1761" s="20"/>
      <c r="V1761" s="27">
        <f t="shared" si="311"/>
        <v>2865625</v>
      </c>
      <c r="W1761" s="26">
        <f t="shared" si="312"/>
        <v>2865625</v>
      </c>
      <c r="X1761" s="27">
        <v>0</v>
      </c>
      <c r="Y1761" s="78">
        <f t="shared" si="313"/>
        <v>2865625</v>
      </c>
      <c r="Z1761" s="49">
        <v>3.0000000000000001E-3</v>
      </c>
    </row>
    <row r="1762" spans="1:26" s="29" customFormat="1" ht="90.75" customHeight="1" x14ac:dyDescent="0.25">
      <c r="A1762" s="20">
        <v>1132</v>
      </c>
      <c r="B1762" s="20" t="s">
        <v>0</v>
      </c>
      <c r="C1762" s="20">
        <v>64324</v>
      </c>
      <c r="D1762" s="21">
        <v>30</v>
      </c>
      <c r="E1762" s="21">
        <v>3</v>
      </c>
      <c r="F1762" s="22">
        <v>45</v>
      </c>
      <c r="G1762" s="21" t="s">
        <v>209</v>
      </c>
      <c r="H1762" s="24">
        <f t="shared" si="314"/>
        <v>12345</v>
      </c>
      <c r="I1762" s="25">
        <v>625</v>
      </c>
      <c r="J1762" s="24">
        <f t="shared" si="307"/>
        <v>7715625</v>
      </c>
      <c r="K1762" s="20"/>
      <c r="L1762" s="20" t="s">
        <v>2</v>
      </c>
      <c r="M1762" s="20" t="s">
        <v>2</v>
      </c>
      <c r="N1762" s="20"/>
      <c r="O1762" s="24"/>
      <c r="P1762" s="24"/>
      <c r="Q1762" s="25"/>
      <c r="R1762" s="24"/>
      <c r="S1762" s="20" t="s">
        <v>2</v>
      </c>
      <c r="T1762" s="27"/>
      <c r="U1762" s="20"/>
      <c r="V1762" s="27">
        <f t="shared" si="311"/>
        <v>7715625</v>
      </c>
      <c r="W1762" s="26">
        <f t="shared" si="312"/>
        <v>7715625</v>
      </c>
      <c r="X1762" s="27">
        <v>0</v>
      </c>
      <c r="Y1762" s="78">
        <f t="shared" si="313"/>
        <v>7715625</v>
      </c>
      <c r="Z1762" s="49">
        <v>3.0000000000000001E-3</v>
      </c>
    </row>
    <row r="1763" spans="1:26" s="29" customFormat="1" ht="90.75" customHeight="1" x14ac:dyDescent="0.25">
      <c r="A1763" s="20">
        <v>1133</v>
      </c>
      <c r="B1763" s="20" t="s">
        <v>0</v>
      </c>
      <c r="C1763" s="20">
        <v>64325</v>
      </c>
      <c r="D1763" s="21">
        <v>30</v>
      </c>
      <c r="E1763" s="21">
        <v>3</v>
      </c>
      <c r="F1763" s="22">
        <v>44</v>
      </c>
      <c r="G1763" s="21" t="s">
        <v>209</v>
      </c>
      <c r="H1763" s="24">
        <f t="shared" si="314"/>
        <v>12344</v>
      </c>
      <c r="I1763" s="25">
        <v>625</v>
      </c>
      <c r="J1763" s="24">
        <f t="shared" si="307"/>
        <v>7715000</v>
      </c>
      <c r="K1763" s="20"/>
      <c r="L1763" s="20" t="s">
        <v>2</v>
      </c>
      <c r="M1763" s="20" t="s">
        <v>2</v>
      </c>
      <c r="N1763" s="20"/>
      <c r="O1763" s="24"/>
      <c r="P1763" s="24"/>
      <c r="Q1763" s="25"/>
      <c r="R1763" s="24"/>
      <c r="S1763" s="20" t="s">
        <v>2</v>
      </c>
      <c r="T1763" s="27"/>
      <c r="U1763" s="20"/>
      <c r="V1763" s="27">
        <f t="shared" si="311"/>
        <v>7715000</v>
      </c>
      <c r="W1763" s="26">
        <f t="shared" si="312"/>
        <v>7715000</v>
      </c>
      <c r="X1763" s="27">
        <v>0</v>
      </c>
      <c r="Y1763" s="78">
        <f t="shared" si="313"/>
        <v>7715000</v>
      </c>
      <c r="Z1763" s="49">
        <v>3.0000000000000001E-3</v>
      </c>
    </row>
    <row r="1764" spans="1:26" s="29" customFormat="1" ht="90.75" customHeight="1" x14ac:dyDescent="0.25">
      <c r="A1764" s="20">
        <v>1134</v>
      </c>
      <c r="B1764" s="20" t="s">
        <v>0</v>
      </c>
      <c r="C1764" s="20">
        <v>64326</v>
      </c>
      <c r="D1764" s="21">
        <v>19</v>
      </c>
      <c r="E1764" s="21">
        <v>1</v>
      </c>
      <c r="F1764" s="22">
        <v>12</v>
      </c>
      <c r="G1764" s="21" t="s">
        <v>209</v>
      </c>
      <c r="H1764" s="24">
        <f t="shared" si="314"/>
        <v>7712</v>
      </c>
      <c r="I1764" s="25">
        <v>625</v>
      </c>
      <c r="J1764" s="24">
        <f t="shared" si="307"/>
        <v>4820000</v>
      </c>
      <c r="K1764" s="20"/>
      <c r="L1764" s="20" t="s">
        <v>2</v>
      </c>
      <c r="M1764" s="20" t="s">
        <v>2</v>
      </c>
      <c r="N1764" s="20"/>
      <c r="O1764" s="24"/>
      <c r="P1764" s="24"/>
      <c r="Q1764" s="25"/>
      <c r="R1764" s="24"/>
      <c r="S1764" s="20" t="s">
        <v>2</v>
      </c>
      <c r="T1764" s="27"/>
      <c r="U1764" s="20"/>
      <c r="V1764" s="27">
        <f t="shared" si="311"/>
        <v>4820000</v>
      </c>
      <c r="W1764" s="26">
        <f t="shared" si="312"/>
        <v>4820000</v>
      </c>
      <c r="X1764" s="27">
        <v>0</v>
      </c>
      <c r="Y1764" s="78">
        <f t="shared" si="313"/>
        <v>4820000</v>
      </c>
      <c r="Z1764" s="49">
        <v>3.0000000000000001E-3</v>
      </c>
    </row>
    <row r="1765" spans="1:26" s="29" customFormat="1" ht="90.75" customHeight="1" x14ac:dyDescent="0.25">
      <c r="A1765" s="20">
        <v>1135</v>
      </c>
      <c r="B1765" s="20" t="s">
        <v>0</v>
      </c>
      <c r="C1765" s="20">
        <v>64327</v>
      </c>
      <c r="D1765" s="21">
        <v>35</v>
      </c>
      <c r="E1765" s="21">
        <v>2</v>
      </c>
      <c r="F1765" s="22">
        <v>73</v>
      </c>
      <c r="G1765" s="21" t="s">
        <v>209</v>
      </c>
      <c r="H1765" s="24">
        <f t="shared" si="314"/>
        <v>14273</v>
      </c>
      <c r="I1765" s="25">
        <v>625</v>
      </c>
      <c r="J1765" s="24">
        <f t="shared" si="307"/>
        <v>8920625</v>
      </c>
      <c r="K1765" s="20"/>
      <c r="L1765" s="20" t="s">
        <v>2</v>
      </c>
      <c r="M1765" s="20" t="s">
        <v>2</v>
      </c>
      <c r="N1765" s="20"/>
      <c r="O1765" s="24"/>
      <c r="P1765" s="24"/>
      <c r="Q1765" s="25"/>
      <c r="R1765" s="24"/>
      <c r="S1765" s="20" t="s">
        <v>2</v>
      </c>
      <c r="T1765" s="27"/>
      <c r="U1765" s="20"/>
      <c r="V1765" s="27">
        <f t="shared" si="311"/>
        <v>8920625</v>
      </c>
      <c r="W1765" s="26">
        <f t="shared" si="312"/>
        <v>8920625</v>
      </c>
      <c r="X1765" s="27">
        <v>0</v>
      </c>
      <c r="Y1765" s="78">
        <f t="shared" si="313"/>
        <v>8920625</v>
      </c>
      <c r="Z1765" s="49">
        <v>3.0000000000000001E-3</v>
      </c>
    </row>
    <row r="1766" spans="1:26" s="29" customFormat="1" ht="90.75" customHeight="1" x14ac:dyDescent="0.25">
      <c r="A1766" s="20">
        <v>1136</v>
      </c>
      <c r="B1766" s="20" t="s">
        <v>0</v>
      </c>
      <c r="C1766" s="20">
        <v>64328</v>
      </c>
      <c r="D1766" s="21">
        <v>18</v>
      </c>
      <c r="E1766" s="21">
        <v>3</v>
      </c>
      <c r="F1766" s="22">
        <v>66</v>
      </c>
      <c r="G1766" s="21" t="s">
        <v>209</v>
      </c>
      <c r="H1766" s="24">
        <f t="shared" si="314"/>
        <v>7566</v>
      </c>
      <c r="I1766" s="25">
        <v>625</v>
      </c>
      <c r="J1766" s="24">
        <f t="shared" si="307"/>
        <v>4728750</v>
      </c>
      <c r="K1766" s="20"/>
      <c r="L1766" s="20" t="s">
        <v>2</v>
      </c>
      <c r="M1766" s="20" t="s">
        <v>2</v>
      </c>
      <c r="N1766" s="20"/>
      <c r="O1766" s="24"/>
      <c r="P1766" s="24"/>
      <c r="Q1766" s="25"/>
      <c r="R1766" s="24"/>
      <c r="S1766" s="20" t="s">
        <v>2</v>
      </c>
      <c r="T1766" s="27"/>
      <c r="U1766" s="20"/>
      <c r="V1766" s="27">
        <f t="shared" si="311"/>
        <v>4728750</v>
      </c>
      <c r="W1766" s="26">
        <f t="shared" si="312"/>
        <v>4728750</v>
      </c>
      <c r="X1766" s="27">
        <v>0</v>
      </c>
      <c r="Y1766" s="78">
        <f t="shared" si="313"/>
        <v>4728750</v>
      </c>
      <c r="Z1766" s="49">
        <v>3.0000000000000001E-3</v>
      </c>
    </row>
    <row r="1767" spans="1:26" s="29" customFormat="1" ht="90.75" customHeight="1" x14ac:dyDescent="0.25">
      <c r="A1767" s="20">
        <v>1137</v>
      </c>
      <c r="B1767" s="20" t="s">
        <v>0</v>
      </c>
      <c r="C1767" s="20">
        <v>64329</v>
      </c>
      <c r="D1767" s="21">
        <v>10</v>
      </c>
      <c r="E1767" s="21">
        <v>3</v>
      </c>
      <c r="F1767" s="22">
        <v>83</v>
      </c>
      <c r="G1767" s="21" t="s">
        <v>209</v>
      </c>
      <c r="H1767" s="24">
        <f t="shared" si="314"/>
        <v>4383</v>
      </c>
      <c r="I1767" s="25">
        <v>625</v>
      </c>
      <c r="J1767" s="24">
        <f t="shared" si="307"/>
        <v>2739375</v>
      </c>
      <c r="K1767" s="20"/>
      <c r="L1767" s="20" t="s">
        <v>2</v>
      </c>
      <c r="M1767" s="20" t="s">
        <v>2</v>
      </c>
      <c r="N1767" s="20"/>
      <c r="O1767" s="24"/>
      <c r="P1767" s="24"/>
      <c r="Q1767" s="25"/>
      <c r="R1767" s="24"/>
      <c r="S1767" s="20" t="s">
        <v>2</v>
      </c>
      <c r="T1767" s="27"/>
      <c r="U1767" s="20"/>
      <c r="V1767" s="27">
        <f t="shared" si="311"/>
        <v>2739375</v>
      </c>
      <c r="W1767" s="26">
        <f t="shared" si="312"/>
        <v>2739375</v>
      </c>
      <c r="X1767" s="27">
        <v>0</v>
      </c>
      <c r="Y1767" s="78">
        <f t="shared" si="313"/>
        <v>2739375</v>
      </c>
      <c r="Z1767" s="49">
        <v>3.0000000000000001E-3</v>
      </c>
    </row>
    <row r="1768" spans="1:26" s="29" customFormat="1" ht="90.75" customHeight="1" x14ac:dyDescent="0.25">
      <c r="A1768" s="20">
        <v>1138</v>
      </c>
      <c r="B1768" s="20" t="s">
        <v>0</v>
      </c>
      <c r="C1768" s="20">
        <v>64330</v>
      </c>
      <c r="D1768" s="21">
        <v>43</v>
      </c>
      <c r="E1768" s="21">
        <v>2</v>
      </c>
      <c r="F1768" s="22">
        <v>32</v>
      </c>
      <c r="G1768" s="21" t="s">
        <v>209</v>
      </c>
      <c r="H1768" s="24">
        <f t="shared" si="314"/>
        <v>17432</v>
      </c>
      <c r="I1768" s="25">
        <v>625</v>
      </c>
      <c r="J1768" s="24">
        <f t="shared" si="307"/>
        <v>10895000</v>
      </c>
      <c r="K1768" s="20"/>
      <c r="L1768" s="20" t="s">
        <v>2</v>
      </c>
      <c r="M1768" s="20" t="s">
        <v>2</v>
      </c>
      <c r="N1768" s="20"/>
      <c r="O1768" s="24"/>
      <c r="P1768" s="24"/>
      <c r="Q1768" s="25"/>
      <c r="R1768" s="24"/>
      <c r="S1768" s="20" t="s">
        <v>2</v>
      </c>
      <c r="T1768" s="27"/>
      <c r="U1768" s="20"/>
      <c r="V1768" s="27">
        <f t="shared" si="311"/>
        <v>10895000</v>
      </c>
      <c r="W1768" s="26">
        <f t="shared" si="312"/>
        <v>10895000</v>
      </c>
      <c r="X1768" s="27">
        <v>0</v>
      </c>
      <c r="Y1768" s="78">
        <f t="shared" si="313"/>
        <v>10895000</v>
      </c>
      <c r="Z1768" s="49">
        <v>3.0000000000000001E-3</v>
      </c>
    </row>
    <row r="1769" spans="1:26" s="29" customFormat="1" ht="90.75" customHeight="1" x14ac:dyDescent="0.25">
      <c r="A1769" s="20">
        <v>1139</v>
      </c>
      <c r="B1769" s="20" t="s">
        <v>0</v>
      </c>
      <c r="C1769" s="20">
        <v>64331</v>
      </c>
      <c r="D1769" s="21">
        <v>22</v>
      </c>
      <c r="E1769" s="21">
        <v>3</v>
      </c>
      <c r="F1769" s="22">
        <v>4</v>
      </c>
      <c r="G1769" s="21" t="s">
        <v>209</v>
      </c>
      <c r="H1769" s="24">
        <f t="shared" si="314"/>
        <v>9104</v>
      </c>
      <c r="I1769" s="25">
        <v>625</v>
      </c>
      <c r="J1769" s="24">
        <f t="shared" si="307"/>
        <v>5690000</v>
      </c>
      <c r="K1769" s="20"/>
      <c r="L1769" s="20" t="s">
        <v>2</v>
      </c>
      <c r="M1769" s="20" t="s">
        <v>2</v>
      </c>
      <c r="N1769" s="20"/>
      <c r="O1769" s="24"/>
      <c r="P1769" s="24"/>
      <c r="Q1769" s="25"/>
      <c r="R1769" s="24"/>
      <c r="S1769" s="20" t="s">
        <v>2</v>
      </c>
      <c r="T1769" s="27"/>
      <c r="U1769" s="20"/>
      <c r="V1769" s="27">
        <f t="shared" si="311"/>
        <v>5690000</v>
      </c>
      <c r="W1769" s="26">
        <f t="shared" si="312"/>
        <v>5690000</v>
      </c>
      <c r="X1769" s="27">
        <v>0</v>
      </c>
      <c r="Y1769" s="78">
        <f t="shared" si="313"/>
        <v>5690000</v>
      </c>
      <c r="Z1769" s="49">
        <v>3.0000000000000001E-3</v>
      </c>
    </row>
    <row r="1770" spans="1:26" s="29" customFormat="1" ht="90.75" customHeight="1" x14ac:dyDescent="0.25">
      <c r="A1770" s="20">
        <v>1140</v>
      </c>
      <c r="B1770" s="20" t="s">
        <v>0</v>
      </c>
      <c r="C1770" s="20">
        <v>33291</v>
      </c>
      <c r="D1770" s="21">
        <v>33</v>
      </c>
      <c r="E1770" s="21">
        <v>0</v>
      </c>
      <c r="F1770" s="22">
        <v>98</v>
      </c>
      <c r="G1770" s="21" t="s">
        <v>209</v>
      </c>
      <c r="H1770" s="24">
        <f t="shared" si="314"/>
        <v>13298</v>
      </c>
      <c r="I1770" s="25" t="s">
        <v>75</v>
      </c>
      <c r="J1770" s="24">
        <f t="shared" si="307"/>
        <v>8311250</v>
      </c>
      <c r="K1770" s="20"/>
      <c r="L1770" s="20" t="s">
        <v>2</v>
      </c>
      <c r="M1770" s="20" t="s">
        <v>2</v>
      </c>
      <c r="N1770" s="20"/>
      <c r="O1770" s="24"/>
      <c r="P1770" s="24"/>
      <c r="Q1770" s="25"/>
      <c r="R1770" s="24"/>
      <c r="S1770" s="20" t="s">
        <v>2</v>
      </c>
      <c r="T1770" s="27"/>
      <c r="U1770" s="20"/>
      <c r="V1770" s="27">
        <f t="shared" si="311"/>
        <v>8311250</v>
      </c>
      <c r="W1770" s="26">
        <f t="shared" si="312"/>
        <v>8311250</v>
      </c>
      <c r="X1770" s="27">
        <v>0</v>
      </c>
      <c r="Y1770" s="78">
        <f t="shared" si="313"/>
        <v>8311250</v>
      </c>
      <c r="Z1770" s="49">
        <v>3.0000000000000001E-3</v>
      </c>
    </row>
    <row r="1771" spans="1:26" s="29" customFormat="1" ht="90.75" customHeight="1" x14ac:dyDescent="0.25">
      <c r="A1771" s="20">
        <v>1141</v>
      </c>
      <c r="B1771" s="20" t="s">
        <v>0</v>
      </c>
      <c r="C1771" s="20">
        <v>14059</v>
      </c>
      <c r="D1771" s="21">
        <v>11</v>
      </c>
      <c r="E1771" s="21">
        <v>0</v>
      </c>
      <c r="F1771" s="22">
        <v>44</v>
      </c>
      <c r="G1771" s="21" t="s">
        <v>209</v>
      </c>
      <c r="H1771" s="24">
        <f t="shared" si="314"/>
        <v>4444</v>
      </c>
      <c r="I1771" s="25" t="s">
        <v>75</v>
      </c>
      <c r="J1771" s="24">
        <f t="shared" si="307"/>
        <v>2777500</v>
      </c>
      <c r="K1771" s="20"/>
      <c r="L1771" s="20" t="s">
        <v>2</v>
      </c>
      <c r="M1771" s="20" t="s">
        <v>2</v>
      </c>
      <c r="N1771" s="20"/>
      <c r="O1771" s="24"/>
      <c r="P1771" s="24"/>
      <c r="Q1771" s="25"/>
      <c r="R1771" s="24"/>
      <c r="S1771" s="20" t="s">
        <v>2</v>
      </c>
      <c r="T1771" s="27"/>
      <c r="U1771" s="20"/>
      <c r="V1771" s="27">
        <f t="shared" si="311"/>
        <v>2777500</v>
      </c>
      <c r="W1771" s="26">
        <f t="shared" si="312"/>
        <v>2777500</v>
      </c>
      <c r="X1771" s="27">
        <v>0</v>
      </c>
      <c r="Y1771" s="78">
        <f t="shared" si="313"/>
        <v>2777500</v>
      </c>
      <c r="Z1771" s="49">
        <v>3.0000000000000001E-3</v>
      </c>
    </row>
    <row r="1772" spans="1:26" s="29" customFormat="1" ht="90.75" customHeight="1" x14ac:dyDescent="0.25">
      <c r="A1772" s="20">
        <v>1142</v>
      </c>
      <c r="B1772" s="20" t="s">
        <v>0</v>
      </c>
      <c r="C1772" s="20">
        <v>14056</v>
      </c>
      <c r="D1772" s="21">
        <v>9</v>
      </c>
      <c r="E1772" s="21">
        <v>3</v>
      </c>
      <c r="F1772" s="22">
        <v>77</v>
      </c>
      <c r="G1772" s="21" t="s">
        <v>209</v>
      </c>
      <c r="H1772" s="24">
        <f t="shared" si="314"/>
        <v>3977</v>
      </c>
      <c r="I1772" s="25" t="s">
        <v>117</v>
      </c>
      <c r="J1772" s="24">
        <f t="shared" si="307"/>
        <v>3678725</v>
      </c>
      <c r="K1772" s="20"/>
      <c r="L1772" s="20" t="s">
        <v>2</v>
      </c>
      <c r="M1772" s="20" t="s">
        <v>2</v>
      </c>
      <c r="N1772" s="20"/>
      <c r="O1772" s="24"/>
      <c r="P1772" s="24"/>
      <c r="Q1772" s="25"/>
      <c r="R1772" s="24"/>
      <c r="S1772" s="20" t="s">
        <v>2</v>
      </c>
      <c r="T1772" s="27"/>
      <c r="U1772" s="20"/>
      <c r="V1772" s="27">
        <f t="shared" si="311"/>
        <v>3678725</v>
      </c>
      <c r="W1772" s="26">
        <f t="shared" si="312"/>
        <v>3678725</v>
      </c>
      <c r="X1772" s="27">
        <v>0</v>
      </c>
      <c r="Y1772" s="78">
        <f t="shared" si="313"/>
        <v>3678725</v>
      </c>
      <c r="Z1772" s="49">
        <v>3.0000000000000001E-3</v>
      </c>
    </row>
    <row r="1773" spans="1:26" s="29" customFormat="1" ht="90.75" customHeight="1" x14ac:dyDescent="0.25">
      <c r="A1773" s="20"/>
      <c r="B1773" s="20"/>
      <c r="C1773" s="20"/>
      <c r="D1773" s="21"/>
      <c r="E1773" s="21"/>
      <c r="F1773" s="22"/>
      <c r="G1773" s="21" t="s">
        <v>209</v>
      </c>
      <c r="H1773" s="36">
        <v>9.35</v>
      </c>
      <c r="I1773" s="40" t="s">
        <v>117</v>
      </c>
      <c r="J1773" s="28">
        <f t="shared" si="307"/>
        <v>8648.75</v>
      </c>
      <c r="K1773" s="30">
        <v>1</v>
      </c>
      <c r="L1773" s="20" t="s">
        <v>215</v>
      </c>
      <c r="M1773" s="35" t="s">
        <v>13</v>
      </c>
      <c r="N1773" s="30">
        <v>3</v>
      </c>
      <c r="O1773" s="28">
        <v>37.4</v>
      </c>
      <c r="P1773" s="86">
        <v>100</v>
      </c>
      <c r="Q1773" s="40">
        <v>6450</v>
      </c>
      <c r="R1773" s="36">
        <f>(O1773*Q1773)</f>
        <v>241230</v>
      </c>
      <c r="S1773" s="84">
        <v>6</v>
      </c>
      <c r="T1773" s="28">
        <f>(R1773*6/100)</f>
        <v>14473.8</v>
      </c>
      <c r="U1773" s="36">
        <f>(R1773-T1773)</f>
        <v>226756.2</v>
      </c>
      <c r="V1773" s="36">
        <f t="shared" si="311"/>
        <v>235404.95</v>
      </c>
      <c r="W1773" s="36">
        <f t="shared" si="312"/>
        <v>235404.95</v>
      </c>
      <c r="X1773" s="28">
        <v>0</v>
      </c>
      <c r="Y1773" s="26">
        <f t="shared" si="313"/>
        <v>235404.95</v>
      </c>
      <c r="Z1773" s="49">
        <v>3.0000000000000001E-3</v>
      </c>
    </row>
    <row r="1774" spans="1:26" s="29" customFormat="1" ht="90.75" customHeight="1" x14ac:dyDescent="0.25">
      <c r="A1774" s="20">
        <v>1143</v>
      </c>
      <c r="B1774" s="20" t="s">
        <v>0</v>
      </c>
      <c r="C1774" s="20">
        <v>64318</v>
      </c>
      <c r="D1774" s="21">
        <v>1</v>
      </c>
      <c r="E1774" s="21">
        <v>3</v>
      </c>
      <c r="F1774" s="22">
        <v>37</v>
      </c>
      <c r="G1774" s="21" t="s">
        <v>209</v>
      </c>
      <c r="H1774" s="24">
        <f t="shared" ref="H1774:H1794" si="315">(D1774*400)+(E1774*100)+F1774</f>
        <v>737</v>
      </c>
      <c r="I1774" s="25" t="s">
        <v>117</v>
      </c>
      <c r="J1774" s="24">
        <f t="shared" si="307"/>
        <v>681725</v>
      </c>
      <c r="K1774" s="20"/>
      <c r="L1774" s="20"/>
      <c r="M1774" s="20"/>
      <c r="N1774" s="20"/>
      <c r="O1774" s="24"/>
      <c r="P1774" s="24"/>
      <c r="Q1774" s="25"/>
      <c r="R1774" s="24"/>
      <c r="S1774" s="20" t="s">
        <v>2</v>
      </c>
      <c r="T1774" s="27"/>
      <c r="U1774" s="20"/>
      <c r="V1774" s="27">
        <f t="shared" si="311"/>
        <v>681725</v>
      </c>
      <c r="W1774" s="26">
        <f t="shared" si="312"/>
        <v>681725</v>
      </c>
      <c r="X1774" s="27">
        <v>0</v>
      </c>
      <c r="Y1774" s="78">
        <f t="shared" si="313"/>
        <v>681725</v>
      </c>
      <c r="Z1774" s="49">
        <v>3.0000000000000001E-3</v>
      </c>
    </row>
    <row r="1775" spans="1:26" s="29" customFormat="1" ht="90.75" customHeight="1" x14ac:dyDescent="0.25">
      <c r="A1775" s="20">
        <v>1144</v>
      </c>
      <c r="B1775" s="20" t="s">
        <v>0</v>
      </c>
      <c r="C1775" s="20">
        <v>64319</v>
      </c>
      <c r="D1775" s="21">
        <v>2</v>
      </c>
      <c r="E1775" s="21">
        <v>2</v>
      </c>
      <c r="F1775" s="22">
        <v>55</v>
      </c>
      <c r="G1775" s="21" t="s">
        <v>209</v>
      </c>
      <c r="H1775" s="24">
        <f t="shared" si="315"/>
        <v>1055</v>
      </c>
      <c r="I1775" s="25">
        <v>625</v>
      </c>
      <c r="J1775" s="24">
        <f t="shared" si="307"/>
        <v>659375</v>
      </c>
      <c r="K1775" s="20"/>
      <c r="L1775" s="20"/>
      <c r="M1775" s="20"/>
      <c r="N1775" s="20"/>
      <c r="O1775" s="24"/>
      <c r="P1775" s="24"/>
      <c r="Q1775" s="25"/>
      <c r="R1775" s="24"/>
      <c r="S1775" s="20" t="s">
        <v>2</v>
      </c>
      <c r="T1775" s="27"/>
      <c r="U1775" s="20"/>
      <c r="V1775" s="27">
        <f t="shared" si="311"/>
        <v>659375</v>
      </c>
      <c r="W1775" s="26">
        <f t="shared" si="312"/>
        <v>659375</v>
      </c>
      <c r="X1775" s="27">
        <v>0</v>
      </c>
      <c r="Y1775" s="78">
        <f t="shared" si="313"/>
        <v>659375</v>
      </c>
      <c r="Z1775" s="49">
        <v>3.0000000000000001E-3</v>
      </c>
    </row>
    <row r="1776" spans="1:26" s="29" customFormat="1" ht="90.75" customHeight="1" x14ac:dyDescent="0.25">
      <c r="A1776" s="20">
        <v>1145</v>
      </c>
      <c r="B1776" s="20" t="s">
        <v>0</v>
      </c>
      <c r="C1776" s="20">
        <v>64320</v>
      </c>
      <c r="D1776" s="21">
        <v>0</v>
      </c>
      <c r="E1776" s="21">
        <v>2</v>
      </c>
      <c r="F1776" s="22">
        <v>78</v>
      </c>
      <c r="G1776" s="21" t="s">
        <v>209</v>
      </c>
      <c r="H1776" s="24">
        <f t="shared" si="315"/>
        <v>278</v>
      </c>
      <c r="I1776" s="40">
        <v>925</v>
      </c>
      <c r="J1776" s="24">
        <f t="shared" si="307"/>
        <v>257150</v>
      </c>
      <c r="K1776" s="20"/>
      <c r="L1776" s="20"/>
      <c r="M1776" s="20"/>
      <c r="N1776" s="20"/>
      <c r="O1776" s="24"/>
      <c r="P1776" s="24"/>
      <c r="Q1776" s="25"/>
      <c r="R1776" s="24"/>
      <c r="S1776" s="20" t="s">
        <v>2</v>
      </c>
      <c r="T1776" s="27"/>
      <c r="U1776" s="20"/>
      <c r="V1776" s="27">
        <f t="shared" si="311"/>
        <v>257150</v>
      </c>
      <c r="W1776" s="26">
        <f t="shared" si="312"/>
        <v>257150</v>
      </c>
      <c r="X1776" s="27">
        <v>0</v>
      </c>
      <c r="Y1776" s="78">
        <f t="shared" si="313"/>
        <v>257150</v>
      </c>
      <c r="Z1776" s="49">
        <v>3.0000000000000001E-3</v>
      </c>
    </row>
    <row r="1777" spans="1:26" s="29" customFormat="1" ht="90.75" customHeight="1" x14ac:dyDescent="0.25">
      <c r="A1777" s="20">
        <v>1146</v>
      </c>
      <c r="B1777" s="20" t="s">
        <v>0</v>
      </c>
      <c r="C1777" s="20">
        <v>64321</v>
      </c>
      <c r="D1777" s="21">
        <v>2</v>
      </c>
      <c r="E1777" s="21">
        <v>0</v>
      </c>
      <c r="F1777" s="22">
        <v>0</v>
      </c>
      <c r="G1777" s="21" t="s">
        <v>209</v>
      </c>
      <c r="H1777" s="24">
        <f t="shared" si="315"/>
        <v>800</v>
      </c>
      <c r="I1777" s="40">
        <v>925</v>
      </c>
      <c r="J1777" s="24">
        <f t="shared" si="307"/>
        <v>740000</v>
      </c>
      <c r="K1777" s="20"/>
      <c r="L1777" s="20"/>
      <c r="M1777" s="20"/>
      <c r="N1777" s="20"/>
      <c r="O1777" s="24"/>
      <c r="P1777" s="24"/>
      <c r="Q1777" s="25"/>
      <c r="R1777" s="24"/>
      <c r="S1777" s="20" t="s">
        <v>2</v>
      </c>
      <c r="T1777" s="27"/>
      <c r="U1777" s="20"/>
      <c r="V1777" s="27">
        <f t="shared" si="311"/>
        <v>740000</v>
      </c>
      <c r="W1777" s="26">
        <f t="shared" si="312"/>
        <v>740000</v>
      </c>
      <c r="X1777" s="27">
        <v>0</v>
      </c>
      <c r="Y1777" s="78">
        <f t="shared" si="313"/>
        <v>740000</v>
      </c>
      <c r="Z1777" s="49">
        <v>3.0000000000000001E-3</v>
      </c>
    </row>
    <row r="1778" spans="1:26" s="29" customFormat="1" ht="90.75" customHeight="1" x14ac:dyDescent="0.25">
      <c r="A1778" s="20">
        <v>1147</v>
      </c>
      <c r="B1778" s="20" t="s">
        <v>0</v>
      </c>
      <c r="C1778" s="20">
        <v>64322</v>
      </c>
      <c r="D1778" s="21">
        <v>3</v>
      </c>
      <c r="E1778" s="21">
        <v>2</v>
      </c>
      <c r="F1778" s="22">
        <v>80</v>
      </c>
      <c r="G1778" s="21" t="s">
        <v>209</v>
      </c>
      <c r="H1778" s="24">
        <f t="shared" si="315"/>
        <v>1480</v>
      </c>
      <c r="I1778" s="25">
        <v>925</v>
      </c>
      <c r="J1778" s="24">
        <f t="shared" si="307"/>
        <v>1369000</v>
      </c>
      <c r="K1778" s="20"/>
      <c r="L1778" s="20"/>
      <c r="M1778" s="20"/>
      <c r="N1778" s="20"/>
      <c r="O1778" s="24"/>
      <c r="P1778" s="24"/>
      <c r="Q1778" s="25"/>
      <c r="R1778" s="24"/>
      <c r="S1778" s="20" t="s">
        <v>2</v>
      </c>
      <c r="T1778" s="27"/>
      <c r="U1778" s="20"/>
      <c r="V1778" s="27">
        <f t="shared" si="311"/>
        <v>1369000</v>
      </c>
      <c r="W1778" s="26">
        <f t="shared" si="312"/>
        <v>1369000</v>
      </c>
      <c r="X1778" s="27">
        <v>0</v>
      </c>
      <c r="Y1778" s="78">
        <f t="shared" si="313"/>
        <v>1369000</v>
      </c>
      <c r="Z1778" s="49">
        <v>3.0000000000000001E-3</v>
      </c>
    </row>
    <row r="1779" spans="1:26" s="29" customFormat="1" ht="90.75" customHeight="1" x14ac:dyDescent="0.25">
      <c r="A1779" s="20">
        <v>1148</v>
      </c>
      <c r="B1779" s="20" t="s">
        <v>0</v>
      </c>
      <c r="C1779" s="20">
        <v>64323</v>
      </c>
      <c r="D1779" s="21">
        <v>13</v>
      </c>
      <c r="E1779" s="21">
        <v>2</v>
      </c>
      <c r="F1779" s="22">
        <v>78</v>
      </c>
      <c r="G1779" s="21" t="s">
        <v>209</v>
      </c>
      <c r="H1779" s="24">
        <f t="shared" si="315"/>
        <v>5478</v>
      </c>
      <c r="I1779" s="25">
        <v>925</v>
      </c>
      <c r="J1779" s="24">
        <f t="shared" ref="J1779:J1801" si="316">(H1779*I1779)</f>
        <v>5067150</v>
      </c>
      <c r="K1779" s="20"/>
      <c r="L1779" s="20"/>
      <c r="M1779" s="20"/>
      <c r="N1779" s="20"/>
      <c r="O1779" s="24"/>
      <c r="P1779" s="24"/>
      <c r="Q1779" s="25"/>
      <c r="R1779" s="24"/>
      <c r="S1779" s="20" t="s">
        <v>2</v>
      </c>
      <c r="T1779" s="27"/>
      <c r="U1779" s="20"/>
      <c r="V1779" s="27">
        <f t="shared" si="311"/>
        <v>5067150</v>
      </c>
      <c r="W1779" s="26">
        <f t="shared" si="312"/>
        <v>5067150</v>
      </c>
      <c r="X1779" s="27">
        <v>0</v>
      </c>
      <c r="Y1779" s="78">
        <f t="shared" si="313"/>
        <v>5067150</v>
      </c>
      <c r="Z1779" s="49">
        <v>3.0000000000000001E-3</v>
      </c>
    </row>
    <row r="1780" spans="1:26" s="29" customFormat="1" ht="90.75" customHeight="1" x14ac:dyDescent="0.25">
      <c r="A1780" s="20">
        <v>1149</v>
      </c>
      <c r="B1780" s="20" t="s">
        <v>0</v>
      </c>
      <c r="C1780" s="20">
        <v>16194</v>
      </c>
      <c r="D1780" s="21">
        <v>0</v>
      </c>
      <c r="E1780" s="21">
        <v>3</v>
      </c>
      <c r="F1780" s="22">
        <v>84</v>
      </c>
      <c r="G1780" s="21" t="s">
        <v>209</v>
      </c>
      <c r="H1780" s="24">
        <f t="shared" si="315"/>
        <v>384</v>
      </c>
      <c r="I1780" s="25" t="s">
        <v>78</v>
      </c>
      <c r="J1780" s="24">
        <f t="shared" si="316"/>
        <v>336000</v>
      </c>
      <c r="K1780" s="20"/>
      <c r="L1780" s="20" t="s">
        <v>2</v>
      </c>
      <c r="M1780" s="20"/>
      <c r="N1780" s="20"/>
      <c r="O1780" s="24"/>
      <c r="P1780" s="24"/>
      <c r="Q1780" s="25"/>
      <c r="R1780" s="24"/>
      <c r="S1780" s="20"/>
      <c r="T1780" s="27"/>
      <c r="U1780" s="20"/>
      <c r="V1780" s="27">
        <f t="shared" si="311"/>
        <v>336000</v>
      </c>
      <c r="W1780" s="26">
        <f t="shared" si="312"/>
        <v>336000</v>
      </c>
      <c r="X1780" s="27">
        <v>0</v>
      </c>
      <c r="Y1780" s="78">
        <f t="shared" si="313"/>
        <v>336000</v>
      </c>
      <c r="Z1780" s="49">
        <v>3.0000000000000001E-3</v>
      </c>
    </row>
    <row r="1781" spans="1:26" s="29" customFormat="1" ht="90.75" customHeight="1" x14ac:dyDescent="0.25">
      <c r="A1781" s="20">
        <v>1150</v>
      </c>
      <c r="B1781" s="20" t="s">
        <v>0</v>
      </c>
      <c r="C1781" s="20">
        <v>64332</v>
      </c>
      <c r="D1781" s="21">
        <v>5</v>
      </c>
      <c r="E1781" s="21">
        <v>0</v>
      </c>
      <c r="F1781" s="22">
        <v>19</v>
      </c>
      <c r="G1781" s="21" t="s">
        <v>209</v>
      </c>
      <c r="H1781" s="24">
        <f t="shared" si="315"/>
        <v>2019</v>
      </c>
      <c r="I1781" s="25" t="s">
        <v>78</v>
      </c>
      <c r="J1781" s="24">
        <f t="shared" si="316"/>
        <v>1766625</v>
      </c>
      <c r="K1781" s="20"/>
      <c r="L1781" s="20" t="s">
        <v>2</v>
      </c>
      <c r="M1781" s="20"/>
      <c r="N1781" s="20"/>
      <c r="O1781" s="24"/>
      <c r="P1781" s="24"/>
      <c r="Q1781" s="25"/>
      <c r="R1781" s="24"/>
      <c r="S1781" s="20"/>
      <c r="T1781" s="27"/>
      <c r="U1781" s="20"/>
      <c r="V1781" s="27">
        <f t="shared" si="311"/>
        <v>1766625</v>
      </c>
      <c r="W1781" s="26">
        <f t="shared" si="312"/>
        <v>1766625</v>
      </c>
      <c r="X1781" s="27">
        <v>0</v>
      </c>
      <c r="Y1781" s="78">
        <f t="shared" si="313"/>
        <v>1766625</v>
      </c>
      <c r="Z1781" s="49">
        <v>3.0000000000000001E-3</v>
      </c>
    </row>
    <row r="1782" spans="1:26" s="29" customFormat="1" ht="90.75" customHeight="1" x14ac:dyDescent="0.25">
      <c r="A1782" s="20">
        <v>1151</v>
      </c>
      <c r="B1782" s="20" t="s">
        <v>0</v>
      </c>
      <c r="C1782" s="20">
        <v>14609</v>
      </c>
      <c r="D1782" s="21">
        <v>9</v>
      </c>
      <c r="E1782" s="21">
        <v>0</v>
      </c>
      <c r="F1782" s="22">
        <v>39</v>
      </c>
      <c r="G1782" s="21" t="s">
        <v>209</v>
      </c>
      <c r="H1782" s="24">
        <f t="shared" si="315"/>
        <v>3639</v>
      </c>
      <c r="I1782" s="25" t="s">
        <v>21</v>
      </c>
      <c r="J1782" s="24">
        <f t="shared" si="316"/>
        <v>2547300</v>
      </c>
      <c r="K1782" s="20"/>
      <c r="L1782" s="20" t="s">
        <v>2</v>
      </c>
      <c r="M1782" s="20"/>
      <c r="N1782" s="20"/>
      <c r="O1782" s="24"/>
      <c r="P1782" s="24"/>
      <c r="Q1782" s="25"/>
      <c r="R1782" s="24"/>
      <c r="S1782" s="20"/>
      <c r="T1782" s="27"/>
      <c r="U1782" s="20"/>
      <c r="V1782" s="27">
        <f t="shared" si="311"/>
        <v>2547300</v>
      </c>
      <c r="W1782" s="26">
        <f t="shared" si="312"/>
        <v>2547300</v>
      </c>
      <c r="X1782" s="27">
        <v>0</v>
      </c>
      <c r="Y1782" s="78">
        <f t="shared" si="313"/>
        <v>2547300</v>
      </c>
      <c r="Z1782" s="49">
        <v>3.0000000000000001E-3</v>
      </c>
    </row>
    <row r="1783" spans="1:26" s="29" customFormat="1" ht="90.75" customHeight="1" x14ac:dyDescent="0.25">
      <c r="A1783" s="20">
        <v>1152</v>
      </c>
      <c r="B1783" s="20" t="s">
        <v>0</v>
      </c>
      <c r="C1783" s="20">
        <v>47942</v>
      </c>
      <c r="D1783" s="21">
        <v>6</v>
      </c>
      <c r="E1783" s="21">
        <v>3</v>
      </c>
      <c r="F1783" s="22">
        <v>62</v>
      </c>
      <c r="G1783" s="21" t="s">
        <v>209</v>
      </c>
      <c r="H1783" s="24">
        <f t="shared" si="315"/>
        <v>2762</v>
      </c>
      <c r="I1783" s="25" t="s">
        <v>171</v>
      </c>
      <c r="J1783" s="24">
        <f t="shared" si="316"/>
        <v>6352600</v>
      </c>
      <c r="K1783" s="20"/>
      <c r="L1783" s="20"/>
      <c r="M1783" s="20"/>
      <c r="N1783" s="20"/>
      <c r="O1783" s="24"/>
      <c r="P1783" s="24"/>
      <c r="Q1783" s="25"/>
      <c r="R1783" s="24"/>
      <c r="S1783" s="20"/>
      <c r="T1783" s="27"/>
      <c r="U1783" s="20"/>
      <c r="V1783" s="27">
        <f t="shared" si="311"/>
        <v>6352600</v>
      </c>
      <c r="W1783" s="26">
        <f t="shared" si="312"/>
        <v>6352600</v>
      </c>
      <c r="X1783" s="27">
        <v>0</v>
      </c>
      <c r="Y1783" s="78">
        <f t="shared" si="313"/>
        <v>6352600</v>
      </c>
      <c r="Z1783" s="49">
        <v>3.0000000000000001E-3</v>
      </c>
    </row>
    <row r="1784" spans="1:26" s="29" customFormat="1" ht="90.75" customHeight="1" x14ac:dyDescent="0.25">
      <c r="A1784" s="20">
        <v>1153</v>
      </c>
      <c r="B1784" s="20" t="s">
        <v>0</v>
      </c>
      <c r="C1784" s="20">
        <v>14772</v>
      </c>
      <c r="D1784" s="21">
        <v>25</v>
      </c>
      <c r="E1784" s="21">
        <v>0</v>
      </c>
      <c r="F1784" s="22">
        <v>18</v>
      </c>
      <c r="G1784" s="21" t="s">
        <v>209</v>
      </c>
      <c r="H1784" s="24">
        <f t="shared" si="315"/>
        <v>10018</v>
      </c>
      <c r="I1784" s="25" t="s">
        <v>9</v>
      </c>
      <c r="J1784" s="24">
        <f t="shared" si="316"/>
        <v>3005400</v>
      </c>
      <c r="K1784" s="20"/>
      <c r="L1784" s="20"/>
      <c r="M1784" s="20"/>
      <c r="N1784" s="20"/>
      <c r="O1784" s="24"/>
      <c r="P1784" s="24"/>
      <c r="Q1784" s="25"/>
      <c r="R1784" s="24"/>
      <c r="S1784" s="20" t="s">
        <v>2</v>
      </c>
      <c r="T1784" s="27"/>
      <c r="U1784" s="20"/>
      <c r="V1784" s="27">
        <f t="shared" si="311"/>
        <v>3005400</v>
      </c>
      <c r="W1784" s="26">
        <f t="shared" si="312"/>
        <v>3005400</v>
      </c>
      <c r="X1784" s="27">
        <v>0</v>
      </c>
      <c r="Y1784" s="78">
        <f t="shared" si="313"/>
        <v>3005400</v>
      </c>
      <c r="Z1784" s="49">
        <v>3.0000000000000001E-3</v>
      </c>
    </row>
    <row r="1785" spans="1:26" s="29" customFormat="1" ht="90.75" customHeight="1" x14ac:dyDescent="0.25">
      <c r="A1785" s="20">
        <v>1154</v>
      </c>
      <c r="B1785" s="20" t="s">
        <v>0</v>
      </c>
      <c r="C1785" s="20">
        <v>47943</v>
      </c>
      <c r="D1785" s="21">
        <v>14</v>
      </c>
      <c r="E1785" s="21">
        <v>0</v>
      </c>
      <c r="F1785" s="22">
        <v>37</v>
      </c>
      <c r="G1785" s="21" t="s">
        <v>209</v>
      </c>
      <c r="H1785" s="24">
        <f t="shared" si="315"/>
        <v>5637</v>
      </c>
      <c r="I1785" s="25">
        <v>4500</v>
      </c>
      <c r="J1785" s="24">
        <f t="shared" si="316"/>
        <v>25366500</v>
      </c>
      <c r="K1785" s="20"/>
      <c r="L1785" s="20"/>
      <c r="M1785" s="20"/>
      <c r="N1785" s="20"/>
      <c r="O1785" s="24"/>
      <c r="P1785" s="24"/>
      <c r="Q1785" s="25"/>
      <c r="R1785" s="24"/>
      <c r="S1785" s="20"/>
      <c r="T1785" s="27"/>
      <c r="U1785" s="20"/>
      <c r="V1785" s="27">
        <f t="shared" si="311"/>
        <v>25366500</v>
      </c>
      <c r="W1785" s="26">
        <f t="shared" si="312"/>
        <v>25366500</v>
      </c>
      <c r="X1785" s="27">
        <v>0</v>
      </c>
      <c r="Y1785" s="78">
        <f t="shared" si="313"/>
        <v>25366500</v>
      </c>
      <c r="Z1785" s="49">
        <v>3.0000000000000001E-3</v>
      </c>
    </row>
    <row r="1786" spans="1:26" s="29" customFormat="1" ht="90.75" customHeight="1" x14ac:dyDescent="0.25">
      <c r="A1786" s="20">
        <v>1155</v>
      </c>
      <c r="B1786" s="20" t="s">
        <v>0</v>
      </c>
      <c r="C1786" s="20">
        <v>47941</v>
      </c>
      <c r="D1786" s="21">
        <v>12</v>
      </c>
      <c r="E1786" s="21">
        <v>0</v>
      </c>
      <c r="F1786" s="22">
        <v>64</v>
      </c>
      <c r="G1786" s="21" t="s">
        <v>209</v>
      </c>
      <c r="H1786" s="24">
        <f t="shared" si="315"/>
        <v>4864</v>
      </c>
      <c r="I1786" s="25">
        <v>4500</v>
      </c>
      <c r="J1786" s="24">
        <f t="shared" si="316"/>
        <v>21888000</v>
      </c>
      <c r="K1786" s="20"/>
      <c r="L1786" s="20"/>
      <c r="M1786" s="20"/>
      <c r="N1786" s="20"/>
      <c r="O1786" s="24"/>
      <c r="P1786" s="24"/>
      <c r="Q1786" s="25"/>
      <c r="R1786" s="24"/>
      <c r="S1786" s="20"/>
      <c r="T1786" s="27"/>
      <c r="U1786" s="20"/>
      <c r="V1786" s="27">
        <f t="shared" si="311"/>
        <v>21888000</v>
      </c>
      <c r="W1786" s="26">
        <f t="shared" si="312"/>
        <v>21888000</v>
      </c>
      <c r="X1786" s="27">
        <v>0</v>
      </c>
      <c r="Y1786" s="78">
        <f t="shared" si="313"/>
        <v>21888000</v>
      </c>
      <c r="Z1786" s="49">
        <v>3.0000000000000001E-3</v>
      </c>
    </row>
    <row r="1787" spans="1:26" s="29" customFormat="1" ht="90.75" customHeight="1" x14ac:dyDescent="0.25">
      <c r="A1787" s="20">
        <v>1156</v>
      </c>
      <c r="B1787" s="20" t="s">
        <v>0</v>
      </c>
      <c r="C1787" s="20">
        <v>47917</v>
      </c>
      <c r="D1787" s="21">
        <v>7</v>
      </c>
      <c r="E1787" s="21">
        <v>1</v>
      </c>
      <c r="F1787" s="22">
        <v>4</v>
      </c>
      <c r="G1787" s="21" t="s">
        <v>209</v>
      </c>
      <c r="H1787" s="24">
        <f t="shared" si="315"/>
        <v>2904</v>
      </c>
      <c r="I1787" s="25">
        <v>2250</v>
      </c>
      <c r="J1787" s="24">
        <f t="shared" si="316"/>
        <v>6534000</v>
      </c>
      <c r="K1787" s="20"/>
      <c r="L1787" s="20"/>
      <c r="M1787" s="20"/>
      <c r="N1787" s="20"/>
      <c r="O1787" s="24"/>
      <c r="P1787" s="24"/>
      <c r="Q1787" s="25"/>
      <c r="R1787" s="24"/>
      <c r="S1787" s="20"/>
      <c r="T1787" s="27"/>
      <c r="U1787" s="20"/>
      <c r="V1787" s="27">
        <f t="shared" si="311"/>
        <v>6534000</v>
      </c>
      <c r="W1787" s="26">
        <f t="shared" si="312"/>
        <v>6534000</v>
      </c>
      <c r="X1787" s="27">
        <v>0</v>
      </c>
      <c r="Y1787" s="78">
        <f t="shared" si="313"/>
        <v>6534000</v>
      </c>
      <c r="Z1787" s="49">
        <v>3.0000000000000001E-3</v>
      </c>
    </row>
    <row r="1788" spans="1:26" s="29" customFormat="1" ht="90.75" customHeight="1" x14ac:dyDescent="0.25">
      <c r="A1788" s="20">
        <v>1157</v>
      </c>
      <c r="B1788" s="20" t="s">
        <v>0</v>
      </c>
      <c r="C1788" s="20">
        <v>48033</v>
      </c>
      <c r="D1788" s="21">
        <v>2</v>
      </c>
      <c r="E1788" s="21">
        <v>1</v>
      </c>
      <c r="F1788" s="22">
        <v>88</v>
      </c>
      <c r="G1788" s="21" t="s">
        <v>209</v>
      </c>
      <c r="H1788" s="24">
        <f t="shared" si="315"/>
        <v>988</v>
      </c>
      <c r="I1788" s="25">
        <v>4500</v>
      </c>
      <c r="J1788" s="24">
        <f t="shared" si="316"/>
        <v>4446000</v>
      </c>
      <c r="K1788" s="20"/>
      <c r="L1788" s="20"/>
      <c r="M1788" s="20"/>
      <c r="N1788" s="20"/>
      <c r="O1788" s="24"/>
      <c r="P1788" s="24"/>
      <c r="Q1788" s="25"/>
      <c r="R1788" s="24"/>
      <c r="S1788" s="20"/>
      <c r="T1788" s="27"/>
      <c r="U1788" s="20"/>
      <c r="V1788" s="27">
        <f t="shared" si="311"/>
        <v>4446000</v>
      </c>
      <c r="W1788" s="26">
        <f t="shared" si="312"/>
        <v>4446000</v>
      </c>
      <c r="X1788" s="27">
        <v>0</v>
      </c>
      <c r="Y1788" s="78">
        <f t="shared" si="313"/>
        <v>4446000</v>
      </c>
      <c r="Z1788" s="49">
        <v>3.0000000000000001E-3</v>
      </c>
    </row>
    <row r="1789" spans="1:26" s="29" customFormat="1" ht="90.75" customHeight="1" x14ac:dyDescent="0.25">
      <c r="A1789" s="20">
        <v>1158</v>
      </c>
      <c r="B1789" s="20" t="s">
        <v>0</v>
      </c>
      <c r="C1789" s="20">
        <v>48032</v>
      </c>
      <c r="D1789" s="21">
        <v>18</v>
      </c>
      <c r="E1789" s="21">
        <v>1</v>
      </c>
      <c r="F1789" s="22">
        <v>61</v>
      </c>
      <c r="G1789" s="21" t="s">
        <v>209</v>
      </c>
      <c r="H1789" s="24">
        <f t="shared" si="315"/>
        <v>7361</v>
      </c>
      <c r="I1789" s="25">
        <v>4500</v>
      </c>
      <c r="J1789" s="24">
        <f t="shared" si="316"/>
        <v>33124500</v>
      </c>
      <c r="K1789" s="20"/>
      <c r="L1789" s="20"/>
      <c r="M1789" s="20" t="s">
        <v>2</v>
      </c>
      <c r="N1789" s="20"/>
      <c r="O1789" s="24"/>
      <c r="P1789" s="24"/>
      <c r="Q1789" s="25"/>
      <c r="R1789" s="24"/>
      <c r="S1789" s="20"/>
      <c r="T1789" s="27"/>
      <c r="U1789" s="20"/>
      <c r="V1789" s="27">
        <f t="shared" si="311"/>
        <v>33124500</v>
      </c>
      <c r="W1789" s="26">
        <f t="shared" si="312"/>
        <v>33124500</v>
      </c>
      <c r="X1789" s="27">
        <v>0</v>
      </c>
      <c r="Y1789" s="78">
        <f t="shared" si="313"/>
        <v>33124500</v>
      </c>
      <c r="Z1789" s="49">
        <v>3.0000000000000001E-3</v>
      </c>
    </row>
    <row r="1790" spans="1:26" s="29" customFormat="1" ht="90.75" customHeight="1" x14ac:dyDescent="0.25">
      <c r="A1790" s="20">
        <v>1159</v>
      </c>
      <c r="B1790" s="20" t="s">
        <v>0</v>
      </c>
      <c r="C1790" s="20">
        <v>46902</v>
      </c>
      <c r="D1790" s="21">
        <v>10</v>
      </c>
      <c r="E1790" s="21">
        <v>1</v>
      </c>
      <c r="F1790" s="22">
        <v>3</v>
      </c>
      <c r="G1790" s="21" t="s">
        <v>209</v>
      </c>
      <c r="H1790" s="24">
        <f t="shared" si="315"/>
        <v>4103</v>
      </c>
      <c r="I1790" s="25">
        <v>4500</v>
      </c>
      <c r="J1790" s="24">
        <f t="shared" si="316"/>
        <v>18463500</v>
      </c>
      <c r="K1790" s="20"/>
      <c r="L1790" s="20"/>
      <c r="M1790" s="20"/>
      <c r="N1790" s="20"/>
      <c r="O1790" s="24"/>
      <c r="P1790" s="24"/>
      <c r="Q1790" s="25"/>
      <c r="R1790" s="24"/>
      <c r="S1790" s="20"/>
      <c r="T1790" s="27"/>
      <c r="U1790" s="20"/>
      <c r="V1790" s="27">
        <f t="shared" si="311"/>
        <v>18463500</v>
      </c>
      <c r="W1790" s="26">
        <f t="shared" si="312"/>
        <v>18463500</v>
      </c>
      <c r="X1790" s="27">
        <v>0</v>
      </c>
      <c r="Y1790" s="78">
        <f t="shared" si="313"/>
        <v>18463500</v>
      </c>
      <c r="Z1790" s="49">
        <v>3.0000000000000001E-3</v>
      </c>
    </row>
    <row r="1791" spans="1:26" s="29" customFormat="1" ht="90.75" customHeight="1" x14ac:dyDescent="0.25">
      <c r="A1791" s="20">
        <v>1160</v>
      </c>
      <c r="B1791" s="20" t="s">
        <v>0</v>
      </c>
      <c r="C1791" s="20">
        <v>14773</v>
      </c>
      <c r="D1791" s="21">
        <v>16</v>
      </c>
      <c r="E1791" s="21">
        <v>2</v>
      </c>
      <c r="F1791" s="22">
        <v>41</v>
      </c>
      <c r="G1791" s="21" t="s">
        <v>209</v>
      </c>
      <c r="H1791" s="24">
        <f t="shared" si="315"/>
        <v>6641</v>
      </c>
      <c r="I1791" s="25">
        <v>750</v>
      </c>
      <c r="J1791" s="24">
        <f t="shared" si="316"/>
        <v>4980750</v>
      </c>
      <c r="K1791" s="20"/>
      <c r="L1791" s="20"/>
      <c r="M1791" s="20"/>
      <c r="N1791" s="20"/>
      <c r="O1791" s="24"/>
      <c r="P1791" s="24"/>
      <c r="Q1791" s="25"/>
      <c r="R1791" s="24"/>
      <c r="S1791" s="20"/>
      <c r="T1791" s="27"/>
      <c r="U1791" s="20"/>
      <c r="V1791" s="27">
        <f t="shared" si="311"/>
        <v>4980750</v>
      </c>
      <c r="W1791" s="26">
        <f t="shared" si="312"/>
        <v>4980750</v>
      </c>
      <c r="X1791" s="27">
        <v>0</v>
      </c>
      <c r="Y1791" s="78">
        <f t="shared" si="313"/>
        <v>4980750</v>
      </c>
      <c r="Z1791" s="49">
        <v>3.0000000000000001E-3</v>
      </c>
    </row>
    <row r="1792" spans="1:26" s="29" customFormat="1" ht="90.75" customHeight="1" x14ac:dyDescent="0.25">
      <c r="A1792" s="20">
        <v>1161</v>
      </c>
      <c r="B1792" s="20" t="s">
        <v>0</v>
      </c>
      <c r="C1792" s="20">
        <v>47944</v>
      </c>
      <c r="D1792" s="21">
        <v>3</v>
      </c>
      <c r="E1792" s="21">
        <v>2</v>
      </c>
      <c r="F1792" s="22">
        <v>9</v>
      </c>
      <c r="G1792" s="21" t="s">
        <v>209</v>
      </c>
      <c r="H1792" s="24">
        <f t="shared" si="315"/>
        <v>1409</v>
      </c>
      <c r="I1792" s="25">
        <v>2250</v>
      </c>
      <c r="J1792" s="24">
        <f t="shared" si="316"/>
        <v>3170250</v>
      </c>
      <c r="K1792" s="20"/>
      <c r="L1792" s="20"/>
      <c r="M1792" s="20"/>
      <c r="N1792" s="20"/>
      <c r="O1792" s="24"/>
      <c r="P1792" s="24"/>
      <c r="Q1792" s="25"/>
      <c r="R1792" s="24"/>
      <c r="S1792" s="20"/>
      <c r="T1792" s="27"/>
      <c r="U1792" s="20"/>
      <c r="V1792" s="27">
        <f t="shared" si="311"/>
        <v>3170250</v>
      </c>
      <c r="W1792" s="26">
        <f t="shared" si="312"/>
        <v>3170250</v>
      </c>
      <c r="X1792" s="27">
        <v>0</v>
      </c>
      <c r="Y1792" s="78">
        <f t="shared" si="313"/>
        <v>3170250</v>
      </c>
      <c r="Z1792" s="49">
        <v>3.0000000000000001E-3</v>
      </c>
    </row>
    <row r="1793" spans="1:26" s="29" customFormat="1" ht="90.75" customHeight="1" x14ac:dyDescent="0.25">
      <c r="A1793" s="20">
        <v>1162</v>
      </c>
      <c r="B1793" s="20" t="s">
        <v>0</v>
      </c>
      <c r="C1793" s="20">
        <v>47960</v>
      </c>
      <c r="D1793" s="21">
        <v>1</v>
      </c>
      <c r="E1793" s="21">
        <v>2</v>
      </c>
      <c r="F1793" s="22">
        <v>74</v>
      </c>
      <c r="G1793" s="21" t="s">
        <v>209</v>
      </c>
      <c r="H1793" s="24">
        <f t="shared" si="315"/>
        <v>674</v>
      </c>
      <c r="I1793" s="25">
        <v>2250</v>
      </c>
      <c r="J1793" s="24">
        <f t="shared" si="316"/>
        <v>1516500</v>
      </c>
      <c r="K1793" s="20"/>
      <c r="L1793" s="20"/>
      <c r="M1793" s="20"/>
      <c r="N1793" s="20"/>
      <c r="O1793" s="24"/>
      <c r="P1793" s="24"/>
      <c r="Q1793" s="25"/>
      <c r="R1793" s="24"/>
      <c r="S1793" s="20"/>
      <c r="T1793" s="27"/>
      <c r="U1793" s="20"/>
      <c r="V1793" s="27">
        <f t="shared" si="311"/>
        <v>1516500</v>
      </c>
      <c r="W1793" s="26">
        <f t="shared" si="312"/>
        <v>1516500</v>
      </c>
      <c r="X1793" s="27">
        <v>0</v>
      </c>
      <c r="Y1793" s="78">
        <f t="shared" si="313"/>
        <v>1516500</v>
      </c>
      <c r="Z1793" s="49">
        <v>3.0000000000000001E-3</v>
      </c>
    </row>
    <row r="1794" spans="1:26" s="29" customFormat="1" ht="90.75" customHeight="1" x14ac:dyDescent="0.25">
      <c r="A1794" s="20">
        <v>1163</v>
      </c>
      <c r="B1794" s="20" t="s">
        <v>0</v>
      </c>
      <c r="C1794" s="20">
        <v>8231</v>
      </c>
      <c r="D1794" s="21">
        <v>56</v>
      </c>
      <c r="E1794" s="21">
        <v>2</v>
      </c>
      <c r="F1794" s="22">
        <v>44</v>
      </c>
      <c r="G1794" s="23"/>
      <c r="H1794" s="24">
        <f t="shared" si="315"/>
        <v>22644</v>
      </c>
      <c r="I1794" s="25">
        <v>500</v>
      </c>
      <c r="J1794" s="24">
        <f t="shared" si="316"/>
        <v>11322000</v>
      </c>
      <c r="K1794" s="20"/>
      <c r="L1794" s="20"/>
      <c r="M1794" s="20"/>
      <c r="N1794" s="20"/>
      <c r="O1794" s="24"/>
      <c r="P1794" s="24"/>
      <c r="Q1794" s="25"/>
      <c r="R1794" s="24"/>
      <c r="S1794" s="20"/>
      <c r="T1794" s="27"/>
      <c r="U1794" s="20"/>
      <c r="V1794" s="27">
        <f t="shared" si="311"/>
        <v>11322000</v>
      </c>
      <c r="W1794" s="26">
        <f t="shared" si="312"/>
        <v>11322000</v>
      </c>
      <c r="X1794" s="27">
        <v>0</v>
      </c>
      <c r="Y1794" s="78">
        <f t="shared" si="313"/>
        <v>11322000</v>
      </c>
      <c r="Z1794" s="49">
        <v>3.0000000000000001E-3</v>
      </c>
    </row>
    <row r="1795" spans="1:26" s="29" customFormat="1" ht="90.75" customHeight="1" x14ac:dyDescent="0.25">
      <c r="A1795" s="20"/>
      <c r="B1795" s="20"/>
      <c r="C1795" s="20"/>
      <c r="D1795" s="21"/>
      <c r="E1795" s="21"/>
      <c r="F1795" s="22"/>
      <c r="G1795" s="21" t="s">
        <v>209</v>
      </c>
      <c r="H1795" s="36">
        <v>6.63</v>
      </c>
      <c r="I1795" s="25">
        <v>500</v>
      </c>
      <c r="J1795" s="65">
        <f t="shared" si="316"/>
        <v>3315</v>
      </c>
      <c r="K1795" s="30">
        <v>1</v>
      </c>
      <c r="L1795" s="20" t="s">
        <v>215</v>
      </c>
      <c r="M1795" s="35" t="s">
        <v>13</v>
      </c>
      <c r="N1795" s="30">
        <v>3</v>
      </c>
      <c r="O1795" s="28">
        <v>26.52</v>
      </c>
      <c r="P1795" s="86">
        <v>100</v>
      </c>
      <c r="Q1795" s="40">
        <v>6450</v>
      </c>
      <c r="R1795" s="36">
        <f>(O1795*Q1795)</f>
        <v>171054</v>
      </c>
      <c r="S1795" s="84">
        <v>7</v>
      </c>
      <c r="T1795" s="28">
        <f>(R1795*7/100)</f>
        <v>11973.78</v>
      </c>
      <c r="U1795" s="36">
        <f>(R1795-T1795)</f>
        <v>159080.22</v>
      </c>
      <c r="V1795" s="36">
        <f t="shared" si="311"/>
        <v>162395.22</v>
      </c>
      <c r="W1795" s="36">
        <f t="shared" si="312"/>
        <v>162395.22</v>
      </c>
      <c r="X1795" s="28">
        <v>0</v>
      </c>
      <c r="Y1795" s="26">
        <f t="shared" si="313"/>
        <v>162395.22</v>
      </c>
      <c r="Z1795" s="49">
        <v>3.0000000000000001E-3</v>
      </c>
    </row>
    <row r="1796" spans="1:26" s="29" customFormat="1" ht="90.75" customHeight="1" x14ac:dyDescent="0.25">
      <c r="A1796" s="20">
        <v>1164</v>
      </c>
      <c r="B1796" s="20" t="s">
        <v>0</v>
      </c>
      <c r="C1796" s="20">
        <v>10595</v>
      </c>
      <c r="D1796" s="21">
        <v>4</v>
      </c>
      <c r="E1796" s="21">
        <v>2</v>
      </c>
      <c r="F1796" s="22">
        <v>43</v>
      </c>
      <c r="G1796" s="21" t="s">
        <v>209</v>
      </c>
      <c r="H1796" s="24">
        <f t="shared" ref="H1796:H1801" si="317">(D1796*400)+(E1796*100)+F1796</f>
        <v>1843</v>
      </c>
      <c r="I1796" s="25">
        <v>300</v>
      </c>
      <c r="J1796" s="24">
        <f t="shared" si="316"/>
        <v>552900</v>
      </c>
      <c r="K1796" s="20"/>
      <c r="L1796" s="20"/>
      <c r="M1796" s="20"/>
      <c r="N1796" s="20"/>
      <c r="O1796" s="24"/>
      <c r="P1796" s="24"/>
      <c r="Q1796" s="25"/>
      <c r="R1796" s="24"/>
      <c r="S1796" s="20"/>
      <c r="T1796" s="27"/>
      <c r="U1796" s="20"/>
      <c r="V1796" s="27">
        <f t="shared" si="311"/>
        <v>552900</v>
      </c>
      <c r="W1796" s="26">
        <f t="shared" si="312"/>
        <v>552900</v>
      </c>
      <c r="X1796" s="27">
        <v>0</v>
      </c>
      <c r="Y1796" s="78">
        <f t="shared" si="313"/>
        <v>552900</v>
      </c>
      <c r="Z1796" s="49">
        <v>3.0000000000000001E-3</v>
      </c>
    </row>
    <row r="1797" spans="1:26" s="29" customFormat="1" ht="90.75" customHeight="1" x14ac:dyDescent="0.25">
      <c r="A1797" s="20">
        <v>1165</v>
      </c>
      <c r="B1797" s="20" t="s">
        <v>0</v>
      </c>
      <c r="C1797" s="20">
        <v>47912</v>
      </c>
      <c r="D1797" s="21">
        <v>3</v>
      </c>
      <c r="E1797" s="21">
        <v>2</v>
      </c>
      <c r="F1797" s="22">
        <v>26</v>
      </c>
      <c r="G1797" s="21" t="s">
        <v>209</v>
      </c>
      <c r="H1797" s="24">
        <f t="shared" si="317"/>
        <v>1426</v>
      </c>
      <c r="I1797" s="25">
        <v>500</v>
      </c>
      <c r="J1797" s="24">
        <f t="shared" si="316"/>
        <v>713000</v>
      </c>
      <c r="K1797" s="20"/>
      <c r="L1797" s="20"/>
      <c r="M1797" s="20"/>
      <c r="N1797" s="20"/>
      <c r="O1797" s="24"/>
      <c r="P1797" s="24"/>
      <c r="Q1797" s="25"/>
      <c r="R1797" s="24"/>
      <c r="S1797" s="20"/>
      <c r="T1797" s="27"/>
      <c r="U1797" s="20"/>
      <c r="V1797" s="27">
        <f t="shared" si="311"/>
        <v>713000</v>
      </c>
      <c r="W1797" s="26">
        <f t="shared" si="312"/>
        <v>713000</v>
      </c>
      <c r="X1797" s="27">
        <v>0</v>
      </c>
      <c r="Y1797" s="78">
        <f t="shared" si="313"/>
        <v>713000</v>
      </c>
      <c r="Z1797" s="49">
        <v>3.0000000000000001E-3</v>
      </c>
    </row>
    <row r="1798" spans="1:26" s="29" customFormat="1" ht="90.75" customHeight="1" x14ac:dyDescent="0.25">
      <c r="A1798" s="20">
        <v>1166</v>
      </c>
      <c r="B1798" s="20" t="s">
        <v>0</v>
      </c>
      <c r="C1798" s="20">
        <v>46900</v>
      </c>
      <c r="D1798" s="21">
        <v>23</v>
      </c>
      <c r="E1798" s="21">
        <v>2</v>
      </c>
      <c r="F1798" s="22">
        <v>1</v>
      </c>
      <c r="G1798" s="21" t="s">
        <v>209</v>
      </c>
      <c r="H1798" s="24">
        <f t="shared" si="317"/>
        <v>9401</v>
      </c>
      <c r="I1798" s="25">
        <v>625</v>
      </c>
      <c r="J1798" s="24">
        <f t="shared" si="316"/>
        <v>5875625</v>
      </c>
      <c r="K1798" s="20"/>
      <c r="L1798" s="20"/>
      <c r="M1798" s="20"/>
      <c r="N1798" s="20"/>
      <c r="O1798" s="24"/>
      <c r="P1798" s="24"/>
      <c r="Q1798" s="25"/>
      <c r="R1798" s="24"/>
      <c r="S1798" s="20"/>
      <c r="T1798" s="27"/>
      <c r="U1798" s="20"/>
      <c r="V1798" s="27">
        <f t="shared" si="311"/>
        <v>5875625</v>
      </c>
      <c r="W1798" s="26">
        <f t="shared" si="312"/>
        <v>5875625</v>
      </c>
      <c r="X1798" s="27">
        <v>0</v>
      </c>
      <c r="Y1798" s="78">
        <f t="shared" si="313"/>
        <v>5875625</v>
      </c>
      <c r="Z1798" s="49">
        <v>3.0000000000000001E-3</v>
      </c>
    </row>
    <row r="1799" spans="1:26" s="29" customFormat="1" ht="90.75" customHeight="1" x14ac:dyDescent="0.25">
      <c r="A1799" s="20">
        <v>1167</v>
      </c>
      <c r="B1799" s="20" t="s">
        <v>0</v>
      </c>
      <c r="C1799" s="20">
        <v>47931</v>
      </c>
      <c r="D1799" s="21">
        <v>5</v>
      </c>
      <c r="E1799" s="21">
        <v>1</v>
      </c>
      <c r="F1799" s="22">
        <v>12</v>
      </c>
      <c r="G1799" s="21" t="s">
        <v>209</v>
      </c>
      <c r="H1799" s="24">
        <f t="shared" si="317"/>
        <v>2112</v>
      </c>
      <c r="I1799" s="25">
        <v>2250</v>
      </c>
      <c r="J1799" s="24">
        <f t="shared" si="316"/>
        <v>4752000</v>
      </c>
      <c r="K1799" s="20"/>
      <c r="L1799" s="20"/>
      <c r="M1799" s="20"/>
      <c r="N1799" s="20"/>
      <c r="O1799" s="24"/>
      <c r="P1799" s="24"/>
      <c r="Q1799" s="25"/>
      <c r="R1799" s="24"/>
      <c r="S1799" s="20"/>
      <c r="T1799" s="27"/>
      <c r="U1799" s="20"/>
      <c r="V1799" s="27">
        <f t="shared" si="311"/>
        <v>4752000</v>
      </c>
      <c r="W1799" s="26">
        <f t="shared" si="312"/>
        <v>4752000</v>
      </c>
      <c r="X1799" s="27">
        <v>0</v>
      </c>
      <c r="Y1799" s="78">
        <f t="shared" si="313"/>
        <v>4752000</v>
      </c>
      <c r="Z1799" s="49">
        <v>3.0000000000000001E-3</v>
      </c>
    </row>
    <row r="1800" spans="1:26" s="29" customFormat="1" ht="90.75" customHeight="1" x14ac:dyDescent="0.25">
      <c r="A1800" s="20">
        <v>1168</v>
      </c>
      <c r="B1800" s="20" t="s">
        <v>0</v>
      </c>
      <c r="C1800" s="20">
        <v>47932</v>
      </c>
      <c r="D1800" s="21">
        <v>6</v>
      </c>
      <c r="E1800" s="21">
        <v>3</v>
      </c>
      <c r="F1800" s="22">
        <v>48</v>
      </c>
      <c r="G1800" s="21" t="s">
        <v>209</v>
      </c>
      <c r="H1800" s="24">
        <f t="shared" si="317"/>
        <v>2748</v>
      </c>
      <c r="I1800" s="25">
        <v>2250</v>
      </c>
      <c r="J1800" s="24">
        <f t="shared" si="316"/>
        <v>6183000</v>
      </c>
      <c r="K1800" s="20"/>
      <c r="L1800" s="20"/>
      <c r="M1800" s="20"/>
      <c r="N1800" s="20"/>
      <c r="O1800" s="24"/>
      <c r="P1800" s="24"/>
      <c r="Q1800" s="25"/>
      <c r="R1800" s="24"/>
      <c r="S1800" s="20"/>
      <c r="T1800" s="27"/>
      <c r="U1800" s="20"/>
      <c r="V1800" s="27">
        <f t="shared" si="311"/>
        <v>6183000</v>
      </c>
      <c r="W1800" s="26">
        <f t="shared" si="312"/>
        <v>6183000</v>
      </c>
      <c r="X1800" s="27">
        <v>0</v>
      </c>
      <c r="Y1800" s="78">
        <f t="shared" si="313"/>
        <v>6183000</v>
      </c>
      <c r="Z1800" s="49">
        <v>3.0000000000000001E-3</v>
      </c>
    </row>
    <row r="1801" spans="1:26" s="29" customFormat="1" ht="90.75" customHeight="1" x14ac:dyDescent="0.25">
      <c r="A1801" s="20">
        <v>1169</v>
      </c>
      <c r="B1801" s="20" t="s">
        <v>0</v>
      </c>
      <c r="C1801" s="20">
        <v>33288</v>
      </c>
      <c r="D1801" s="21">
        <v>57</v>
      </c>
      <c r="E1801" s="21">
        <v>2</v>
      </c>
      <c r="F1801" s="22">
        <v>41</v>
      </c>
      <c r="G1801" s="21" t="s">
        <v>209</v>
      </c>
      <c r="H1801" s="24">
        <f t="shared" si="317"/>
        <v>23041</v>
      </c>
      <c r="I1801" s="25">
        <v>2250</v>
      </c>
      <c r="J1801" s="24">
        <f t="shared" si="316"/>
        <v>51842250</v>
      </c>
      <c r="K1801" s="20"/>
      <c r="L1801" s="20"/>
      <c r="M1801" s="20"/>
      <c r="N1801" s="20"/>
      <c r="O1801" s="24"/>
      <c r="P1801" s="24"/>
      <c r="Q1801" s="25"/>
      <c r="R1801" s="24"/>
      <c r="S1801" s="20"/>
      <c r="T1801" s="24"/>
      <c r="U1801" s="27"/>
      <c r="V1801" s="27"/>
      <c r="W1801" s="26"/>
      <c r="X1801" s="27"/>
      <c r="Y1801" s="78"/>
      <c r="Z1801" s="49"/>
    </row>
    <row r="1802" spans="1:26" s="29" customFormat="1" ht="90.75" customHeight="1" x14ac:dyDescent="0.25">
      <c r="A1802" s="20"/>
      <c r="B1802" s="20"/>
      <c r="C1802" s="20"/>
      <c r="D1802" s="21"/>
      <c r="E1802" s="21"/>
      <c r="F1802" s="22"/>
      <c r="G1802" s="23"/>
      <c r="H1802" s="24"/>
      <c r="I1802" s="25"/>
      <c r="J1802" s="24"/>
      <c r="K1802" s="37">
        <v>1</v>
      </c>
      <c r="L1802" s="31" t="s">
        <v>36</v>
      </c>
      <c r="M1802" s="31"/>
      <c r="N1802" s="51">
        <v>3</v>
      </c>
      <c r="O1802" s="45">
        <v>25</v>
      </c>
      <c r="P1802" s="86">
        <v>100</v>
      </c>
      <c r="Q1802" s="40">
        <v>5550</v>
      </c>
      <c r="R1802" s="36">
        <f>(O1802*Q1802)</f>
        <v>138750</v>
      </c>
      <c r="S1802" s="37">
        <v>6</v>
      </c>
      <c r="T1802" s="28">
        <f>(R1802*6/100)</f>
        <v>8325</v>
      </c>
      <c r="U1802" s="36">
        <f>(R1802-T1802)</f>
        <v>130425</v>
      </c>
      <c r="V1802" s="36"/>
      <c r="W1802" s="36"/>
      <c r="X1802" s="28"/>
      <c r="Y1802" s="28"/>
      <c r="Z1802" s="49"/>
    </row>
    <row r="1803" spans="1:26" s="29" customFormat="1" ht="90.75" customHeight="1" x14ac:dyDescent="0.25">
      <c r="A1803" s="20"/>
      <c r="B1803" s="20"/>
      <c r="C1803" s="20"/>
      <c r="D1803" s="21"/>
      <c r="E1803" s="21"/>
      <c r="F1803" s="22"/>
      <c r="G1803" s="23"/>
      <c r="H1803" s="36"/>
      <c r="I1803" s="25"/>
      <c r="J1803" s="65"/>
      <c r="K1803" s="37">
        <v>2</v>
      </c>
      <c r="L1803" s="31" t="s">
        <v>215</v>
      </c>
      <c r="M1803" s="31" t="s">
        <v>13</v>
      </c>
      <c r="N1803" s="51">
        <v>3</v>
      </c>
      <c r="O1803" s="45">
        <v>4.25</v>
      </c>
      <c r="P1803" s="86">
        <v>100</v>
      </c>
      <c r="Q1803" s="40">
        <v>6450</v>
      </c>
      <c r="R1803" s="36">
        <f>(O1803*Q1803)</f>
        <v>27412.5</v>
      </c>
      <c r="S1803" s="37">
        <v>6</v>
      </c>
      <c r="T1803" s="28">
        <f>(R1803*6/100)</f>
        <v>1644.75</v>
      </c>
      <c r="U1803" s="36">
        <f>(R1803-T1803)</f>
        <v>25767.75</v>
      </c>
      <c r="V1803" s="36"/>
      <c r="W1803" s="36"/>
      <c r="X1803" s="28"/>
      <c r="Y1803" s="28"/>
      <c r="Z1803" s="49"/>
    </row>
    <row r="1804" spans="1:26" s="29" customFormat="1" ht="90.75" customHeight="1" x14ac:dyDescent="0.25">
      <c r="A1804" s="20"/>
      <c r="B1804" s="20"/>
      <c r="C1804" s="20"/>
      <c r="D1804" s="21"/>
      <c r="E1804" s="21"/>
      <c r="F1804" s="22"/>
      <c r="G1804" s="23"/>
      <c r="H1804" s="36"/>
      <c r="I1804" s="25"/>
      <c r="J1804" s="65"/>
      <c r="K1804" s="37">
        <v>3</v>
      </c>
      <c r="L1804" s="31" t="s">
        <v>36</v>
      </c>
      <c r="M1804" s="31"/>
      <c r="N1804" s="51">
        <v>3</v>
      </c>
      <c r="O1804" s="45">
        <v>88.25</v>
      </c>
      <c r="P1804" s="86">
        <v>100</v>
      </c>
      <c r="Q1804" s="40">
        <v>5550</v>
      </c>
      <c r="R1804" s="36">
        <f>(O1804*Q1804)</f>
        <v>489787.5</v>
      </c>
      <c r="S1804" s="37">
        <v>6</v>
      </c>
      <c r="T1804" s="28">
        <f>(R1804*6/100)</f>
        <v>29387.25</v>
      </c>
      <c r="U1804" s="36">
        <f>(R1804-T1804)</f>
        <v>460400.25</v>
      </c>
      <c r="V1804" s="36"/>
      <c r="W1804" s="36"/>
      <c r="X1804" s="28"/>
      <c r="Y1804" s="28"/>
      <c r="Z1804" s="49"/>
    </row>
    <row r="1805" spans="1:26" s="29" customFormat="1" ht="90.75" customHeight="1" x14ac:dyDescent="0.25">
      <c r="A1805" s="20"/>
      <c r="B1805" s="20"/>
      <c r="C1805" s="20"/>
      <c r="D1805" s="21"/>
      <c r="E1805" s="21"/>
      <c r="F1805" s="22"/>
      <c r="G1805" s="23"/>
      <c r="H1805" s="36"/>
      <c r="I1805" s="25"/>
      <c r="J1805" s="65"/>
      <c r="K1805" s="37">
        <v>4</v>
      </c>
      <c r="L1805" s="31" t="s">
        <v>31</v>
      </c>
      <c r="M1805" s="31"/>
      <c r="N1805" s="51">
        <v>3</v>
      </c>
      <c r="O1805" s="45">
        <v>53</v>
      </c>
      <c r="P1805" s="86">
        <v>100</v>
      </c>
      <c r="Q1805" s="40">
        <v>2550</v>
      </c>
      <c r="R1805" s="36">
        <f>(O1805*Q1805)</f>
        <v>135150</v>
      </c>
      <c r="S1805" s="37">
        <v>6</v>
      </c>
      <c r="T1805" s="28">
        <f>(R1805*6/100)</f>
        <v>8109</v>
      </c>
      <c r="U1805" s="36">
        <f>(R1805-T1805)</f>
        <v>127041</v>
      </c>
      <c r="V1805" s="36"/>
      <c r="W1805" s="36"/>
      <c r="X1805" s="28"/>
      <c r="Y1805" s="28"/>
      <c r="Z1805" s="49"/>
    </row>
    <row r="1806" spans="1:26" s="29" customFormat="1" ht="90.75" customHeight="1" x14ac:dyDescent="0.25">
      <c r="A1806" s="20"/>
      <c r="B1806" s="20"/>
      <c r="C1806" s="20"/>
      <c r="D1806" s="21"/>
      <c r="E1806" s="21"/>
      <c r="F1806" s="22"/>
      <c r="G1806" s="23"/>
      <c r="H1806" s="24"/>
      <c r="I1806" s="25"/>
      <c r="J1806" s="24"/>
      <c r="K1806" s="20"/>
      <c r="L1806" s="20"/>
      <c r="M1806" s="20"/>
      <c r="N1806" s="20"/>
      <c r="O1806" s="24"/>
      <c r="P1806" s="24"/>
      <c r="Q1806" s="25"/>
      <c r="R1806" s="24"/>
      <c r="S1806" s="20"/>
      <c r="T1806" s="27"/>
      <c r="U1806" s="78">
        <f>SUM(U1802:U1805)</f>
        <v>743634</v>
      </c>
      <c r="V1806" s="27">
        <f>(J1801+U1806)</f>
        <v>52585884</v>
      </c>
      <c r="W1806" s="26">
        <f t="shared" ref="W1806:W1834" si="318">(V1806*100/100)</f>
        <v>52585884</v>
      </c>
      <c r="X1806" s="27">
        <v>0</v>
      </c>
      <c r="Y1806" s="78">
        <f t="shared" ref="Y1806:Y1834" si="319">(W1806-X1806)</f>
        <v>52585884</v>
      </c>
      <c r="Z1806" s="49">
        <v>3.0000000000000001E-3</v>
      </c>
    </row>
    <row r="1807" spans="1:26" s="29" customFormat="1" ht="90.75" customHeight="1" x14ac:dyDescent="0.25">
      <c r="A1807" s="20">
        <v>1170</v>
      </c>
      <c r="B1807" s="20" t="s">
        <v>0</v>
      </c>
      <c r="C1807" s="20">
        <v>47911</v>
      </c>
      <c r="D1807" s="21">
        <v>4</v>
      </c>
      <c r="E1807" s="21">
        <v>3</v>
      </c>
      <c r="F1807" s="22">
        <v>13</v>
      </c>
      <c r="G1807" s="23"/>
      <c r="H1807" s="24">
        <f>(D1807*400)+(E1807*100)+F1807</f>
        <v>1913</v>
      </c>
      <c r="I1807" s="25">
        <v>4500</v>
      </c>
      <c r="J1807" s="24">
        <f t="shared" ref="J1807:J1838" si="320">(H1807*I1807)</f>
        <v>8608500</v>
      </c>
      <c r="K1807" s="20"/>
      <c r="L1807" s="20"/>
      <c r="M1807" s="20"/>
      <c r="N1807" s="20"/>
      <c r="O1807" s="24"/>
      <c r="P1807" s="24"/>
      <c r="Q1807" s="25"/>
      <c r="R1807" s="24"/>
      <c r="S1807" s="20"/>
      <c r="T1807" s="27"/>
      <c r="U1807" s="20"/>
      <c r="V1807" s="27">
        <f t="shared" ref="V1807:V1834" si="321">(J1807+U1807)</f>
        <v>8608500</v>
      </c>
      <c r="W1807" s="26">
        <f t="shared" si="318"/>
        <v>8608500</v>
      </c>
      <c r="X1807" s="27">
        <v>0</v>
      </c>
      <c r="Y1807" s="78">
        <f t="shared" si="319"/>
        <v>8608500</v>
      </c>
      <c r="Z1807" s="49">
        <v>3.0000000000000001E-3</v>
      </c>
    </row>
    <row r="1808" spans="1:26" s="29" customFormat="1" ht="90.75" customHeight="1" x14ac:dyDescent="0.25">
      <c r="A1808" s="20"/>
      <c r="B1808" s="20" t="s">
        <v>0</v>
      </c>
      <c r="C1808" s="20">
        <v>47911</v>
      </c>
      <c r="D1808" s="21"/>
      <c r="E1808" s="21"/>
      <c r="F1808" s="22"/>
      <c r="G1808" s="21" t="s">
        <v>209</v>
      </c>
      <c r="H1808" s="24">
        <v>9</v>
      </c>
      <c r="I1808" s="25">
        <v>4500</v>
      </c>
      <c r="J1808" s="24">
        <f t="shared" si="320"/>
        <v>40500</v>
      </c>
      <c r="K1808" s="20"/>
      <c r="L1808" s="20"/>
      <c r="M1808" s="20"/>
      <c r="N1808" s="20"/>
      <c r="O1808" s="24"/>
      <c r="P1808" s="24"/>
      <c r="Q1808" s="25"/>
      <c r="R1808" s="24"/>
      <c r="S1808" s="20"/>
      <c r="T1808" s="27"/>
      <c r="U1808" s="20"/>
      <c r="V1808" s="27">
        <f t="shared" si="321"/>
        <v>40500</v>
      </c>
      <c r="W1808" s="26">
        <f t="shared" si="318"/>
        <v>40500</v>
      </c>
      <c r="X1808" s="27">
        <v>0</v>
      </c>
      <c r="Y1808" s="78">
        <f t="shared" si="319"/>
        <v>40500</v>
      </c>
      <c r="Z1808" s="49">
        <v>3.0000000000000001E-3</v>
      </c>
    </row>
    <row r="1809" spans="1:26" s="29" customFormat="1" ht="90.75" customHeight="1" x14ac:dyDescent="0.25">
      <c r="A1809" s="20">
        <v>1171</v>
      </c>
      <c r="B1809" s="20" t="s">
        <v>0</v>
      </c>
      <c r="C1809" s="20">
        <v>47922</v>
      </c>
      <c r="D1809" s="21">
        <v>8</v>
      </c>
      <c r="E1809" s="21">
        <v>2</v>
      </c>
      <c r="F1809" s="22">
        <v>19</v>
      </c>
      <c r="G1809" s="21" t="s">
        <v>209</v>
      </c>
      <c r="H1809" s="24">
        <f t="shared" ref="H1809:H1838" si="322">(D1809*400)+(E1809*100)+F1809</f>
        <v>3419</v>
      </c>
      <c r="I1809" s="25">
        <v>625</v>
      </c>
      <c r="J1809" s="24">
        <f t="shared" si="320"/>
        <v>2136875</v>
      </c>
      <c r="K1809" s="20"/>
      <c r="L1809" s="20"/>
      <c r="M1809" s="20"/>
      <c r="N1809" s="20"/>
      <c r="O1809" s="24"/>
      <c r="P1809" s="24"/>
      <c r="Q1809" s="25"/>
      <c r="R1809" s="24"/>
      <c r="S1809" s="20"/>
      <c r="T1809" s="27"/>
      <c r="U1809" s="20"/>
      <c r="V1809" s="27">
        <f t="shared" si="321"/>
        <v>2136875</v>
      </c>
      <c r="W1809" s="26">
        <f t="shared" si="318"/>
        <v>2136875</v>
      </c>
      <c r="X1809" s="27">
        <v>0</v>
      </c>
      <c r="Y1809" s="78">
        <f t="shared" si="319"/>
        <v>2136875</v>
      </c>
      <c r="Z1809" s="49">
        <v>3.0000000000000001E-3</v>
      </c>
    </row>
    <row r="1810" spans="1:26" s="29" customFormat="1" ht="90.75" customHeight="1" x14ac:dyDescent="0.25">
      <c r="A1810" s="20">
        <v>1172</v>
      </c>
      <c r="B1810" s="20" t="s">
        <v>0</v>
      </c>
      <c r="C1810" s="20">
        <v>48039</v>
      </c>
      <c r="D1810" s="21">
        <v>17</v>
      </c>
      <c r="E1810" s="21">
        <v>3</v>
      </c>
      <c r="F1810" s="22">
        <v>58</v>
      </c>
      <c r="G1810" s="21" t="s">
        <v>209</v>
      </c>
      <c r="H1810" s="24">
        <f t="shared" si="322"/>
        <v>7158</v>
      </c>
      <c r="I1810" s="25">
        <v>4500</v>
      </c>
      <c r="J1810" s="24">
        <f t="shared" si="320"/>
        <v>32211000</v>
      </c>
      <c r="K1810" s="20"/>
      <c r="L1810" s="20"/>
      <c r="M1810" s="20"/>
      <c r="N1810" s="20"/>
      <c r="O1810" s="24"/>
      <c r="P1810" s="24"/>
      <c r="Q1810" s="25"/>
      <c r="R1810" s="24"/>
      <c r="S1810" s="20"/>
      <c r="T1810" s="27"/>
      <c r="U1810" s="20"/>
      <c r="V1810" s="27">
        <f t="shared" si="321"/>
        <v>32211000</v>
      </c>
      <c r="W1810" s="26">
        <f t="shared" si="318"/>
        <v>32211000</v>
      </c>
      <c r="X1810" s="27">
        <v>0</v>
      </c>
      <c r="Y1810" s="78">
        <f t="shared" si="319"/>
        <v>32211000</v>
      </c>
      <c r="Z1810" s="49">
        <v>3.0000000000000001E-3</v>
      </c>
    </row>
    <row r="1811" spans="1:26" s="29" customFormat="1" ht="90.75" customHeight="1" x14ac:dyDescent="0.25">
      <c r="A1811" s="20">
        <v>1173</v>
      </c>
      <c r="B1811" s="20" t="s">
        <v>0</v>
      </c>
      <c r="C1811" s="20">
        <v>25196</v>
      </c>
      <c r="D1811" s="21">
        <v>48</v>
      </c>
      <c r="E1811" s="21">
        <v>1</v>
      </c>
      <c r="F1811" s="22">
        <v>42</v>
      </c>
      <c r="G1811" s="21" t="s">
        <v>209</v>
      </c>
      <c r="H1811" s="24">
        <f t="shared" si="322"/>
        <v>19342</v>
      </c>
      <c r="I1811" s="25">
        <v>4500</v>
      </c>
      <c r="J1811" s="24">
        <f t="shared" si="320"/>
        <v>87039000</v>
      </c>
      <c r="K1811" s="20"/>
      <c r="L1811" s="20"/>
      <c r="M1811" s="20"/>
      <c r="N1811" s="20"/>
      <c r="O1811" s="24"/>
      <c r="P1811" s="24"/>
      <c r="Q1811" s="25"/>
      <c r="R1811" s="24"/>
      <c r="S1811" s="20"/>
      <c r="T1811" s="27"/>
      <c r="U1811" s="20"/>
      <c r="V1811" s="27">
        <f t="shared" si="321"/>
        <v>87039000</v>
      </c>
      <c r="W1811" s="26">
        <f t="shared" si="318"/>
        <v>87039000</v>
      </c>
      <c r="X1811" s="27">
        <v>0</v>
      </c>
      <c r="Y1811" s="78">
        <f t="shared" si="319"/>
        <v>87039000</v>
      </c>
      <c r="Z1811" s="49">
        <v>3.0000000000000001E-3</v>
      </c>
    </row>
    <row r="1812" spans="1:26" s="29" customFormat="1" ht="90.75" customHeight="1" x14ac:dyDescent="0.25">
      <c r="A1812" s="20">
        <v>1174</v>
      </c>
      <c r="B1812" s="20" t="s">
        <v>0</v>
      </c>
      <c r="C1812" s="20">
        <v>47962</v>
      </c>
      <c r="D1812" s="21">
        <v>9</v>
      </c>
      <c r="E1812" s="21">
        <v>0</v>
      </c>
      <c r="F1812" s="22">
        <v>90</v>
      </c>
      <c r="G1812" s="21" t="s">
        <v>209</v>
      </c>
      <c r="H1812" s="24">
        <f t="shared" si="322"/>
        <v>3690</v>
      </c>
      <c r="I1812" s="25">
        <v>2250</v>
      </c>
      <c r="J1812" s="24">
        <f t="shared" si="320"/>
        <v>8302500</v>
      </c>
      <c r="K1812" s="20"/>
      <c r="L1812" s="20"/>
      <c r="M1812" s="20"/>
      <c r="N1812" s="20"/>
      <c r="O1812" s="24"/>
      <c r="P1812" s="24"/>
      <c r="Q1812" s="25"/>
      <c r="R1812" s="24"/>
      <c r="S1812" s="20"/>
      <c r="T1812" s="27"/>
      <c r="U1812" s="20"/>
      <c r="V1812" s="27">
        <f t="shared" si="321"/>
        <v>8302500</v>
      </c>
      <c r="W1812" s="26">
        <f t="shared" si="318"/>
        <v>8302500</v>
      </c>
      <c r="X1812" s="27">
        <v>0</v>
      </c>
      <c r="Y1812" s="78">
        <f t="shared" si="319"/>
        <v>8302500</v>
      </c>
      <c r="Z1812" s="49">
        <v>3.0000000000000001E-3</v>
      </c>
    </row>
    <row r="1813" spans="1:26" s="29" customFormat="1" ht="90.75" customHeight="1" x14ac:dyDescent="0.25">
      <c r="A1813" s="20">
        <v>1175</v>
      </c>
      <c r="B1813" s="20" t="s">
        <v>0</v>
      </c>
      <c r="C1813" s="20">
        <v>56856</v>
      </c>
      <c r="D1813" s="21">
        <v>29</v>
      </c>
      <c r="E1813" s="21">
        <v>2</v>
      </c>
      <c r="F1813" s="22">
        <v>21</v>
      </c>
      <c r="G1813" s="21" t="s">
        <v>209</v>
      </c>
      <c r="H1813" s="24">
        <f t="shared" si="322"/>
        <v>11821</v>
      </c>
      <c r="I1813" s="25">
        <v>625</v>
      </c>
      <c r="J1813" s="24">
        <f t="shared" si="320"/>
        <v>7388125</v>
      </c>
      <c r="K1813" s="20"/>
      <c r="L1813" s="20"/>
      <c r="M1813" s="20"/>
      <c r="N1813" s="20"/>
      <c r="O1813" s="24"/>
      <c r="P1813" s="24"/>
      <c r="Q1813" s="25"/>
      <c r="R1813" s="24"/>
      <c r="S1813" s="20"/>
      <c r="T1813" s="27"/>
      <c r="U1813" s="20"/>
      <c r="V1813" s="27">
        <f t="shared" si="321"/>
        <v>7388125</v>
      </c>
      <c r="W1813" s="26">
        <f t="shared" si="318"/>
        <v>7388125</v>
      </c>
      <c r="X1813" s="27">
        <v>0</v>
      </c>
      <c r="Y1813" s="78">
        <f t="shared" si="319"/>
        <v>7388125</v>
      </c>
      <c r="Z1813" s="49">
        <v>3.0000000000000001E-3</v>
      </c>
    </row>
    <row r="1814" spans="1:26" s="29" customFormat="1" ht="90.75" customHeight="1" x14ac:dyDescent="0.25">
      <c r="A1814" s="20">
        <v>1176</v>
      </c>
      <c r="B1814" s="20" t="s">
        <v>0</v>
      </c>
      <c r="C1814" s="20">
        <v>56857</v>
      </c>
      <c r="D1814" s="21">
        <v>29</v>
      </c>
      <c r="E1814" s="21">
        <v>3</v>
      </c>
      <c r="F1814" s="22">
        <v>89</v>
      </c>
      <c r="G1814" s="21" t="s">
        <v>209</v>
      </c>
      <c r="H1814" s="24">
        <f t="shared" si="322"/>
        <v>11989</v>
      </c>
      <c r="I1814" s="25">
        <v>625</v>
      </c>
      <c r="J1814" s="24">
        <f t="shared" si="320"/>
        <v>7493125</v>
      </c>
      <c r="K1814" s="20"/>
      <c r="L1814" s="20"/>
      <c r="M1814" s="20"/>
      <c r="N1814" s="20"/>
      <c r="O1814" s="24"/>
      <c r="P1814" s="24"/>
      <c r="Q1814" s="25"/>
      <c r="R1814" s="24"/>
      <c r="S1814" s="20"/>
      <c r="T1814" s="27"/>
      <c r="U1814" s="20"/>
      <c r="V1814" s="27">
        <f t="shared" si="321"/>
        <v>7493125</v>
      </c>
      <c r="W1814" s="26">
        <f t="shared" si="318"/>
        <v>7493125</v>
      </c>
      <c r="X1814" s="27">
        <v>0</v>
      </c>
      <c r="Y1814" s="78">
        <f t="shared" si="319"/>
        <v>7493125</v>
      </c>
      <c r="Z1814" s="49">
        <v>3.0000000000000001E-3</v>
      </c>
    </row>
    <row r="1815" spans="1:26" s="29" customFormat="1" ht="90.75" customHeight="1" x14ac:dyDescent="0.25">
      <c r="A1815" s="20">
        <v>1177</v>
      </c>
      <c r="B1815" s="20" t="s">
        <v>0</v>
      </c>
      <c r="C1815" s="20">
        <v>56858</v>
      </c>
      <c r="D1815" s="21">
        <v>15</v>
      </c>
      <c r="E1815" s="21">
        <v>0</v>
      </c>
      <c r="F1815" s="22">
        <v>48</v>
      </c>
      <c r="G1815" s="21" t="s">
        <v>209</v>
      </c>
      <c r="H1815" s="24">
        <f t="shared" si="322"/>
        <v>6048</v>
      </c>
      <c r="I1815" s="25">
        <v>625</v>
      </c>
      <c r="J1815" s="24">
        <f t="shared" si="320"/>
        <v>3780000</v>
      </c>
      <c r="K1815" s="20"/>
      <c r="L1815" s="20"/>
      <c r="M1815" s="20"/>
      <c r="N1815" s="20"/>
      <c r="O1815" s="24"/>
      <c r="P1815" s="24"/>
      <c r="Q1815" s="25"/>
      <c r="R1815" s="24"/>
      <c r="S1815" s="20"/>
      <c r="T1815" s="27"/>
      <c r="U1815" s="20"/>
      <c r="V1815" s="27">
        <f t="shared" si="321"/>
        <v>3780000</v>
      </c>
      <c r="W1815" s="26">
        <f t="shared" si="318"/>
        <v>3780000</v>
      </c>
      <c r="X1815" s="27">
        <v>0</v>
      </c>
      <c r="Y1815" s="78">
        <f t="shared" si="319"/>
        <v>3780000</v>
      </c>
      <c r="Z1815" s="49">
        <v>3.0000000000000001E-3</v>
      </c>
    </row>
    <row r="1816" spans="1:26" s="29" customFormat="1" ht="90.75" customHeight="1" x14ac:dyDescent="0.25">
      <c r="A1816" s="20">
        <v>1178</v>
      </c>
      <c r="B1816" s="20" t="s">
        <v>0</v>
      </c>
      <c r="C1816" s="20">
        <v>56860</v>
      </c>
      <c r="D1816" s="21">
        <v>39</v>
      </c>
      <c r="E1816" s="21">
        <v>2</v>
      </c>
      <c r="F1816" s="22">
        <v>49</v>
      </c>
      <c r="G1816" s="21" t="s">
        <v>209</v>
      </c>
      <c r="H1816" s="24">
        <f t="shared" si="322"/>
        <v>15849</v>
      </c>
      <c r="I1816" s="25">
        <v>625</v>
      </c>
      <c r="J1816" s="24">
        <f t="shared" si="320"/>
        <v>9905625</v>
      </c>
      <c r="K1816" s="20"/>
      <c r="L1816" s="20"/>
      <c r="M1816" s="20"/>
      <c r="N1816" s="20"/>
      <c r="O1816" s="24"/>
      <c r="P1816" s="24"/>
      <c r="Q1816" s="25"/>
      <c r="R1816" s="24"/>
      <c r="S1816" s="20"/>
      <c r="T1816" s="27"/>
      <c r="U1816" s="20"/>
      <c r="V1816" s="27">
        <f t="shared" si="321"/>
        <v>9905625</v>
      </c>
      <c r="W1816" s="26">
        <f t="shared" si="318"/>
        <v>9905625</v>
      </c>
      <c r="X1816" s="27">
        <v>0</v>
      </c>
      <c r="Y1816" s="78">
        <f t="shared" si="319"/>
        <v>9905625</v>
      </c>
      <c r="Z1816" s="49">
        <v>3.0000000000000001E-3</v>
      </c>
    </row>
    <row r="1817" spans="1:26" s="29" customFormat="1" ht="90.75" customHeight="1" x14ac:dyDescent="0.25">
      <c r="A1817" s="20">
        <v>1179</v>
      </c>
      <c r="B1817" s="20" t="s">
        <v>0</v>
      </c>
      <c r="C1817" s="20">
        <v>56861</v>
      </c>
      <c r="D1817" s="21">
        <v>24</v>
      </c>
      <c r="E1817" s="21">
        <v>0</v>
      </c>
      <c r="F1817" s="22">
        <v>36</v>
      </c>
      <c r="G1817" s="21" t="s">
        <v>209</v>
      </c>
      <c r="H1817" s="24">
        <f t="shared" si="322"/>
        <v>9636</v>
      </c>
      <c r="I1817" s="25">
        <v>300</v>
      </c>
      <c r="J1817" s="24">
        <f t="shared" si="320"/>
        <v>2890800</v>
      </c>
      <c r="K1817" s="20"/>
      <c r="L1817" s="20"/>
      <c r="M1817" s="20"/>
      <c r="N1817" s="20"/>
      <c r="O1817" s="24"/>
      <c r="P1817" s="24"/>
      <c r="Q1817" s="25"/>
      <c r="R1817" s="24"/>
      <c r="S1817" s="20"/>
      <c r="T1817" s="27"/>
      <c r="U1817" s="20"/>
      <c r="V1817" s="27">
        <f t="shared" si="321"/>
        <v>2890800</v>
      </c>
      <c r="W1817" s="26">
        <f t="shared" si="318"/>
        <v>2890800</v>
      </c>
      <c r="X1817" s="27">
        <v>0</v>
      </c>
      <c r="Y1817" s="78">
        <f t="shared" si="319"/>
        <v>2890800</v>
      </c>
      <c r="Z1817" s="49">
        <v>3.0000000000000001E-3</v>
      </c>
    </row>
    <row r="1818" spans="1:26" s="29" customFormat="1" ht="90.75" customHeight="1" x14ac:dyDescent="0.25">
      <c r="A1818" s="20">
        <v>1180</v>
      </c>
      <c r="B1818" s="20" t="s">
        <v>0</v>
      </c>
      <c r="C1818" s="20">
        <v>56863</v>
      </c>
      <c r="D1818" s="21">
        <v>5</v>
      </c>
      <c r="E1818" s="21">
        <v>3</v>
      </c>
      <c r="F1818" s="22">
        <v>41</v>
      </c>
      <c r="G1818" s="21" t="s">
        <v>209</v>
      </c>
      <c r="H1818" s="24">
        <f t="shared" si="322"/>
        <v>2341</v>
      </c>
      <c r="I1818" s="25">
        <v>300</v>
      </c>
      <c r="J1818" s="24">
        <f t="shared" si="320"/>
        <v>702300</v>
      </c>
      <c r="K1818" s="20"/>
      <c r="L1818" s="20"/>
      <c r="M1818" s="20"/>
      <c r="N1818" s="20"/>
      <c r="O1818" s="24"/>
      <c r="P1818" s="24"/>
      <c r="Q1818" s="25"/>
      <c r="R1818" s="24"/>
      <c r="S1818" s="20"/>
      <c r="T1818" s="27"/>
      <c r="U1818" s="20"/>
      <c r="V1818" s="27">
        <f t="shared" si="321"/>
        <v>702300</v>
      </c>
      <c r="W1818" s="26">
        <f t="shared" si="318"/>
        <v>702300</v>
      </c>
      <c r="X1818" s="27">
        <v>0</v>
      </c>
      <c r="Y1818" s="78">
        <f t="shared" si="319"/>
        <v>702300</v>
      </c>
      <c r="Z1818" s="49">
        <v>3.0000000000000001E-3</v>
      </c>
    </row>
    <row r="1819" spans="1:26" s="29" customFormat="1" ht="90.75" customHeight="1" x14ac:dyDescent="0.25">
      <c r="A1819" s="20">
        <v>1181</v>
      </c>
      <c r="B1819" s="20" t="s">
        <v>0</v>
      </c>
      <c r="C1819" s="20">
        <v>56864</v>
      </c>
      <c r="D1819" s="21">
        <v>13</v>
      </c>
      <c r="E1819" s="21">
        <v>3</v>
      </c>
      <c r="F1819" s="22">
        <v>24</v>
      </c>
      <c r="G1819" s="21" t="s">
        <v>209</v>
      </c>
      <c r="H1819" s="24">
        <f t="shared" si="322"/>
        <v>5524</v>
      </c>
      <c r="I1819" s="25">
        <v>625</v>
      </c>
      <c r="J1819" s="24">
        <f t="shared" si="320"/>
        <v>3452500</v>
      </c>
      <c r="K1819" s="20"/>
      <c r="L1819" s="20"/>
      <c r="M1819" s="20"/>
      <c r="N1819" s="20"/>
      <c r="O1819" s="24"/>
      <c r="P1819" s="24"/>
      <c r="Q1819" s="25"/>
      <c r="R1819" s="24"/>
      <c r="S1819" s="20"/>
      <c r="T1819" s="27"/>
      <c r="U1819" s="20"/>
      <c r="V1819" s="27">
        <f t="shared" si="321"/>
        <v>3452500</v>
      </c>
      <c r="W1819" s="26">
        <f t="shared" si="318"/>
        <v>3452500</v>
      </c>
      <c r="X1819" s="27">
        <v>0</v>
      </c>
      <c r="Y1819" s="78">
        <f t="shared" si="319"/>
        <v>3452500</v>
      </c>
      <c r="Z1819" s="49">
        <v>3.0000000000000001E-3</v>
      </c>
    </row>
    <row r="1820" spans="1:26" s="29" customFormat="1" ht="90.75" customHeight="1" x14ac:dyDescent="0.25">
      <c r="A1820" s="20">
        <v>1182</v>
      </c>
      <c r="B1820" s="20" t="s">
        <v>0</v>
      </c>
      <c r="C1820" s="20">
        <v>56865</v>
      </c>
      <c r="D1820" s="21">
        <v>3</v>
      </c>
      <c r="E1820" s="21">
        <v>1</v>
      </c>
      <c r="F1820" s="22">
        <v>75</v>
      </c>
      <c r="G1820" s="21" t="s">
        <v>209</v>
      </c>
      <c r="H1820" s="24">
        <f t="shared" si="322"/>
        <v>1375</v>
      </c>
      <c r="I1820" s="25">
        <v>475</v>
      </c>
      <c r="J1820" s="24">
        <f t="shared" si="320"/>
        <v>653125</v>
      </c>
      <c r="K1820" s="20"/>
      <c r="L1820" s="20"/>
      <c r="M1820" s="20"/>
      <c r="N1820" s="20"/>
      <c r="O1820" s="24"/>
      <c r="P1820" s="24"/>
      <c r="Q1820" s="25"/>
      <c r="R1820" s="24"/>
      <c r="S1820" s="20"/>
      <c r="T1820" s="27"/>
      <c r="U1820" s="20"/>
      <c r="V1820" s="27">
        <f t="shared" si="321"/>
        <v>653125</v>
      </c>
      <c r="W1820" s="26">
        <f t="shared" si="318"/>
        <v>653125</v>
      </c>
      <c r="X1820" s="27">
        <v>0</v>
      </c>
      <c r="Y1820" s="78">
        <f t="shared" si="319"/>
        <v>653125</v>
      </c>
      <c r="Z1820" s="49">
        <v>3.0000000000000001E-3</v>
      </c>
    </row>
    <row r="1821" spans="1:26" s="29" customFormat="1" ht="90.75" customHeight="1" x14ac:dyDescent="0.25">
      <c r="A1821" s="20">
        <v>1183</v>
      </c>
      <c r="B1821" s="20" t="s">
        <v>0</v>
      </c>
      <c r="C1821" s="20">
        <v>56866</v>
      </c>
      <c r="D1821" s="21">
        <v>6</v>
      </c>
      <c r="E1821" s="21">
        <v>1</v>
      </c>
      <c r="F1821" s="22">
        <v>96</v>
      </c>
      <c r="G1821" s="21" t="s">
        <v>209</v>
      </c>
      <c r="H1821" s="24">
        <f t="shared" si="322"/>
        <v>2596</v>
      </c>
      <c r="I1821" s="25">
        <v>625</v>
      </c>
      <c r="J1821" s="24">
        <f t="shared" si="320"/>
        <v>1622500</v>
      </c>
      <c r="K1821" s="20"/>
      <c r="L1821" s="20"/>
      <c r="M1821" s="20"/>
      <c r="N1821" s="20"/>
      <c r="O1821" s="24"/>
      <c r="P1821" s="24"/>
      <c r="Q1821" s="25"/>
      <c r="R1821" s="24"/>
      <c r="S1821" s="20"/>
      <c r="T1821" s="27"/>
      <c r="U1821" s="20"/>
      <c r="V1821" s="27">
        <f t="shared" si="321"/>
        <v>1622500</v>
      </c>
      <c r="W1821" s="26">
        <f t="shared" si="318"/>
        <v>1622500</v>
      </c>
      <c r="X1821" s="27">
        <v>0</v>
      </c>
      <c r="Y1821" s="78">
        <f t="shared" si="319"/>
        <v>1622500</v>
      </c>
      <c r="Z1821" s="49">
        <v>3.0000000000000001E-3</v>
      </c>
    </row>
    <row r="1822" spans="1:26" s="29" customFormat="1" ht="90.75" customHeight="1" x14ac:dyDescent="0.25">
      <c r="A1822" s="20">
        <v>1184</v>
      </c>
      <c r="B1822" s="20" t="s">
        <v>0</v>
      </c>
      <c r="C1822" s="20">
        <v>56867</v>
      </c>
      <c r="D1822" s="21">
        <v>12</v>
      </c>
      <c r="E1822" s="21">
        <v>1</v>
      </c>
      <c r="F1822" s="22">
        <v>79</v>
      </c>
      <c r="G1822" s="21" t="s">
        <v>209</v>
      </c>
      <c r="H1822" s="24">
        <f t="shared" si="322"/>
        <v>4979</v>
      </c>
      <c r="I1822" s="25">
        <v>625</v>
      </c>
      <c r="J1822" s="24">
        <f t="shared" si="320"/>
        <v>3111875</v>
      </c>
      <c r="K1822" s="20"/>
      <c r="L1822" s="20"/>
      <c r="M1822" s="20"/>
      <c r="N1822" s="20"/>
      <c r="O1822" s="24"/>
      <c r="P1822" s="24"/>
      <c r="Q1822" s="25"/>
      <c r="R1822" s="24"/>
      <c r="S1822" s="20"/>
      <c r="T1822" s="27"/>
      <c r="U1822" s="20"/>
      <c r="V1822" s="27">
        <f t="shared" si="321"/>
        <v>3111875</v>
      </c>
      <c r="W1822" s="26">
        <f t="shared" si="318"/>
        <v>3111875</v>
      </c>
      <c r="X1822" s="27">
        <v>0</v>
      </c>
      <c r="Y1822" s="78">
        <f t="shared" si="319"/>
        <v>3111875</v>
      </c>
      <c r="Z1822" s="49">
        <v>3.0000000000000001E-3</v>
      </c>
    </row>
    <row r="1823" spans="1:26" s="29" customFormat="1" ht="90.75" customHeight="1" x14ac:dyDescent="0.25">
      <c r="A1823" s="20">
        <v>1185</v>
      </c>
      <c r="B1823" s="20" t="s">
        <v>0</v>
      </c>
      <c r="C1823" s="20">
        <v>56868</v>
      </c>
      <c r="D1823" s="21">
        <v>1</v>
      </c>
      <c r="E1823" s="21">
        <v>2</v>
      </c>
      <c r="F1823" s="22">
        <v>80</v>
      </c>
      <c r="G1823" s="21" t="s">
        <v>209</v>
      </c>
      <c r="H1823" s="24">
        <f t="shared" si="322"/>
        <v>680</v>
      </c>
      <c r="I1823" s="25">
        <v>300</v>
      </c>
      <c r="J1823" s="24">
        <f t="shared" si="320"/>
        <v>204000</v>
      </c>
      <c r="K1823" s="20"/>
      <c r="L1823" s="20"/>
      <c r="M1823" s="20"/>
      <c r="N1823" s="20"/>
      <c r="O1823" s="24"/>
      <c r="P1823" s="24"/>
      <c r="Q1823" s="25"/>
      <c r="R1823" s="24"/>
      <c r="S1823" s="20"/>
      <c r="T1823" s="27"/>
      <c r="U1823" s="20"/>
      <c r="V1823" s="27">
        <f t="shared" si="321"/>
        <v>204000</v>
      </c>
      <c r="W1823" s="26">
        <f t="shared" si="318"/>
        <v>204000</v>
      </c>
      <c r="X1823" s="27">
        <v>0</v>
      </c>
      <c r="Y1823" s="78">
        <f t="shared" si="319"/>
        <v>204000</v>
      </c>
      <c r="Z1823" s="49">
        <v>3.0000000000000001E-3</v>
      </c>
    </row>
    <row r="1824" spans="1:26" s="29" customFormat="1" ht="90.75" customHeight="1" x14ac:dyDescent="0.25">
      <c r="A1824" s="20">
        <v>1186</v>
      </c>
      <c r="B1824" s="20" t="s">
        <v>0</v>
      </c>
      <c r="C1824" s="20">
        <v>46901</v>
      </c>
      <c r="D1824" s="21">
        <v>38</v>
      </c>
      <c r="E1824" s="21">
        <v>0</v>
      </c>
      <c r="F1824" s="22">
        <v>65</v>
      </c>
      <c r="G1824" s="21" t="s">
        <v>209</v>
      </c>
      <c r="H1824" s="24">
        <f t="shared" si="322"/>
        <v>15265</v>
      </c>
      <c r="I1824" s="25">
        <v>4500</v>
      </c>
      <c r="J1824" s="24">
        <f t="shared" si="320"/>
        <v>68692500</v>
      </c>
      <c r="K1824" s="20"/>
      <c r="L1824" s="20"/>
      <c r="M1824" s="20"/>
      <c r="N1824" s="20"/>
      <c r="O1824" s="24"/>
      <c r="P1824" s="24"/>
      <c r="Q1824" s="25"/>
      <c r="R1824" s="24"/>
      <c r="S1824" s="20"/>
      <c r="T1824" s="27"/>
      <c r="U1824" s="20"/>
      <c r="V1824" s="27">
        <f t="shared" si="321"/>
        <v>68692500</v>
      </c>
      <c r="W1824" s="26">
        <f t="shared" si="318"/>
        <v>68692500</v>
      </c>
      <c r="X1824" s="27">
        <v>0</v>
      </c>
      <c r="Y1824" s="78">
        <f t="shared" si="319"/>
        <v>68692500</v>
      </c>
      <c r="Z1824" s="49">
        <v>3.0000000000000001E-3</v>
      </c>
    </row>
    <row r="1825" spans="1:26" s="29" customFormat="1" ht="90.75" customHeight="1" x14ac:dyDescent="0.25">
      <c r="A1825" s="20">
        <v>1187</v>
      </c>
      <c r="B1825" s="20" t="s">
        <v>0</v>
      </c>
      <c r="C1825" s="20">
        <v>14796</v>
      </c>
      <c r="D1825" s="21">
        <v>6</v>
      </c>
      <c r="E1825" s="21">
        <v>2</v>
      </c>
      <c r="F1825" s="22">
        <v>68</v>
      </c>
      <c r="G1825" s="21" t="s">
        <v>209</v>
      </c>
      <c r="H1825" s="24">
        <f t="shared" si="322"/>
        <v>2668</v>
      </c>
      <c r="I1825" s="25">
        <v>2250</v>
      </c>
      <c r="J1825" s="24">
        <f t="shared" si="320"/>
        <v>6003000</v>
      </c>
      <c r="K1825" s="20"/>
      <c r="L1825" s="20"/>
      <c r="M1825" s="20"/>
      <c r="N1825" s="20"/>
      <c r="O1825" s="24"/>
      <c r="P1825" s="24"/>
      <c r="Q1825" s="25"/>
      <c r="R1825" s="24"/>
      <c r="S1825" s="20"/>
      <c r="T1825" s="27"/>
      <c r="U1825" s="20"/>
      <c r="V1825" s="27">
        <f t="shared" si="321"/>
        <v>6003000</v>
      </c>
      <c r="W1825" s="26">
        <f t="shared" si="318"/>
        <v>6003000</v>
      </c>
      <c r="X1825" s="27">
        <v>0</v>
      </c>
      <c r="Y1825" s="78">
        <f t="shared" si="319"/>
        <v>6003000</v>
      </c>
      <c r="Z1825" s="49">
        <v>3.0000000000000001E-3</v>
      </c>
    </row>
    <row r="1826" spans="1:26" s="29" customFormat="1" ht="90.75" customHeight="1" x14ac:dyDescent="0.25">
      <c r="A1826" s="20">
        <v>1188</v>
      </c>
      <c r="B1826" s="20" t="s">
        <v>0</v>
      </c>
      <c r="C1826" s="20">
        <v>44903</v>
      </c>
      <c r="D1826" s="21">
        <v>1</v>
      </c>
      <c r="E1826" s="21">
        <v>1</v>
      </c>
      <c r="F1826" s="22">
        <v>59</v>
      </c>
      <c r="G1826" s="21" t="s">
        <v>209</v>
      </c>
      <c r="H1826" s="24">
        <f t="shared" si="322"/>
        <v>559</v>
      </c>
      <c r="I1826" s="25">
        <v>2250</v>
      </c>
      <c r="J1826" s="24">
        <f t="shared" si="320"/>
        <v>1257750</v>
      </c>
      <c r="K1826" s="20"/>
      <c r="L1826" s="20"/>
      <c r="M1826" s="20"/>
      <c r="N1826" s="20"/>
      <c r="O1826" s="24"/>
      <c r="P1826" s="24"/>
      <c r="Q1826" s="25"/>
      <c r="R1826" s="24"/>
      <c r="S1826" s="20"/>
      <c r="T1826" s="27"/>
      <c r="U1826" s="20"/>
      <c r="V1826" s="27">
        <f t="shared" si="321"/>
        <v>1257750</v>
      </c>
      <c r="W1826" s="26">
        <f t="shared" si="318"/>
        <v>1257750</v>
      </c>
      <c r="X1826" s="27">
        <v>0</v>
      </c>
      <c r="Y1826" s="78">
        <f t="shared" si="319"/>
        <v>1257750</v>
      </c>
      <c r="Z1826" s="49">
        <v>3.0000000000000001E-3</v>
      </c>
    </row>
    <row r="1827" spans="1:26" s="29" customFormat="1" ht="90.75" customHeight="1" x14ac:dyDescent="0.25">
      <c r="A1827" s="20">
        <v>1189</v>
      </c>
      <c r="B1827" s="20" t="s">
        <v>0</v>
      </c>
      <c r="C1827" s="20">
        <v>9888</v>
      </c>
      <c r="D1827" s="21">
        <v>71</v>
      </c>
      <c r="E1827" s="21">
        <v>3</v>
      </c>
      <c r="F1827" s="22">
        <v>80</v>
      </c>
      <c r="G1827" s="21" t="s">
        <v>209</v>
      </c>
      <c r="H1827" s="24">
        <f t="shared" si="322"/>
        <v>28780</v>
      </c>
      <c r="I1827" s="25">
        <v>2250</v>
      </c>
      <c r="J1827" s="24">
        <f t="shared" si="320"/>
        <v>64755000</v>
      </c>
      <c r="K1827" s="20"/>
      <c r="L1827" s="20"/>
      <c r="M1827" s="20"/>
      <c r="N1827" s="20"/>
      <c r="O1827" s="24"/>
      <c r="P1827" s="24"/>
      <c r="Q1827" s="25"/>
      <c r="R1827" s="24"/>
      <c r="S1827" s="20"/>
      <c r="T1827" s="27"/>
      <c r="U1827" s="20"/>
      <c r="V1827" s="27">
        <f t="shared" si="321"/>
        <v>64755000</v>
      </c>
      <c r="W1827" s="26">
        <f t="shared" si="318"/>
        <v>64755000</v>
      </c>
      <c r="X1827" s="27">
        <v>0</v>
      </c>
      <c r="Y1827" s="78">
        <f t="shared" si="319"/>
        <v>64755000</v>
      </c>
      <c r="Z1827" s="49">
        <v>3.0000000000000001E-3</v>
      </c>
    </row>
    <row r="1828" spans="1:26" s="29" customFormat="1" ht="90.75" customHeight="1" x14ac:dyDescent="0.25">
      <c r="A1828" s="20">
        <v>1190</v>
      </c>
      <c r="B1828" s="20" t="s">
        <v>0</v>
      </c>
      <c r="C1828" s="20">
        <v>9887</v>
      </c>
      <c r="D1828" s="21">
        <v>10</v>
      </c>
      <c r="E1828" s="21">
        <v>2</v>
      </c>
      <c r="F1828" s="22">
        <v>40</v>
      </c>
      <c r="G1828" s="21" t="s">
        <v>209</v>
      </c>
      <c r="H1828" s="24">
        <f t="shared" si="322"/>
        <v>4240</v>
      </c>
      <c r="I1828" s="25">
        <v>4500</v>
      </c>
      <c r="J1828" s="24">
        <f t="shared" si="320"/>
        <v>19080000</v>
      </c>
      <c r="K1828" s="20"/>
      <c r="L1828" s="20"/>
      <c r="M1828" s="20"/>
      <c r="N1828" s="20"/>
      <c r="O1828" s="24"/>
      <c r="P1828" s="24"/>
      <c r="Q1828" s="25"/>
      <c r="R1828" s="24"/>
      <c r="S1828" s="20"/>
      <c r="T1828" s="27"/>
      <c r="U1828" s="20"/>
      <c r="V1828" s="27">
        <f t="shared" si="321"/>
        <v>19080000</v>
      </c>
      <c r="W1828" s="26">
        <f t="shared" si="318"/>
        <v>19080000</v>
      </c>
      <c r="X1828" s="27">
        <v>0</v>
      </c>
      <c r="Y1828" s="78">
        <f t="shared" si="319"/>
        <v>19080000</v>
      </c>
      <c r="Z1828" s="49">
        <v>3.0000000000000001E-3</v>
      </c>
    </row>
    <row r="1829" spans="1:26" s="29" customFormat="1" ht="90.75" customHeight="1" x14ac:dyDescent="0.25">
      <c r="A1829" s="20">
        <v>1191</v>
      </c>
      <c r="B1829" s="20" t="s">
        <v>0</v>
      </c>
      <c r="C1829" s="20">
        <v>9886</v>
      </c>
      <c r="D1829" s="21">
        <v>5</v>
      </c>
      <c r="E1829" s="21">
        <v>2</v>
      </c>
      <c r="F1829" s="22">
        <v>76</v>
      </c>
      <c r="G1829" s="21" t="s">
        <v>209</v>
      </c>
      <c r="H1829" s="24">
        <f t="shared" si="322"/>
        <v>2276</v>
      </c>
      <c r="I1829" s="25">
        <v>625</v>
      </c>
      <c r="J1829" s="24">
        <f t="shared" si="320"/>
        <v>1422500</v>
      </c>
      <c r="K1829" s="20"/>
      <c r="L1829" s="20"/>
      <c r="M1829" s="20"/>
      <c r="N1829" s="20"/>
      <c r="O1829" s="24"/>
      <c r="P1829" s="24"/>
      <c r="Q1829" s="25"/>
      <c r="R1829" s="24"/>
      <c r="S1829" s="20"/>
      <c r="T1829" s="27"/>
      <c r="U1829" s="20"/>
      <c r="V1829" s="27">
        <f t="shared" si="321"/>
        <v>1422500</v>
      </c>
      <c r="W1829" s="26">
        <f t="shared" si="318"/>
        <v>1422500</v>
      </c>
      <c r="X1829" s="27">
        <v>0</v>
      </c>
      <c r="Y1829" s="78">
        <f t="shared" si="319"/>
        <v>1422500</v>
      </c>
      <c r="Z1829" s="49">
        <v>3.0000000000000001E-3</v>
      </c>
    </row>
    <row r="1830" spans="1:26" s="29" customFormat="1" ht="90.75" customHeight="1" x14ac:dyDescent="0.25">
      <c r="A1830" s="20">
        <v>1192</v>
      </c>
      <c r="B1830" s="20" t="s">
        <v>0</v>
      </c>
      <c r="C1830" s="20">
        <v>14646</v>
      </c>
      <c r="D1830" s="21">
        <v>52</v>
      </c>
      <c r="E1830" s="21">
        <v>2</v>
      </c>
      <c r="F1830" s="22">
        <v>88</v>
      </c>
      <c r="G1830" s="21" t="s">
        <v>209</v>
      </c>
      <c r="H1830" s="24">
        <f t="shared" si="322"/>
        <v>21088</v>
      </c>
      <c r="I1830" s="25">
        <v>575</v>
      </c>
      <c r="J1830" s="24">
        <f t="shared" si="320"/>
        <v>12125600</v>
      </c>
      <c r="K1830" s="20"/>
      <c r="L1830" s="20"/>
      <c r="M1830" s="20"/>
      <c r="N1830" s="20"/>
      <c r="O1830" s="24"/>
      <c r="P1830" s="24"/>
      <c r="Q1830" s="25"/>
      <c r="R1830" s="24"/>
      <c r="S1830" s="20"/>
      <c r="T1830" s="27"/>
      <c r="U1830" s="20"/>
      <c r="V1830" s="27">
        <f t="shared" si="321"/>
        <v>12125600</v>
      </c>
      <c r="W1830" s="26">
        <f t="shared" si="318"/>
        <v>12125600</v>
      </c>
      <c r="X1830" s="27">
        <v>0</v>
      </c>
      <c r="Y1830" s="78">
        <f t="shared" si="319"/>
        <v>12125600</v>
      </c>
      <c r="Z1830" s="49">
        <v>3.0000000000000001E-3</v>
      </c>
    </row>
    <row r="1831" spans="1:26" s="29" customFormat="1" ht="90.75" customHeight="1" x14ac:dyDescent="0.25">
      <c r="A1831" s="20">
        <v>1193</v>
      </c>
      <c r="B1831" s="20" t="s">
        <v>0</v>
      </c>
      <c r="C1831" s="20">
        <v>64790</v>
      </c>
      <c r="D1831" s="21">
        <v>31</v>
      </c>
      <c r="E1831" s="21">
        <v>0</v>
      </c>
      <c r="F1831" s="22">
        <v>6.7</v>
      </c>
      <c r="G1831" s="21" t="s">
        <v>209</v>
      </c>
      <c r="H1831" s="24">
        <f t="shared" si="322"/>
        <v>12406.7</v>
      </c>
      <c r="I1831" s="25">
        <v>4500</v>
      </c>
      <c r="J1831" s="24">
        <f t="shared" si="320"/>
        <v>55830150</v>
      </c>
      <c r="K1831" s="20"/>
      <c r="L1831" s="20"/>
      <c r="M1831" s="20"/>
      <c r="N1831" s="20"/>
      <c r="O1831" s="24"/>
      <c r="P1831" s="24"/>
      <c r="Q1831" s="25"/>
      <c r="R1831" s="24"/>
      <c r="S1831" s="20" t="s">
        <v>2</v>
      </c>
      <c r="T1831" s="27"/>
      <c r="U1831" s="20"/>
      <c r="V1831" s="27">
        <f t="shared" si="321"/>
        <v>55830150</v>
      </c>
      <c r="W1831" s="26">
        <f t="shared" si="318"/>
        <v>55830150</v>
      </c>
      <c r="X1831" s="27">
        <v>0</v>
      </c>
      <c r="Y1831" s="78">
        <f t="shared" si="319"/>
        <v>55830150</v>
      </c>
      <c r="Z1831" s="49">
        <v>3.0000000000000001E-3</v>
      </c>
    </row>
    <row r="1832" spans="1:26" s="29" customFormat="1" ht="90.75" customHeight="1" x14ac:dyDescent="0.25">
      <c r="A1832" s="20">
        <v>1194</v>
      </c>
      <c r="B1832" s="20" t="s">
        <v>0</v>
      </c>
      <c r="C1832" s="20">
        <v>64792</v>
      </c>
      <c r="D1832" s="21">
        <v>36</v>
      </c>
      <c r="E1832" s="21">
        <v>3</v>
      </c>
      <c r="F1832" s="22">
        <v>66.7</v>
      </c>
      <c r="G1832" s="21" t="s">
        <v>209</v>
      </c>
      <c r="H1832" s="24">
        <f t="shared" si="322"/>
        <v>14766.7</v>
      </c>
      <c r="I1832" s="25">
        <v>4500</v>
      </c>
      <c r="J1832" s="24">
        <f t="shared" si="320"/>
        <v>66450150</v>
      </c>
      <c r="K1832" s="20"/>
      <c r="L1832" s="20"/>
      <c r="M1832" s="20"/>
      <c r="N1832" s="20"/>
      <c r="O1832" s="24"/>
      <c r="P1832" s="24"/>
      <c r="Q1832" s="25"/>
      <c r="R1832" s="24"/>
      <c r="S1832" s="20" t="s">
        <v>2</v>
      </c>
      <c r="T1832" s="27"/>
      <c r="U1832" s="20"/>
      <c r="V1832" s="27">
        <f t="shared" si="321"/>
        <v>66450150</v>
      </c>
      <c r="W1832" s="26">
        <f t="shared" si="318"/>
        <v>66450150</v>
      </c>
      <c r="X1832" s="27">
        <v>0</v>
      </c>
      <c r="Y1832" s="78">
        <f t="shared" si="319"/>
        <v>66450150</v>
      </c>
      <c r="Z1832" s="49">
        <v>3.0000000000000001E-3</v>
      </c>
    </row>
    <row r="1833" spans="1:26" s="29" customFormat="1" ht="90.75" customHeight="1" x14ac:dyDescent="0.25">
      <c r="A1833" s="20">
        <v>1195</v>
      </c>
      <c r="B1833" s="20" t="s">
        <v>0</v>
      </c>
      <c r="C1833" s="20">
        <v>64793</v>
      </c>
      <c r="D1833" s="21">
        <v>29</v>
      </c>
      <c r="E1833" s="21">
        <v>3</v>
      </c>
      <c r="F1833" s="22">
        <v>91.1</v>
      </c>
      <c r="G1833" s="21" t="s">
        <v>209</v>
      </c>
      <c r="H1833" s="24">
        <f t="shared" si="322"/>
        <v>11991.1</v>
      </c>
      <c r="I1833" s="25">
        <v>4500</v>
      </c>
      <c r="J1833" s="24">
        <f t="shared" si="320"/>
        <v>53959950</v>
      </c>
      <c r="K1833" s="20"/>
      <c r="L1833" s="20"/>
      <c r="M1833" s="20"/>
      <c r="N1833" s="20"/>
      <c r="O1833" s="24"/>
      <c r="P1833" s="24"/>
      <c r="Q1833" s="25"/>
      <c r="R1833" s="24"/>
      <c r="S1833" s="20" t="s">
        <v>2</v>
      </c>
      <c r="T1833" s="27"/>
      <c r="U1833" s="20"/>
      <c r="V1833" s="27">
        <f t="shared" si="321"/>
        <v>53959950</v>
      </c>
      <c r="W1833" s="26">
        <f t="shared" si="318"/>
        <v>53959950</v>
      </c>
      <c r="X1833" s="27">
        <v>0</v>
      </c>
      <c r="Y1833" s="78">
        <f t="shared" si="319"/>
        <v>53959950</v>
      </c>
      <c r="Z1833" s="49">
        <v>3.0000000000000001E-3</v>
      </c>
    </row>
    <row r="1834" spans="1:26" s="29" customFormat="1" ht="90.75" customHeight="1" x14ac:dyDescent="0.25">
      <c r="A1834" s="20">
        <v>1196</v>
      </c>
      <c r="B1834" s="37" t="s">
        <v>213</v>
      </c>
      <c r="C1834" s="37">
        <v>2394</v>
      </c>
      <c r="D1834" s="37">
        <v>42</v>
      </c>
      <c r="E1834" s="37">
        <v>2</v>
      </c>
      <c r="F1834" s="37">
        <v>0</v>
      </c>
      <c r="G1834" s="22" t="s">
        <v>210</v>
      </c>
      <c r="H1834" s="24">
        <f t="shared" si="322"/>
        <v>17000</v>
      </c>
      <c r="I1834" s="40">
        <v>3100</v>
      </c>
      <c r="J1834" s="24">
        <f t="shared" si="320"/>
        <v>52700000</v>
      </c>
      <c r="K1834" s="37"/>
      <c r="L1834" s="37"/>
      <c r="M1834" s="37"/>
      <c r="N1834" s="37"/>
      <c r="O1834" s="27"/>
      <c r="P1834" s="20"/>
      <c r="Q1834" s="64"/>
      <c r="R1834" s="20"/>
      <c r="S1834" s="37"/>
      <c r="T1834" s="65"/>
      <c r="U1834" s="37"/>
      <c r="V1834" s="27">
        <f t="shared" si="321"/>
        <v>52700000</v>
      </c>
      <c r="W1834" s="26">
        <f t="shared" si="318"/>
        <v>52700000</v>
      </c>
      <c r="X1834" s="27">
        <v>0</v>
      </c>
      <c r="Y1834" s="78">
        <f t="shared" si="319"/>
        <v>52700000</v>
      </c>
      <c r="Z1834" s="49" t="s">
        <v>250</v>
      </c>
    </row>
    <row r="1835" spans="1:26" s="29" customFormat="1" ht="90.75" customHeight="1" x14ac:dyDescent="0.25">
      <c r="A1835" s="20">
        <v>1197</v>
      </c>
      <c r="B1835" s="20" t="s">
        <v>0</v>
      </c>
      <c r="C1835" s="20">
        <v>68288</v>
      </c>
      <c r="D1835" s="20">
        <v>15</v>
      </c>
      <c r="E1835" s="20">
        <v>0</v>
      </c>
      <c r="F1835" s="52">
        <v>42</v>
      </c>
      <c r="G1835" s="21" t="s">
        <v>209</v>
      </c>
      <c r="H1835" s="24">
        <f t="shared" si="322"/>
        <v>6042</v>
      </c>
      <c r="I1835" s="25"/>
      <c r="J1835" s="24">
        <f t="shared" si="320"/>
        <v>0</v>
      </c>
      <c r="K1835" s="20"/>
      <c r="L1835" s="20"/>
      <c r="M1835" s="20"/>
      <c r="N1835" s="20"/>
      <c r="O1835" s="24"/>
      <c r="P1835" s="24"/>
      <c r="Q1835" s="25"/>
      <c r="R1835" s="24"/>
      <c r="S1835" s="20"/>
      <c r="T1835" s="27"/>
      <c r="U1835" s="20"/>
      <c r="V1835" s="20"/>
      <c r="W1835" s="26"/>
      <c r="X1835" s="27"/>
      <c r="Y1835" s="20"/>
      <c r="Z1835" s="20"/>
    </row>
    <row r="1836" spans="1:26" s="29" customFormat="1" ht="90.75" customHeight="1" x14ac:dyDescent="0.25">
      <c r="A1836" s="20">
        <v>1198</v>
      </c>
      <c r="B1836" s="20" t="s">
        <v>0</v>
      </c>
      <c r="C1836" s="20">
        <v>68289</v>
      </c>
      <c r="D1836" s="20">
        <v>3</v>
      </c>
      <c r="E1836" s="20">
        <v>2</v>
      </c>
      <c r="F1836" s="52">
        <v>14</v>
      </c>
      <c r="G1836" s="21" t="s">
        <v>209</v>
      </c>
      <c r="H1836" s="24">
        <f t="shared" si="322"/>
        <v>1414</v>
      </c>
      <c r="I1836" s="25"/>
      <c r="J1836" s="24">
        <f t="shared" si="320"/>
        <v>0</v>
      </c>
      <c r="K1836" s="20"/>
      <c r="L1836" s="20"/>
      <c r="M1836" s="20"/>
      <c r="N1836" s="20"/>
      <c r="O1836" s="24"/>
      <c r="P1836" s="24"/>
      <c r="Q1836" s="25"/>
      <c r="R1836" s="24"/>
      <c r="S1836" s="20"/>
      <c r="T1836" s="27"/>
      <c r="U1836" s="20"/>
      <c r="V1836" s="20"/>
      <c r="W1836" s="26"/>
      <c r="X1836" s="27"/>
      <c r="Y1836" s="20"/>
      <c r="Z1836" s="20"/>
    </row>
    <row r="1837" spans="1:26" s="29" customFormat="1" ht="90.75" customHeight="1" x14ac:dyDescent="0.25">
      <c r="A1837" s="20">
        <v>1199</v>
      </c>
      <c r="B1837" s="20" t="s">
        <v>0</v>
      </c>
      <c r="C1837" s="20">
        <v>68290</v>
      </c>
      <c r="D1837" s="20">
        <v>6</v>
      </c>
      <c r="E1837" s="20">
        <v>2</v>
      </c>
      <c r="F1837" s="52">
        <v>36</v>
      </c>
      <c r="G1837" s="21" t="s">
        <v>209</v>
      </c>
      <c r="H1837" s="24">
        <f t="shared" si="322"/>
        <v>2636</v>
      </c>
      <c r="I1837" s="25"/>
      <c r="J1837" s="24">
        <f t="shared" si="320"/>
        <v>0</v>
      </c>
      <c r="K1837" s="20"/>
      <c r="L1837" s="20"/>
      <c r="M1837" s="20"/>
      <c r="N1837" s="20"/>
      <c r="O1837" s="24"/>
      <c r="P1837" s="24"/>
      <c r="Q1837" s="25"/>
      <c r="R1837" s="24"/>
      <c r="S1837" s="20"/>
      <c r="T1837" s="27"/>
      <c r="U1837" s="20"/>
      <c r="V1837" s="20"/>
      <c r="W1837" s="26"/>
      <c r="X1837" s="27"/>
      <c r="Y1837" s="20"/>
      <c r="Z1837" s="20"/>
    </row>
    <row r="1838" spans="1:26" s="29" customFormat="1" ht="90.75" customHeight="1" x14ac:dyDescent="0.25">
      <c r="A1838" s="20">
        <v>1200</v>
      </c>
      <c r="B1838" s="20" t="s">
        <v>0</v>
      </c>
      <c r="C1838" s="20">
        <v>64791</v>
      </c>
      <c r="D1838" s="21">
        <v>20</v>
      </c>
      <c r="E1838" s="21">
        <v>0</v>
      </c>
      <c r="F1838" s="22">
        <v>0</v>
      </c>
      <c r="G1838" s="21" t="s">
        <v>209</v>
      </c>
      <c r="H1838" s="24">
        <f t="shared" si="322"/>
        <v>8000</v>
      </c>
      <c r="I1838" s="25">
        <v>4500</v>
      </c>
      <c r="J1838" s="24">
        <f t="shared" si="320"/>
        <v>36000000</v>
      </c>
      <c r="K1838" s="20">
        <v>1</v>
      </c>
      <c r="L1838" s="20" t="s">
        <v>15</v>
      </c>
      <c r="M1838" s="20" t="s">
        <v>13</v>
      </c>
      <c r="N1838" s="20">
        <v>3</v>
      </c>
      <c r="O1838" s="24">
        <v>8373.4</v>
      </c>
      <c r="P1838" s="86">
        <v>100</v>
      </c>
      <c r="Q1838" s="40">
        <v>5950</v>
      </c>
      <c r="R1838" s="36">
        <f>(O1838*Q1838)</f>
        <v>49821730</v>
      </c>
      <c r="S1838" s="37">
        <v>1</v>
      </c>
      <c r="T1838" s="28">
        <f>(R1838*1/100)</f>
        <v>498217.3</v>
      </c>
      <c r="U1838" s="36">
        <f>(R1838-T1838)</f>
        <v>49323512.700000003</v>
      </c>
      <c r="V1838" s="20"/>
      <c r="W1838" s="26"/>
      <c r="X1838" s="27"/>
      <c r="Y1838" s="20"/>
      <c r="Z1838" s="20"/>
    </row>
    <row r="1839" spans="1:26" s="29" customFormat="1" ht="90.75" customHeight="1" x14ac:dyDescent="0.25">
      <c r="A1839" s="20"/>
      <c r="B1839" s="20"/>
      <c r="C1839" s="20"/>
      <c r="D1839" s="21"/>
      <c r="E1839" s="21"/>
      <c r="F1839" s="22"/>
      <c r="G1839" s="23"/>
      <c r="H1839" s="24"/>
      <c r="I1839" s="25"/>
      <c r="J1839" s="24"/>
      <c r="K1839" s="20"/>
      <c r="L1839" s="20" t="s">
        <v>27</v>
      </c>
      <c r="M1839" s="20" t="s">
        <v>129</v>
      </c>
      <c r="N1839" s="20">
        <v>3</v>
      </c>
      <c r="O1839" s="24">
        <v>1640.87</v>
      </c>
      <c r="P1839" s="86">
        <v>100</v>
      </c>
      <c r="Q1839" s="25">
        <v>7100</v>
      </c>
      <c r="R1839" s="36">
        <f>(O1839*Q1839)</f>
        <v>11650177</v>
      </c>
      <c r="S1839" s="20">
        <v>1</v>
      </c>
      <c r="T1839" s="28">
        <f>(R1839*1/100)</f>
        <v>116501.77</v>
      </c>
      <c r="U1839" s="36">
        <f>(R1839-T1839)</f>
        <v>11533675.23</v>
      </c>
      <c r="V1839" s="20"/>
      <c r="W1839" s="26"/>
      <c r="X1839" s="27"/>
      <c r="Y1839" s="20"/>
      <c r="Z1839" s="20"/>
    </row>
    <row r="1840" spans="1:26" s="29" customFormat="1" ht="90.75" customHeight="1" x14ac:dyDescent="0.25">
      <c r="A1840" s="20"/>
      <c r="B1840" s="20"/>
      <c r="C1840" s="20"/>
      <c r="D1840" s="21"/>
      <c r="E1840" s="21"/>
      <c r="F1840" s="22"/>
      <c r="G1840" s="23"/>
      <c r="H1840" s="24"/>
      <c r="I1840" s="25"/>
      <c r="J1840" s="24"/>
      <c r="K1840" s="20"/>
      <c r="L1840" s="20" t="s">
        <v>16</v>
      </c>
      <c r="M1840" s="20" t="s">
        <v>13</v>
      </c>
      <c r="N1840" s="20">
        <v>3</v>
      </c>
      <c r="O1840" s="24">
        <v>14</v>
      </c>
      <c r="P1840" s="86">
        <v>100</v>
      </c>
      <c r="Q1840" s="25">
        <v>6450</v>
      </c>
      <c r="R1840" s="36">
        <f>(O1840*Q1840)</f>
        <v>90300</v>
      </c>
      <c r="S1840" s="20">
        <v>1</v>
      </c>
      <c r="T1840" s="28">
        <f>(R1840*1/100)</f>
        <v>903</v>
      </c>
      <c r="U1840" s="36">
        <f>(R1840-T1840)</f>
        <v>89397</v>
      </c>
      <c r="V1840" s="20"/>
      <c r="W1840" s="26"/>
      <c r="X1840" s="27"/>
      <c r="Y1840" s="20"/>
      <c r="Z1840" s="20"/>
    </row>
    <row r="1841" spans="1:26" s="29" customFormat="1" ht="90.75" customHeight="1" x14ac:dyDescent="0.25">
      <c r="A1841" s="20"/>
      <c r="B1841" s="101"/>
      <c r="C1841" s="20"/>
      <c r="D1841" s="21"/>
      <c r="E1841" s="21"/>
      <c r="F1841" s="22"/>
      <c r="G1841" s="23"/>
      <c r="H1841" s="24"/>
      <c r="I1841" s="25"/>
      <c r="J1841" s="24"/>
      <c r="K1841" s="20"/>
      <c r="L1841" s="20"/>
      <c r="M1841" s="20"/>
      <c r="N1841" s="20"/>
      <c r="O1841" s="24"/>
      <c r="P1841" s="24"/>
      <c r="Q1841" s="25"/>
      <c r="R1841" s="24"/>
      <c r="S1841" s="20"/>
      <c r="T1841" s="27"/>
      <c r="U1841" s="78">
        <f>SUM(U1838:U1840)</f>
        <v>60946584.930000007</v>
      </c>
      <c r="V1841" s="80">
        <f>(J1838+U1841)</f>
        <v>96946584.930000007</v>
      </c>
      <c r="W1841" s="26">
        <f>(V1841*100/100)</f>
        <v>96946584.930000007</v>
      </c>
      <c r="X1841" s="27">
        <v>0</v>
      </c>
      <c r="Y1841" s="78">
        <f>(W1841-X1841)</f>
        <v>96946584.930000007</v>
      </c>
      <c r="Z1841" s="49" t="s">
        <v>250</v>
      </c>
    </row>
    <row r="1842" spans="1:26" s="29" customFormat="1" ht="90.75" customHeight="1" x14ac:dyDescent="0.25">
      <c r="A1842" s="20">
        <v>1201</v>
      </c>
      <c r="B1842" s="37" t="s">
        <v>213</v>
      </c>
      <c r="C1842" s="37">
        <v>418</v>
      </c>
      <c r="D1842" s="37">
        <v>1</v>
      </c>
      <c r="E1842" s="37">
        <v>3</v>
      </c>
      <c r="F1842" s="35">
        <v>31</v>
      </c>
      <c r="G1842" s="91" t="s">
        <v>211</v>
      </c>
      <c r="H1842" s="36">
        <f>(D1842*400)+(E1842*100)+F1842</f>
        <v>731</v>
      </c>
      <c r="I1842" s="40">
        <v>625</v>
      </c>
      <c r="J1842" s="28">
        <f>(H1842*I1842)</f>
        <v>456875</v>
      </c>
      <c r="K1842" s="37"/>
      <c r="L1842" s="20"/>
      <c r="M1842" s="37"/>
      <c r="N1842" s="37"/>
      <c r="O1842" s="27"/>
      <c r="P1842" s="20"/>
      <c r="Q1842" s="64"/>
      <c r="R1842" s="20"/>
      <c r="S1842" s="20"/>
      <c r="T1842" s="27"/>
      <c r="U1842" s="20"/>
      <c r="V1842" s="20"/>
      <c r="W1842" s="26"/>
      <c r="X1842" s="27"/>
      <c r="Y1842" s="20"/>
      <c r="Z1842" s="20"/>
    </row>
    <row r="1843" spans="1:26" s="29" customFormat="1" ht="90.75" customHeight="1" x14ac:dyDescent="0.25">
      <c r="A1843" s="20"/>
      <c r="B1843" s="37"/>
      <c r="C1843" s="37"/>
      <c r="D1843" s="37"/>
      <c r="E1843" s="37"/>
      <c r="F1843" s="37"/>
      <c r="G1843" s="91"/>
      <c r="H1843" s="36">
        <v>627.17999999999995</v>
      </c>
      <c r="I1843" s="40">
        <v>625</v>
      </c>
      <c r="J1843" s="28">
        <f>(H1843*I1843)</f>
        <v>391987.49999999994</v>
      </c>
      <c r="K1843" s="37">
        <v>1</v>
      </c>
      <c r="L1843" s="37" t="s">
        <v>215</v>
      </c>
      <c r="M1843" s="37" t="s">
        <v>40</v>
      </c>
      <c r="N1843" s="30">
        <v>2</v>
      </c>
      <c r="O1843" s="86">
        <v>97.5</v>
      </c>
      <c r="P1843" s="86">
        <v>100</v>
      </c>
      <c r="Q1843" s="36">
        <v>6450</v>
      </c>
      <c r="R1843" s="36">
        <f>(O1843*Q1843)</f>
        <v>628875</v>
      </c>
      <c r="S1843" s="30">
        <v>42</v>
      </c>
      <c r="T1843" s="28">
        <f>(R1843*93/100)</f>
        <v>584853.75</v>
      </c>
      <c r="U1843" s="36">
        <f>(R1843-T1843)</f>
        <v>44021.25</v>
      </c>
      <c r="V1843" s="36"/>
      <c r="W1843" s="36"/>
      <c r="X1843" s="28"/>
      <c r="Y1843" s="28"/>
      <c r="Z1843" s="20"/>
    </row>
    <row r="1844" spans="1:26" s="29" customFormat="1" ht="90.75" customHeight="1" x14ac:dyDescent="0.25">
      <c r="A1844" s="20"/>
      <c r="B1844" s="37"/>
      <c r="C1844" s="37"/>
      <c r="D1844" s="37"/>
      <c r="E1844" s="37"/>
      <c r="F1844" s="37"/>
      <c r="G1844" s="91"/>
      <c r="H1844" s="36"/>
      <c r="I1844" s="40"/>
      <c r="J1844" s="28"/>
      <c r="K1844" s="37">
        <v>2</v>
      </c>
      <c r="L1844" s="20" t="s">
        <v>216</v>
      </c>
      <c r="M1844" s="20" t="s">
        <v>40</v>
      </c>
      <c r="N1844" s="30">
        <v>2</v>
      </c>
      <c r="O1844" s="22">
        <v>18</v>
      </c>
      <c r="P1844" s="86">
        <v>100</v>
      </c>
      <c r="Q1844" s="36">
        <v>5550</v>
      </c>
      <c r="R1844" s="36">
        <f>(O1844*Q1844)</f>
        <v>99900</v>
      </c>
      <c r="S1844" s="30">
        <v>42</v>
      </c>
      <c r="T1844" s="28">
        <f>(R1844*93/100)</f>
        <v>92907</v>
      </c>
      <c r="U1844" s="36">
        <f>(R1844-T1844)</f>
        <v>6993</v>
      </c>
      <c r="V1844" s="36"/>
      <c r="W1844" s="36"/>
      <c r="X1844" s="28"/>
      <c r="Y1844" s="28"/>
      <c r="Z1844" s="20"/>
    </row>
    <row r="1845" spans="1:26" s="29" customFormat="1" ht="90.75" customHeight="1" x14ac:dyDescent="0.25">
      <c r="A1845" s="20"/>
      <c r="B1845" s="37"/>
      <c r="C1845" s="37"/>
      <c r="D1845" s="37"/>
      <c r="E1845" s="37"/>
      <c r="F1845" s="37"/>
      <c r="G1845" s="91"/>
      <c r="H1845" s="36"/>
      <c r="I1845" s="40"/>
      <c r="J1845" s="28"/>
      <c r="K1845" s="37">
        <v>3</v>
      </c>
      <c r="L1845" s="37" t="s">
        <v>215</v>
      </c>
      <c r="M1845" s="20" t="s">
        <v>13</v>
      </c>
      <c r="N1845" s="30">
        <v>2</v>
      </c>
      <c r="O1845" s="22">
        <v>4</v>
      </c>
      <c r="P1845" s="86">
        <v>100</v>
      </c>
      <c r="Q1845" s="36">
        <v>6450</v>
      </c>
      <c r="R1845" s="36">
        <f>(O1845*Q1845)</f>
        <v>25800</v>
      </c>
      <c r="S1845" s="30">
        <v>7</v>
      </c>
      <c r="T1845" s="28">
        <f>(R1845*6/100)</f>
        <v>1548</v>
      </c>
      <c r="U1845" s="36">
        <f>(R1845-T1845)</f>
        <v>24252</v>
      </c>
      <c r="V1845" s="36"/>
      <c r="W1845" s="36"/>
      <c r="X1845" s="28"/>
      <c r="Y1845" s="28"/>
      <c r="Z1845" s="20"/>
    </row>
    <row r="1846" spans="1:26" s="29" customFormat="1" ht="90.75" customHeight="1" x14ac:dyDescent="0.25">
      <c r="A1846" s="20"/>
      <c r="B1846" s="37"/>
      <c r="C1846" s="37"/>
      <c r="D1846" s="37"/>
      <c r="E1846" s="37"/>
      <c r="F1846" s="37"/>
      <c r="G1846" s="91"/>
      <c r="H1846" s="36"/>
      <c r="I1846" s="40"/>
      <c r="J1846" s="28"/>
      <c r="K1846" s="37"/>
      <c r="L1846" s="37"/>
      <c r="M1846" s="20"/>
      <c r="N1846" s="30"/>
      <c r="O1846" s="22"/>
      <c r="P1846" s="86"/>
      <c r="Q1846" s="36"/>
      <c r="R1846" s="36"/>
      <c r="S1846" s="30"/>
      <c r="T1846" s="28"/>
      <c r="U1846" s="36">
        <f>(U1843+U1844+U1845)</f>
        <v>75266.25</v>
      </c>
      <c r="V1846" s="36">
        <f>(J1842+U1846)</f>
        <v>532141.25</v>
      </c>
      <c r="W1846" s="36">
        <f>(V1846*100/100)</f>
        <v>532141.25</v>
      </c>
      <c r="X1846" s="28">
        <v>10000000</v>
      </c>
      <c r="Y1846" s="28">
        <v>0</v>
      </c>
      <c r="Z1846" s="49">
        <v>2.0000000000000001E-4</v>
      </c>
    </row>
    <row r="1847" spans="1:26" s="29" customFormat="1" ht="90.75" customHeight="1" x14ac:dyDescent="0.25">
      <c r="A1847" s="20"/>
      <c r="B1847" s="37"/>
      <c r="C1847" s="37"/>
      <c r="D1847" s="37"/>
      <c r="E1847" s="37"/>
      <c r="F1847" s="37"/>
      <c r="G1847" s="91"/>
      <c r="H1847" s="36">
        <f>(O1847*0.25)</f>
        <v>13.475</v>
      </c>
      <c r="I1847" s="40">
        <v>625</v>
      </c>
      <c r="J1847" s="28">
        <f>(H1847*I1847)</f>
        <v>8421.875</v>
      </c>
      <c r="K1847" s="37">
        <v>4</v>
      </c>
      <c r="L1847" s="20" t="s">
        <v>31</v>
      </c>
      <c r="M1847" s="20"/>
      <c r="N1847" s="30">
        <v>3</v>
      </c>
      <c r="O1847" s="22">
        <v>53.9</v>
      </c>
      <c r="P1847" s="86">
        <v>100</v>
      </c>
      <c r="Q1847" s="36">
        <v>2550</v>
      </c>
      <c r="R1847" s="36">
        <f>(O1847*Q1847)</f>
        <v>137445</v>
      </c>
      <c r="S1847" s="30">
        <v>7</v>
      </c>
      <c r="T1847" s="28">
        <f>(R1847*7/100)</f>
        <v>9621.15</v>
      </c>
      <c r="U1847" s="36">
        <f>(R1847-T1847)</f>
        <v>127823.85</v>
      </c>
      <c r="V1847" s="36">
        <f>(J1847+U1847)</f>
        <v>136245.72500000001</v>
      </c>
      <c r="W1847" s="36">
        <f>(V1847*100/100)</f>
        <v>136245.72500000001</v>
      </c>
      <c r="X1847" s="28">
        <v>0</v>
      </c>
      <c r="Y1847" s="28">
        <f>(W1847-X1847)</f>
        <v>136245.72500000001</v>
      </c>
      <c r="Z1847" s="49">
        <v>3.0000000000000001E-3</v>
      </c>
    </row>
    <row r="1848" spans="1:26" s="29" customFormat="1" ht="90.75" customHeight="1" x14ac:dyDescent="0.25">
      <c r="A1848" s="20">
        <v>1202</v>
      </c>
      <c r="B1848" s="37" t="s">
        <v>213</v>
      </c>
      <c r="C1848" s="37">
        <v>745</v>
      </c>
      <c r="D1848" s="37">
        <v>6</v>
      </c>
      <c r="E1848" s="37">
        <v>2</v>
      </c>
      <c r="F1848" s="35">
        <v>0</v>
      </c>
      <c r="G1848" s="91" t="s">
        <v>211</v>
      </c>
      <c r="H1848" s="36">
        <f>(D1848*400)+(E1848*100)+F1848</f>
        <v>2600</v>
      </c>
      <c r="I1848" s="40">
        <v>500</v>
      </c>
      <c r="J1848" s="28">
        <f>(H1848*I1848)</f>
        <v>1300000</v>
      </c>
      <c r="K1848" s="37"/>
      <c r="L1848" s="37"/>
      <c r="M1848" s="37"/>
      <c r="N1848" s="37"/>
      <c r="O1848" s="27"/>
      <c r="P1848" s="20"/>
      <c r="Q1848" s="64"/>
      <c r="R1848" s="20"/>
      <c r="S1848" s="30"/>
      <c r="T1848" s="65"/>
      <c r="U1848" s="30"/>
      <c r="V1848" s="30"/>
      <c r="W1848" s="36"/>
      <c r="X1848" s="65"/>
      <c r="Y1848" s="30"/>
      <c r="Z1848" s="21"/>
    </row>
    <row r="1849" spans="1:26" s="29" customFormat="1" ht="90.75" customHeight="1" x14ac:dyDescent="0.25">
      <c r="A1849" s="20"/>
      <c r="B1849" s="37"/>
      <c r="C1849" s="37"/>
      <c r="D1849" s="37"/>
      <c r="E1849" s="37"/>
      <c r="F1849" s="37"/>
      <c r="G1849" s="91"/>
      <c r="H1849" s="36">
        <f>(O1849*0.25)</f>
        <v>50.25</v>
      </c>
      <c r="I1849" s="40">
        <v>500</v>
      </c>
      <c r="J1849" s="28">
        <f>(H1849*I1849)</f>
        <v>25125</v>
      </c>
      <c r="K1849" s="37">
        <v>1</v>
      </c>
      <c r="L1849" s="37" t="s">
        <v>215</v>
      </c>
      <c r="M1849" s="37" t="s">
        <v>13</v>
      </c>
      <c r="N1849" s="30">
        <v>3</v>
      </c>
      <c r="O1849" s="37">
        <v>201</v>
      </c>
      <c r="P1849" s="86">
        <v>100</v>
      </c>
      <c r="Q1849" s="36">
        <v>6450</v>
      </c>
      <c r="R1849" s="36">
        <f>(O1849*Q1849)</f>
        <v>1296450</v>
      </c>
      <c r="S1849" s="37">
        <v>22</v>
      </c>
      <c r="T1849" s="28">
        <f>(R1849*34/100)</f>
        <v>440793</v>
      </c>
      <c r="U1849" s="36">
        <f>(R1849-T1849)</f>
        <v>855657</v>
      </c>
      <c r="V1849" s="36">
        <f>(J1849+U1849)</f>
        <v>880782</v>
      </c>
      <c r="W1849" s="36">
        <f>(V1849*100/100)</f>
        <v>880782</v>
      </c>
      <c r="X1849" s="28"/>
      <c r="Y1849" s="28"/>
      <c r="Z1849" s="20"/>
    </row>
    <row r="1850" spans="1:26" s="29" customFormat="1" ht="90.75" customHeight="1" x14ac:dyDescent="0.25">
      <c r="A1850" s="37"/>
      <c r="B1850" s="37"/>
      <c r="C1850" s="37"/>
      <c r="D1850" s="37"/>
      <c r="E1850" s="37"/>
      <c r="F1850" s="37"/>
      <c r="G1850" s="91"/>
      <c r="H1850" s="28"/>
      <c r="I1850" s="40"/>
      <c r="J1850" s="28"/>
      <c r="K1850" s="37"/>
      <c r="L1850" s="37"/>
      <c r="M1850" s="37"/>
      <c r="N1850" s="30"/>
      <c r="O1850" s="37">
        <v>192</v>
      </c>
      <c r="P1850" s="86">
        <v>95.52</v>
      </c>
      <c r="Q1850" s="36"/>
      <c r="R1850" s="36"/>
      <c r="S1850" s="37"/>
      <c r="T1850" s="28"/>
      <c r="U1850" s="36"/>
      <c r="V1850" s="36"/>
      <c r="W1850" s="36">
        <f>(W1849*95.52/100)</f>
        <v>841322.96640000003</v>
      </c>
      <c r="X1850" s="28">
        <v>10000000</v>
      </c>
      <c r="Y1850" s="28">
        <v>0</v>
      </c>
      <c r="Z1850" s="49">
        <v>2.0000000000000001E-4</v>
      </c>
    </row>
    <row r="1851" spans="1:26" s="29" customFormat="1" ht="90.75" customHeight="1" x14ac:dyDescent="0.25">
      <c r="A1851" s="37"/>
      <c r="B1851" s="37"/>
      <c r="C1851" s="37"/>
      <c r="D1851" s="37"/>
      <c r="E1851" s="37"/>
      <c r="F1851" s="37"/>
      <c r="G1851" s="91"/>
      <c r="H1851" s="28"/>
      <c r="I1851" s="40"/>
      <c r="J1851" s="28"/>
      <c r="K1851" s="37"/>
      <c r="L1851" s="37"/>
      <c r="M1851" s="37"/>
      <c r="N1851" s="30"/>
      <c r="O1851" s="37">
        <v>9</v>
      </c>
      <c r="P1851" s="86">
        <v>4.4800000000000004</v>
      </c>
      <c r="Q1851" s="36"/>
      <c r="R1851" s="36"/>
      <c r="S1851" s="37"/>
      <c r="T1851" s="28"/>
      <c r="U1851" s="36"/>
      <c r="V1851" s="36"/>
      <c r="W1851" s="36">
        <f>(W1850*4.48/100)</f>
        <v>37691.26889472</v>
      </c>
      <c r="X1851" s="28">
        <v>0</v>
      </c>
      <c r="Y1851" s="28">
        <f>(W1851-X1851)</f>
        <v>37691.26889472</v>
      </c>
      <c r="Z1851" s="49">
        <v>3.0000000000000001E-3</v>
      </c>
    </row>
    <row r="1852" spans="1:26" s="29" customFormat="1" ht="90.75" customHeight="1" x14ac:dyDescent="0.25">
      <c r="A1852" s="37"/>
      <c r="B1852" s="37"/>
      <c r="C1852" s="37"/>
      <c r="D1852" s="30">
        <v>3</v>
      </c>
      <c r="E1852" s="30">
        <v>0</v>
      </c>
      <c r="F1852" s="35">
        <v>0</v>
      </c>
      <c r="G1852" s="21" t="s">
        <v>211</v>
      </c>
      <c r="H1852" s="36">
        <v>1200</v>
      </c>
      <c r="I1852" s="40">
        <v>500</v>
      </c>
      <c r="J1852" s="28">
        <f>(H1852*I1852)</f>
        <v>600000</v>
      </c>
      <c r="K1852" s="37"/>
      <c r="L1852" s="37"/>
      <c r="M1852" s="37"/>
      <c r="N1852" s="30"/>
      <c r="O1852" s="37"/>
      <c r="P1852" s="86"/>
      <c r="Q1852" s="36"/>
      <c r="R1852" s="36"/>
      <c r="S1852" s="37"/>
      <c r="T1852" s="28"/>
      <c r="U1852" s="36"/>
      <c r="V1852" s="36"/>
      <c r="W1852" s="36"/>
      <c r="X1852" s="28"/>
      <c r="Y1852" s="28"/>
      <c r="Z1852" s="20"/>
    </row>
    <row r="1853" spans="1:26" s="29" customFormat="1" ht="90.75" customHeight="1" x14ac:dyDescent="0.25">
      <c r="A1853" s="37"/>
      <c r="B1853" s="37"/>
      <c r="C1853" s="37"/>
      <c r="D1853" s="41"/>
      <c r="E1853" s="41"/>
      <c r="F1853" s="43"/>
      <c r="G1853" s="41"/>
      <c r="H1853" s="36">
        <v>924.6</v>
      </c>
      <c r="I1853" s="40">
        <v>500</v>
      </c>
      <c r="J1853" s="28">
        <f>(H1853*I1853)</f>
        <v>462300</v>
      </c>
      <c r="K1853" s="37">
        <v>1</v>
      </c>
      <c r="L1853" s="31" t="s">
        <v>215</v>
      </c>
      <c r="M1853" s="31" t="s">
        <v>13</v>
      </c>
      <c r="N1853" s="41">
        <v>2</v>
      </c>
      <c r="O1853" s="46">
        <v>234</v>
      </c>
      <c r="P1853" s="86">
        <v>100</v>
      </c>
      <c r="Q1853" s="36">
        <v>6450</v>
      </c>
      <c r="R1853" s="36">
        <f>(O1853*Q1853)</f>
        <v>1509300</v>
      </c>
      <c r="S1853" s="37">
        <v>32</v>
      </c>
      <c r="T1853" s="28">
        <f>(R1853*54/100)</f>
        <v>815022</v>
      </c>
      <c r="U1853" s="36">
        <f>(R1853-T1853)</f>
        <v>694278</v>
      </c>
      <c r="V1853" s="36">
        <f>(J1853+U1853)</f>
        <v>1156578</v>
      </c>
      <c r="W1853" s="36"/>
      <c r="X1853" s="28"/>
      <c r="Y1853" s="28"/>
      <c r="Z1853" s="20"/>
    </row>
    <row r="1854" spans="1:26" s="29" customFormat="1" ht="90.75" customHeight="1" x14ac:dyDescent="0.25">
      <c r="A1854" s="37"/>
      <c r="B1854" s="37"/>
      <c r="C1854" s="37"/>
      <c r="D1854" s="41"/>
      <c r="E1854" s="41"/>
      <c r="F1854" s="43"/>
      <c r="G1854" s="41"/>
      <c r="H1854" s="36"/>
      <c r="I1854" s="40"/>
      <c r="J1854" s="28"/>
      <c r="K1854" s="37">
        <v>2</v>
      </c>
      <c r="L1854" s="31" t="s">
        <v>215</v>
      </c>
      <c r="M1854" s="31" t="s">
        <v>13</v>
      </c>
      <c r="N1854" s="41">
        <v>2</v>
      </c>
      <c r="O1854" s="46">
        <v>140</v>
      </c>
      <c r="P1854" s="86">
        <v>100</v>
      </c>
      <c r="Q1854" s="36">
        <v>6450</v>
      </c>
      <c r="R1854" s="36">
        <f>(O1854*Q1854)</f>
        <v>903000</v>
      </c>
      <c r="S1854" s="37">
        <v>32</v>
      </c>
      <c r="T1854" s="28">
        <f>(R1854*54/100)</f>
        <v>487620</v>
      </c>
      <c r="U1854" s="36">
        <f>(R1854-T1854)</f>
        <v>415380</v>
      </c>
      <c r="V1854" s="36">
        <f>(J1854+U1854)</f>
        <v>415380</v>
      </c>
      <c r="W1854" s="36"/>
      <c r="X1854" s="28"/>
      <c r="Y1854" s="28"/>
      <c r="Z1854" s="20"/>
    </row>
    <row r="1855" spans="1:26" s="29" customFormat="1" ht="90.75" customHeight="1" x14ac:dyDescent="0.25">
      <c r="A1855" s="37"/>
      <c r="B1855" s="37"/>
      <c r="C1855" s="37"/>
      <c r="D1855" s="41"/>
      <c r="E1855" s="41"/>
      <c r="F1855" s="43"/>
      <c r="G1855" s="41"/>
      <c r="H1855" s="36"/>
      <c r="I1855" s="40"/>
      <c r="J1855" s="28"/>
      <c r="K1855" s="37">
        <v>3</v>
      </c>
      <c r="L1855" s="31" t="s">
        <v>31</v>
      </c>
      <c r="M1855" s="31"/>
      <c r="N1855" s="41">
        <v>2</v>
      </c>
      <c r="O1855" s="46">
        <v>122.4</v>
      </c>
      <c r="P1855" s="86">
        <v>100</v>
      </c>
      <c r="Q1855" s="36">
        <v>2550</v>
      </c>
      <c r="R1855" s="36">
        <f>(O1855*Q1855)</f>
        <v>312120</v>
      </c>
      <c r="S1855" s="37">
        <v>32</v>
      </c>
      <c r="T1855" s="28">
        <f>(R1855*54/100)</f>
        <v>168544.8</v>
      </c>
      <c r="U1855" s="36">
        <f>(R1855-T1855)</f>
        <v>143575.20000000001</v>
      </c>
      <c r="V1855" s="36">
        <f>(J1855+U1855)</f>
        <v>143575.20000000001</v>
      </c>
      <c r="W1855" s="36"/>
      <c r="X1855" s="28"/>
      <c r="Y1855" s="28"/>
      <c r="Z1855" s="20"/>
    </row>
    <row r="1856" spans="1:26" s="29" customFormat="1" ht="90.75" customHeight="1" x14ac:dyDescent="0.25">
      <c r="A1856" s="37"/>
      <c r="B1856" s="37"/>
      <c r="C1856" s="37"/>
      <c r="D1856" s="41"/>
      <c r="E1856" s="41"/>
      <c r="F1856" s="43"/>
      <c r="G1856" s="41"/>
      <c r="H1856" s="36"/>
      <c r="I1856" s="40"/>
      <c r="J1856" s="28"/>
      <c r="K1856" s="37">
        <v>4</v>
      </c>
      <c r="L1856" s="31" t="s">
        <v>215</v>
      </c>
      <c r="M1856" s="31" t="s">
        <v>24</v>
      </c>
      <c r="N1856" s="41">
        <v>2</v>
      </c>
      <c r="O1856" s="46">
        <v>239.56</v>
      </c>
      <c r="P1856" s="86">
        <v>100</v>
      </c>
      <c r="Q1856" s="36">
        <v>6450</v>
      </c>
      <c r="R1856" s="36">
        <f>(O1856*Q1856)</f>
        <v>1545162</v>
      </c>
      <c r="S1856" s="37">
        <v>32</v>
      </c>
      <c r="T1856" s="28">
        <f>(R1856*54/100)</f>
        <v>834387.48</v>
      </c>
      <c r="U1856" s="36">
        <f>(R1856-T1856)</f>
        <v>710774.52</v>
      </c>
      <c r="V1856" s="36">
        <f>(J1856+U1856)</f>
        <v>710774.52</v>
      </c>
      <c r="W1856" s="36"/>
      <c r="X1856" s="28"/>
      <c r="Y1856" s="28"/>
      <c r="Z1856" s="20"/>
    </row>
    <row r="1857" spans="1:26" s="29" customFormat="1" ht="90.75" customHeight="1" x14ac:dyDescent="0.25">
      <c r="A1857" s="37"/>
      <c r="B1857" s="37"/>
      <c r="C1857" s="37"/>
      <c r="D1857" s="41"/>
      <c r="E1857" s="41"/>
      <c r="F1857" s="43"/>
      <c r="G1857" s="41"/>
      <c r="H1857" s="36"/>
      <c r="I1857" s="40"/>
      <c r="J1857" s="28"/>
      <c r="K1857" s="37"/>
      <c r="L1857" s="31"/>
      <c r="M1857" s="31"/>
      <c r="N1857" s="41"/>
      <c r="O1857" s="46"/>
      <c r="P1857" s="86"/>
      <c r="Q1857" s="36"/>
      <c r="R1857" s="36"/>
      <c r="S1857" s="37"/>
      <c r="T1857" s="28"/>
      <c r="U1857" s="36"/>
      <c r="V1857" s="36">
        <f>(V1853+V1854+V1855+V1856)</f>
        <v>2426307.7199999997</v>
      </c>
      <c r="W1857" s="36">
        <f>(J1853+V1857)</f>
        <v>2888607.7199999997</v>
      </c>
      <c r="X1857" s="28">
        <v>10000000</v>
      </c>
      <c r="Y1857" s="28">
        <v>0</v>
      </c>
      <c r="Z1857" s="49">
        <v>2.0000000000000001E-4</v>
      </c>
    </row>
    <row r="1858" spans="1:26" s="29" customFormat="1" ht="90.75" customHeight="1" x14ac:dyDescent="0.25">
      <c r="A1858" s="37"/>
      <c r="B1858" s="37"/>
      <c r="C1858" s="37"/>
      <c r="D1858" s="41"/>
      <c r="E1858" s="41"/>
      <c r="F1858" s="43"/>
      <c r="G1858" s="41"/>
      <c r="H1858" s="36">
        <f>(O1858*0.25)</f>
        <v>112.5</v>
      </c>
      <c r="I1858" s="40">
        <v>500</v>
      </c>
      <c r="J1858" s="28">
        <f>(H1858*I1858)</f>
        <v>56250</v>
      </c>
      <c r="K1858" s="37">
        <v>5</v>
      </c>
      <c r="L1858" s="31" t="s">
        <v>15</v>
      </c>
      <c r="M1858" s="31" t="s">
        <v>13</v>
      </c>
      <c r="N1858" s="41">
        <v>3</v>
      </c>
      <c r="O1858" s="46">
        <v>450</v>
      </c>
      <c r="P1858" s="86">
        <v>100</v>
      </c>
      <c r="Q1858" s="36">
        <v>5950</v>
      </c>
      <c r="R1858" s="36">
        <f>(O1858*Q1858)</f>
        <v>2677500</v>
      </c>
      <c r="S1858" s="37">
        <v>32</v>
      </c>
      <c r="T1858" s="28">
        <f>(R1858*54/100)</f>
        <v>1445850</v>
      </c>
      <c r="U1858" s="36">
        <f>(R1858-T1858)</f>
        <v>1231650</v>
      </c>
      <c r="V1858" s="36">
        <f>(J1858+U1858)</f>
        <v>1287900</v>
      </c>
      <c r="W1858" s="36">
        <f>(V1858*100/100)</f>
        <v>1287900</v>
      </c>
      <c r="X1858" s="28">
        <v>0</v>
      </c>
      <c r="Y1858" s="28">
        <f>(W1858-X1858)</f>
        <v>1287900</v>
      </c>
      <c r="Z1858" s="49">
        <v>3.0000000000000001E-3</v>
      </c>
    </row>
    <row r="1859" spans="1:26" s="29" customFormat="1" ht="90.75" customHeight="1" x14ac:dyDescent="0.25">
      <c r="A1859" s="37"/>
      <c r="B1859" s="37"/>
      <c r="C1859" s="37"/>
      <c r="D1859" s="41"/>
      <c r="E1859" s="41"/>
      <c r="F1859" s="43"/>
      <c r="G1859" s="41"/>
      <c r="H1859" s="36">
        <f>(O1859*0.25)</f>
        <v>56.25</v>
      </c>
      <c r="I1859" s="40">
        <v>500</v>
      </c>
      <c r="J1859" s="28">
        <f>(H1859*I1859)</f>
        <v>28125</v>
      </c>
      <c r="K1859" s="37">
        <v>6</v>
      </c>
      <c r="L1859" s="31" t="s">
        <v>29</v>
      </c>
      <c r="M1859" s="31" t="s">
        <v>13</v>
      </c>
      <c r="N1859" s="41">
        <v>3</v>
      </c>
      <c r="O1859" s="46">
        <v>225</v>
      </c>
      <c r="P1859" s="86">
        <v>100</v>
      </c>
      <c r="Q1859" s="36">
        <v>5550</v>
      </c>
      <c r="R1859" s="36">
        <f>(O1859*Q1859)</f>
        <v>1248750</v>
      </c>
      <c r="S1859" s="37">
        <v>32</v>
      </c>
      <c r="T1859" s="28">
        <f>(R1859*54/100)</f>
        <v>674325</v>
      </c>
      <c r="U1859" s="36">
        <f>(R1859-T1859)</f>
        <v>574425</v>
      </c>
      <c r="V1859" s="36">
        <f>(J1859+U1859)</f>
        <v>602550</v>
      </c>
      <c r="W1859" s="36">
        <f>(V1859*100/100)</f>
        <v>602550</v>
      </c>
      <c r="X1859" s="28">
        <v>0</v>
      </c>
      <c r="Y1859" s="28">
        <f>(W1859-X1859)</f>
        <v>602550</v>
      </c>
      <c r="Z1859" s="49">
        <v>3.0000000000000001E-3</v>
      </c>
    </row>
    <row r="1860" spans="1:26" s="29" customFormat="1" ht="90.75" customHeight="1" x14ac:dyDescent="0.25">
      <c r="A1860" s="37"/>
      <c r="B1860" s="37"/>
      <c r="C1860" s="37"/>
      <c r="D1860" s="41"/>
      <c r="E1860" s="41"/>
      <c r="F1860" s="43"/>
      <c r="G1860" s="41"/>
      <c r="H1860" s="36">
        <f>(O1860*0.25)</f>
        <v>106.65</v>
      </c>
      <c r="I1860" s="40">
        <v>500</v>
      </c>
      <c r="J1860" s="28">
        <f>(H1860*I1860)</f>
        <v>53325</v>
      </c>
      <c r="K1860" s="37">
        <v>7</v>
      </c>
      <c r="L1860" s="31" t="s">
        <v>48</v>
      </c>
      <c r="M1860" s="31" t="s">
        <v>13</v>
      </c>
      <c r="N1860" s="41">
        <v>3</v>
      </c>
      <c r="O1860" s="46">
        <v>426.6</v>
      </c>
      <c r="P1860" s="86">
        <v>100</v>
      </c>
      <c r="Q1860" s="36">
        <v>3500</v>
      </c>
      <c r="R1860" s="36">
        <f>(O1860*Q1860)</f>
        <v>1493100</v>
      </c>
      <c r="S1860" s="37">
        <v>32</v>
      </c>
      <c r="T1860" s="28">
        <f>(R1860*54/100)</f>
        <v>806274</v>
      </c>
      <c r="U1860" s="36">
        <f>(R1860-T1860)</f>
        <v>686826</v>
      </c>
      <c r="V1860" s="36">
        <f>(J1860+U1860)</f>
        <v>740151</v>
      </c>
      <c r="W1860" s="36">
        <f>(V1860*100/100)</f>
        <v>740151</v>
      </c>
      <c r="X1860" s="28">
        <v>0</v>
      </c>
      <c r="Y1860" s="28">
        <f>(W1860-X1860)</f>
        <v>740151</v>
      </c>
      <c r="Z1860" s="49">
        <v>3.0000000000000001E-3</v>
      </c>
    </row>
    <row r="1861" spans="1:26" s="29" customFormat="1" ht="90.75" customHeight="1" x14ac:dyDescent="0.25">
      <c r="A1861" s="37">
        <v>1203</v>
      </c>
      <c r="B1861" s="37" t="s">
        <v>213</v>
      </c>
      <c r="C1861" s="37">
        <v>1527</v>
      </c>
      <c r="D1861" s="37">
        <v>0</v>
      </c>
      <c r="E1861" s="37">
        <v>1</v>
      </c>
      <c r="F1861" s="102">
        <v>86</v>
      </c>
      <c r="G1861" s="91" t="s">
        <v>211</v>
      </c>
      <c r="H1861" s="36">
        <f>(D1861*400)+(E1861*100)</f>
        <v>100</v>
      </c>
      <c r="I1861" s="40">
        <v>625</v>
      </c>
      <c r="J1861" s="28">
        <f>(H1861*I1861)</f>
        <v>62500</v>
      </c>
      <c r="K1861" s="37"/>
      <c r="L1861" s="31"/>
      <c r="M1861" s="31"/>
      <c r="N1861" s="41"/>
      <c r="O1861" s="46"/>
      <c r="P1861" s="86"/>
      <c r="Q1861" s="36"/>
      <c r="R1861" s="36"/>
      <c r="S1861" s="84"/>
      <c r="T1861" s="28"/>
      <c r="U1861" s="28"/>
      <c r="V1861" s="36"/>
      <c r="W1861" s="36"/>
      <c r="X1861" s="28"/>
      <c r="Y1861" s="28"/>
      <c r="Z1861" s="20"/>
    </row>
    <row r="1862" spans="1:26" s="29" customFormat="1" ht="90.75" customHeight="1" x14ac:dyDescent="0.25">
      <c r="A1862" s="37"/>
      <c r="B1862" s="37"/>
      <c r="C1862" s="37"/>
      <c r="D1862" s="37"/>
      <c r="E1862" s="37"/>
      <c r="F1862" s="102"/>
      <c r="G1862" s="91"/>
      <c r="H1862" s="36">
        <v>94.94</v>
      </c>
      <c r="I1862" s="40">
        <v>625</v>
      </c>
      <c r="J1862" s="28">
        <f>(H1862*I1862)</f>
        <v>59337.5</v>
      </c>
      <c r="K1862" s="37">
        <v>1</v>
      </c>
      <c r="L1862" s="31" t="s">
        <v>215</v>
      </c>
      <c r="M1862" s="31" t="s">
        <v>52</v>
      </c>
      <c r="N1862" s="41">
        <v>2</v>
      </c>
      <c r="O1862" s="46">
        <v>176</v>
      </c>
      <c r="P1862" s="86">
        <v>100</v>
      </c>
      <c r="Q1862" s="36">
        <v>6450</v>
      </c>
      <c r="R1862" s="36">
        <f>(O1862*Q1862)</f>
        <v>1135200</v>
      </c>
      <c r="S1862" s="84">
        <v>32</v>
      </c>
      <c r="T1862" s="28">
        <f>(R1862*85/100)</f>
        <v>964920</v>
      </c>
      <c r="U1862" s="28">
        <f>(R1862-T1862)</f>
        <v>170280</v>
      </c>
      <c r="V1862" s="36">
        <f>(J1862+U1862)</f>
        <v>229617.5</v>
      </c>
      <c r="W1862" s="36">
        <f>(V1862*100/100)</f>
        <v>229617.5</v>
      </c>
      <c r="X1862" s="28">
        <v>10000000</v>
      </c>
      <c r="Y1862" s="28">
        <v>0</v>
      </c>
      <c r="Z1862" s="49">
        <v>2.0000000000000001E-4</v>
      </c>
    </row>
    <row r="1863" spans="1:26" s="29" customFormat="1" ht="90.75" customHeight="1" x14ac:dyDescent="0.25">
      <c r="A1863" s="37"/>
      <c r="B1863" s="37"/>
      <c r="C1863" s="37"/>
      <c r="D1863" s="37"/>
      <c r="E1863" s="37"/>
      <c r="F1863" s="102"/>
      <c r="G1863" s="91"/>
      <c r="H1863" s="36"/>
      <c r="I1863" s="40"/>
      <c r="J1863" s="28"/>
      <c r="K1863" s="37"/>
      <c r="L1863" s="31" t="s">
        <v>103</v>
      </c>
      <c r="M1863" s="31"/>
      <c r="N1863" s="41"/>
      <c r="O1863" s="46">
        <v>36</v>
      </c>
      <c r="P1863" s="86">
        <f>(O1863*100/176)</f>
        <v>20.454545454545453</v>
      </c>
      <c r="Q1863" s="36"/>
      <c r="R1863" s="36"/>
      <c r="S1863" s="84"/>
      <c r="T1863" s="28"/>
      <c r="U1863" s="28"/>
      <c r="V1863" s="36"/>
      <c r="W1863" s="36">
        <f>(W1862*20.45/100)</f>
        <v>46956.778749999998</v>
      </c>
      <c r="X1863" s="28"/>
      <c r="Y1863" s="28"/>
      <c r="Z1863" s="20"/>
    </row>
    <row r="1864" spans="1:26" s="29" customFormat="1" ht="90.75" customHeight="1" x14ac:dyDescent="0.25">
      <c r="A1864" s="37"/>
      <c r="B1864" s="37"/>
      <c r="C1864" s="37"/>
      <c r="D1864" s="37"/>
      <c r="E1864" s="37"/>
      <c r="F1864" s="102"/>
      <c r="G1864" s="91"/>
      <c r="H1864" s="36"/>
      <c r="I1864" s="40"/>
      <c r="J1864" s="28"/>
      <c r="K1864" s="37"/>
      <c r="L1864" s="31" t="s">
        <v>104</v>
      </c>
      <c r="M1864" s="31"/>
      <c r="N1864" s="41"/>
      <c r="O1864" s="46">
        <v>140</v>
      </c>
      <c r="P1864" s="86">
        <f>(O1864*100/176)</f>
        <v>79.545454545454547</v>
      </c>
      <c r="Q1864" s="36"/>
      <c r="R1864" s="36"/>
      <c r="S1864" s="84"/>
      <c r="T1864" s="28"/>
      <c r="U1864" s="28"/>
      <c r="V1864" s="36"/>
      <c r="W1864" s="36">
        <f>(W1862*79.55/100)</f>
        <v>182660.72125</v>
      </c>
      <c r="X1864" s="28"/>
      <c r="Y1864" s="28"/>
      <c r="Z1864" s="20"/>
    </row>
    <row r="1865" spans="1:26" s="29" customFormat="1" ht="90.75" customHeight="1" x14ac:dyDescent="0.25">
      <c r="A1865" s="37"/>
      <c r="B1865" s="37"/>
      <c r="C1865" s="37"/>
      <c r="D1865" s="37"/>
      <c r="E1865" s="37"/>
      <c r="F1865" s="102"/>
      <c r="G1865" s="91"/>
      <c r="H1865" s="103">
        <v>5.0599999999999996</v>
      </c>
      <c r="I1865" s="104">
        <v>625</v>
      </c>
      <c r="J1865" s="105">
        <f>(H1865*I1865)</f>
        <v>3162.4999999999995</v>
      </c>
      <c r="K1865" s="106">
        <v>2</v>
      </c>
      <c r="L1865" s="107" t="s">
        <v>70</v>
      </c>
      <c r="M1865" s="107" t="s">
        <v>13</v>
      </c>
      <c r="N1865" s="108">
        <v>3</v>
      </c>
      <c r="O1865" s="109">
        <v>20.25</v>
      </c>
      <c r="P1865" s="110">
        <v>100</v>
      </c>
      <c r="Q1865" s="103">
        <v>5550</v>
      </c>
      <c r="R1865" s="103">
        <f>(O1865*Q1865)</f>
        <v>112387.5</v>
      </c>
      <c r="S1865" s="111">
        <v>7</v>
      </c>
      <c r="T1865" s="105">
        <f>(R1865*7/100)</f>
        <v>7867.125</v>
      </c>
      <c r="U1865" s="105">
        <f>(R1865-T1865)</f>
        <v>104520.375</v>
      </c>
      <c r="V1865" s="103">
        <f>(J1865+U1865)</f>
        <v>107682.875</v>
      </c>
      <c r="W1865" s="103">
        <f>(V1865*100/100)</f>
        <v>107682.875</v>
      </c>
      <c r="X1865" s="105">
        <f>(V1865-W1865)</f>
        <v>0</v>
      </c>
      <c r="Y1865" s="105">
        <f>(W1865-X1865)</f>
        <v>107682.875</v>
      </c>
      <c r="Z1865" s="140">
        <v>3.0000000000000001E-3</v>
      </c>
    </row>
    <row r="1866" spans="1:26" s="29" customFormat="1" ht="90.75" customHeight="1" x14ac:dyDescent="0.25">
      <c r="A1866" s="20">
        <v>1204</v>
      </c>
      <c r="B1866" s="37" t="s">
        <v>213</v>
      </c>
      <c r="C1866" s="37">
        <v>2082</v>
      </c>
      <c r="D1866" s="37">
        <v>1</v>
      </c>
      <c r="E1866" s="37">
        <v>1</v>
      </c>
      <c r="F1866" s="102">
        <v>30</v>
      </c>
      <c r="G1866" s="91" t="s">
        <v>211</v>
      </c>
      <c r="H1866" s="36">
        <f>(D1866*400)+(E1866*100)+F1866</f>
        <v>530</v>
      </c>
      <c r="I1866" s="40">
        <v>1150</v>
      </c>
      <c r="J1866" s="28">
        <f>(H1866*I1866)</f>
        <v>609500</v>
      </c>
      <c r="K1866" s="37"/>
      <c r="L1866" s="20"/>
      <c r="M1866" s="37"/>
      <c r="N1866" s="30"/>
      <c r="O1866" s="77"/>
      <c r="P1866" s="35"/>
      <c r="Q1866" s="36"/>
      <c r="R1866" s="36"/>
      <c r="S1866" s="37"/>
      <c r="T1866" s="28"/>
      <c r="U1866" s="36"/>
      <c r="V1866" s="36"/>
      <c r="W1866" s="36"/>
      <c r="X1866" s="28"/>
      <c r="Y1866" s="28"/>
      <c r="Z1866" s="49"/>
    </row>
    <row r="1867" spans="1:26" s="29" customFormat="1" ht="90.75" customHeight="1" x14ac:dyDescent="0.25">
      <c r="A1867" s="20"/>
      <c r="B1867" s="37"/>
      <c r="C1867" s="37"/>
      <c r="D1867" s="37"/>
      <c r="E1867" s="37"/>
      <c r="F1867" s="102"/>
      <c r="G1867" s="91"/>
      <c r="H1867" s="36">
        <f>(O1867*0.25)</f>
        <v>33</v>
      </c>
      <c r="I1867" s="40">
        <v>1150</v>
      </c>
      <c r="J1867" s="28">
        <f>(H1867*I1867)</f>
        <v>37950</v>
      </c>
      <c r="K1867" s="37">
        <v>1</v>
      </c>
      <c r="L1867" s="37" t="s">
        <v>215</v>
      </c>
      <c r="M1867" s="37" t="s">
        <v>217</v>
      </c>
      <c r="N1867" s="30">
        <v>2</v>
      </c>
      <c r="O1867" s="77">
        <v>132</v>
      </c>
      <c r="P1867" s="35">
        <v>100</v>
      </c>
      <c r="Q1867" s="36">
        <v>6450</v>
      </c>
      <c r="R1867" s="36">
        <f>(O1867*Q1867)</f>
        <v>851400</v>
      </c>
      <c r="S1867" s="37">
        <v>27</v>
      </c>
      <c r="T1867" s="28">
        <f>(R1867*44/100)</f>
        <v>374616</v>
      </c>
      <c r="U1867" s="36">
        <f>(R1867-T1867)</f>
        <v>476784</v>
      </c>
      <c r="V1867" s="36">
        <f>(J1867+U1867)</f>
        <v>514734</v>
      </c>
      <c r="W1867" s="36">
        <f>(V1867*100/100)</f>
        <v>514734</v>
      </c>
      <c r="X1867" s="28">
        <v>50000000</v>
      </c>
      <c r="Y1867" s="28">
        <v>0</v>
      </c>
      <c r="Z1867" s="49">
        <v>2.0000000000000001E-4</v>
      </c>
    </row>
    <row r="1868" spans="1:26" s="29" customFormat="1" ht="90.75" customHeight="1" x14ac:dyDescent="0.25">
      <c r="A1868" s="37"/>
      <c r="B1868" s="37"/>
      <c r="C1868" s="37"/>
      <c r="D1868" s="37"/>
      <c r="E1868" s="37"/>
      <c r="F1868" s="37"/>
      <c r="G1868" s="91"/>
      <c r="H1868" s="36">
        <v>458.12</v>
      </c>
      <c r="I1868" s="40">
        <v>1150</v>
      </c>
      <c r="J1868" s="28">
        <f>(H1868*I1868)</f>
        <v>526838</v>
      </c>
      <c r="K1868" s="37">
        <v>2</v>
      </c>
      <c r="L1868" s="20" t="s">
        <v>215</v>
      </c>
      <c r="M1868" s="37" t="s">
        <v>13</v>
      </c>
      <c r="N1868" s="30">
        <v>2</v>
      </c>
      <c r="O1868" s="77">
        <v>131.47999999999999</v>
      </c>
      <c r="P1868" s="35">
        <v>100</v>
      </c>
      <c r="Q1868" s="36">
        <v>6450</v>
      </c>
      <c r="R1868" s="36">
        <f>(O1868*Q1868)</f>
        <v>848045.99999999988</v>
      </c>
      <c r="S1868" s="37">
        <v>32</v>
      </c>
      <c r="T1868" s="28">
        <f>(R1868*54/100)</f>
        <v>457944.83999999991</v>
      </c>
      <c r="U1868" s="36">
        <f>(R1868-T1868)</f>
        <v>390101.16</v>
      </c>
      <c r="V1868" s="36">
        <f>(J1868+U1868)</f>
        <v>916939.15999999992</v>
      </c>
      <c r="W1868" s="36"/>
      <c r="X1868" s="28"/>
      <c r="Y1868" s="28"/>
      <c r="Z1868" s="49"/>
    </row>
    <row r="1869" spans="1:26" s="29" customFormat="1" ht="90.75" customHeight="1" x14ac:dyDescent="0.25">
      <c r="A1869" s="37"/>
      <c r="B1869" s="37"/>
      <c r="C1869" s="37"/>
      <c r="D1869" s="37"/>
      <c r="E1869" s="37"/>
      <c r="F1869" s="37"/>
      <c r="G1869" s="91"/>
      <c r="H1869" s="36"/>
      <c r="I1869" s="40"/>
      <c r="J1869" s="28"/>
      <c r="K1869" s="37">
        <v>3</v>
      </c>
      <c r="L1869" s="37" t="s">
        <v>31</v>
      </c>
      <c r="M1869" s="37"/>
      <c r="N1869" s="30">
        <v>3</v>
      </c>
      <c r="O1869" s="77">
        <v>84</v>
      </c>
      <c r="P1869" s="35">
        <v>100</v>
      </c>
      <c r="Q1869" s="36">
        <v>2550</v>
      </c>
      <c r="R1869" s="36">
        <f>(O1869*Q1869)</f>
        <v>214200</v>
      </c>
      <c r="S1869" s="37">
        <v>27</v>
      </c>
      <c r="T1869" s="28">
        <f>(R1869*44/100)</f>
        <v>94248</v>
      </c>
      <c r="U1869" s="36">
        <f>(R1869-T1869)</f>
        <v>119952</v>
      </c>
      <c r="V1869" s="36">
        <f>(J1869+U1869)</f>
        <v>119952</v>
      </c>
      <c r="W1869" s="36"/>
      <c r="X1869" s="28"/>
      <c r="Y1869" s="28"/>
      <c r="Z1869" s="49"/>
    </row>
    <row r="1870" spans="1:26" s="29" customFormat="1" ht="90.75" customHeight="1" x14ac:dyDescent="0.25">
      <c r="A1870" s="37"/>
      <c r="B1870" s="37"/>
      <c r="C1870" s="37"/>
      <c r="D1870" s="37"/>
      <c r="E1870" s="37"/>
      <c r="F1870" s="37"/>
      <c r="G1870" s="91"/>
      <c r="H1870" s="36"/>
      <c r="I1870" s="40"/>
      <c r="J1870" s="28"/>
      <c r="K1870" s="37"/>
      <c r="L1870" s="37"/>
      <c r="M1870" s="37"/>
      <c r="N1870" s="30"/>
      <c r="O1870" s="77"/>
      <c r="P1870" s="35"/>
      <c r="Q1870" s="36"/>
      <c r="R1870" s="36"/>
      <c r="S1870" s="37"/>
      <c r="T1870" s="28"/>
      <c r="U1870" s="36"/>
      <c r="V1870" s="36">
        <f>(V1868+V1869)</f>
        <v>1036891.1599999999</v>
      </c>
      <c r="W1870" s="36">
        <f>(J1868+V1870)</f>
        <v>1563729.16</v>
      </c>
      <c r="X1870" s="28">
        <v>10000000</v>
      </c>
      <c r="Y1870" s="28">
        <v>0</v>
      </c>
      <c r="Z1870" s="49">
        <v>2.4000000000000001E-4</v>
      </c>
    </row>
    <row r="1871" spans="1:26" s="29" customFormat="1" ht="90.75" customHeight="1" x14ac:dyDescent="0.25">
      <c r="A1871" s="37"/>
      <c r="B1871" s="37"/>
      <c r="C1871" s="37"/>
      <c r="D1871" s="37"/>
      <c r="E1871" s="37"/>
      <c r="F1871" s="37"/>
      <c r="G1871" s="91"/>
      <c r="H1871" s="36">
        <f>(O1871*0.25)</f>
        <v>2.875</v>
      </c>
      <c r="I1871" s="40">
        <v>1150</v>
      </c>
      <c r="J1871" s="28">
        <f>(H1871*I1871)</f>
        <v>3306.25</v>
      </c>
      <c r="K1871" s="37">
        <v>4</v>
      </c>
      <c r="L1871" s="20" t="s">
        <v>27</v>
      </c>
      <c r="M1871" s="37" t="s">
        <v>13</v>
      </c>
      <c r="N1871" s="30">
        <v>3</v>
      </c>
      <c r="O1871" s="77">
        <v>11.5</v>
      </c>
      <c r="P1871" s="35">
        <v>100</v>
      </c>
      <c r="Q1871" s="36">
        <v>7700</v>
      </c>
      <c r="R1871" s="36">
        <f>(O1871*Q1871)</f>
        <v>88550</v>
      </c>
      <c r="S1871" s="37">
        <v>27</v>
      </c>
      <c r="T1871" s="28">
        <f>(R1871*44/100)</f>
        <v>38962</v>
      </c>
      <c r="U1871" s="36">
        <f>(R1871-T1871)</f>
        <v>49588</v>
      </c>
      <c r="V1871" s="36">
        <f>(J1871+U1871)</f>
        <v>52894.25</v>
      </c>
      <c r="W1871" s="36">
        <f>(V1871*100/100)</f>
        <v>52894.25</v>
      </c>
      <c r="X1871" s="28">
        <v>0</v>
      </c>
      <c r="Y1871" s="28">
        <f>(W1871-X1871)</f>
        <v>52894.25</v>
      </c>
      <c r="Z1871" s="49">
        <v>3.0000000000000001E-3</v>
      </c>
    </row>
    <row r="1872" spans="1:26" s="29" customFormat="1" ht="90.75" customHeight="1" x14ac:dyDescent="0.25">
      <c r="A1872" s="37"/>
      <c r="B1872" s="37"/>
      <c r="C1872" s="37"/>
      <c r="D1872" s="37"/>
      <c r="E1872" s="37"/>
      <c r="F1872" s="37"/>
      <c r="G1872" s="91"/>
      <c r="H1872" s="36">
        <f>(O1872*0.25)</f>
        <v>24</v>
      </c>
      <c r="I1872" s="40">
        <v>1150</v>
      </c>
      <c r="J1872" s="28">
        <f>(H1872*I1872)</f>
        <v>27600</v>
      </c>
      <c r="K1872" s="37">
        <v>5</v>
      </c>
      <c r="L1872" s="20" t="s">
        <v>36</v>
      </c>
      <c r="M1872" s="37" t="s">
        <v>13</v>
      </c>
      <c r="N1872" s="30">
        <v>3</v>
      </c>
      <c r="O1872" s="77">
        <v>96</v>
      </c>
      <c r="P1872" s="35">
        <v>100</v>
      </c>
      <c r="Q1872" s="36">
        <v>5550</v>
      </c>
      <c r="R1872" s="36">
        <f>(O1872*Q1872)</f>
        <v>532800</v>
      </c>
      <c r="S1872" s="37">
        <v>27</v>
      </c>
      <c r="T1872" s="28">
        <f>(R1872*44/100)</f>
        <v>234432</v>
      </c>
      <c r="U1872" s="36">
        <f>(R1872-T1872)</f>
        <v>298368</v>
      </c>
      <c r="V1872" s="36">
        <f>(J1872+U1872)</f>
        <v>325968</v>
      </c>
      <c r="W1872" s="36">
        <f>(V1872*100/100)</f>
        <v>325968</v>
      </c>
      <c r="X1872" s="28">
        <v>0</v>
      </c>
      <c r="Y1872" s="28">
        <f>(W1872-X1872)</f>
        <v>325968</v>
      </c>
      <c r="Z1872" s="49">
        <v>3.0000000000000001E-3</v>
      </c>
    </row>
    <row r="1873" spans="1:26" s="29" customFormat="1" ht="90.75" customHeight="1" x14ac:dyDescent="0.25">
      <c r="A1873" s="37"/>
      <c r="B1873" s="37"/>
      <c r="C1873" s="37"/>
      <c r="D1873" s="37"/>
      <c r="E1873" s="37"/>
      <c r="F1873" s="37"/>
      <c r="G1873" s="91"/>
      <c r="H1873" s="36">
        <f>(O1873*0.25)</f>
        <v>12</v>
      </c>
      <c r="I1873" s="40">
        <v>1150</v>
      </c>
      <c r="J1873" s="28">
        <f>(H1873*I1873)</f>
        <v>13800</v>
      </c>
      <c r="K1873" s="37">
        <v>6</v>
      </c>
      <c r="L1873" s="20" t="s">
        <v>36</v>
      </c>
      <c r="M1873" s="37" t="s">
        <v>13</v>
      </c>
      <c r="N1873" s="30">
        <v>3</v>
      </c>
      <c r="O1873" s="77">
        <v>48</v>
      </c>
      <c r="P1873" s="35">
        <v>100</v>
      </c>
      <c r="Q1873" s="36">
        <v>5550</v>
      </c>
      <c r="R1873" s="36">
        <f>(O1873*Q1873)</f>
        <v>266400</v>
      </c>
      <c r="S1873" s="37">
        <v>27</v>
      </c>
      <c r="T1873" s="28">
        <f>(R1873*44/100)</f>
        <v>117216</v>
      </c>
      <c r="U1873" s="36">
        <f>(R1873-T1873)</f>
        <v>149184</v>
      </c>
      <c r="V1873" s="36">
        <f>(J1873+U1873)</f>
        <v>162984</v>
      </c>
      <c r="W1873" s="36">
        <f>(V1873*100/100)</f>
        <v>162984</v>
      </c>
      <c r="X1873" s="28">
        <v>0</v>
      </c>
      <c r="Y1873" s="28">
        <f>(W1873-X1873)</f>
        <v>162984</v>
      </c>
      <c r="Z1873" s="49">
        <v>3.0000000000000001E-3</v>
      </c>
    </row>
    <row r="1874" spans="1:26" s="29" customFormat="1" ht="90.75" customHeight="1" x14ac:dyDescent="0.25">
      <c r="A1874" s="20">
        <v>1205</v>
      </c>
      <c r="B1874" s="37" t="s">
        <v>213</v>
      </c>
      <c r="C1874" s="37">
        <v>2984</v>
      </c>
      <c r="D1874" s="37">
        <v>0</v>
      </c>
      <c r="E1874" s="35">
        <v>0</v>
      </c>
      <c r="F1874" s="35">
        <v>40</v>
      </c>
      <c r="G1874" s="91" t="s">
        <v>211</v>
      </c>
      <c r="H1874" s="36">
        <f>(D1874*400)+(E1874*100)+F1874</f>
        <v>40</v>
      </c>
      <c r="I1874" s="40">
        <v>3100</v>
      </c>
      <c r="J1874" s="28">
        <f>(H1874*I1874)</f>
        <v>124000</v>
      </c>
      <c r="K1874" s="37"/>
      <c r="L1874" s="37"/>
      <c r="M1874" s="37"/>
      <c r="N1874" s="30"/>
      <c r="O1874" s="77"/>
      <c r="P1874" s="35"/>
      <c r="Q1874" s="36"/>
      <c r="R1874" s="36"/>
      <c r="S1874" s="37"/>
      <c r="T1874" s="28"/>
      <c r="U1874" s="36"/>
      <c r="V1874" s="36"/>
      <c r="W1874" s="36"/>
      <c r="X1874" s="28"/>
      <c r="Y1874" s="28"/>
      <c r="Z1874" s="20"/>
    </row>
    <row r="1875" spans="1:26" s="29" customFormat="1" ht="90.75" customHeight="1" x14ac:dyDescent="0.25">
      <c r="A1875" s="37"/>
      <c r="B1875" s="37"/>
      <c r="C1875" s="37"/>
      <c r="D1875" s="37"/>
      <c r="E1875" s="37"/>
      <c r="F1875" s="37"/>
      <c r="G1875" s="91"/>
      <c r="H1875" s="36"/>
      <c r="I1875" s="40"/>
      <c r="J1875" s="28"/>
      <c r="K1875" s="37">
        <v>1</v>
      </c>
      <c r="L1875" s="37" t="s">
        <v>215</v>
      </c>
      <c r="M1875" s="37" t="s">
        <v>13</v>
      </c>
      <c r="N1875" s="30"/>
      <c r="O1875" s="77">
        <v>98</v>
      </c>
      <c r="P1875" s="35">
        <v>100</v>
      </c>
      <c r="Q1875" s="36">
        <v>6450</v>
      </c>
      <c r="R1875" s="36">
        <f>(O1875*Q1875)</f>
        <v>632100</v>
      </c>
      <c r="S1875" s="37">
        <v>22</v>
      </c>
      <c r="T1875" s="28">
        <f>(R1875*34/100)</f>
        <v>214914</v>
      </c>
      <c r="U1875" s="36">
        <f>(R1875-T1875)</f>
        <v>417186</v>
      </c>
      <c r="V1875" s="36">
        <f>(J1875+U1875)</f>
        <v>417186</v>
      </c>
      <c r="W1875" s="36">
        <f>(V1875*100/100)</f>
        <v>417186</v>
      </c>
      <c r="X1875" s="28"/>
      <c r="Y1875" s="28"/>
      <c r="Z1875" s="20"/>
    </row>
    <row r="1876" spans="1:26" s="29" customFormat="1" ht="90.75" customHeight="1" x14ac:dyDescent="0.25">
      <c r="A1876" s="37"/>
      <c r="B1876" s="37"/>
      <c r="C1876" s="37"/>
      <c r="D1876" s="37"/>
      <c r="E1876" s="37"/>
      <c r="F1876" s="37"/>
      <c r="G1876" s="91"/>
      <c r="H1876" s="36"/>
      <c r="I1876" s="40"/>
      <c r="J1876" s="28"/>
      <c r="K1876" s="20"/>
      <c r="L1876" s="37"/>
      <c r="M1876" s="37"/>
      <c r="N1876" s="30">
        <v>2</v>
      </c>
      <c r="O1876" s="77">
        <v>56</v>
      </c>
      <c r="P1876" s="35">
        <v>57.14</v>
      </c>
      <c r="Q1876" s="36"/>
      <c r="R1876" s="36"/>
      <c r="S1876" s="37"/>
      <c r="T1876" s="28"/>
      <c r="U1876" s="36"/>
      <c r="V1876" s="36"/>
      <c r="W1876" s="36">
        <f>(W1875*57.14/100)</f>
        <v>238380.08039999998</v>
      </c>
      <c r="X1876" s="28">
        <v>50000000</v>
      </c>
      <c r="Y1876" s="28"/>
      <c r="Z1876" s="20"/>
    </row>
    <row r="1877" spans="1:26" s="29" customFormat="1" ht="90.75" customHeight="1" x14ac:dyDescent="0.25">
      <c r="A1877" s="37"/>
      <c r="B1877" s="37"/>
      <c r="C1877" s="37"/>
      <c r="D1877" s="37"/>
      <c r="E1877" s="37"/>
      <c r="F1877" s="37"/>
      <c r="G1877" s="91"/>
      <c r="H1877" s="36"/>
      <c r="I1877" s="40"/>
      <c r="J1877" s="28"/>
      <c r="K1877" s="20"/>
      <c r="L1877" s="37" t="s">
        <v>15</v>
      </c>
      <c r="M1877" s="37"/>
      <c r="N1877" s="30">
        <v>3</v>
      </c>
      <c r="O1877" s="77">
        <v>42</v>
      </c>
      <c r="P1877" s="35">
        <v>42.86</v>
      </c>
      <c r="Q1877" s="36"/>
      <c r="R1877" s="36"/>
      <c r="S1877" s="37"/>
      <c r="T1877" s="28"/>
      <c r="U1877" s="36"/>
      <c r="V1877" s="36"/>
      <c r="W1877" s="36">
        <f>(W1876*42.86/100)</f>
        <v>102169.70245943998</v>
      </c>
      <c r="X1877" s="28">
        <v>0</v>
      </c>
      <c r="Y1877" s="28">
        <f>(W1877-X1877)</f>
        <v>102169.70245943998</v>
      </c>
      <c r="Z1877" s="49">
        <v>3.0000000000000001E-3</v>
      </c>
    </row>
    <row r="1878" spans="1:26" s="29" customFormat="1" ht="90.75" customHeight="1" x14ac:dyDescent="0.25">
      <c r="A1878" s="20">
        <v>1206</v>
      </c>
      <c r="B1878" s="20" t="s">
        <v>0</v>
      </c>
      <c r="C1878" s="20">
        <v>57984</v>
      </c>
      <c r="D1878" s="21">
        <v>36</v>
      </c>
      <c r="E1878" s="21">
        <v>3</v>
      </c>
      <c r="F1878" s="22">
        <v>60</v>
      </c>
      <c r="G1878" s="21" t="s">
        <v>209</v>
      </c>
      <c r="H1878" s="36">
        <f>(D1878*400)+(E1878*100)+F1878</f>
        <v>14760</v>
      </c>
      <c r="I1878" s="25">
        <v>4500</v>
      </c>
      <c r="J1878" s="28">
        <f>(H1878*I1878)</f>
        <v>66420000</v>
      </c>
      <c r="K1878" s="20"/>
      <c r="L1878" s="20"/>
      <c r="M1878" s="20"/>
      <c r="N1878" s="20"/>
      <c r="O1878" s="24"/>
      <c r="P1878" s="24"/>
      <c r="Q1878" s="25"/>
      <c r="R1878" s="24"/>
      <c r="S1878" s="20"/>
      <c r="T1878" s="27"/>
      <c r="U1878" s="20"/>
      <c r="V1878" s="20"/>
      <c r="W1878" s="26"/>
      <c r="X1878" s="27"/>
      <c r="Y1878" s="20"/>
      <c r="Z1878" s="20"/>
    </row>
    <row r="1879" spans="1:26" s="29" customFormat="1" ht="90.75" customHeight="1" x14ac:dyDescent="0.25">
      <c r="A1879" s="20"/>
      <c r="B1879" s="20"/>
      <c r="C1879" s="20"/>
      <c r="D1879" s="21"/>
      <c r="E1879" s="21"/>
      <c r="F1879" s="22"/>
      <c r="G1879" s="23"/>
      <c r="H1879" s="24"/>
      <c r="I1879" s="25"/>
      <c r="J1879" s="24"/>
      <c r="K1879" s="20">
        <v>1</v>
      </c>
      <c r="L1879" s="20" t="s">
        <v>15</v>
      </c>
      <c r="M1879" s="20" t="s">
        <v>13</v>
      </c>
      <c r="N1879" s="20">
        <v>3</v>
      </c>
      <c r="O1879" s="24">
        <v>34981</v>
      </c>
      <c r="P1879" s="35">
        <v>100</v>
      </c>
      <c r="Q1879" s="24">
        <v>5950</v>
      </c>
      <c r="R1879" s="36">
        <f t="shared" ref="R1879:R1889" si="323">(O1879*Q1879)</f>
        <v>208136950</v>
      </c>
      <c r="S1879" s="20">
        <v>1</v>
      </c>
      <c r="T1879" s="28">
        <f t="shared" ref="T1879:T1889" si="324">(R1879*1/100)</f>
        <v>2081369.5</v>
      </c>
      <c r="U1879" s="36">
        <f t="shared" ref="U1879:U1889" si="325">(R1879-T1879)</f>
        <v>206055580.5</v>
      </c>
      <c r="V1879" s="20"/>
      <c r="W1879" s="26"/>
      <c r="X1879" s="27"/>
      <c r="Y1879" s="20"/>
      <c r="Z1879" s="20"/>
    </row>
    <row r="1880" spans="1:26" s="29" customFormat="1" ht="90.75" customHeight="1" x14ac:dyDescent="0.25">
      <c r="A1880" s="20"/>
      <c r="B1880" s="20"/>
      <c r="C1880" s="20"/>
      <c r="D1880" s="21"/>
      <c r="E1880" s="21"/>
      <c r="F1880" s="22"/>
      <c r="G1880" s="23"/>
      <c r="H1880" s="24"/>
      <c r="I1880" s="25"/>
      <c r="J1880" s="24"/>
      <c r="K1880" s="20">
        <v>2</v>
      </c>
      <c r="L1880" s="20" t="s">
        <v>128</v>
      </c>
      <c r="M1880" s="20" t="s">
        <v>13</v>
      </c>
      <c r="N1880" s="20">
        <v>3</v>
      </c>
      <c r="O1880" s="24">
        <v>79.2</v>
      </c>
      <c r="P1880" s="35">
        <v>100</v>
      </c>
      <c r="Q1880" s="24">
        <v>5950</v>
      </c>
      <c r="R1880" s="36">
        <f t="shared" si="323"/>
        <v>471240</v>
      </c>
      <c r="S1880" s="20">
        <v>1</v>
      </c>
      <c r="T1880" s="28">
        <f t="shared" si="324"/>
        <v>4712.3999999999996</v>
      </c>
      <c r="U1880" s="36">
        <f t="shared" si="325"/>
        <v>466527.6</v>
      </c>
      <c r="V1880" s="20"/>
      <c r="W1880" s="26"/>
      <c r="X1880" s="27"/>
      <c r="Y1880" s="20"/>
      <c r="Z1880" s="20"/>
    </row>
    <row r="1881" spans="1:26" s="29" customFormat="1" ht="90.75" customHeight="1" x14ac:dyDescent="0.25">
      <c r="A1881" s="20"/>
      <c r="B1881" s="20"/>
      <c r="C1881" s="20"/>
      <c r="D1881" s="21"/>
      <c r="E1881" s="21"/>
      <c r="F1881" s="22"/>
      <c r="G1881" s="23"/>
      <c r="H1881" s="24"/>
      <c r="I1881" s="25"/>
      <c r="J1881" s="24"/>
      <c r="K1881" s="20">
        <v>3</v>
      </c>
      <c r="L1881" s="20" t="s">
        <v>93</v>
      </c>
      <c r="M1881" s="20" t="s">
        <v>129</v>
      </c>
      <c r="N1881" s="20">
        <v>3</v>
      </c>
      <c r="O1881" s="24">
        <v>1273</v>
      </c>
      <c r="P1881" s="35">
        <v>100</v>
      </c>
      <c r="Q1881" s="24">
        <v>7100</v>
      </c>
      <c r="R1881" s="36">
        <f t="shared" si="323"/>
        <v>9038300</v>
      </c>
      <c r="S1881" s="20">
        <v>1</v>
      </c>
      <c r="T1881" s="28">
        <f t="shared" si="324"/>
        <v>90383</v>
      </c>
      <c r="U1881" s="36">
        <f t="shared" si="325"/>
        <v>8947917</v>
      </c>
      <c r="V1881" s="20"/>
      <c r="W1881" s="26"/>
      <c r="X1881" s="27"/>
      <c r="Y1881" s="20"/>
      <c r="Z1881" s="20"/>
    </row>
    <row r="1882" spans="1:26" s="29" customFormat="1" ht="90.75" customHeight="1" x14ac:dyDescent="0.25">
      <c r="A1882" s="20"/>
      <c r="B1882" s="20"/>
      <c r="C1882" s="20"/>
      <c r="D1882" s="21"/>
      <c r="E1882" s="21"/>
      <c r="F1882" s="22"/>
      <c r="G1882" s="23"/>
      <c r="H1882" s="24"/>
      <c r="I1882" s="25"/>
      <c r="J1882" s="24"/>
      <c r="K1882" s="20">
        <v>4</v>
      </c>
      <c r="L1882" s="20" t="s">
        <v>130</v>
      </c>
      <c r="M1882" s="20" t="s">
        <v>24</v>
      </c>
      <c r="N1882" s="20">
        <v>3</v>
      </c>
      <c r="O1882" s="24">
        <v>20.399999999999999</v>
      </c>
      <c r="P1882" s="35">
        <v>100</v>
      </c>
      <c r="Q1882" s="24">
        <v>7950</v>
      </c>
      <c r="R1882" s="36">
        <f t="shared" si="323"/>
        <v>162180</v>
      </c>
      <c r="S1882" s="20">
        <v>1</v>
      </c>
      <c r="T1882" s="28">
        <f t="shared" si="324"/>
        <v>1621.8</v>
      </c>
      <c r="U1882" s="36">
        <f t="shared" si="325"/>
        <v>160558.20000000001</v>
      </c>
      <c r="V1882" s="20"/>
      <c r="W1882" s="26"/>
      <c r="X1882" s="27"/>
      <c r="Y1882" s="20"/>
      <c r="Z1882" s="20"/>
    </row>
    <row r="1883" spans="1:26" s="29" customFormat="1" ht="90.75" customHeight="1" x14ac:dyDescent="0.25">
      <c r="A1883" s="20"/>
      <c r="B1883" s="20"/>
      <c r="C1883" s="20"/>
      <c r="D1883" s="21"/>
      <c r="E1883" s="21"/>
      <c r="F1883" s="22"/>
      <c r="G1883" s="23"/>
      <c r="H1883" s="24"/>
      <c r="I1883" s="25"/>
      <c r="J1883" s="24"/>
      <c r="K1883" s="20">
        <v>5</v>
      </c>
      <c r="L1883" s="20" t="s">
        <v>131</v>
      </c>
      <c r="M1883" s="20" t="s">
        <v>13</v>
      </c>
      <c r="N1883" s="20">
        <v>3</v>
      </c>
      <c r="O1883" s="24">
        <v>80</v>
      </c>
      <c r="P1883" s="35">
        <v>100</v>
      </c>
      <c r="Q1883" s="24">
        <v>5550</v>
      </c>
      <c r="R1883" s="36">
        <f t="shared" si="323"/>
        <v>444000</v>
      </c>
      <c r="S1883" s="20">
        <v>1</v>
      </c>
      <c r="T1883" s="28">
        <f t="shared" si="324"/>
        <v>4440</v>
      </c>
      <c r="U1883" s="36">
        <f t="shared" si="325"/>
        <v>439560</v>
      </c>
      <c r="V1883" s="20"/>
      <c r="W1883" s="26"/>
      <c r="X1883" s="27"/>
      <c r="Y1883" s="20"/>
      <c r="Z1883" s="20"/>
    </row>
    <row r="1884" spans="1:26" s="29" customFormat="1" ht="90.75" customHeight="1" x14ac:dyDescent="0.25">
      <c r="A1884" s="20"/>
      <c r="B1884" s="20"/>
      <c r="C1884" s="20"/>
      <c r="D1884" s="21"/>
      <c r="E1884" s="21"/>
      <c r="F1884" s="22"/>
      <c r="G1884" s="23"/>
      <c r="H1884" s="24"/>
      <c r="I1884" s="25"/>
      <c r="J1884" s="24"/>
      <c r="K1884" s="20">
        <v>6</v>
      </c>
      <c r="L1884" s="20" t="s">
        <v>91</v>
      </c>
      <c r="M1884" s="20" t="s">
        <v>13</v>
      </c>
      <c r="N1884" s="20">
        <v>3</v>
      </c>
      <c r="O1884" s="24">
        <v>39.9</v>
      </c>
      <c r="P1884" s="35">
        <v>100</v>
      </c>
      <c r="Q1884" s="24">
        <v>6450</v>
      </c>
      <c r="R1884" s="36">
        <f t="shared" si="323"/>
        <v>257355</v>
      </c>
      <c r="S1884" s="20">
        <v>1</v>
      </c>
      <c r="T1884" s="28">
        <f t="shared" si="324"/>
        <v>2573.5500000000002</v>
      </c>
      <c r="U1884" s="36">
        <f t="shared" si="325"/>
        <v>254781.45</v>
      </c>
      <c r="V1884" s="20"/>
      <c r="W1884" s="26"/>
      <c r="X1884" s="27"/>
      <c r="Y1884" s="20"/>
      <c r="Z1884" s="20"/>
    </row>
    <row r="1885" spans="1:26" s="29" customFormat="1" ht="90.75" customHeight="1" x14ac:dyDescent="0.25">
      <c r="A1885" s="20"/>
      <c r="B1885" s="20"/>
      <c r="C1885" s="20"/>
      <c r="D1885" s="21"/>
      <c r="E1885" s="21"/>
      <c r="F1885" s="22"/>
      <c r="G1885" s="23"/>
      <c r="H1885" s="24"/>
      <c r="I1885" s="25"/>
      <c r="J1885" s="24"/>
      <c r="K1885" s="20">
        <v>7</v>
      </c>
      <c r="L1885" s="20" t="s">
        <v>132</v>
      </c>
      <c r="M1885" s="20" t="s">
        <v>13</v>
      </c>
      <c r="N1885" s="20">
        <v>3</v>
      </c>
      <c r="O1885" s="24">
        <v>95.76</v>
      </c>
      <c r="P1885" s="35">
        <v>100</v>
      </c>
      <c r="Q1885" s="24">
        <v>5950</v>
      </c>
      <c r="R1885" s="36">
        <f t="shared" si="323"/>
        <v>569772</v>
      </c>
      <c r="S1885" s="20">
        <v>1</v>
      </c>
      <c r="T1885" s="28">
        <f t="shared" si="324"/>
        <v>5697.72</v>
      </c>
      <c r="U1885" s="36">
        <f t="shared" si="325"/>
        <v>564074.28</v>
      </c>
      <c r="V1885" s="20"/>
      <c r="W1885" s="26"/>
      <c r="X1885" s="27"/>
      <c r="Y1885" s="20"/>
      <c r="Z1885" s="20"/>
    </row>
    <row r="1886" spans="1:26" s="29" customFormat="1" ht="90.75" customHeight="1" x14ac:dyDescent="0.25">
      <c r="A1886" s="20"/>
      <c r="B1886" s="20"/>
      <c r="C1886" s="20"/>
      <c r="D1886" s="21"/>
      <c r="E1886" s="21"/>
      <c r="F1886" s="22"/>
      <c r="G1886" s="23"/>
      <c r="H1886" s="24"/>
      <c r="I1886" s="25"/>
      <c r="J1886" s="24"/>
      <c r="K1886" s="20">
        <v>8</v>
      </c>
      <c r="L1886" s="20" t="s">
        <v>133</v>
      </c>
      <c r="M1886" s="20" t="s">
        <v>13</v>
      </c>
      <c r="N1886" s="20">
        <v>3</v>
      </c>
      <c r="O1886" s="24">
        <v>993.5</v>
      </c>
      <c r="P1886" s="35">
        <v>100</v>
      </c>
      <c r="Q1886" s="24">
        <v>5950</v>
      </c>
      <c r="R1886" s="36">
        <f t="shared" si="323"/>
        <v>5911325</v>
      </c>
      <c r="S1886" s="20">
        <v>1</v>
      </c>
      <c r="T1886" s="28">
        <f t="shared" si="324"/>
        <v>59113.25</v>
      </c>
      <c r="U1886" s="36">
        <f t="shared" si="325"/>
        <v>5852211.75</v>
      </c>
      <c r="V1886" s="20"/>
      <c r="W1886" s="26"/>
      <c r="X1886" s="27"/>
      <c r="Y1886" s="20"/>
      <c r="Z1886" s="20"/>
    </row>
    <row r="1887" spans="1:26" s="29" customFormat="1" ht="90.75" customHeight="1" x14ac:dyDescent="0.25">
      <c r="A1887" s="20"/>
      <c r="B1887" s="20"/>
      <c r="C1887" s="20"/>
      <c r="D1887" s="21"/>
      <c r="E1887" s="21"/>
      <c r="F1887" s="22"/>
      <c r="G1887" s="23"/>
      <c r="H1887" s="24"/>
      <c r="I1887" s="25"/>
      <c r="J1887" s="24"/>
      <c r="K1887" s="20">
        <v>9</v>
      </c>
      <c r="L1887" s="20" t="s">
        <v>134</v>
      </c>
      <c r="M1887" s="20" t="s">
        <v>13</v>
      </c>
      <c r="N1887" s="20">
        <v>3</v>
      </c>
      <c r="O1887" s="24">
        <v>419.64</v>
      </c>
      <c r="P1887" s="35">
        <v>100</v>
      </c>
      <c r="Q1887" s="24">
        <v>5950</v>
      </c>
      <c r="R1887" s="36">
        <f t="shared" si="323"/>
        <v>2496858</v>
      </c>
      <c r="S1887" s="20">
        <v>1</v>
      </c>
      <c r="T1887" s="28">
        <f t="shared" si="324"/>
        <v>24968.58</v>
      </c>
      <c r="U1887" s="36">
        <f t="shared" si="325"/>
        <v>2471889.42</v>
      </c>
      <c r="V1887" s="20"/>
      <c r="W1887" s="26"/>
      <c r="X1887" s="27"/>
      <c r="Y1887" s="20"/>
      <c r="Z1887" s="20"/>
    </row>
    <row r="1888" spans="1:26" s="29" customFormat="1" ht="90.75" customHeight="1" x14ac:dyDescent="0.25">
      <c r="A1888" s="20"/>
      <c r="B1888" s="20"/>
      <c r="C1888" s="20"/>
      <c r="D1888" s="21"/>
      <c r="E1888" s="21"/>
      <c r="F1888" s="22"/>
      <c r="G1888" s="23"/>
      <c r="H1888" s="24"/>
      <c r="I1888" s="25"/>
      <c r="J1888" s="24"/>
      <c r="K1888" s="20">
        <v>10</v>
      </c>
      <c r="L1888" s="20" t="s">
        <v>135</v>
      </c>
      <c r="M1888" s="20" t="s">
        <v>13</v>
      </c>
      <c r="N1888" s="20">
        <v>3</v>
      </c>
      <c r="O1888" s="24">
        <v>1437</v>
      </c>
      <c r="P1888" s="35">
        <v>100</v>
      </c>
      <c r="Q1888" s="24">
        <v>5950</v>
      </c>
      <c r="R1888" s="36">
        <f t="shared" si="323"/>
        <v>8550150</v>
      </c>
      <c r="S1888" s="20">
        <v>1</v>
      </c>
      <c r="T1888" s="28">
        <f t="shared" si="324"/>
        <v>85501.5</v>
      </c>
      <c r="U1888" s="36">
        <f t="shared" si="325"/>
        <v>8464648.5</v>
      </c>
      <c r="V1888" s="20"/>
      <c r="W1888" s="26"/>
      <c r="X1888" s="27"/>
      <c r="Y1888" s="20"/>
      <c r="Z1888" s="20"/>
    </row>
    <row r="1889" spans="1:26" s="29" customFormat="1" ht="90.75" customHeight="1" x14ac:dyDescent="0.25">
      <c r="A1889" s="20"/>
      <c r="B1889" s="20"/>
      <c r="C1889" s="20"/>
      <c r="D1889" s="21"/>
      <c r="E1889" s="21"/>
      <c r="F1889" s="22"/>
      <c r="G1889" s="23"/>
      <c r="H1889" s="24"/>
      <c r="I1889" s="25"/>
      <c r="J1889" s="24"/>
      <c r="K1889" s="20">
        <v>11</v>
      </c>
      <c r="L1889" s="20" t="s">
        <v>136</v>
      </c>
      <c r="M1889" s="20" t="s">
        <v>13</v>
      </c>
      <c r="N1889" s="20">
        <v>3</v>
      </c>
      <c r="O1889" s="24">
        <v>739</v>
      </c>
      <c r="P1889" s="35">
        <v>100</v>
      </c>
      <c r="Q1889" s="24">
        <v>5950</v>
      </c>
      <c r="R1889" s="36">
        <f t="shared" si="323"/>
        <v>4397050</v>
      </c>
      <c r="S1889" s="20">
        <v>1</v>
      </c>
      <c r="T1889" s="28">
        <f t="shared" si="324"/>
        <v>43970.5</v>
      </c>
      <c r="U1889" s="36">
        <f t="shared" si="325"/>
        <v>4353079.5</v>
      </c>
      <c r="V1889" s="20"/>
      <c r="W1889" s="26"/>
      <c r="X1889" s="27"/>
      <c r="Y1889" s="20"/>
      <c r="Z1889" s="20"/>
    </row>
    <row r="1890" spans="1:26" s="29" customFormat="1" ht="90.75" customHeight="1" x14ac:dyDescent="0.25">
      <c r="A1890" s="20"/>
      <c r="B1890" s="20"/>
      <c r="C1890" s="20"/>
      <c r="D1890" s="21"/>
      <c r="E1890" s="21"/>
      <c r="F1890" s="22"/>
      <c r="G1890" s="23"/>
      <c r="H1890" s="24"/>
      <c r="I1890" s="25"/>
      <c r="J1890" s="24"/>
      <c r="K1890" s="20"/>
      <c r="L1890" s="20"/>
      <c r="M1890" s="20"/>
      <c r="N1890" s="20"/>
      <c r="O1890" s="24"/>
      <c r="P1890" s="24"/>
      <c r="Q1890" s="25"/>
      <c r="R1890" s="24"/>
      <c r="S1890" s="20"/>
      <c r="T1890" s="27"/>
      <c r="U1890" s="26">
        <f>SUM(U1879:U1889)</f>
        <v>238030828.19999996</v>
      </c>
      <c r="V1890" s="80">
        <f>(J1878+U1890)</f>
        <v>304450828.19999993</v>
      </c>
      <c r="W1890" s="36">
        <f>(V1890*100/100)</f>
        <v>304450828.19999993</v>
      </c>
      <c r="X1890" s="27">
        <v>0</v>
      </c>
      <c r="Y1890" s="28">
        <f t="shared" ref="Y1890:Y1895" si="326">(W1890-X1890)</f>
        <v>304450828.19999993</v>
      </c>
      <c r="Z1890" s="49" t="s">
        <v>276</v>
      </c>
    </row>
    <row r="1891" spans="1:26" s="29" customFormat="1" ht="90.75" customHeight="1" x14ac:dyDescent="0.25">
      <c r="A1891" s="20"/>
      <c r="B1891" s="20" t="s">
        <v>0</v>
      </c>
      <c r="C1891" s="20">
        <v>57985</v>
      </c>
      <c r="D1891" s="21">
        <v>3</v>
      </c>
      <c r="E1891" s="21">
        <v>2</v>
      </c>
      <c r="F1891" s="22">
        <v>30</v>
      </c>
      <c r="G1891" s="21" t="s">
        <v>209</v>
      </c>
      <c r="H1891" s="36">
        <f t="shared" ref="H1891:H1896" si="327">(D1891*400)+(E1891*100)+F1891</f>
        <v>1430</v>
      </c>
      <c r="I1891" s="25">
        <v>4500</v>
      </c>
      <c r="J1891" s="28">
        <f>(H1891*I1891)</f>
        <v>6435000</v>
      </c>
      <c r="K1891" s="20"/>
      <c r="L1891" s="20"/>
      <c r="M1891" s="20"/>
      <c r="N1891" s="20"/>
      <c r="O1891" s="24"/>
      <c r="P1891" s="24"/>
      <c r="Q1891" s="25"/>
      <c r="R1891" s="24"/>
      <c r="S1891" s="20"/>
      <c r="T1891" s="27"/>
      <c r="U1891" s="20"/>
      <c r="V1891" s="20"/>
      <c r="W1891" s="134">
        <f>(J1891+V1891)</f>
        <v>6435000</v>
      </c>
      <c r="X1891" s="28">
        <v>0</v>
      </c>
      <c r="Y1891" s="24">
        <f t="shared" si="326"/>
        <v>6435000</v>
      </c>
      <c r="Z1891" s="49">
        <v>3.0000000000000001E-3</v>
      </c>
    </row>
    <row r="1892" spans="1:26" s="29" customFormat="1" ht="90.75" customHeight="1" x14ac:dyDescent="0.25">
      <c r="A1892" s="20">
        <v>1207</v>
      </c>
      <c r="B1892" s="20" t="s">
        <v>0</v>
      </c>
      <c r="C1892" s="20">
        <v>32904</v>
      </c>
      <c r="D1892" s="21">
        <v>0</v>
      </c>
      <c r="E1892" s="21">
        <v>0</v>
      </c>
      <c r="F1892" s="22">
        <v>33</v>
      </c>
      <c r="G1892" s="23" t="s">
        <v>56</v>
      </c>
      <c r="H1892" s="24">
        <f t="shared" si="327"/>
        <v>33</v>
      </c>
      <c r="I1892" s="25">
        <v>300</v>
      </c>
      <c r="J1892" s="24">
        <f t="shared" ref="J1892:J1907" si="328">(H1892*I1892)</f>
        <v>9900</v>
      </c>
      <c r="K1892" s="20">
        <v>1</v>
      </c>
      <c r="L1892" s="20" t="s">
        <v>16</v>
      </c>
      <c r="M1892" s="20" t="s">
        <v>51</v>
      </c>
      <c r="N1892" s="20">
        <v>2</v>
      </c>
      <c r="O1892" s="24">
        <v>32</v>
      </c>
      <c r="P1892" s="35">
        <v>100</v>
      </c>
      <c r="Q1892" s="25">
        <v>6450</v>
      </c>
      <c r="R1892" s="36">
        <f>(O1892*Q1892)</f>
        <v>206400</v>
      </c>
      <c r="S1892" s="20">
        <v>10</v>
      </c>
      <c r="T1892" s="28">
        <f>(R1892*10/100)</f>
        <v>20640</v>
      </c>
      <c r="U1892" s="36">
        <f>(R1892-T1892)</f>
        <v>185760</v>
      </c>
      <c r="V1892" s="80">
        <f>(J1892+U1892)</f>
        <v>195660</v>
      </c>
      <c r="W1892" s="26">
        <f>(V1892*100/100)</f>
        <v>195660</v>
      </c>
      <c r="X1892" s="27">
        <v>0</v>
      </c>
      <c r="Y1892" s="78">
        <f t="shared" si="326"/>
        <v>195660</v>
      </c>
      <c r="Z1892" s="49">
        <v>2.0000000000000001E-4</v>
      </c>
    </row>
    <row r="1893" spans="1:26" s="29" customFormat="1" ht="90.75" customHeight="1" x14ac:dyDescent="0.25">
      <c r="A1893" s="20">
        <v>1208</v>
      </c>
      <c r="B1893" s="20" t="s">
        <v>0</v>
      </c>
      <c r="C1893" s="20">
        <v>14530</v>
      </c>
      <c r="D1893" s="21">
        <v>79</v>
      </c>
      <c r="E1893" s="21">
        <v>0</v>
      </c>
      <c r="F1893" s="22">
        <v>88</v>
      </c>
      <c r="G1893" s="21" t="s">
        <v>209</v>
      </c>
      <c r="H1893" s="24">
        <f t="shared" si="327"/>
        <v>31688</v>
      </c>
      <c r="I1893" s="25" t="s">
        <v>9</v>
      </c>
      <c r="J1893" s="24">
        <f t="shared" si="328"/>
        <v>9506400</v>
      </c>
      <c r="K1893" s="20"/>
      <c r="L1893" s="20"/>
      <c r="M1893" s="20"/>
      <c r="N1893" s="20"/>
      <c r="O1893" s="24"/>
      <c r="P1893" s="24"/>
      <c r="Q1893" s="25"/>
      <c r="R1893" s="24"/>
      <c r="S1893" s="20"/>
      <c r="T1893" s="27"/>
      <c r="U1893" s="20"/>
      <c r="V1893" s="27">
        <f>(J1893+U1893)</f>
        <v>9506400</v>
      </c>
      <c r="W1893" s="26">
        <f>(V1893*100/100)</f>
        <v>9506400</v>
      </c>
      <c r="X1893" s="27">
        <v>0</v>
      </c>
      <c r="Y1893" s="78">
        <f t="shared" si="326"/>
        <v>9506400</v>
      </c>
      <c r="Z1893" s="49">
        <v>3.0000000000000001E-3</v>
      </c>
    </row>
    <row r="1894" spans="1:26" s="29" customFormat="1" ht="90.75" customHeight="1" x14ac:dyDescent="0.25">
      <c r="A1894" s="20">
        <v>1209</v>
      </c>
      <c r="B1894" s="20" t="s">
        <v>0</v>
      </c>
      <c r="C1894" s="20">
        <v>14526</v>
      </c>
      <c r="D1894" s="21">
        <v>19</v>
      </c>
      <c r="E1894" s="21">
        <v>3</v>
      </c>
      <c r="F1894" s="22">
        <v>96</v>
      </c>
      <c r="G1894" s="21" t="s">
        <v>209</v>
      </c>
      <c r="H1894" s="24">
        <f t="shared" si="327"/>
        <v>7996</v>
      </c>
      <c r="I1894" s="25">
        <v>300</v>
      </c>
      <c r="J1894" s="24">
        <f t="shared" si="328"/>
        <v>2398800</v>
      </c>
      <c r="K1894" s="20"/>
      <c r="L1894" s="20"/>
      <c r="M1894" s="20"/>
      <c r="N1894" s="20"/>
      <c r="O1894" s="24"/>
      <c r="P1894" s="24"/>
      <c r="Q1894" s="25"/>
      <c r="R1894" s="24"/>
      <c r="S1894" s="20"/>
      <c r="T1894" s="27"/>
      <c r="U1894" s="20"/>
      <c r="V1894" s="27">
        <f>(J1894+U1894)</f>
        <v>2398800</v>
      </c>
      <c r="W1894" s="26">
        <f>(V1894*100/100)</f>
        <v>2398800</v>
      </c>
      <c r="X1894" s="27">
        <v>0</v>
      </c>
      <c r="Y1894" s="78">
        <f t="shared" si="326"/>
        <v>2398800</v>
      </c>
      <c r="Z1894" s="49">
        <v>3.0000000000000001E-3</v>
      </c>
    </row>
    <row r="1895" spans="1:26" s="29" customFormat="1" ht="90.75" customHeight="1" x14ac:dyDescent="0.25">
      <c r="A1895" s="20">
        <v>1210</v>
      </c>
      <c r="B1895" s="20" t="s">
        <v>0</v>
      </c>
      <c r="C1895" s="20">
        <v>14529</v>
      </c>
      <c r="D1895" s="21">
        <v>24</v>
      </c>
      <c r="E1895" s="21">
        <v>1</v>
      </c>
      <c r="F1895" s="22">
        <v>26</v>
      </c>
      <c r="G1895" s="21" t="s">
        <v>209</v>
      </c>
      <c r="H1895" s="24">
        <f t="shared" si="327"/>
        <v>9726</v>
      </c>
      <c r="I1895" s="25">
        <v>550</v>
      </c>
      <c r="J1895" s="24">
        <f t="shared" si="328"/>
        <v>5349300</v>
      </c>
      <c r="K1895" s="20"/>
      <c r="L1895" s="20"/>
      <c r="M1895" s="20"/>
      <c r="N1895" s="20"/>
      <c r="O1895" s="24"/>
      <c r="P1895" s="24"/>
      <c r="Q1895" s="25"/>
      <c r="R1895" s="24"/>
      <c r="S1895" s="20"/>
      <c r="T1895" s="27"/>
      <c r="U1895" s="20"/>
      <c r="V1895" s="27">
        <f>(J1895+U1895)</f>
        <v>5349300</v>
      </c>
      <c r="W1895" s="26">
        <f>(V1895*100/100)</f>
        <v>5349300</v>
      </c>
      <c r="X1895" s="27">
        <v>0</v>
      </c>
      <c r="Y1895" s="78">
        <f t="shared" si="326"/>
        <v>5349300</v>
      </c>
      <c r="Z1895" s="49">
        <v>3.0000000000000001E-3</v>
      </c>
    </row>
    <row r="1896" spans="1:26" s="29" customFormat="1" ht="90.75" customHeight="1" x14ac:dyDescent="0.25">
      <c r="A1896" s="20">
        <v>1211</v>
      </c>
      <c r="B1896" s="20" t="s">
        <v>0</v>
      </c>
      <c r="C1896" s="20">
        <v>22256</v>
      </c>
      <c r="D1896" s="21">
        <v>13</v>
      </c>
      <c r="E1896" s="21">
        <v>0</v>
      </c>
      <c r="F1896" s="22">
        <v>40</v>
      </c>
      <c r="G1896" s="21" t="s">
        <v>209</v>
      </c>
      <c r="H1896" s="36">
        <f t="shared" si="327"/>
        <v>5240</v>
      </c>
      <c r="I1896" s="40">
        <v>475</v>
      </c>
      <c r="J1896" s="28">
        <f t="shared" si="328"/>
        <v>2489000</v>
      </c>
      <c r="K1896" s="37"/>
      <c r="L1896" s="31"/>
      <c r="M1896" s="32"/>
      <c r="N1896" s="33"/>
      <c r="O1896" s="34"/>
      <c r="P1896" s="35"/>
      <c r="Q1896" s="36"/>
      <c r="R1896" s="36"/>
      <c r="S1896" s="37"/>
      <c r="T1896" s="28"/>
      <c r="U1896" s="36"/>
      <c r="V1896" s="36"/>
      <c r="W1896" s="36"/>
      <c r="X1896" s="28"/>
      <c r="Y1896" s="28"/>
      <c r="Z1896" s="20"/>
    </row>
    <row r="1897" spans="1:26" s="29" customFormat="1" ht="90.75" customHeight="1" x14ac:dyDescent="0.25">
      <c r="A1897" s="20"/>
      <c r="B1897" s="20"/>
      <c r="C1897" s="20"/>
      <c r="D1897" s="21"/>
      <c r="E1897" s="21"/>
      <c r="F1897" s="22"/>
      <c r="G1897" s="23"/>
      <c r="H1897" s="36">
        <f t="shared" ref="H1897:H1903" si="329">(O1897*0.25)</f>
        <v>33.92</v>
      </c>
      <c r="I1897" s="40">
        <v>475</v>
      </c>
      <c r="J1897" s="28">
        <f t="shared" si="328"/>
        <v>16112</v>
      </c>
      <c r="K1897" s="37">
        <v>1</v>
      </c>
      <c r="L1897" s="31" t="s">
        <v>215</v>
      </c>
      <c r="M1897" s="32" t="s">
        <v>194</v>
      </c>
      <c r="N1897" s="33">
        <v>3</v>
      </c>
      <c r="O1897" s="34">
        <v>135.68</v>
      </c>
      <c r="P1897" s="35">
        <v>100</v>
      </c>
      <c r="Q1897" s="36">
        <v>6450</v>
      </c>
      <c r="R1897" s="36">
        <f t="shared" ref="R1897:R1903" si="330">(O1897*Q1897)</f>
        <v>875136</v>
      </c>
      <c r="S1897" s="37">
        <v>4</v>
      </c>
      <c r="T1897" s="28">
        <f t="shared" ref="T1897:T1903" si="331">(R1897*4/100)</f>
        <v>35005.440000000002</v>
      </c>
      <c r="U1897" s="36">
        <f t="shared" ref="U1897:U1903" si="332">(R1897-T1897)</f>
        <v>840130.56000000006</v>
      </c>
      <c r="V1897" s="36">
        <f t="shared" ref="V1897:V1907" si="333">(J1897+U1897)</f>
        <v>856242.56</v>
      </c>
      <c r="W1897" s="36">
        <f t="shared" ref="W1897:W1907" si="334">(V1897*100/100)</f>
        <v>856242.56</v>
      </c>
      <c r="X1897" s="28">
        <v>0</v>
      </c>
      <c r="Y1897" s="28">
        <f t="shared" ref="Y1897:Y1903" si="335">(W1897-X1897)</f>
        <v>856242.56</v>
      </c>
      <c r="Z1897" s="49">
        <v>3.0000000000000001E-3</v>
      </c>
    </row>
    <row r="1898" spans="1:26" s="29" customFormat="1" ht="90.75" customHeight="1" x14ac:dyDescent="0.25">
      <c r="A1898" s="20"/>
      <c r="B1898" s="20"/>
      <c r="C1898" s="20"/>
      <c r="D1898" s="21"/>
      <c r="E1898" s="21"/>
      <c r="F1898" s="22"/>
      <c r="G1898" s="23"/>
      <c r="H1898" s="36">
        <f t="shared" si="329"/>
        <v>18</v>
      </c>
      <c r="I1898" s="40">
        <v>475</v>
      </c>
      <c r="J1898" s="28">
        <f t="shared" si="328"/>
        <v>8550</v>
      </c>
      <c r="K1898" s="37">
        <v>2</v>
      </c>
      <c r="L1898" s="31" t="s">
        <v>38</v>
      </c>
      <c r="M1898" s="32"/>
      <c r="N1898" s="33">
        <v>2</v>
      </c>
      <c r="O1898" s="34">
        <v>72</v>
      </c>
      <c r="P1898" s="35">
        <v>100</v>
      </c>
      <c r="Q1898" s="36">
        <v>6550</v>
      </c>
      <c r="R1898" s="36">
        <f t="shared" si="330"/>
        <v>471600</v>
      </c>
      <c r="S1898" s="37">
        <v>4</v>
      </c>
      <c r="T1898" s="28">
        <f t="shared" si="331"/>
        <v>18864</v>
      </c>
      <c r="U1898" s="36">
        <f t="shared" si="332"/>
        <v>452736</v>
      </c>
      <c r="V1898" s="36">
        <f t="shared" si="333"/>
        <v>461286</v>
      </c>
      <c r="W1898" s="36">
        <f t="shared" si="334"/>
        <v>461286</v>
      </c>
      <c r="X1898" s="28">
        <v>0</v>
      </c>
      <c r="Y1898" s="28">
        <f t="shared" si="335"/>
        <v>461286</v>
      </c>
      <c r="Z1898" s="49">
        <v>3.0000000000000001E-3</v>
      </c>
    </row>
    <row r="1899" spans="1:26" s="29" customFormat="1" ht="90.75" customHeight="1" x14ac:dyDescent="0.25">
      <c r="A1899" s="20"/>
      <c r="B1899" s="20"/>
      <c r="C1899" s="20"/>
      <c r="D1899" s="21"/>
      <c r="E1899" s="21"/>
      <c r="F1899" s="22"/>
      <c r="G1899" s="23"/>
      <c r="H1899" s="36">
        <f t="shared" si="329"/>
        <v>125</v>
      </c>
      <c r="I1899" s="40">
        <v>475</v>
      </c>
      <c r="J1899" s="28">
        <f t="shared" si="328"/>
        <v>59375</v>
      </c>
      <c r="K1899" s="37">
        <v>3</v>
      </c>
      <c r="L1899" s="31" t="s">
        <v>15</v>
      </c>
      <c r="M1899" s="32"/>
      <c r="N1899" s="33">
        <v>3</v>
      </c>
      <c r="O1899" s="34">
        <v>500</v>
      </c>
      <c r="P1899" s="35">
        <v>100</v>
      </c>
      <c r="Q1899" s="36">
        <v>5950</v>
      </c>
      <c r="R1899" s="36">
        <f t="shared" si="330"/>
        <v>2975000</v>
      </c>
      <c r="S1899" s="37">
        <v>4</v>
      </c>
      <c r="T1899" s="28">
        <f t="shared" si="331"/>
        <v>119000</v>
      </c>
      <c r="U1899" s="36">
        <f t="shared" si="332"/>
        <v>2856000</v>
      </c>
      <c r="V1899" s="36">
        <f t="shared" si="333"/>
        <v>2915375</v>
      </c>
      <c r="W1899" s="36">
        <f t="shared" si="334"/>
        <v>2915375</v>
      </c>
      <c r="X1899" s="28">
        <v>0</v>
      </c>
      <c r="Y1899" s="28">
        <f t="shared" si="335"/>
        <v>2915375</v>
      </c>
      <c r="Z1899" s="49">
        <v>3.0000000000000001E-3</v>
      </c>
    </row>
    <row r="1900" spans="1:26" s="29" customFormat="1" ht="90.75" customHeight="1" x14ac:dyDescent="0.25">
      <c r="A1900" s="20"/>
      <c r="B1900" s="20"/>
      <c r="C1900" s="20"/>
      <c r="D1900" s="21"/>
      <c r="E1900" s="21"/>
      <c r="F1900" s="22"/>
      <c r="G1900" s="23"/>
      <c r="H1900" s="36">
        <f t="shared" si="329"/>
        <v>266.5</v>
      </c>
      <c r="I1900" s="40">
        <v>475</v>
      </c>
      <c r="J1900" s="28">
        <f t="shared" si="328"/>
        <v>126587.5</v>
      </c>
      <c r="K1900" s="37">
        <v>4</v>
      </c>
      <c r="L1900" s="31" t="s">
        <v>14</v>
      </c>
      <c r="M1900" s="32"/>
      <c r="N1900" s="33">
        <v>3</v>
      </c>
      <c r="O1900" s="34">
        <v>1066</v>
      </c>
      <c r="P1900" s="35">
        <v>100</v>
      </c>
      <c r="Q1900" s="36">
        <v>3500</v>
      </c>
      <c r="R1900" s="36">
        <f t="shared" si="330"/>
        <v>3731000</v>
      </c>
      <c r="S1900" s="37">
        <v>4</v>
      </c>
      <c r="T1900" s="28">
        <f t="shared" si="331"/>
        <v>149240</v>
      </c>
      <c r="U1900" s="36">
        <f t="shared" si="332"/>
        <v>3581760</v>
      </c>
      <c r="V1900" s="36">
        <f t="shared" si="333"/>
        <v>3708347.5</v>
      </c>
      <c r="W1900" s="36">
        <f t="shared" si="334"/>
        <v>3708347.5</v>
      </c>
      <c r="X1900" s="28">
        <v>0</v>
      </c>
      <c r="Y1900" s="28">
        <f t="shared" si="335"/>
        <v>3708347.5</v>
      </c>
      <c r="Z1900" s="49">
        <v>3.0000000000000001E-3</v>
      </c>
    </row>
    <row r="1901" spans="1:26" s="29" customFormat="1" ht="90.75" customHeight="1" x14ac:dyDescent="0.25">
      <c r="A1901" s="20"/>
      <c r="B1901" s="20"/>
      <c r="C1901" s="20"/>
      <c r="D1901" s="21"/>
      <c r="E1901" s="21"/>
      <c r="F1901" s="22"/>
      <c r="G1901" s="23"/>
      <c r="H1901" s="36">
        <f t="shared" si="329"/>
        <v>80.5</v>
      </c>
      <c r="I1901" s="40">
        <v>475</v>
      </c>
      <c r="J1901" s="28">
        <f t="shared" si="328"/>
        <v>38237.5</v>
      </c>
      <c r="K1901" s="37">
        <v>5</v>
      </c>
      <c r="L1901" s="31" t="s">
        <v>14</v>
      </c>
      <c r="M1901" s="32"/>
      <c r="N1901" s="33">
        <v>3</v>
      </c>
      <c r="O1901" s="34">
        <v>322</v>
      </c>
      <c r="P1901" s="35">
        <v>100</v>
      </c>
      <c r="Q1901" s="36">
        <v>3500</v>
      </c>
      <c r="R1901" s="36">
        <f t="shared" si="330"/>
        <v>1127000</v>
      </c>
      <c r="S1901" s="37">
        <v>4</v>
      </c>
      <c r="T1901" s="28">
        <f t="shared" si="331"/>
        <v>45080</v>
      </c>
      <c r="U1901" s="36">
        <f t="shared" si="332"/>
        <v>1081920</v>
      </c>
      <c r="V1901" s="36">
        <f t="shared" si="333"/>
        <v>1120157.5</v>
      </c>
      <c r="W1901" s="36">
        <f t="shared" si="334"/>
        <v>1120157.5</v>
      </c>
      <c r="X1901" s="28">
        <v>0</v>
      </c>
      <c r="Y1901" s="28">
        <f t="shared" si="335"/>
        <v>1120157.5</v>
      </c>
      <c r="Z1901" s="49">
        <v>3.0000000000000001E-3</v>
      </c>
    </row>
    <row r="1902" spans="1:26" s="29" customFormat="1" ht="90.75" customHeight="1" x14ac:dyDescent="0.25">
      <c r="A1902" s="20"/>
      <c r="B1902" s="20"/>
      <c r="C1902" s="20"/>
      <c r="D1902" s="21"/>
      <c r="E1902" s="21"/>
      <c r="F1902" s="22"/>
      <c r="G1902" s="23"/>
      <c r="H1902" s="36">
        <f t="shared" si="329"/>
        <v>102</v>
      </c>
      <c r="I1902" s="40">
        <v>475</v>
      </c>
      <c r="J1902" s="28">
        <f t="shared" si="328"/>
        <v>48450</v>
      </c>
      <c r="K1902" s="37">
        <v>6</v>
      </c>
      <c r="L1902" s="31" t="s">
        <v>14</v>
      </c>
      <c r="M1902" s="32"/>
      <c r="N1902" s="33">
        <v>3</v>
      </c>
      <c r="O1902" s="34">
        <v>408</v>
      </c>
      <c r="P1902" s="35">
        <v>100</v>
      </c>
      <c r="Q1902" s="36">
        <v>3500</v>
      </c>
      <c r="R1902" s="36">
        <f t="shared" si="330"/>
        <v>1428000</v>
      </c>
      <c r="S1902" s="37">
        <v>4</v>
      </c>
      <c r="T1902" s="28">
        <f t="shared" si="331"/>
        <v>57120</v>
      </c>
      <c r="U1902" s="36">
        <f t="shared" si="332"/>
        <v>1370880</v>
      </c>
      <c r="V1902" s="36">
        <f t="shared" si="333"/>
        <v>1419330</v>
      </c>
      <c r="W1902" s="36">
        <f t="shared" si="334"/>
        <v>1419330</v>
      </c>
      <c r="X1902" s="28">
        <v>0</v>
      </c>
      <c r="Y1902" s="28">
        <f t="shared" si="335"/>
        <v>1419330</v>
      </c>
      <c r="Z1902" s="49">
        <v>3.0000000000000001E-3</v>
      </c>
    </row>
    <row r="1903" spans="1:26" s="29" customFormat="1" ht="90.75" customHeight="1" x14ac:dyDescent="0.25">
      <c r="A1903" s="20"/>
      <c r="B1903" s="20"/>
      <c r="C1903" s="20"/>
      <c r="D1903" s="21"/>
      <c r="E1903" s="21"/>
      <c r="F1903" s="22"/>
      <c r="G1903" s="23"/>
      <c r="H1903" s="36">
        <f t="shared" si="329"/>
        <v>33</v>
      </c>
      <c r="I1903" s="40">
        <v>475</v>
      </c>
      <c r="J1903" s="28">
        <f t="shared" si="328"/>
        <v>15675</v>
      </c>
      <c r="K1903" s="37">
        <v>7</v>
      </c>
      <c r="L1903" s="31" t="s">
        <v>36</v>
      </c>
      <c r="M1903" s="32"/>
      <c r="N1903" s="33">
        <v>3</v>
      </c>
      <c r="O1903" s="34">
        <v>132</v>
      </c>
      <c r="P1903" s="35">
        <v>100</v>
      </c>
      <c r="Q1903" s="36">
        <v>5550</v>
      </c>
      <c r="R1903" s="36">
        <f t="shared" si="330"/>
        <v>732600</v>
      </c>
      <c r="S1903" s="37">
        <v>4</v>
      </c>
      <c r="T1903" s="28">
        <f t="shared" si="331"/>
        <v>29304</v>
      </c>
      <c r="U1903" s="36">
        <f t="shared" si="332"/>
        <v>703296</v>
      </c>
      <c r="V1903" s="36">
        <f t="shared" si="333"/>
        <v>718971</v>
      </c>
      <c r="W1903" s="36">
        <f t="shared" si="334"/>
        <v>718971</v>
      </c>
      <c r="X1903" s="28">
        <v>0</v>
      </c>
      <c r="Y1903" s="28">
        <f t="shared" si="335"/>
        <v>718971</v>
      </c>
      <c r="Z1903" s="49">
        <v>3.0000000000000001E-3</v>
      </c>
    </row>
    <row r="1904" spans="1:26" s="29" customFormat="1" ht="90.75" customHeight="1" x14ac:dyDescent="0.25">
      <c r="A1904" s="20">
        <v>1212</v>
      </c>
      <c r="B1904" s="20" t="s">
        <v>0</v>
      </c>
      <c r="C1904" s="20">
        <v>36784</v>
      </c>
      <c r="D1904" s="21">
        <v>0</v>
      </c>
      <c r="E1904" s="21">
        <v>2</v>
      </c>
      <c r="F1904" s="22">
        <v>0</v>
      </c>
      <c r="G1904" s="23"/>
      <c r="H1904" s="24">
        <f>(D1904*400)+(E1904*100)+F1904</f>
        <v>200</v>
      </c>
      <c r="I1904" s="25" t="s">
        <v>23</v>
      </c>
      <c r="J1904" s="24">
        <f t="shared" si="328"/>
        <v>200000</v>
      </c>
      <c r="K1904" s="20"/>
      <c r="L1904" s="20"/>
      <c r="M1904" s="20"/>
      <c r="N1904" s="20"/>
      <c r="O1904" s="24"/>
      <c r="P1904" s="24"/>
      <c r="Q1904" s="25"/>
      <c r="R1904" s="24"/>
      <c r="S1904" s="20" t="s">
        <v>2</v>
      </c>
      <c r="T1904" s="27"/>
      <c r="U1904" s="20"/>
      <c r="V1904" s="27">
        <f t="shared" si="333"/>
        <v>200000</v>
      </c>
      <c r="W1904" s="26">
        <f t="shared" si="334"/>
        <v>200000</v>
      </c>
      <c r="X1904" s="27" t="s">
        <v>288</v>
      </c>
      <c r="Y1904" s="78"/>
      <c r="Z1904" s="49"/>
    </row>
    <row r="1905" spans="1:26" s="29" customFormat="1" ht="90.75" customHeight="1" x14ac:dyDescent="0.25">
      <c r="A1905" s="20">
        <v>1213</v>
      </c>
      <c r="B1905" s="20" t="s">
        <v>0</v>
      </c>
      <c r="C1905" s="20">
        <v>11328</v>
      </c>
      <c r="D1905" s="21">
        <v>3</v>
      </c>
      <c r="E1905" s="21">
        <v>2</v>
      </c>
      <c r="F1905" s="22">
        <v>0</v>
      </c>
      <c r="G1905" s="22" t="s">
        <v>210</v>
      </c>
      <c r="H1905" s="24">
        <f>(D1905*400)+(E1905*100)+F1905</f>
        <v>1400</v>
      </c>
      <c r="I1905" s="25" t="s">
        <v>155</v>
      </c>
      <c r="J1905" s="24">
        <f t="shared" si="328"/>
        <v>4340000</v>
      </c>
      <c r="K1905" s="20"/>
      <c r="L1905" s="20"/>
      <c r="M1905" s="20"/>
      <c r="N1905" s="20"/>
      <c r="O1905" s="24"/>
      <c r="P1905" s="24"/>
      <c r="Q1905" s="25"/>
      <c r="R1905" s="24"/>
      <c r="S1905" s="20"/>
      <c r="T1905" s="27"/>
      <c r="U1905" s="20"/>
      <c r="V1905" s="27">
        <f t="shared" si="333"/>
        <v>4340000</v>
      </c>
      <c r="W1905" s="26">
        <f t="shared" si="334"/>
        <v>4340000</v>
      </c>
      <c r="X1905" s="27">
        <v>0</v>
      </c>
      <c r="Y1905" s="78">
        <f>(W1905-X1905)</f>
        <v>4340000</v>
      </c>
      <c r="Z1905" s="49">
        <v>1E-4</v>
      </c>
    </row>
    <row r="1906" spans="1:26" s="29" customFormat="1" ht="90.75" customHeight="1" x14ac:dyDescent="0.25">
      <c r="A1906" s="20">
        <v>1214</v>
      </c>
      <c r="B1906" s="37" t="s">
        <v>0</v>
      </c>
      <c r="C1906" s="37">
        <v>53310</v>
      </c>
      <c r="D1906" s="37">
        <v>0</v>
      </c>
      <c r="E1906" s="37">
        <v>0</v>
      </c>
      <c r="F1906" s="37">
        <v>25</v>
      </c>
      <c r="G1906" s="22" t="s">
        <v>210</v>
      </c>
      <c r="H1906" s="24">
        <f>(D1906*400)+(E1906*100)+F1906</f>
        <v>25</v>
      </c>
      <c r="I1906" s="25">
        <v>1300</v>
      </c>
      <c r="J1906" s="24">
        <f t="shared" si="328"/>
        <v>32500</v>
      </c>
      <c r="K1906" s="20"/>
      <c r="L1906" s="20"/>
      <c r="M1906" s="20"/>
      <c r="N1906" s="20"/>
      <c r="O1906" s="28"/>
      <c r="P1906" s="36"/>
      <c r="Q1906" s="40"/>
      <c r="R1906" s="36"/>
      <c r="S1906" s="20"/>
      <c r="T1906" s="27"/>
      <c r="U1906" s="20"/>
      <c r="V1906" s="27">
        <f t="shared" si="333"/>
        <v>32500</v>
      </c>
      <c r="W1906" s="26">
        <f t="shared" si="334"/>
        <v>32500</v>
      </c>
      <c r="X1906" s="27">
        <v>0</v>
      </c>
      <c r="Y1906" s="78">
        <f>(W1906-X1906)</f>
        <v>32500</v>
      </c>
      <c r="Z1906" s="49">
        <v>3.0000000000000001E-3</v>
      </c>
    </row>
    <row r="1907" spans="1:26" s="29" customFormat="1" ht="90.75" customHeight="1" x14ac:dyDescent="0.25">
      <c r="A1907" s="20"/>
      <c r="B1907" s="37"/>
      <c r="C1907" s="37"/>
      <c r="D1907" s="37"/>
      <c r="E1907" s="37"/>
      <c r="F1907" s="37"/>
      <c r="G1907" s="91"/>
      <c r="H1907" s="24">
        <v>25</v>
      </c>
      <c r="I1907" s="40">
        <v>1300</v>
      </c>
      <c r="J1907" s="65">
        <f t="shared" si="328"/>
        <v>32500</v>
      </c>
      <c r="K1907" s="30">
        <v>1</v>
      </c>
      <c r="L1907" s="20" t="s">
        <v>215</v>
      </c>
      <c r="M1907" s="35" t="s">
        <v>13</v>
      </c>
      <c r="N1907" s="30">
        <v>5</v>
      </c>
      <c r="O1907" s="36">
        <v>100</v>
      </c>
      <c r="P1907" s="86">
        <v>100</v>
      </c>
      <c r="Q1907" s="40">
        <v>6750</v>
      </c>
      <c r="R1907" s="36">
        <f>(O1907*Q1907)</f>
        <v>675000</v>
      </c>
      <c r="S1907" s="84">
        <v>7</v>
      </c>
      <c r="T1907" s="28">
        <f>(R1907*7/100)</f>
        <v>47250</v>
      </c>
      <c r="U1907" s="36">
        <f>(R1907-T1907)</f>
        <v>627750</v>
      </c>
      <c r="V1907" s="36">
        <f t="shared" si="333"/>
        <v>660250</v>
      </c>
      <c r="W1907" s="36">
        <f t="shared" si="334"/>
        <v>660250</v>
      </c>
      <c r="X1907" s="28"/>
      <c r="Y1907" s="26"/>
      <c r="Z1907" s="49"/>
    </row>
    <row r="1908" spans="1:26" s="29" customFormat="1" ht="90.75" customHeight="1" x14ac:dyDescent="0.25">
      <c r="A1908" s="20"/>
      <c r="B1908" s="20"/>
      <c r="C1908" s="20"/>
      <c r="D1908" s="21"/>
      <c r="E1908" s="21"/>
      <c r="F1908" s="22"/>
      <c r="G1908" s="23"/>
      <c r="H1908" s="24"/>
      <c r="I1908" s="40"/>
      <c r="J1908" s="65"/>
      <c r="K1908" s="30"/>
      <c r="L1908" s="20" t="s">
        <v>56</v>
      </c>
      <c r="M1908" s="35"/>
      <c r="N1908" s="30"/>
      <c r="O1908" s="36">
        <v>64</v>
      </c>
      <c r="P1908" s="86">
        <v>64</v>
      </c>
      <c r="Q1908" s="40"/>
      <c r="R1908" s="36"/>
      <c r="S1908" s="84"/>
      <c r="T1908" s="28"/>
      <c r="U1908" s="84"/>
      <c r="V1908" s="36"/>
      <c r="W1908" s="36">
        <f>(W1907*64/100)</f>
        <v>422560</v>
      </c>
      <c r="X1908" s="28">
        <v>10000000</v>
      </c>
      <c r="Y1908" s="26"/>
      <c r="Z1908" s="49"/>
    </row>
    <row r="1909" spans="1:26" s="29" customFormat="1" ht="90.75" customHeight="1" x14ac:dyDescent="0.25">
      <c r="A1909" s="20"/>
      <c r="B1909" s="20"/>
      <c r="C1909" s="20"/>
      <c r="D1909" s="21"/>
      <c r="E1909" s="21"/>
      <c r="F1909" s="22"/>
      <c r="G1909" s="23"/>
      <c r="H1909" s="24"/>
      <c r="I1909" s="40"/>
      <c r="J1909" s="65"/>
      <c r="K1909" s="30"/>
      <c r="L1909" s="20" t="s">
        <v>61</v>
      </c>
      <c r="M1909" s="35"/>
      <c r="N1909" s="30"/>
      <c r="O1909" s="36">
        <v>36</v>
      </c>
      <c r="P1909" s="86">
        <v>36</v>
      </c>
      <c r="Q1909" s="40"/>
      <c r="R1909" s="84"/>
      <c r="S1909" s="84"/>
      <c r="T1909" s="28"/>
      <c r="U1909" s="84"/>
      <c r="V1909" s="36"/>
      <c r="W1909" s="36">
        <f>(W1908*36/100)</f>
        <v>152121.60000000001</v>
      </c>
      <c r="X1909" s="28">
        <v>0</v>
      </c>
      <c r="Y1909" s="26">
        <f>(W1909-X1909)</f>
        <v>152121.60000000001</v>
      </c>
      <c r="Z1909" s="49">
        <v>3.0000000000000001E-3</v>
      </c>
    </row>
    <row r="1910" spans="1:26" s="29" customFormat="1" ht="90.75" customHeight="1" x14ac:dyDescent="0.25">
      <c r="A1910" s="20">
        <v>1215</v>
      </c>
      <c r="B1910" s="20" t="s">
        <v>0</v>
      </c>
      <c r="C1910" s="20">
        <v>56721</v>
      </c>
      <c r="D1910" s="21">
        <v>2</v>
      </c>
      <c r="E1910" s="21">
        <v>0</v>
      </c>
      <c r="F1910" s="22">
        <v>0</v>
      </c>
      <c r="G1910" s="21" t="s">
        <v>209</v>
      </c>
      <c r="H1910" s="24">
        <f>(D1910*400)+(E1910*100)+F1910</f>
        <v>800</v>
      </c>
      <c r="I1910" s="25">
        <v>700</v>
      </c>
      <c r="J1910" s="24">
        <f t="shared" ref="J1910:J1937" si="336">(H1910*I1910)</f>
        <v>560000</v>
      </c>
      <c r="K1910" s="20"/>
      <c r="L1910" s="20"/>
      <c r="M1910" s="20"/>
      <c r="N1910" s="20"/>
      <c r="O1910" s="24"/>
      <c r="P1910" s="24"/>
      <c r="Q1910" s="25"/>
      <c r="R1910" s="24"/>
      <c r="S1910" s="20"/>
      <c r="T1910" s="27"/>
      <c r="U1910" s="20"/>
      <c r="V1910" s="27">
        <f>(J1910+U1910)</f>
        <v>560000</v>
      </c>
      <c r="W1910" s="26">
        <f>(V1910*100/100)</f>
        <v>560000</v>
      </c>
      <c r="X1910" s="27">
        <v>0</v>
      </c>
      <c r="Y1910" s="78">
        <f>(W1910-X1910)</f>
        <v>560000</v>
      </c>
      <c r="Z1910" s="49">
        <v>3.0000000000000001E-3</v>
      </c>
    </row>
    <row r="1911" spans="1:26" s="29" customFormat="1" ht="90.75" customHeight="1" x14ac:dyDescent="0.25">
      <c r="A1911" s="20">
        <v>1216</v>
      </c>
      <c r="B1911" s="20" t="s">
        <v>0</v>
      </c>
      <c r="C1911" s="20">
        <v>32984</v>
      </c>
      <c r="D1911" s="20">
        <v>5</v>
      </c>
      <c r="E1911" s="20">
        <v>0</v>
      </c>
      <c r="F1911" s="52">
        <v>0</v>
      </c>
      <c r="G1911" s="91" t="s">
        <v>198</v>
      </c>
      <c r="H1911" s="24">
        <f>(D1911*400)+(E1911*100)+F1911</f>
        <v>2000</v>
      </c>
      <c r="I1911" s="25">
        <v>525</v>
      </c>
      <c r="J1911" s="24">
        <f t="shared" si="336"/>
        <v>1050000</v>
      </c>
      <c r="K1911" s="20"/>
      <c r="L1911" s="20"/>
      <c r="M1911" s="20"/>
      <c r="N1911" s="20"/>
      <c r="O1911" s="24"/>
      <c r="P1911" s="24"/>
      <c r="Q1911" s="25"/>
      <c r="R1911" s="24"/>
      <c r="S1911" s="20"/>
      <c r="T1911" s="27"/>
      <c r="U1911" s="20"/>
      <c r="V1911" s="27">
        <f>(J1911+U1911)</f>
        <v>1050000</v>
      </c>
      <c r="W1911" s="26">
        <f>(V1911*100/100)</f>
        <v>1050000</v>
      </c>
      <c r="X1911" s="27">
        <v>0</v>
      </c>
      <c r="Y1911" s="78">
        <f>(W1911-X1911)</f>
        <v>1050000</v>
      </c>
      <c r="Z1911" s="49">
        <v>1E-4</v>
      </c>
    </row>
    <row r="1912" spans="1:26" s="29" customFormat="1" ht="90.75" customHeight="1" x14ac:dyDescent="0.25">
      <c r="A1912" s="20">
        <v>1217</v>
      </c>
      <c r="B1912" s="20" t="s">
        <v>0</v>
      </c>
      <c r="C1912" s="20">
        <v>48721</v>
      </c>
      <c r="D1912" s="20">
        <v>29</v>
      </c>
      <c r="E1912" s="20">
        <v>3</v>
      </c>
      <c r="F1912" s="52">
        <v>11</v>
      </c>
      <c r="G1912" s="91" t="s">
        <v>198</v>
      </c>
      <c r="H1912" s="24">
        <f>(D1912*400)+(E1912*100)+F1912</f>
        <v>11911</v>
      </c>
      <c r="I1912" s="25">
        <v>500</v>
      </c>
      <c r="J1912" s="24">
        <f t="shared" si="336"/>
        <v>5955500</v>
      </c>
      <c r="K1912" s="20"/>
      <c r="L1912" s="20"/>
      <c r="M1912" s="20"/>
      <c r="N1912" s="20"/>
      <c r="O1912" s="24"/>
      <c r="P1912" s="24"/>
      <c r="Q1912" s="25"/>
      <c r="R1912" s="24"/>
      <c r="S1912" s="20"/>
      <c r="T1912" s="27"/>
      <c r="U1912" s="20"/>
      <c r="V1912" s="27">
        <f>(J1912+U1912)</f>
        <v>5955500</v>
      </c>
      <c r="W1912" s="26">
        <f>(V1912*100/100)</f>
        <v>5955500</v>
      </c>
      <c r="X1912" s="27">
        <v>0</v>
      </c>
      <c r="Y1912" s="78">
        <f>(W1912-X1912)</f>
        <v>5955500</v>
      </c>
      <c r="Z1912" s="49">
        <v>1E-4</v>
      </c>
    </row>
    <row r="1913" spans="1:26" s="29" customFormat="1" ht="90.75" customHeight="1" x14ac:dyDescent="0.25">
      <c r="A1913" s="20">
        <v>1218</v>
      </c>
      <c r="B1913" s="20" t="s">
        <v>0</v>
      </c>
      <c r="C1913" s="20">
        <v>48727</v>
      </c>
      <c r="D1913" s="20">
        <v>24</v>
      </c>
      <c r="E1913" s="20">
        <v>3</v>
      </c>
      <c r="F1913" s="52">
        <v>78</v>
      </c>
      <c r="G1913" s="91" t="s">
        <v>198</v>
      </c>
      <c r="H1913" s="24">
        <f>(D1913*400)+(E1913*100)+F1913</f>
        <v>9978</v>
      </c>
      <c r="I1913" s="25">
        <v>500</v>
      </c>
      <c r="J1913" s="24">
        <f t="shared" si="336"/>
        <v>4989000</v>
      </c>
      <c r="K1913" s="20"/>
      <c r="L1913" s="20"/>
      <c r="M1913" s="20"/>
      <c r="N1913" s="20"/>
      <c r="O1913" s="24"/>
      <c r="P1913" s="24"/>
      <c r="Q1913" s="25"/>
      <c r="R1913" s="24"/>
      <c r="S1913" s="20"/>
      <c r="T1913" s="27"/>
      <c r="U1913" s="20"/>
      <c r="V1913" s="27">
        <f>(J1913+U1913)</f>
        <v>4989000</v>
      </c>
      <c r="W1913" s="26">
        <f>(V1913*100/100)</f>
        <v>4989000</v>
      </c>
      <c r="X1913" s="27">
        <v>0</v>
      </c>
      <c r="Y1913" s="78">
        <f>(W1913-X1913)</f>
        <v>4989000</v>
      </c>
      <c r="Z1913" s="49">
        <v>1E-4</v>
      </c>
    </row>
    <row r="1914" spans="1:26" s="29" customFormat="1" ht="90.75" customHeight="1" x14ac:dyDescent="0.25">
      <c r="A1914" s="20">
        <v>1219</v>
      </c>
      <c r="B1914" s="20" t="s">
        <v>0</v>
      </c>
      <c r="C1914" s="20">
        <v>16258</v>
      </c>
      <c r="D1914" s="21">
        <v>10</v>
      </c>
      <c r="E1914" s="21">
        <v>0</v>
      </c>
      <c r="F1914" s="22">
        <v>0</v>
      </c>
      <c r="G1914" s="23" t="s">
        <v>56</v>
      </c>
      <c r="H1914" s="36">
        <f>(D1914*400)+(E1914*100)+F1914</f>
        <v>4000</v>
      </c>
      <c r="I1914" s="40" t="s">
        <v>11</v>
      </c>
      <c r="J1914" s="65">
        <f t="shared" si="336"/>
        <v>1100000</v>
      </c>
      <c r="K1914" s="41"/>
      <c r="L1914" s="31"/>
      <c r="M1914" s="43"/>
      <c r="N1914" s="30"/>
      <c r="O1914" s="48"/>
      <c r="P1914" s="43"/>
      <c r="Q1914" s="44"/>
      <c r="R1914" s="41"/>
      <c r="S1914" s="41"/>
      <c r="T1914" s="47"/>
      <c r="U1914" s="41"/>
      <c r="V1914" s="48"/>
      <c r="W1914" s="48"/>
      <c r="X1914" s="47"/>
      <c r="Y1914" s="48"/>
      <c r="Z1914" s="49"/>
    </row>
    <row r="1915" spans="1:26" s="29" customFormat="1" ht="90.75" customHeight="1" x14ac:dyDescent="0.25">
      <c r="A1915" s="20"/>
      <c r="B1915" s="20"/>
      <c r="C1915" s="20"/>
      <c r="D1915" s="21"/>
      <c r="E1915" s="21"/>
      <c r="F1915" s="22"/>
      <c r="G1915" s="23"/>
      <c r="H1915" s="36">
        <f t="shared" ref="H1915:H1931" si="337">(O1915*0.25)</f>
        <v>25.024999999999999</v>
      </c>
      <c r="I1915" s="40">
        <v>275</v>
      </c>
      <c r="J1915" s="28">
        <f t="shared" si="336"/>
        <v>6881.875</v>
      </c>
      <c r="K1915" s="30">
        <v>1</v>
      </c>
      <c r="L1915" s="31" t="s">
        <v>27</v>
      </c>
      <c r="M1915" s="31" t="s">
        <v>13</v>
      </c>
      <c r="N1915" s="41">
        <v>2</v>
      </c>
      <c r="O1915" s="48">
        <v>100.1</v>
      </c>
      <c r="P1915" s="35">
        <v>100</v>
      </c>
      <c r="Q1915" s="40">
        <v>7100</v>
      </c>
      <c r="R1915" s="36">
        <f t="shared" ref="R1915:R1933" si="338">(O1915*Q1915)</f>
        <v>710710</v>
      </c>
      <c r="S1915" s="37">
        <v>7</v>
      </c>
      <c r="T1915" s="28">
        <f>(R1915*7/100)</f>
        <v>49749.7</v>
      </c>
      <c r="U1915" s="36">
        <f t="shared" ref="U1915:U1933" si="339">(R1915-T1915)</f>
        <v>660960.30000000005</v>
      </c>
      <c r="V1915" s="36">
        <f t="shared" ref="V1915:V1933" si="340">(J1915+U1915)</f>
        <v>667842.17500000005</v>
      </c>
      <c r="W1915" s="36">
        <f t="shared" ref="W1915:W1931" si="341">(V1915*100/100)</f>
        <v>667842.17500000005</v>
      </c>
      <c r="X1915" s="28">
        <v>0</v>
      </c>
      <c r="Y1915" s="28">
        <f t="shared" ref="Y1915:Y1931" si="342">(W1915-X1915)</f>
        <v>667842.17500000005</v>
      </c>
      <c r="Z1915" s="49">
        <v>3.0000000000000001E-3</v>
      </c>
    </row>
    <row r="1916" spans="1:26" s="29" customFormat="1" ht="90.75" customHeight="1" x14ac:dyDescent="0.25">
      <c r="A1916" s="20"/>
      <c r="B1916" s="20"/>
      <c r="C1916" s="20"/>
      <c r="D1916" s="21"/>
      <c r="E1916" s="21"/>
      <c r="F1916" s="22"/>
      <c r="G1916" s="23"/>
      <c r="H1916" s="36">
        <f t="shared" si="337"/>
        <v>3</v>
      </c>
      <c r="I1916" s="40">
        <v>275</v>
      </c>
      <c r="J1916" s="28">
        <f t="shared" si="336"/>
        <v>825</v>
      </c>
      <c r="K1916" s="30">
        <v>2</v>
      </c>
      <c r="L1916" s="31" t="s">
        <v>17</v>
      </c>
      <c r="M1916" s="31" t="s">
        <v>13</v>
      </c>
      <c r="N1916" s="41">
        <v>2</v>
      </c>
      <c r="O1916" s="48">
        <v>12</v>
      </c>
      <c r="P1916" s="35">
        <v>100</v>
      </c>
      <c r="Q1916" s="40">
        <v>5900</v>
      </c>
      <c r="R1916" s="36">
        <f t="shared" si="338"/>
        <v>70800</v>
      </c>
      <c r="S1916" s="37">
        <v>7</v>
      </c>
      <c r="T1916" s="28">
        <f>(R1916*7/100)</f>
        <v>4956</v>
      </c>
      <c r="U1916" s="36">
        <f t="shared" si="339"/>
        <v>65844</v>
      </c>
      <c r="V1916" s="36">
        <f t="shared" si="340"/>
        <v>66669</v>
      </c>
      <c r="W1916" s="36">
        <f t="shared" si="341"/>
        <v>66669</v>
      </c>
      <c r="X1916" s="28">
        <v>0</v>
      </c>
      <c r="Y1916" s="28">
        <f t="shared" si="342"/>
        <v>66669</v>
      </c>
      <c r="Z1916" s="49">
        <v>3.0000000000000001E-3</v>
      </c>
    </row>
    <row r="1917" spans="1:26" s="29" customFormat="1" ht="90.75" customHeight="1" x14ac:dyDescent="0.25">
      <c r="A1917" s="20"/>
      <c r="B1917" s="20"/>
      <c r="C1917" s="20"/>
      <c r="D1917" s="21"/>
      <c r="E1917" s="21"/>
      <c r="F1917" s="22"/>
      <c r="G1917" s="23"/>
      <c r="H1917" s="36">
        <f t="shared" si="337"/>
        <v>15</v>
      </c>
      <c r="I1917" s="40">
        <v>275</v>
      </c>
      <c r="J1917" s="28">
        <f t="shared" si="336"/>
        <v>4125</v>
      </c>
      <c r="K1917" s="30">
        <v>3</v>
      </c>
      <c r="L1917" s="31" t="s">
        <v>31</v>
      </c>
      <c r="M1917" s="31" t="s">
        <v>13</v>
      </c>
      <c r="N1917" s="41">
        <v>2</v>
      </c>
      <c r="O1917" s="48">
        <v>60</v>
      </c>
      <c r="P1917" s="35">
        <v>100</v>
      </c>
      <c r="Q1917" s="40">
        <v>2550</v>
      </c>
      <c r="R1917" s="36">
        <f t="shared" si="338"/>
        <v>153000</v>
      </c>
      <c r="S1917" s="37">
        <v>7</v>
      </c>
      <c r="T1917" s="28">
        <f>(R1917*7/100)</f>
        <v>10710</v>
      </c>
      <c r="U1917" s="36">
        <f t="shared" si="339"/>
        <v>142290</v>
      </c>
      <c r="V1917" s="36">
        <f t="shared" si="340"/>
        <v>146415</v>
      </c>
      <c r="W1917" s="36">
        <f t="shared" si="341"/>
        <v>146415</v>
      </c>
      <c r="X1917" s="28">
        <v>0</v>
      </c>
      <c r="Y1917" s="28">
        <f t="shared" si="342"/>
        <v>146415</v>
      </c>
      <c r="Z1917" s="49">
        <v>3.0000000000000001E-3</v>
      </c>
    </row>
    <row r="1918" spans="1:26" s="29" customFormat="1" ht="90.75" customHeight="1" x14ac:dyDescent="0.25">
      <c r="A1918" s="20"/>
      <c r="B1918" s="20"/>
      <c r="C1918" s="20"/>
      <c r="D1918" s="21"/>
      <c r="E1918" s="21"/>
      <c r="F1918" s="22"/>
      <c r="G1918" s="23"/>
      <c r="H1918" s="36">
        <f t="shared" si="337"/>
        <v>41.25</v>
      </c>
      <c r="I1918" s="40">
        <v>275</v>
      </c>
      <c r="J1918" s="28">
        <f t="shared" si="336"/>
        <v>11343.75</v>
      </c>
      <c r="K1918" s="30">
        <v>4</v>
      </c>
      <c r="L1918" s="31" t="s">
        <v>41</v>
      </c>
      <c r="M1918" s="31" t="s">
        <v>40</v>
      </c>
      <c r="N1918" s="41">
        <v>2</v>
      </c>
      <c r="O1918" s="48">
        <v>165</v>
      </c>
      <c r="P1918" s="35">
        <v>100</v>
      </c>
      <c r="Q1918" s="40">
        <v>6400</v>
      </c>
      <c r="R1918" s="36">
        <f t="shared" si="338"/>
        <v>1056000</v>
      </c>
      <c r="S1918" s="37">
        <v>7</v>
      </c>
      <c r="T1918" s="28">
        <f t="shared" ref="T1918:T1931" si="343">(R1918*25/100)</f>
        <v>264000</v>
      </c>
      <c r="U1918" s="36">
        <f t="shared" si="339"/>
        <v>792000</v>
      </c>
      <c r="V1918" s="36">
        <f t="shared" si="340"/>
        <v>803343.75</v>
      </c>
      <c r="W1918" s="36">
        <f t="shared" si="341"/>
        <v>803343.75</v>
      </c>
      <c r="X1918" s="28">
        <v>0</v>
      </c>
      <c r="Y1918" s="28">
        <f t="shared" si="342"/>
        <v>803343.75</v>
      </c>
      <c r="Z1918" s="49">
        <v>3.0000000000000001E-3</v>
      </c>
    </row>
    <row r="1919" spans="1:26" s="29" customFormat="1" ht="90.75" customHeight="1" x14ac:dyDescent="0.25">
      <c r="A1919" s="20"/>
      <c r="B1919" s="20"/>
      <c r="C1919" s="20"/>
      <c r="D1919" s="21"/>
      <c r="E1919" s="21"/>
      <c r="F1919" s="22"/>
      <c r="G1919" s="23"/>
      <c r="H1919" s="36">
        <f t="shared" si="337"/>
        <v>25.5</v>
      </c>
      <c r="I1919" s="40">
        <v>275</v>
      </c>
      <c r="J1919" s="28">
        <f t="shared" si="336"/>
        <v>7012.5</v>
      </c>
      <c r="K1919" s="30">
        <v>5</v>
      </c>
      <c r="L1919" s="31" t="s">
        <v>215</v>
      </c>
      <c r="M1919" s="31" t="s">
        <v>40</v>
      </c>
      <c r="N1919" s="41">
        <v>2</v>
      </c>
      <c r="O1919" s="48">
        <v>102</v>
      </c>
      <c r="P1919" s="35">
        <v>100</v>
      </c>
      <c r="Q1919" s="40">
        <v>6450</v>
      </c>
      <c r="R1919" s="36">
        <f t="shared" si="338"/>
        <v>657900</v>
      </c>
      <c r="S1919" s="37">
        <v>7</v>
      </c>
      <c r="T1919" s="28">
        <f t="shared" si="343"/>
        <v>164475</v>
      </c>
      <c r="U1919" s="36">
        <f t="shared" si="339"/>
        <v>493425</v>
      </c>
      <c r="V1919" s="36">
        <f t="shared" si="340"/>
        <v>500437.5</v>
      </c>
      <c r="W1919" s="36">
        <f t="shared" si="341"/>
        <v>500437.5</v>
      </c>
      <c r="X1919" s="28">
        <v>0</v>
      </c>
      <c r="Y1919" s="28">
        <f t="shared" si="342"/>
        <v>500437.5</v>
      </c>
      <c r="Z1919" s="49">
        <v>3.0000000000000001E-3</v>
      </c>
    </row>
    <row r="1920" spans="1:26" s="29" customFormat="1" ht="90.75" customHeight="1" x14ac:dyDescent="0.25">
      <c r="A1920" s="20"/>
      <c r="B1920" s="20"/>
      <c r="C1920" s="20"/>
      <c r="D1920" s="21"/>
      <c r="E1920" s="21"/>
      <c r="F1920" s="22"/>
      <c r="G1920" s="23"/>
      <c r="H1920" s="36">
        <f t="shared" si="337"/>
        <v>11.925000000000001</v>
      </c>
      <c r="I1920" s="40">
        <v>275</v>
      </c>
      <c r="J1920" s="28">
        <f t="shared" si="336"/>
        <v>3279.375</v>
      </c>
      <c r="K1920" s="30">
        <v>6</v>
      </c>
      <c r="L1920" s="31" t="s">
        <v>215</v>
      </c>
      <c r="M1920" s="31" t="s">
        <v>13</v>
      </c>
      <c r="N1920" s="41">
        <v>2</v>
      </c>
      <c r="O1920" s="48">
        <v>47.7</v>
      </c>
      <c r="P1920" s="35">
        <v>100</v>
      </c>
      <c r="Q1920" s="40">
        <v>6450</v>
      </c>
      <c r="R1920" s="36">
        <f t="shared" si="338"/>
        <v>307665</v>
      </c>
      <c r="S1920" s="37">
        <v>7</v>
      </c>
      <c r="T1920" s="28">
        <f t="shared" si="343"/>
        <v>76916.25</v>
      </c>
      <c r="U1920" s="36">
        <f t="shared" si="339"/>
        <v>230748.75</v>
      </c>
      <c r="V1920" s="36">
        <f t="shared" si="340"/>
        <v>234028.125</v>
      </c>
      <c r="W1920" s="36">
        <f t="shared" si="341"/>
        <v>234028.125</v>
      </c>
      <c r="X1920" s="28">
        <v>0</v>
      </c>
      <c r="Y1920" s="28">
        <f t="shared" si="342"/>
        <v>234028.125</v>
      </c>
      <c r="Z1920" s="49">
        <v>3.0000000000000001E-3</v>
      </c>
    </row>
    <row r="1921" spans="1:26" s="29" customFormat="1" ht="90.75" customHeight="1" x14ac:dyDescent="0.25">
      <c r="A1921" s="20"/>
      <c r="B1921" s="20"/>
      <c r="C1921" s="20"/>
      <c r="D1921" s="21"/>
      <c r="E1921" s="21"/>
      <c r="F1921" s="22"/>
      <c r="G1921" s="23"/>
      <c r="H1921" s="36">
        <f t="shared" si="337"/>
        <v>10.75</v>
      </c>
      <c r="I1921" s="40">
        <v>275</v>
      </c>
      <c r="J1921" s="28">
        <f t="shared" si="336"/>
        <v>2956.25</v>
      </c>
      <c r="K1921" s="30">
        <v>7</v>
      </c>
      <c r="L1921" s="31" t="s">
        <v>215</v>
      </c>
      <c r="M1921" s="31" t="s">
        <v>40</v>
      </c>
      <c r="N1921" s="41">
        <v>2</v>
      </c>
      <c r="O1921" s="48">
        <v>43</v>
      </c>
      <c r="P1921" s="35">
        <v>100</v>
      </c>
      <c r="Q1921" s="40">
        <v>6450</v>
      </c>
      <c r="R1921" s="36">
        <f t="shared" si="338"/>
        <v>277350</v>
      </c>
      <c r="S1921" s="37">
        <v>7</v>
      </c>
      <c r="T1921" s="28">
        <f t="shared" si="343"/>
        <v>69337.5</v>
      </c>
      <c r="U1921" s="36">
        <f t="shared" si="339"/>
        <v>208012.5</v>
      </c>
      <c r="V1921" s="36">
        <f t="shared" si="340"/>
        <v>210968.75</v>
      </c>
      <c r="W1921" s="36">
        <f t="shared" si="341"/>
        <v>210968.75</v>
      </c>
      <c r="X1921" s="28">
        <v>0</v>
      </c>
      <c r="Y1921" s="28">
        <f t="shared" si="342"/>
        <v>210968.75</v>
      </c>
      <c r="Z1921" s="49">
        <v>3.0000000000000001E-3</v>
      </c>
    </row>
    <row r="1922" spans="1:26" s="29" customFormat="1" ht="90.75" customHeight="1" x14ac:dyDescent="0.25">
      <c r="A1922" s="20"/>
      <c r="B1922" s="20"/>
      <c r="C1922" s="20"/>
      <c r="D1922" s="21"/>
      <c r="E1922" s="21"/>
      <c r="F1922" s="22"/>
      <c r="G1922" s="23"/>
      <c r="H1922" s="36">
        <f t="shared" si="337"/>
        <v>10.75</v>
      </c>
      <c r="I1922" s="40">
        <v>275</v>
      </c>
      <c r="J1922" s="28">
        <f t="shared" si="336"/>
        <v>2956.25</v>
      </c>
      <c r="K1922" s="30">
        <v>8</v>
      </c>
      <c r="L1922" s="31" t="s">
        <v>215</v>
      </c>
      <c r="M1922" s="31" t="s">
        <v>40</v>
      </c>
      <c r="N1922" s="41">
        <v>2</v>
      </c>
      <c r="O1922" s="48">
        <v>43</v>
      </c>
      <c r="P1922" s="35">
        <v>100</v>
      </c>
      <c r="Q1922" s="40">
        <v>6450</v>
      </c>
      <c r="R1922" s="36">
        <f t="shared" si="338"/>
        <v>277350</v>
      </c>
      <c r="S1922" s="37">
        <v>7</v>
      </c>
      <c r="T1922" s="28">
        <f t="shared" si="343"/>
        <v>69337.5</v>
      </c>
      <c r="U1922" s="36">
        <f t="shared" si="339"/>
        <v>208012.5</v>
      </c>
      <c r="V1922" s="36">
        <f t="shared" si="340"/>
        <v>210968.75</v>
      </c>
      <c r="W1922" s="36">
        <f t="shared" si="341"/>
        <v>210968.75</v>
      </c>
      <c r="X1922" s="28">
        <v>0</v>
      </c>
      <c r="Y1922" s="28">
        <f t="shared" si="342"/>
        <v>210968.75</v>
      </c>
      <c r="Z1922" s="49">
        <v>3.0000000000000001E-3</v>
      </c>
    </row>
    <row r="1923" spans="1:26" s="29" customFormat="1" ht="90.75" customHeight="1" x14ac:dyDescent="0.25">
      <c r="A1923" s="20"/>
      <c r="B1923" s="20"/>
      <c r="C1923" s="20"/>
      <c r="D1923" s="21"/>
      <c r="E1923" s="21"/>
      <c r="F1923" s="22"/>
      <c r="G1923" s="23"/>
      <c r="H1923" s="36">
        <f t="shared" si="337"/>
        <v>10.75</v>
      </c>
      <c r="I1923" s="40">
        <v>275</v>
      </c>
      <c r="J1923" s="28">
        <f t="shared" si="336"/>
        <v>2956.25</v>
      </c>
      <c r="K1923" s="30">
        <v>9</v>
      </c>
      <c r="L1923" s="31" t="s">
        <v>215</v>
      </c>
      <c r="M1923" s="31" t="s">
        <v>40</v>
      </c>
      <c r="N1923" s="41">
        <v>2</v>
      </c>
      <c r="O1923" s="48">
        <v>43</v>
      </c>
      <c r="P1923" s="35">
        <v>100</v>
      </c>
      <c r="Q1923" s="40">
        <v>6450</v>
      </c>
      <c r="R1923" s="36">
        <f t="shared" si="338"/>
        <v>277350</v>
      </c>
      <c r="S1923" s="37">
        <v>7</v>
      </c>
      <c r="T1923" s="28">
        <f t="shared" si="343"/>
        <v>69337.5</v>
      </c>
      <c r="U1923" s="36">
        <f t="shared" si="339"/>
        <v>208012.5</v>
      </c>
      <c r="V1923" s="36">
        <f t="shared" si="340"/>
        <v>210968.75</v>
      </c>
      <c r="W1923" s="36">
        <f t="shared" si="341"/>
        <v>210968.75</v>
      </c>
      <c r="X1923" s="28">
        <v>0</v>
      </c>
      <c r="Y1923" s="28">
        <f t="shared" si="342"/>
        <v>210968.75</v>
      </c>
      <c r="Z1923" s="49">
        <v>3.0000000000000001E-3</v>
      </c>
    </row>
    <row r="1924" spans="1:26" s="29" customFormat="1" ht="90.75" customHeight="1" x14ac:dyDescent="0.25">
      <c r="A1924" s="20"/>
      <c r="B1924" s="20"/>
      <c r="C1924" s="20"/>
      <c r="D1924" s="21"/>
      <c r="E1924" s="21"/>
      <c r="F1924" s="22"/>
      <c r="G1924" s="23"/>
      <c r="H1924" s="36">
        <f t="shared" si="337"/>
        <v>10.75</v>
      </c>
      <c r="I1924" s="40">
        <v>275</v>
      </c>
      <c r="J1924" s="28">
        <f t="shared" si="336"/>
        <v>2956.25</v>
      </c>
      <c r="K1924" s="30">
        <v>10</v>
      </c>
      <c r="L1924" s="31" t="s">
        <v>215</v>
      </c>
      <c r="M1924" s="31" t="s">
        <v>40</v>
      </c>
      <c r="N1924" s="41">
        <v>2</v>
      </c>
      <c r="O1924" s="48">
        <v>43</v>
      </c>
      <c r="P1924" s="35">
        <v>100</v>
      </c>
      <c r="Q1924" s="40">
        <v>6450</v>
      </c>
      <c r="R1924" s="36">
        <f t="shared" si="338"/>
        <v>277350</v>
      </c>
      <c r="S1924" s="37">
        <v>7</v>
      </c>
      <c r="T1924" s="28">
        <f t="shared" si="343"/>
        <v>69337.5</v>
      </c>
      <c r="U1924" s="36">
        <f t="shared" si="339"/>
        <v>208012.5</v>
      </c>
      <c r="V1924" s="36">
        <f t="shared" si="340"/>
        <v>210968.75</v>
      </c>
      <c r="W1924" s="36">
        <f t="shared" si="341"/>
        <v>210968.75</v>
      </c>
      <c r="X1924" s="28">
        <v>0</v>
      </c>
      <c r="Y1924" s="28">
        <f t="shared" si="342"/>
        <v>210968.75</v>
      </c>
      <c r="Z1924" s="49">
        <v>3.0000000000000001E-3</v>
      </c>
    </row>
    <row r="1925" spans="1:26" s="29" customFormat="1" ht="90.75" customHeight="1" x14ac:dyDescent="0.25">
      <c r="A1925" s="20"/>
      <c r="B1925" s="20"/>
      <c r="C1925" s="20"/>
      <c r="D1925" s="21"/>
      <c r="E1925" s="21"/>
      <c r="F1925" s="22"/>
      <c r="G1925" s="23"/>
      <c r="H1925" s="36">
        <f t="shared" si="337"/>
        <v>12.75</v>
      </c>
      <c r="I1925" s="40">
        <v>275</v>
      </c>
      <c r="J1925" s="28">
        <f t="shared" si="336"/>
        <v>3506.25</v>
      </c>
      <c r="K1925" s="30">
        <v>11</v>
      </c>
      <c r="L1925" s="31" t="s">
        <v>215</v>
      </c>
      <c r="M1925" s="31" t="s">
        <v>40</v>
      </c>
      <c r="N1925" s="41">
        <v>2</v>
      </c>
      <c r="O1925" s="48">
        <v>51</v>
      </c>
      <c r="P1925" s="35">
        <v>100</v>
      </c>
      <c r="Q1925" s="40">
        <v>6450</v>
      </c>
      <c r="R1925" s="36">
        <f t="shared" si="338"/>
        <v>328950</v>
      </c>
      <c r="S1925" s="37">
        <v>7</v>
      </c>
      <c r="T1925" s="28">
        <f t="shared" si="343"/>
        <v>82237.5</v>
      </c>
      <c r="U1925" s="36">
        <f t="shared" si="339"/>
        <v>246712.5</v>
      </c>
      <c r="V1925" s="36">
        <f t="shared" si="340"/>
        <v>250218.75</v>
      </c>
      <c r="W1925" s="36">
        <f t="shared" si="341"/>
        <v>250218.75</v>
      </c>
      <c r="X1925" s="28">
        <v>0</v>
      </c>
      <c r="Y1925" s="28">
        <f t="shared" si="342"/>
        <v>250218.75</v>
      </c>
      <c r="Z1925" s="49">
        <v>3.0000000000000001E-3</v>
      </c>
    </row>
    <row r="1926" spans="1:26" s="29" customFormat="1" ht="90.75" customHeight="1" x14ac:dyDescent="0.25">
      <c r="A1926" s="20"/>
      <c r="B1926" s="20"/>
      <c r="C1926" s="20"/>
      <c r="D1926" s="21"/>
      <c r="E1926" s="21"/>
      <c r="F1926" s="22"/>
      <c r="G1926" s="23"/>
      <c r="H1926" s="36">
        <f t="shared" si="337"/>
        <v>12.75</v>
      </c>
      <c r="I1926" s="40">
        <v>275</v>
      </c>
      <c r="J1926" s="28">
        <f t="shared" si="336"/>
        <v>3506.25</v>
      </c>
      <c r="K1926" s="30">
        <v>12</v>
      </c>
      <c r="L1926" s="31" t="s">
        <v>215</v>
      </c>
      <c r="M1926" s="31" t="s">
        <v>40</v>
      </c>
      <c r="N1926" s="41">
        <v>2</v>
      </c>
      <c r="O1926" s="48">
        <v>51</v>
      </c>
      <c r="P1926" s="35">
        <v>100</v>
      </c>
      <c r="Q1926" s="40">
        <v>6450</v>
      </c>
      <c r="R1926" s="36">
        <f t="shared" si="338"/>
        <v>328950</v>
      </c>
      <c r="S1926" s="37">
        <v>7</v>
      </c>
      <c r="T1926" s="28">
        <f t="shared" si="343"/>
        <v>82237.5</v>
      </c>
      <c r="U1926" s="36">
        <f t="shared" si="339"/>
        <v>246712.5</v>
      </c>
      <c r="V1926" s="36">
        <f t="shared" si="340"/>
        <v>250218.75</v>
      </c>
      <c r="W1926" s="36">
        <f t="shared" si="341"/>
        <v>250218.75</v>
      </c>
      <c r="X1926" s="28">
        <v>0</v>
      </c>
      <c r="Y1926" s="28">
        <f t="shared" si="342"/>
        <v>250218.75</v>
      </c>
      <c r="Z1926" s="49">
        <v>3.0000000000000001E-3</v>
      </c>
    </row>
    <row r="1927" spans="1:26" s="29" customFormat="1" ht="90.75" customHeight="1" x14ac:dyDescent="0.25">
      <c r="A1927" s="20"/>
      <c r="B1927" s="20"/>
      <c r="C1927" s="20"/>
      <c r="D1927" s="21"/>
      <c r="E1927" s="21"/>
      <c r="F1927" s="22"/>
      <c r="G1927" s="23"/>
      <c r="H1927" s="36">
        <f t="shared" si="337"/>
        <v>12.75</v>
      </c>
      <c r="I1927" s="40">
        <v>275</v>
      </c>
      <c r="J1927" s="28">
        <f t="shared" si="336"/>
        <v>3506.25</v>
      </c>
      <c r="K1927" s="30">
        <v>13</v>
      </c>
      <c r="L1927" s="31" t="s">
        <v>215</v>
      </c>
      <c r="M1927" s="31" t="s">
        <v>40</v>
      </c>
      <c r="N1927" s="41">
        <v>2</v>
      </c>
      <c r="O1927" s="48">
        <v>51</v>
      </c>
      <c r="P1927" s="35">
        <v>100</v>
      </c>
      <c r="Q1927" s="40">
        <v>6450</v>
      </c>
      <c r="R1927" s="36">
        <f t="shared" si="338"/>
        <v>328950</v>
      </c>
      <c r="S1927" s="37">
        <v>7</v>
      </c>
      <c r="T1927" s="28">
        <f t="shared" si="343"/>
        <v>82237.5</v>
      </c>
      <c r="U1927" s="36">
        <f t="shared" si="339"/>
        <v>246712.5</v>
      </c>
      <c r="V1927" s="36">
        <f t="shared" si="340"/>
        <v>250218.75</v>
      </c>
      <c r="W1927" s="36">
        <f t="shared" si="341"/>
        <v>250218.75</v>
      </c>
      <c r="X1927" s="28">
        <v>0</v>
      </c>
      <c r="Y1927" s="28">
        <f t="shared" si="342"/>
        <v>250218.75</v>
      </c>
      <c r="Z1927" s="49">
        <v>3.0000000000000001E-3</v>
      </c>
    </row>
    <row r="1928" spans="1:26" s="29" customFormat="1" ht="90.75" customHeight="1" x14ac:dyDescent="0.25">
      <c r="A1928" s="20"/>
      <c r="B1928" s="20"/>
      <c r="C1928" s="20"/>
      <c r="D1928" s="21"/>
      <c r="E1928" s="21"/>
      <c r="F1928" s="22"/>
      <c r="G1928" s="23"/>
      <c r="H1928" s="36">
        <f t="shared" si="337"/>
        <v>24.5</v>
      </c>
      <c r="I1928" s="40">
        <v>275</v>
      </c>
      <c r="J1928" s="28">
        <f t="shared" si="336"/>
        <v>6737.5</v>
      </c>
      <c r="K1928" s="30">
        <v>14</v>
      </c>
      <c r="L1928" s="31" t="s">
        <v>215</v>
      </c>
      <c r="M1928" s="31" t="s">
        <v>40</v>
      </c>
      <c r="N1928" s="41">
        <v>2</v>
      </c>
      <c r="O1928" s="48">
        <v>98</v>
      </c>
      <c r="P1928" s="35">
        <v>100</v>
      </c>
      <c r="Q1928" s="40">
        <v>6450</v>
      </c>
      <c r="R1928" s="36">
        <f t="shared" si="338"/>
        <v>632100</v>
      </c>
      <c r="S1928" s="37">
        <v>7</v>
      </c>
      <c r="T1928" s="28">
        <f t="shared" si="343"/>
        <v>158025</v>
      </c>
      <c r="U1928" s="36">
        <f t="shared" si="339"/>
        <v>474075</v>
      </c>
      <c r="V1928" s="36">
        <f t="shared" si="340"/>
        <v>480812.5</v>
      </c>
      <c r="W1928" s="36">
        <f t="shared" si="341"/>
        <v>480812.5</v>
      </c>
      <c r="X1928" s="28">
        <v>0</v>
      </c>
      <c r="Y1928" s="28">
        <f t="shared" si="342"/>
        <v>480812.5</v>
      </c>
      <c r="Z1928" s="49">
        <v>3.0000000000000001E-3</v>
      </c>
    </row>
    <row r="1929" spans="1:26" s="29" customFormat="1" ht="90.75" customHeight="1" x14ac:dyDescent="0.25">
      <c r="A1929" s="20"/>
      <c r="B1929" s="20"/>
      <c r="C1929" s="20"/>
      <c r="D1929" s="21"/>
      <c r="E1929" s="21"/>
      <c r="F1929" s="22"/>
      <c r="G1929" s="23"/>
      <c r="H1929" s="36">
        <f t="shared" si="337"/>
        <v>24.5</v>
      </c>
      <c r="I1929" s="40">
        <v>275</v>
      </c>
      <c r="J1929" s="28">
        <f t="shared" si="336"/>
        <v>6737.5</v>
      </c>
      <c r="K1929" s="30">
        <v>15</v>
      </c>
      <c r="L1929" s="31" t="s">
        <v>215</v>
      </c>
      <c r="M1929" s="31" t="s">
        <v>40</v>
      </c>
      <c r="N1929" s="41">
        <v>2</v>
      </c>
      <c r="O1929" s="48">
        <v>98</v>
      </c>
      <c r="P1929" s="35">
        <v>100</v>
      </c>
      <c r="Q1929" s="40">
        <v>6450</v>
      </c>
      <c r="R1929" s="36">
        <f t="shared" si="338"/>
        <v>632100</v>
      </c>
      <c r="S1929" s="37">
        <v>7</v>
      </c>
      <c r="T1929" s="28">
        <f t="shared" si="343"/>
        <v>158025</v>
      </c>
      <c r="U1929" s="36">
        <f t="shared" si="339"/>
        <v>474075</v>
      </c>
      <c r="V1929" s="36">
        <f t="shared" si="340"/>
        <v>480812.5</v>
      </c>
      <c r="W1929" s="36">
        <f t="shared" si="341"/>
        <v>480812.5</v>
      </c>
      <c r="X1929" s="28">
        <v>0</v>
      </c>
      <c r="Y1929" s="28">
        <f t="shared" si="342"/>
        <v>480812.5</v>
      </c>
      <c r="Z1929" s="49">
        <v>3.0000000000000001E-3</v>
      </c>
    </row>
    <row r="1930" spans="1:26" s="29" customFormat="1" ht="90.75" customHeight="1" x14ac:dyDescent="0.25">
      <c r="A1930" s="20"/>
      <c r="B1930" s="20"/>
      <c r="C1930" s="20"/>
      <c r="D1930" s="21"/>
      <c r="E1930" s="21"/>
      <c r="F1930" s="22"/>
      <c r="G1930" s="23"/>
      <c r="H1930" s="36">
        <f t="shared" si="337"/>
        <v>24.5</v>
      </c>
      <c r="I1930" s="40">
        <v>275</v>
      </c>
      <c r="J1930" s="28">
        <f t="shared" si="336"/>
        <v>6737.5</v>
      </c>
      <c r="K1930" s="30">
        <v>16</v>
      </c>
      <c r="L1930" s="31" t="s">
        <v>215</v>
      </c>
      <c r="M1930" s="31" t="s">
        <v>40</v>
      </c>
      <c r="N1930" s="41">
        <v>2</v>
      </c>
      <c r="O1930" s="48">
        <v>98</v>
      </c>
      <c r="P1930" s="35">
        <v>100</v>
      </c>
      <c r="Q1930" s="40">
        <v>6450</v>
      </c>
      <c r="R1930" s="36">
        <f t="shared" si="338"/>
        <v>632100</v>
      </c>
      <c r="S1930" s="37">
        <v>7</v>
      </c>
      <c r="T1930" s="28">
        <f t="shared" si="343"/>
        <v>158025</v>
      </c>
      <c r="U1930" s="36">
        <f t="shared" si="339"/>
        <v>474075</v>
      </c>
      <c r="V1930" s="36">
        <f t="shared" si="340"/>
        <v>480812.5</v>
      </c>
      <c r="W1930" s="36">
        <f t="shared" si="341"/>
        <v>480812.5</v>
      </c>
      <c r="X1930" s="28">
        <v>0</v>
      </c>
      <c r="Y1930" s="28">
        <f t="shared" si="342"/>
        <v>480812.5</v>
      </c>
      <c r="Z1930" s="49">
        <v>3.0000000000000001E-3</v>
      </c>
    </row>
    <row r="1931" spans="1:26" s="29" customFormat="1" ht="90.75" customHeight="1" x14ac:dyDescent="0.25">
      <c r="A1931" s="20"/>
      <c r="B1931" s="20"/>
      <c r="C1931" s="20"/>
      <c r="D1931" s="21"/>
      <c r="E1931" s="21"/>
      <c r="F1931" s="22"/>
      <c r="G1931" s="23"/>
      <c r="H1931" s="36">
        <f t="shared" si="337"/>
        <v>24.5</v>
      </c>
      <c r="I1931" s="40">
        <v>275</v>
      </c>
      <c r="J1931" s="28">
        <f t="shared" si="336"/>
        <v>6737.5</v>
      </c>
      <c r="K1931" s="30">
        <v>17</v>
      </c>
      <c r="L1931" s="31" t="s">
        <v>215</v>
      </c>
      <c r="M1931" s="31" t="s">
        <v>40</v>
      </c>
      <c r="N1931" s="41">
        <v>2</v>
      </c>
      <c r="O1931" s="48">
        <v>98</v>
      </c>
      <c r="P1931" s="35">
        <v>100</v>
      </c>
      <c r="Q1931" s="40">
        <v>6450</v>
      </c>
      <c r="R1931" s="36">
        <f t="shared" si="338"/>
        <v>632100</v>
      </c>
      <c r="S1931" s="37">
        <v>7</v>
      </c>
      <c r="T1931" s="28">
        <f t="shared" si="343"/>
        <v>158025</v>
      </c>
      <c r="U1931" s="36">
        <f t="shared" si="339"/>
        <v>474075</v>
      </c>
      <c r="V1931" s="36">
        <f t="shared" si="340"/>
        <v>480812.5</v>
      </c>
      <c r="W1931" s="36">
        <f t="shared" si="341"/>
        <v>480812.5</v>
      </c>
      <c r="X1931" s="28">
        <v>0</v>
      </c>
      <c r="Y1931" s="28">
        <f t="shared" si="342"/>
        <v>480812.5</v>
      </c>
      <c r="Z1931" s="49">
        <v>3.0000000000000001E-3</v>
      </c>
    </row>
    <row r="1932" spans="1:26" s="29" customFormat="1" ht="90.75" customHeight="1" x14ac:dyDescent="0.25">
      <c r="A1932" s="20"/>
      <c r="B1932" s="20"/>
      <c r="C1932" s="20"/>
      <c r="D1932" s="21"/>
      <c r="E1932" s="21"/>
      <c r="F1932" s="22"/>
      <c r="G1932" s="23"/>
      <c r="H1932" s="36">
        <v>11.92</v>
      </c>
      <c r="I1932" s="40">
        <v>275</v>
      </c>
      <c r="J1932" s="28">
        <f t="shared" si="336"/>
        <v>3278</v>
      </c>
      <c r="K1932" s="30">
        <v>18</v>
      </c>
      <c r="L1932" s="31" t="s">
        <v>215</v>
      </c>
      <c r="M1932" s="31" t="s">
        <v>13</v>
      </c>
      <c r="N1932" s="41">
        <v>2</v>
      </c>
      <c r="O1932" s="48">
        <v>47.7</v>
      </c>
      <c r="P1932" s="35">
        <v>100</v>
      </c>
      <c r="Q1932" s="40">
        <v>6450</v>
      </c>
      <c r="R1932" s="36">
        <f t="shared" si="338"/>
        <v>307665</v>
      </c>
      <c r="S1932" s="37">
        <v>7</v>
      </c>
      <c r="T1932" s="28">
        <f>(R1932*7/100)</f>
        <v>21536.55</v>
      </c>
      <c r="U1932" s="36">
        <f t="shared" si="339"/>
        <v>286128.45</v>
      </c>
      <c r="V1932" s="36">
        <f t="shared" si="340"/>
        <v>289406.45</v>
      </c>
      <c r="W1932" s="36">
        <f>(V1932*P1932/100)</f>
        <v>289406.45</v>
      </c>
      <c r="X1932" s="28">
        <v>10000000</v>
      </c>
      <c r="Y1932" s="28">
        <v>0</v>
      </c>
      <c r="Z1932" s="49">
        <v>2.0000000000000001E-4</v>
      </c>
    </row>
    <row r="1933" spans="1:26" s="29" customFormat="1" ht="90.75" customHeight="1" x14ac:dyDescent="0.25">
      <c r="A1933" s="20"/>
      <c r="B1933" s="20"/>
      <c r="C1933" s="20"/>
      <c r="D1933" s="21"/>
      <c r="E1933" s="21"/>
      <c r="F1933" s="22"/>
      <c r="G1933" s="23"/>
      <c r="H1933" s="36">
        <v>20.3</v>
      </c>
      <c r="I1933" s="40">
        <v>275</v>
      </c>
      <c r="J1933" s="28">
        <f t="shared" si="336"/>
        <v>5582.5</v>
      </c>
      <c r="K1933" s="30">
        <v>19</v>
      </c>
      <c r="L1933" s="31" t="s">
        <v>215</v>
      </c>
      <c r="M1933" s="31" t="s">
        <v>13</v>
      </c>
      <c r="N1933" s="41">
        <v>2</v>
      </c>
      <c r="O1933" s="48">
        <v>81.2</v>
      </c>
      <c r="P1933" s="35">
        <v>100</v>
      </c>
      <c r="Q1933" s="40">
        <v>6450</v>
      </c>
      <c r="R1933" s="36">
        <f t="shared" si="338"/>
        <v>523740</v>
      </c>
      <c r="S1933" s="37">
        <v>7</v>
      </c>
      <c r="T1933" s="28">
        <f>(R1933*7/100)</f>
        <v>36661.800000000003</v>
      </c>
      <c r="U1933" s="36">
        <f t="shared" si="339"/>
        <v>487078.2</v>
      </c>
      <c r="V1933" s="36">
        <f t="shared" si="340"/>
        <v>492660.7</v>
      </c>
      <c r="W1933" s="36">
        <f>(V1933*P1933/100)</f>
        <v>492660.7</v>
      </c>
      <c r="X1933" s="28">
        <v>10000000</v>
      </c>
      <c r="Y1933" s="28">
        <v>0</v>
      </c>
      <c r="Z1933" s="49">
        <v>2.0000000000000001E-4</v>
      </c>
    </row>
    <row r="1934" spans="1:26" s="29" customFormat="1" ht="90.75" customHeight="1" x14ac:dyDescent="0.25">
      <c r="A1934" s="20"/>
      <c r="B1934" s="20"/>
      <c r="C1934" s="20"/>
      <c r="D1934" s="21"/>
      <c r="E1934" s="21"/>
      <c r="F1934" s="22"/>
      <c r="G1934" s="23"/>
      <c r="H1934" s="36">
        <v>3666.83</v>
      </c>
      <c r="I1934" s="40">
        <v>275</v>
      </c>
      <c r="J1934" s="28">
        <f t="shared" si="336"/>
        <v>1008378.25</v>
      </c>
      <c r="K1934" s="30"/>
      <c r="L1934" s="31"/>
      <c r="M1934" s="31"/>
      <c r="N1934" s="41"/>
      <c r="O1934" s="48"/>
      <c r="P1934" s="35"/>
      <c r="Q1934" s="40"/>
      <c r="R1934" s="36"/>
      <c r="S1934" s="37"/>
      <c r="T1934" s="28"/>
      <c r="U1934" s="36"/>
      <c r="V1934" s="36">
        <f>(J1934)</f>
        <v>1008378.25</v>
      </c>
      <c r="W1934" s="36">
        <f>(V1934*100/100)</f>
        <v>1008378.25</v>
      </c>
      <c r="X1934" s="28">
        <v>0</v>
      </c>
      <c r="Y1934" s="28">
        <f>(W1934-X1934)</f>
        <v>1008378.25</v>
      </c>
      <c r="Z1934" s="49">
        <v>3.0000000000000001E-3</v>
      </c>
    </row>
    <row r="1935" spans="1:26" s="29" customFormat="1" ht="90.75" customHeight="1" x14ac:dyDescent="0.25">
      <c r="A1935" s="20">
        <v>1220</v>
      </c>
      <c r="B1935" s="20" t="s">
        <v>0</v>
      </c>
      <c r="C1935" s="20">
        <v>40923</v>
      </c>
      <c r="D1935" s="21">
        <v>6</v>
      </c>
      <c r="E1935" s="21">
        <v>1</v>
      </c>
      <c r="F1935" s="22">
        <v>97</v>
      </c>
      <c r="G1935" s="23" t="s">
        <v>211</v>
      </c>
      <c r="H1935" s="24">
        <f>(D1935*400)+(E1935*100)+F1935</f>
        <v>2597</v>
      </c>
      <c r="I1935" s="25" t="s">
        <v>21</v>
      </c>
      <c r="J1935" s="24">
        <f t="shared" si="336"/>
        <v>1817900</v>
      </c>
      <c r="K1935" s="20"/>
      <c r="L1935" s="20"/>
      <c r="M1935" s="20"/>
      <c r="N1935" s="20"/>
      <c r="O1935" s="24"/>
      <c r="P1935" s="24"/>
      <c r="Q1935" s="25"/>
      <c r="R1935" s="24"/>
      <c r="S1935" s="20"/>
      <c r="T1935" s="27"/>
      <c r="U1935" s="20"/>
      <c r="V1935" s="20"/>
      <c r="W1935" s="26"/>
      <c r="X1935" s="27"/>
      <c r="Y1935" s="20"/>
      <c r="Z1935" s="20"/>
    </row>
    <row r="1936" spans="1:26" s="29" customFormat="1" ht="90.75" customHeight="1" x14ac:dyDescent="0.25">
      <c r="A1936" s="20"/>
      <c r="B1936" s="20"/>
      <c r="C1936" s="20"/>
      <c r="D1936" s="33">
        <v>2</v>
      </c>
      <c r="E1936" s="33">
        <v>0</v>
      </c>
      <c r="F1936" s="112">
        <v>0</v>
      </c>
      <c r="G1936" s="23" t="s">
        <v>211</v>
      </c>
      <c r="H1936" s="36">
        <f>(D1936*400)+(E1936*100)+F1936</f>
        <v>800</v>
      </c>
      <c r="I1936" s="40">
        <v>700</v>
      </c>
      <c r="J1936" s="28">
        <f t="shared" si="336"/>
        <v>560000</v>
      </c>
      <c r="K1936" s="37"/>
      <c r="L1936" s="31"/>
      <c r="M1936" s="32"/>
      <c r="N1936" s="33"/>
      <c r="O1936" s="90"/>
      <c r="P1936" s="86"/>
      <c r="Q1936" s="40"/>
      <c r="R1936" s="36"/>
      <c r="S1936" s="37"/>
      <c r="T1936" s="28"/>
      <c r="U1936" s="36"/>
      <c r="V1936" s="36"/>
      <c r="W1936" s="36"/>
      <c r="X1936" s="28"/>
      <c r="Y1936" s="28"/>
      <c r="Z1936" s="20"/>
    </row>
    <row r="1937" spans="1:26" s="29" customFormat="1" ht="90.75" customHeight="1" x14ac:dyDescent="0.25">
      <c r="A1937" s="20"/>
      <c r="B1937" s="20"/>
      <c r="C1937" s="20"/>
      <c r="D1937" s="33"/>
      <c r="E1937" s="33"/>
      <c r="F1937" s="112"/>
      <c r="G1937" s="51"/>
      <c r="H1937" s="36">
        <v>714.56</v>
      </c>
      <c r="I1937" s="40">
        <v>700</v>
      </c>
      <c r="J1937" s="28">
        <f t="shared" si="336"/>
        <v>500191.99999999994</v>
      </c>
      <c r="K1937" s="37">
        <v>1</v>
      </c>
      <c r="L1937" s="31" t="s">
        <v>43</v>
      </c>
      <c r="M1937" s="32" t="s">
        <v>24</v>
      </c>
      <c r="N1937" s="33">
        <v>2</v>
      </c>
      <c r="O1937" s="90">
        <v>1092.5</v>
      </c>
      <c r="P1937" s="86">
        <v>100</v>
      </c>
      <c r="Q1937" s="40">
        <v>7700</v>
      </c>
      <c r="R1937" s="36">
        <f>(O1937*Q1937)</f>
        <v>8412250</v>
      </c>
      <c r="S1937" s="37">
        <v>7</v>
      </c>
      <c r="T1937" s="28">
        <f>(R1937*7/100)</f>
        <v>588857.5</v>
      </c>
      <c r="U1937" s="36">
        <f>(R1937-T1937)</f>
        <v>7823392.5</v>
      </c>
      <c r="V1937" s="36">
        <f>(J1937+U1937)</f>
        <v>8323584.5</v>
      </c>
      <c r="W1937" s="36">
        <f>(V1937*100/100)</f>
        <v>8323584.5</v>
      </c>
      <c r="X1937" s="28"/>
      <c r="Y1937" s="28"/>
      <c r="Z1937" s="20"/>
    </row>
    <row r="1938" spans="1:26" s="29" customFormat="1" ht="90.75" customHeight="1" x14ac:dyDescent="0.25">
      <c r="A1938" s="20"/>
      <c r="B1938" s="20"/>
      <c r="C1938" s="20"/>
      <c r="D1938" s="33"/>
      <c r="E1938" s="33"/>
      <c r="F1938" s="112"/>
      <c r="G1938" s="51"/>
      <c r="H1938" s="36"/>
      <c r="I1938" s="40"/>
      <c r="J1938" s="28"/>
      <c r="K1938" s="37"/>
      <c r="L1938" s="31" t="s">
        <v>42</v>
      </c>
      <c r="M1938" s="32"/>
      <c r="N1938" s="33"/>
      <c r="O1938" s="90">
        <v>95</v>
      </c>
      <c r="P1938" s="86">
        <v>8.6999999999999993</v>
      </c>
      <c r="Q1938" s="40"/>
      <c r="R1938" s="36"/>
      <c r="S1938" s="37"/>
      <c r="T1938" s="28"/>
      <c r="U1938" s="36"/>
      <c r="V1938" s="36"/>
      <c r="W1938" s="36">
        <f>(W1937*8.7/100)</f>
        <v>724151.85149999987</v>
      </c>
      <c r="X1938" s="28">
        <v>10000000</v>
      </c>
      <c r="Y1938" s="28"/>
      <c r="Z1938" s="49">
        <v>2.0000000000000001E-4</v>
      </c>
    </row>
    <row r="1939" spans="1:26" s="29" customFormat="1" ht="90.75" customHeight="1" x14ac:dyDescent="0.25">
      <c r="A1939" s="20"/>
      <c r="B1939" s="20"/>
      <c r="C1939" s="20"/>
      <c r="D1939" s="33"/>
      <c r="E1939" s="33"/>
      <c r="F1939" s="112"/>
      <c r="G1939" s="51"/>
      <c r="H1939" s="36"/>
      <c r="I1939" s="40"/>
      <c r="J1939" s="28"/>
      <c r="K1939" s="37"/>
      <c r="L1939" s="31" t="s">
        <v>44</v>
      </c>
      <c r="M1939" s="32"/>
      <c r="N1939" s="33">
        <v>3</v>
      </c>
      <c r="O1939" s="90">
        <v>997.5</v>
      </c>
      <c r="P1939" s="86">
        <v>91.3</v>
      </c>
      <c r="Q1939" s="40"/>
      <c r="R1939" s="36"/>
      <c r="S1939" s="37"/>
      <c r="T1939" s="28"/>
      <c r="U1939" s="36"/>
      <c r="V1939" s="36"/>
      <c r="W1939" s="36">
        <f>(W1938*91.3/100)</f>
        <v>661150.64041949983</v>
      </c>
      <c r="X1939" s="28">
        <v>0</v>
      </c>
      <c r="Y1939" s="28">
        <f>(W1939-X1939)</f>
        <v>661150.64041949983</v>
      </c>
      <c r="Z1939" s="49" t="s">
        <v>252</v>
      </c>
    </row>
    <row r="1940" spans="1:26" s="29" customFormat="1" ht="90.75" customHeight="1" x14ac:dyDescent="0.25">
      <c r="A1940" s="20"/>
      <c r="B1940" s="20"/>
      <c r="C1940" s="20"/>
      <c r="D1940" s="33"/>
      <c r="E1940" s="33"/>
      <c r="F1940" s="112"/>
      <c r="G1940" s="51"/>
      <c r="H1940" s="36">
        <f>(O1940*0.25)</f>
        <v>46.25</v>
      </c>
      <c r="I1940" s="40">
        <v>700</v>
      </c>
      <c r="J1940" s="28">
        <f>(H1940*I1940)</f>
        <v>32375</v>
      </c>
      <c r="K1940" s="37">
        <v>2</v>
      </c>
      <c r="L1940" s="31" t="s">
        <v>31</v>
      </c>
      <c r="M1940" s="32"/>
      <c r="N1940" s="33">
        <v>2</v>
      </c>
      <c r="O1940" s="90">
        <v>185</v>
      </c>
      <c r="P1940" s="86">
        <v>100</v>
      </c>
      <c r="Q1940" s="40">
        <v>2550</v>
      </c>
      <c r="R1940" s="36">
        <f>(O1940*Q1940)</f>
        <v>471750</v>
      </c>
      <c r="S1940" s="37">
        <v>7</v>
      </c>
      <c r="T1940" s="28">
        <f>(R1940*7/100)</f>
        <v>33022.5</v>
      </c>
      <c r="U1940" s="36">
        <f>(R1940-T1940)</f>
        <v>438727.5</v>
      </c>
      <c r="V1940" s="36">
        <f>(J1940+U1940)</f>
        <v>471102.5</v>
      </c>
      <c r="W1940" s="36">
        <f>(V1940*100/100)</f>
        <v>471102.5</v>
      </c>
      <c r="X1940" s="28">
        <v>0</v>
      </c>
      <c r="Y1940" s="28">
        <f>(W1940-X1940)</f>
        <v>471102.5</v>
      </c>
      <c r="Z1940" s="49" t="s">
        <v>252</v>
      </c>
    </row>
    <row r="1941" spans="1:26" s="29" customFormat="1" ht="90.75" customHeight="1" x14ac:dyDescent="0.25">
      <c r="A1941" s="20"/>
      <c r="B1941" s="20"/>
      <c r="C1941" s="20"/>
      <c r="D1941" s="33"/>
      <c r="E1941" s="33"/>
      <c r="F1941" s="112"/>
      <c r="G1941" s="51"/>
      <c r="H1941" s="36">
        <f>(O1941*0.25)</f>
        <v>21.125</v>
      </c>
      <c r="I1941" s="40">
        <v>700</v>
      </c>
      <c r="J1941" s="28">
        <f>(H1941*I1941)</f>
        <v>14787.5</v>
      </c>
      <c r="K1941" s="37">
        <v>3</v>
      </c>
      <c r="L1941" s="31" t="s">
        <v>215</v>
      </c>
      <c r="M1941" s="32" t="s">
        <v>13</v>
      </c>
      <c r="N1941" s="33">
        <v>2</v>
      </c>
      <c r="O1941" s="90">
        <v>84.5</v>
      </c>
      <c r="P1941" s="86">
        <v>100</v>
      </c>
      <c r="Q1941" s="40">
        <v>6450</v>
      </c>
      <c r="R1941" s="36">
        <f>(O1941*Q1941)</f>
        <v>545025</v>
      </c>
      <c r="S1941" s="37">
        <v>7</v>
      </c>
      <c r="T1941" s="28">
        <f>(R1941*7/100)</f>
        <v>38151.75</v>
      </c>
      <c r="U1941" s="36">
        <f>(R1941-T1941)</f>
        <v>506873.25</v>
      </c>
      <c r="V1941" s="36">
        <f>(J1941+U1941)</f>
        <v>521660.75</v>
      </c>
      <c r="W1941" s="36">
        <f>(V1941*100/100)</f>
        <v>521660.75</v>
      </c>
      <c r="X1941" s="28">
        <v>0</v>
      </c>
      <c r="Y1941" s="28">
        <f>(W1941-X1941)</f>
        <v>521660.75</v>
      </c>
      <c r="Z1941" s="49">
        <v>2.0000000000000001E-4</v>
      </c>
    </row>
    <row r="1942" spans="1:26" s="29" customFormat="1" ht="90.75" customHeight="1" x14ac:dyDescent="0.25">
      <c r="A1942" s="20"/>
      <c r="B1942" s="20"/>
      <c r="C1942" s="20"/>
      <c r="D1942" s="33"/>
      <c r="E1942" s="33"/>
      <c r="F1942" s="112"/>
      <c r="G1942" s="51"/>
      <c r="H1942" s="36">
        <f>(O1942*0.25)</f>
        <v>18.0625</v>
      </c>
      <c r="I1942" s="40">
        <v>700</v>
      </c>
      <c r="J1942" s="28">
        <f>(H1942*I1942)</f>
        <v>12643.75</v>
      </c>
      <c r="K1942" s="37">
        <v>4</v>
      </c>
      <c r="L1942" s="31" t="s">
        <v>43</v>
      </c>
      <c r="M1942" s="32" t="s">
        <v>13</v>
      </c>
      <c r="N1942" s="33">
        <v>2</v>
      </c>
      <c r="O1942" s="90">
        <v>72.25</v>
      </c>
      <c r="P1942" s="86">
        <v>100</v>
      </c>
      <c r="Q1942" s="40">
        <v>7700</v>
      </c>
      <c r="R1942" s="36">
        <f>(O1942*Q1942)</f>
        <v>556325</v>
      </c>
      <c r="S1942" s="37">
        <v>7</v>
      </c>
      <c r="T1942" s="28">
        <f>(R1942*7/100)</f>
        <v>38942.75</v>
      </c>
      <c r="U1942" s="36">
        <f>(R1942-T1942)</f>
        <v>517382.25</v>
      </c>
      <c r="V1942" s="36">
        <f>(J1942+U1942)</f>
        <v>530026</v>
      </c>
      <c r="W1942" s="36">
        <f>(V1942*100/100)</f>
        <v>530026</v>
      </c>
      <c r="X1942" s="28">
        <v>0</v>
      </c>
      <c r="Y1942" s="28">
        <f>(W1942-X1942)</f>
        <v>530026</v>
      </c>
      <c r="Z1942" s="49">
        <v>2.0000000000000001E-4</v>
      </c>
    </row>
    <row r="1943" spans="1:26" s="29" customFormat="1" ht="90.75" customHeight="1" x14ac:dyDescent="0.25">
      <c r="A1943" s="20"/>
      <c r="B1943" s="20"/>
      <c r="C1943" s="20"/>
      <c r="D1943" s="33">
        <v>4</v>
      </c>
      <c r="E1943" s="33">
        <v>1</v>
      </c>
      <c r="F1943" s="112">
        <v>97</v>
      </c>
      <c r="G1943" s="21" t="s">
        <v>209</v>
      </c>
      <c r="H1943" s="36">
        <f>(D1943*400)+(E1943*100)+F1943</f>
        <v>1797</v>
      </c>
      <c r="I1943" s="40">
        <v>700</v>
      </c>
      <c r="J1943" s="28">
        <f>(H1943*I1943)</f>
        <v>1257900</v>
      </c>
      <c r="K1943" s="37"/>
      <c r="L1943" s="31"/>
      <c r="M1943" s="32"/>
      <c r="N1943" s="33"/>
      <c r="O1943" s="90"/>
      <c r="P1943" s="86"/>
      <c r="Q1943" s="40"/>
      <c r="R1943" s="36"/>
      <c r="S1943" s="37"/>
      <c r="T1943" s="28"/>
      <c r="U1943" s="36"/>
      <c r="V1943" s="36">
        <f>(J1943+U1943)</f>
        <v>1257900</v>
      </c>
      <c r="W1943" s="36">
        <f>(V1943*100/100)</f>
        <v>1257900</v>
      </c>
      <c r="X1943" s="28">
        <v>0</v>
      </c>
      <c r="Y1943" s="28">
        <f>(W1943-X1943)</f>
        <v>1257900</v>
      </c>
      <c r="Z1943" s="49" t="s">
        <v>252</v>
      </c>
    </row>
    <row r="1944" spans="1:26" s="29" customFormat="1" ht="90.75" customHeight="1" x14ac:dyDescent="0.25">
      <c r="A1944" s="20">
        <v>1221</v>
      </c>
      <c r="B1944" s="20" t="s">
        <v>0</v>
      </c>
      <c r="C1944" s="20">
        <v>48660</v>
      </c>
      <c r="D1944" s="21">
        <v>1</v>
      </c>
      <c r="E1944" s="21">
        <v>2</v>
      </c>
      <c r="F1944" s="22">
        <v>48</v>
      </c>
      <c r="G1944" s="23" t="s">
        <v>211</v>
      </c>
      <c r="H1944" s="24">
        <f>(D1944*400)+(E1944*100)+F1944</f>
        <v>648</v>
      </c>
      <c r="I1944" s="25" t="s">
        <v>6</v>
      </c>
      <c r="J1944" s="24">
        <f>(H1944*I1944)</f>
        <v>113400</v>
      </c>
      <c r="K1944" s="20"/>
      <c r="L1944" s="20"/>
      <c r="M1944" s="20"/>
      <c r="N1944" s="20"/>
      <c r="O1944" s="24"/>
      <c r="P1944" s="24"/>
      <c r="Q1944" s="25"/>
      <c r="R1944" s="24"/>
      <c r="S1944" s="20"/>
      <c r="T1944" s="27"/>
      <c r="U1944" s="20"/>
      <c r="V1944" s="20"/>
      <c r="W1944" s="26"/>
      <c r="X1944" s="27"/>
      <c r="Y1944" s="20"/>
      <c r="Z1944" s="20"/>
    </row>
    <row r="1945" spans="1:26" s="29" customFormat="1" ht="90.75" customHeight="1" x14ac:dyDescent="0.25">
      <c r="A1945" s="20"/>
      <c r="B1945" s="20"/>
      <c r="C1945" s="20"/>
      <c r="D1945" s="21"/>
      <c r="E1945" s="21"/>
      <c r="F1945" s="22"/>
      <c r="G1945" s="23"/>
      <c r="H1945" s="24"/>
      <c r="I1945" s="25"/>
      <c r="J1945" s="24"/>
      <c r="K1945" s="37">
        <v>1</v>
      </c>
      <c r="L1945" s="20" t="s">
        <v>43</v>
      </c>
      <c r="M1945" s="37" t="s">
        <v>24</v>
      </c>
      <c r="N1945" s="30">
        <v>2</v>
      </c>
      <c r="O1945" s="77">
        <v>60</v>
      </c>
      <c r="P1945" s="35">
        <v>100</v>
      </c>
      <c r="Q1945" s="77">
        <v>7700</v>
      </c>
      <c r="R1945" s="77">
        <f>(O1945*Q1945)</f>
        <v>462000</v>
      </c>
      <c r="S1945" s="37">
        <v>4</v>
      </c>
      <c r="T1945" s="28">
        <f>(R1945*4/100)</f>
        <v>18480</v>
      </c>
      <c r="U1945" s="77">
        <f>(R1945-T1945)</f>
        <v>443520</v>
      </c>
      <c r="V1945" s="36"/>
      <c r="W1945" s="36"/>
      <c r="X1945" s="28"/>
      <c r="Y1945" s="26"/>
      <c r="Z1945" s="49"/>
    </row>
    <row r="1946" spans="1:26" s="29" customFormat="1" ht="90.75" customHeight="1" x14ac:dyDescent="0.25">
      <c r="A1946" s="20"/>
      <c r="B1946" s="20"/>
      <c r="C1946" s="20"/>
      <c r="D1946" s="21"/>
      <c r="E1946" s="21"/>
      <c r="F1946" s="22"/>
      <c r="G1946" s="23"/>
      <c r="H1946" s="24"/>
      <c r="I1946" s="25"/>
      <c r="J1946" s="24"/>
      <c r="K1946" s="37">
        <v>2</v>
      </c>
      <c r="L1946" s="20" t="s">
        <v>36</v>
      </c>
      <c r="M1946" s="37"/>
      <c r="N1946" s="30">
        <v>3</v>
      </c>
      <c r="O1946" s="77">
        <v>280</v>
      </c>
      <c r="P1946" s="35">
        <v>100</v>
      </c>
      <c r="Q1946" s="77">
        <v>5550</v>
      </c>
      <c r="R1946" s="77">
        <f>(O1946*Q1946)</f>
        <v>1554000</v>
      </c>
      <c r="S1946" s="37">
        <v>4</v>
      </c>
      <c r="T1946" s="28">
        <f>(R1946*4/100)</f>
        <v>62160</v>
      </c>
      <c r="U1946" s="77">
        <f>(R1946-T1946)</f>
        <v>1491840</v>
      </c>
      <c r="V1946" s="36"/>
      <c r="W1946" s="36"/>
      <c r="X1946" s="28"/>
      <c r="Y1946" s="26"/>
      <c r="Z1946" s="49"/>
    </row>
    <row r="1947" spans="1:26" s="29" customFormat="1" ht="90.75" customHeight="1" x14ac:dyDescent="0.25">
      <c r="A1947" s="20"/>
      <c r="B1947" s="20"/>
      <c r="C1947" s="20"/>
      <c r="D1947" s="21"/>
      <c r="E1947" s="21"/>
      <c r="F1947" s="22"/>
      <c r="G1947" s="23"/>
      <c r="H1947" s="24"/>
      <c r="I1947" s="25"/>
      <c r="J1947" s="24"/>
      <c r="K1947" s="37">
        <v>3</v>
      </c>
      <c r="L1947" s="20" t="s">
        <v>31</v>
      </c>
      <c r="M1947" s="37"/>
      <c r="N1947" s="30">
        <v>3</v>
      </c>
      <c r="O1947" s="77">
        <v>140</v>
      </c>
      <c r="P1947" s="35">
        <v>100</v>
      </c>
      <c r="Q1947" s="77">
        <v>2550</v>
      </c>
      <c r="R1947" s="77">
        <f>(O1947*Q1947)</f>
        <v>357000</v>
      </c>
      <c r="S1947" s="37">
        <v>4</v>
      </c>
      <c r="T1947" s="28">
        <f>(R1947*4/100)</f>
        <v>14280</v>
      </c>
      <c r="U1947" s="77">
        <f>(R1947-T1947)</f>
        <v>342720</v>
      </c>
      <c r="V1947" s="36"/>
      <c r="W1947" s="36"/>
      <c r="X1947" s="28"/>
      <c r="Y1947" s="26"/>
      <c r="Z1947" s="49"/>
    </row>
    <row r="1948" spans="1:26" s="29" customFormat="1" ht="90.75" customHeight="1" x14ac:dyDescent="0.25">
      <c r="A1948" s="20"/>
      <c r="B1948" s="20"/>
      <c r="C1948" s="20"/>
      <c r="D1948" s="21"/>
      <c r="E1948" s="21"/>
      <c r="F1948" s="22"/>
      <c r="G1948" s="23"/>
      <c r="H1948" s="24"/>
      <c r="I1948" s="25"/>
      <c r="J1948" s="24"/>
      <c r="K1948" s="37"/>
      <c r="L1948" s="20"/>
      <c r="M1948" s="37"/>
      <c r="N1948" s="30"/>
      <c r="O1948" s="77"/>
      <c r="P1948" s="35"/>
      <c r="Q1948" s="77"/>
      <c r="R1948" s="77"/>
      <c r="S1948" s="37"/>
      <c r="T1948" s="28"/>
      <c r="U1948" s="77">
        <f>SUM(U1945:U1947)</f>
        <v>2278080</v>
      </c>
      <c r="V1948" s="36">
        <f>(J1944+U1948)</f>
        <v>2391480</v>
      </c>
      <c r="W1948" s="36">
        <f>(V1948*100/100)</f>
        <v>2391480</v>
      </c>
      <c r="X1948" s="28">
        <v>0</v>
      </c>
      <c r="Y1948" s="26">
        <f>(W1948-X1948)</f>
        <v>2391480</v>
      </c>
      <c r="Z1948" s="49">
        <v>3.0000000000000001E-3</v>
      </c>
    </row>
    <row r="1949" spans="1:26" s="29" customFormat="1" ht="90.75" customHeight="1" x14ac:dyDescent="0.25">
      <c r="A1949" s="20">
        <v>1222</v>
      </c>
      <c r="B1949" s="20" t="s">
        <v>0</v>
      </c>
      <c r="C1949" s="20">
        <v>28122</v>
      </c>
      <c r="D1949" s="21">
        <v>4</v>
      </c>
      <c r="E1949" s="21">
        <v>3</v>
      </c>
      <c r="F1949" s="22">
        <v>22</v>
      </c>
      <c r="G1949" s="23" t="s">
        <v>211</v>
      </c>
      <c r="H1949" s="24">
        <f>(D1949*400)+(E1949*100)+F1949</f>
        <v>1922</v>
      </c>
      <c r="I1949" s="25" t="s">
        <v>47</v>
      </c>
      <c r="J1949" s="24">
        <f>(H1949*I1949)</f>
        <v>1633700</v>
      </c>
      <c r="K1949" s="20"/>
      <c r="L1949" s="20"/>
      <c r="M1949" s="20"/>
      <c r="N1949" s="20"/>
      <c r="O1949" s="24"/>
      <c r="P1949" s="24"/>
      <c r="Q1949" s="25"/>
      <c r="R1949" s="24"/>
      <c r="S1949" s="20"/>
      <c r="T1949" s="27"/>
      <c r="U1949" s="20"/>
      <c r="V1949" s="20"/>
      <c r="W1949" s="26"/>
      <c r="X1949" s="27"/>
      <c r="Y1949" s="20"/>
      <c r="Z1949" s="20"/>
    </row>
    <row r="1950" spans="1:26" s="29" customFormat="1" ht="90.75" customHeight="1" x14ac:dyDescent="0.25">
      <c r="A1950" s="20"/>
      <c r="B1950" s="20"/>
      <c r="C1950" s="20"/>
      <c r="D1950" s="21"/>
      <c r="E1950" s="21"/>
      <c r="F1950" s="22"/>
      <c r="G1950" s="23"/>
      <c r="H1950" s="36">
        <v>1822</v>
      </c>
      <c r="I1950" s="40">
        <v>850</v>
      </c>
      <c r="J1950" s="28">
        <v>1548700</v>
      </c>
      <c r="K1950" s="37"/>
      <c r="L1950" s="31"/>
      <c r="M1950" s="32"/>
      <c r="N1950" s="33"/>
      <c r="O1950" s="34"/>
      <c r="P1950" s="35"/>
      <c r="Q1950" s="36"/>
      <c r="R1950" s="36"/>
      <c r="S1950" s="37"/>
      <c r="T1950" s="28"/>
      <c r="U1950" s="36"/>
      <c r="V1950" s="36"/>
      <c r="W1950" s="26"/>
      <c r="X1950" s="27"/>
      <c r="Y1950" s="20"/>
      <c r="Z1950" s="20"/>
    </row>
    <row r="1951" spans="1:26" s="29" customFormat="1" ht="90.75" customHeight="1" x14ac:dyDescent="0.25">
      <c r="A1951" s="20"/>
      <c r="B1951" s="20"/>
      <c r="C1951" s="20"/>
      <c r="D1951" s="21"/>
      <c r="E1951" s="21"/>
      <c r="F1951" s="22"/>
      <c r="G1951" s="23"/>
      <c r="H1951" s="36"/>
      <c r="I1951" s="40"/>
      <c r="J1951" s="28"/>
      <c r="K1951" s="37">
        <v>1</v>
      </c>
      <c r="L1951" s="31" t="s">
        <v>48</v>
      </c>
      <c r="M1951" s="32"/>
      <c r="N1951" s="33">
        <v>3</v>
      </c>
      <c r="O1951" s="34">
        <v>336</v>
      </c>
      <c r="P1951" s="35">
        <v>100</v>
      </c>
      <c r="Q1951" s="36">
        <v>3500</v>
      </c>
      <c r="R1951" s="36">
        <v>1176000</v>
      </c>
      <c r="S1951" s="37">
        <v>22</v>
      </c>
      <c r="T1951" s="28">
        <f t="shared" ref="T1951:T1956" si="344">(R1951*93/100)</f>
        <v>1093680</v>
      </c>
      <c r="U1951" s="36">
        <f t="shared" ref="U1951:U1956" si="345">(R1951-T1951)</f>
        <v>82320</v>
      </c>
      <c r="V1951" s="36"/>
      <c r="W1951" s="26"/>
      <c r="X1951" s="27"/>
      <c r="Y1951" s="20"/>
      <c r="Z1951" s="20"/>
    </row>
    <row r="1952" spans="1:26" s="29" customFormat="1" ht="90.75" customHeight="1" x14ac:dyDescent="0.25">
      <c r="A1952" s="20"/>
      <c r="B1952" s="20"/>
      <c r="C1952" s="20"/>
      <c r="D1952" s="21"/>
      <c r="E1952" s="21"/>
      <c r="F1952" s="22"/>
      <c r="G1952" s="23"/>
      <c r="H1952" s="36"/>
      <c r="I1952" s="40"/>
      <c r="J1952" s="28"/>
      <c r="K1952" s="37">
        <v>2</v>
      </c>
      <c r="L1952" s="31" t="s">
        <v>48</v>
      </c>
      <c r="M1952" s="32"/>
      <c r="N1952" s="33">
        <v>3</v>
      </c>
      <c r="O1952" s="34">
        <v>55</v>
      </c>
      <c r="P1952" s="35">
        <v>100</v>
      </c>
      <c r="Q1952" s="36">
        <v>5550</v>
      </c>
      <c r="R1952" s="36">
        <v>305250</v>
      </c>
      <c r="S1952" s="37">
        <v>22</v>
      </c>
      <c r="T1952" s="28">
        <f t="shared" si="344"/>
        <v>283882.5</v>
      </c>
      <c r="U1952" s="36">
        <f t="shared" si="345"/>
        <v>21367.5</v>
      </c>
      <c r="V1952" s="36"/>
      <c r="W1952" s="26"/>
      <c r="X1952" s="27"/>
      <c r="Y1952" s="20"/>
      <c r="Z1952" s="20"/>
    </row>
    <row r="1953" spans="1:26" s="29" customFormat="1" ht="90.75" customHeight="1" x14ac:dyDescent="0.25">
      <c r="A1953" s="20"/>
      <c r="B1953" s="20"/>
      <c r="C1953" s="20"/>
      <c r="D1953" s="21"/>
      <c r="E1953" s="21"/>
      <c r="F1953" s="22"/>
      <c r="G1953" s="23"/>
      <c r="H1953" s="36"/>
      <c r="I1953" s="40"/>
      <c r="J1953" s="28"/>
      <c r="K1953" s="37">
        <v>3</v>
      </c>
      <c r="L1953" s="31" t="s">
        <v>48</v>
      </c>
      <c r="M1953" s="32"/>
      <c r="N1953" s="33">
        <v>3</v>
      </c>
      <c r="O1953" s="34">
        <v>216</v>
      </c>
      <c r="P1953" s="35">
        <v>100</v>
      </c>
      <c r="Q1953" s="36">
        <v>5550</v>
      </c>
      <c r="R1953" s="36">
        <v>1198800</v>
      </c>
      <c r="S1953" s="37">
        <v>22</v>
      </c>
      <c r="T1953" s="28">
        <f t="shared" si="344"/>
        <v>1114884</v>
      </c>
      <c r="U1953" s="36">
        <f t="shared" si="345"/>
        <v>83916</v>
      </c>
      <c r="V1953" s="36"/>
      <c r="W1953" s="26"/>
      <c r="X1953" s="27"/>
      <c r="Y1953" s="20"/>
      <c r="Z1953" s="20"/>
    </row>
    <row r="1954" spans="1:26" s="29" customFormat="1" ht="90.75" customHeight="1" x14ac:dyDescent="0.25">
      <c r="A1954" s="20"/>
      <c r="B1954" s="20"/>
      <c r="C1954" s="20"/>
      <c r="D1954" s="21"/>
      <c r="E1954" s="21"/>
      <c r="F1954" s="22"/>
      <c r="G1954" s="23"/>
      <c r="H1954" s="36"/>
      <c r="I1954" s="40"/>
      <c r="J1954" s="28"/>
      <c r="K1954" s="37">
        <v>4</v>
      </c>
      <c r="L1954" s="31" t="s">
        <v>38</v>
      </c>
      <c r="M1954" s="32"/>
      <c r="N1954" s="33">
        <v>2</v>
      </c>
      <c r="O1954" s="34">
        <v>38</v>
      </c>
      <c r="P1954" s="35">
        <v>100</v>
      </c>
      <c r="Q1954" s="36">
        <v>6550</v>
      </c>
      <c r="R1954" s="36">
        <v>248900</v>
      </c>
      <c r="S1954" s="37">
        <v>22</v>
      </c>
      <c r="T1954" s="28">
        <f t="shared" si="344"/>
        <v>231477</v>
      </c>
      <c r="U1954" s="36">
        <f t="shared" si="345"/>
        <v>17423</v>
      </c>
      <c r="V1954" s="36"/>
      <c r="W1954" s="26"/>
      <c r="X1954" s="27"/>
      <c r="Y1954" s="20"/>
      <c r="Z1954" s="20"/>
    </row>
    <row r="1955" spans="1:26" s="29" customFormat="1" ht="90.75" customHeight="1" x14ac:dyDescent="0.25">
      <c r="A1955" s="20"/>
      <c r="B1955" s="20"/>
      <c r="C1955" s="20"/>
      <c r="D1955" s="21"/>
      <c r="E1955" s="21"/>
      <c r="F1955" s="22"/>
      <c r="G1955" s="23"/>
      <c r="H1955" s="36"/>
      <c r="I1955" s="40"/>
      <c r="J1955" s="28"/>
      <c r="K1955" s="37">
        <v>5</v>
      </c>
      <c r="L1955" s="31" t="s">
        <v>49</v>
      </c>
      <c r="M1955" s="32"/>
      <c r="N1955" s="33">
        <v>3</v>
      </c>
      <c r="O1955" s="34">
        <v>90</v>
      </c>
      <c r="P1955" s="35">
        <v>100</v>
      </c>
      <c r="Q1955" s="36">
        <v>2550</v>
      </c>
      <c r="R1955" s="36">
        <v>229500</v>
      </c>
      <c r="S1955" s="37">
        <v>22</v>
      </c>
      <c r="T1955" s="28">
        <f t="shared" si="344"/>
        <v>213435</v>
      </c>
      <c r="U1955" s="36">
        <f t="shared" si="345"/>
        <v>16065</v>
      </c>
      <c r="V1955" s="36"/>
      <c r="W1955" s="26"/>
      <c r="X1955" s="27"/>
      <c r="Y1955" s="20"/>
      <c r="Z1955" s="20"/>
    </row>
    <row r="1956" spans="1:26" s="29" customFormat="1" ht="90.75" customHeight="1" x14ac:dyDescent="0.25">
      <c r="A1956" s="20"/>
      <c r="B1956" s="20"/>
      <c r="C1956" s="20"/>
      <c r="D1956" s="21"/>
      <c r="E1956" s="21"/>
      <c r="F1956" s="22"/>
      <c r="G1956" s="23"/>
      <c r="H1956" s="36"/>
      <c r="I1956" s="40"/>
      <c r="J1956" s="28"/>
      <c r="K1956" s="37">
        <v>6</v>
      </c>
      <c r="L1956" s="31" t="s">
        <v>38</v>
      </c>
      <c r="M1956" s="32"/>
      <c r="N1956" s="33">
        <v>2</v>
      </c>
      <c r="O1956" s="34">
        <v>112</v>
      </c>
      <c r="P1956" s="35">
        <v>100</v>
      </c>
      <c r="Q1956" s="36">
        <v>6550</v>
      </c>
      <c r="R1956" s="36">
        <v>733600</v>
      </c>
      <c r="S1956" s="37">
        <v>22</v>
      </c>
      <c r="T1956" s="28">
        <f t="shared" si="344"/>
        <v>682248</v>
      </c>
      <c r="U1956" s="36">
        <f t="shared" si="345"/>
        <v>51352</v>
      </c>
      <c r="V1956" s="36"/>
      <c r="W1956" s="26"/>
      <c r="X1956" s="27"/>
      <c r="Y1956" s="20"/>
      <c r="Z1956" s="20"/>
    </row>
    <row r="1957" spans="1:26" s="29" customFormat="1" ht="90.75" customHeight="1" x14ac:dyDescent="0.25">
      <c r="A1957" s="20"/>
      <c r="B1957" s="20"/>
      <c r="C1957" s="20"/>
      <c r="D1957" s="21"/>
      <c r="E1957" s="21"/>
      <c r="F1957" s="22"/>
      <c r="G1957" s="23"/>
      <c r="H1957" s="36"/>
      <c r="I1957" s="40"/>
      <c r="J1957" s="28"/>
      <c r="K1957" s="37"/>
      <c r="L1957" s="31"/>
      <c r="M1957" s="32"/>
      <c r="N1957" s="33"/>
      <c r="O1957" s="82"/>
      <c r="P1957" s="86"/>
      <c r="Q1957" s="36"/>
      <c r="R1957" s="36"/>
      <c r="S1957" s="37"/>
      <c r="T1957" s="28"/>
      <c r="U1957" s="36">
        <f>(U1951+U1952+U1953+U1954+U1955+U1956)</f>
        <v>272443.5</v>
      </c>
      <c r="V1957" s="36">
        <f>(J1950+U1957)</f>
        <v>1821143.5</v>
      </c>
      <c r="W1957" s="36">
        <f>(V1957*100/100)</f>
        <v>1821143.5</v>
      </c>
      <c r="X1957" s="28">
        <v>0</v>
      </c>
      <c r="Y1957" s="26">
        <f>(W1957-X1957)</f>
        <v>1821143.5</v>
      </c>
      <c r="Z1957" s="49">
        <v>3.0000000000000001E-3</v>
      </c>
    </row>
    <row r="1958" spans="1:26" s="29" customFormat="1" ht="90.75" customHeight="1" x14ac:dyDescent="0.25">
      <c r="A1958" s="20"/>
      <c r="B1958" s="20" t="s">
        <v>0</v>
      </c>
      <c r="C1958" s="20">
        <v>28122</v>
      </c>
      <c r="D1958" s="21"/>
      <c r="E1958" s="21"/>
      <c r="F1958" s="22"/>
      <c r="G1958" s="21" t="s">
        <v>209</v>
      </c>
      <c r="H1958" s="24">
        <v>400</v>
      </c>
      <c r="I1958" s="25">
        <v>850</v>
      </c>
      <c r="J1958" s="24">
        <f>(H1958*I1958)</f>
        <v>340000</v>
      </c>
      <c r="K1958" s="20"/>
      <c r="L1958" s="20"/>
      <c r="M1958" s="20"/>
      <c r="N1958" s="20"/>
      <c r="O1958" s="24"/>
      <c r="P1958" s="24"/>
      <c r="Q1958" s="25"/>
      <c r="R1958" s="24"/>
      <c r="S1958" s="20"/>
      <c r="T1958" s="27"/>
      <c r="U1958" s="20"/>
      <c r="V1958" s="27">
        <f>(J1958+U1958)</f>
        <v>340000</v>
      </c>
      <c r="W1958" s="26">
        <f>(V1958*100/100)</f>
        <v>340000</v>
      </c>
      <c r="X1958" s="27">
        <v>0</v>
      </c>
      <c r="Y1958" s="80">
        <f>(W1958-X1958)</f>
        <v>340000</v>
      </c>
      <c r="Z1958" s="49">
        <v>3.0000000000000001E-3</v>
      </c>
    </row>
    <row r="1959" spans="1:26" s="29" customFormat="1" ht="90.75" customHeight="1" x14ac:dyDescent="0.25">
      <c r="A1959" s="20">
        <v>1223</v>
      </c>
      <c r="B1959" s="20" t="s">
        <v>0</v>
      </c>
      <c r="C1959" s="20">
        <v>16071</v>
      </c>
      <c r="D1959" s="21">
        <v>1</v>
      </c>
      <c r="E1959" s="21">
        <v>0</v>
      </c>
      <c r="F1959" s="22">
        <v>0</v>
      </c>
      <c r="G1959" s="23" t="s">
        <v>211</v>
      </c>
      <c r="H1959" s="36">
        <f>(D1959*400)+(E1959*100)+F1959</f>
        <v>400</v>
      </c>
      <c r="I1959" s="40" t="s">
        <v>23</v>
      </c>
      <c r="J1959" s="65">
        <f>(H1959*I1959)</f>
        <v>400000</v>
      </c>
      <c r="K1959" s="30"/>
      <c r="L1959" s="31"/>
      <c r="M1959" s="112"/>
      <c r="N1959" s="30"/>
      <c r="O1959" s="90"/>
      <c r="P1959" s="86"/>
      <c r="Q1959" s="83"/>
      <c r="R1959" s="33"/>
      <c r="S1959" s="33"/>
      <c r="T1959" s="89"/>
      <c r="U1959" s="33"/>
      <c r="V1959" s="90"/>
      <c r="W1959" s="90"/>
      <c r="X1959" s="89"/>
      <c r="Y1959" s="48"/>
      <c r="Z1959" s="53"/>
    </row>
    <row r="1960" spans="1:26" s="29" customFormat="1" ht="90.75" customHeight="1" x14ac:dyDescent="0.25">
      <c r="A1960" s="20"/>
      <c r="B1960" s="20"/>
      <c r="C1960" s="20"/>
      <c r="D1960" s="21"/>
      <c r="E1960" s="21"/>
      <c r="F1960" s="22"/>
      <c r="G1960" s="23"/>
      <c r="H1960" s="36">
        <f>(O1960*0.25)</f>
        <v>15.602499999999999</v>
      </c>
      <c r="I1960" s="40">
        <v>1000</v>
      </c>
      <c r="J1960" s="28">
        <f>(H1960*I1960)</f>
        <v>15602.5</v>
      </c>
      <c r="K1960" s="37">
        <v>1</v>
      </c>
      <c r="L1960" s="31" t="s">
        <v>215</v>
      </c>
      <c r="M1960" s="32" t="s">
        <v>253</v>
      </c>
      <c r="N1960" s="33">
        <v>3</v>
      </c>
      <c r="O1960" s="90">
        <v>62.41</v>
      </c>
      <c r="P1960" s="86">
        <v>100</v>
      </c>
      <c r="Q1960" s="40">
        <v>6450</v>
      </c>
      <c r="R1960" s="36">
        <f>(O1960*Q1960)</f>
        <v>402544.5</v>
      </c>
      <c r="S1960" s="37">
        <v>22</v>
      </c>
      <c r="T1960" s="28">
        <f>(R1960*34/100)</f>
        <v>136865.13</v>
      </c>
      <c r="U1960" s="36">
        <f>(R1960-T1960)</f>
        <v>265679.37</v>
      </c>
      <c r="V1960" s="36">
        <f>(J1960+U1960)</f>
        <v>281281.87</v>
      </c>
      <c r="W1960" s="36">
        <f>(V1960*100/100)</f>
        <v>281281.87</v>
      </c>
      <c r="X1960" s="28">
        <v>0</v>
      </c>
      <c r="Y1960" s="28">
        <f>(W1960-X1960)</f>
        <v>281281.87</v>
      </c>
      <c r="Z1960" s="49">
        <v>3.0000000000000001E-3</v>
      </c>
    </row>
    <row r="1961" spans="1:26" s="29" customFormat="1" ht="90.75" customHeight="1" x14ac:dyDescent="0.25">
      <c r="A1961" s="20"/>
      <c r="B1961" s="20"/>
      <c r="C1961" s="20"/>
      <c r="D1961" s="21"/>
      <c r="E1961" s="21"/>
      <c r="F1961" s="22"/>
      <c r="G1961" s="23"/>
      <c r="H1961" s="36">
        <v>50</v>
      </c>
      <c r="I1961" s="40">
        <v>1000</v>
      </c>
      <c r="J1961" s="28">
        <f>(H1961*I1961)</f>
        <v>50000</v>
      </c>
      <c r="K1961" s="37"/>
      <c r="L1961" s="31"/>
      <c r="M1961" s="32"/>
      <c r="N1961" s="33"/>
      <c r="O1961" s="90"/>
      <c r="P1961" s="86"/>
      <c r="Q1961" s="40"/>
      <c r="R1961" s="36"/>
      <c r="S1961" s="37"/>
      <c r="T1961" s="28"/>
      <c r="U1961" s="36"/>
      <c r="V1961" s="36"/>
      <c r="W1961" s="36"/>
      <c r="X1961" s="28"/>
      <c r="Y1961" s="28"/>
      <c r="Z1961" s="49"/>
    </row>
    <row r="1962" spans="1:26" s="29" customFormat="1" ht="90.75" customHeight="1" x14ac:dyDescent="0.25">
      <c r="A1962" s="20"/>
      <c r="B1962" s="20"/>
      <c r="C1962" s="20"/>
      <c r="D1962" s="21"/>
      <c r="E1962" s="21"/>
      <c r="F1962" s="22"/>
      <c r="G1962" s="23"/>
      <c r="H1962" s="36"/>
      <c r="I1962" s="40"/>
      <c r="J1962" s="28"/>
      <c r="K1962" s="37">
        <v>2</v>
      </c>
      <c r="L1962" s="31" t="s">
        <v>215</v>
      </c>
      <c r="M1962" s="32" t="s">
        <v>40</v>
      </c>
      <c r="N1962" s="33">
        <v>2</v>
      </c>
      <c r="O1962" s="90">
        <v>53.9</v>
      </c>
      <c r="P1962" s="86">
        <v>100</v>
      </c>
      <c r="Q1962" s="40">
        <v>6450</v>
      </c>
      <c r="R1962" s="36">
        <f>(O1962*Q1962)</f>
        <v>347655</v>
      </c>
      <c r="S1962" s="37">
        <v>22</v>
      </c>
      <c r="T1962" s="28">
        <f>(R1962*93/100)</f>
        <v>323319.15000000002</v>
      </c>
      <c r="U1962" s="36">
        <f>(R1962-T1962)</f>
        <v>24335.849999999977</v>
      </c>
      <c r="V1962" s="36"/>
      <c r="W1962" s="36"/>
      <c r="X1962" s="28"/>
      <c r="Y1962" s="28"/>
      <c r="Z1962" s="20"/>
    </row>
    <row r="1963" spans="1:26" s="29" customFormat="1" ht="90.75" customHeight="1" x14ac:dyDescent="0.25">
      <c r="A1963" s="20"/>
      <c r="B1963" s="20"/>
      <c r="C1963" s="20"/>
      <c r="D1963" s="21"/>
      <c r="E1963" s="21"/>
      <c r="F1963" s="22"/>
      <c r="G1963" s="23"/>
      <c r="H1963" s="36"/>
      <c r="I1963" s="40"/>
      <c r="J1963" s="28"/>
      <c r="K1963" s="37">
        <v>3</v>
      </c>
      <c r="L1963" s="31" t="s">
        <v>28</v>
      </c>
      <c r="M1963" s="32"/>
      <c r="N1963" s="33">
        <v>3</v>
      </c>
      <c r="O1963" s="90">
        <v>138</v>
      </c>
      <c r="P1963" s="86">
        <v>100</v>
      </c>
      <c r="Q1963" s="40">
        <v>5500</v>
      </c>
      <c r="R1963" s="36">
        <f>(O1963*Q1963)</f>
        <v>759000</v>
      </c>
      <c r="S1963" s="37">
        <v>22</v>
      </c>
      <c r="T1963" s="28">
        <f>(R1963*93/100)</f>
        <v>705870</v>
      </c>
      <c r="U1963" s="36">
        <f>(R1963-T1963)</f>
        <v>53130</v>
      </c>
      <c r="V1963" s="36"/>
      <c r="W1963" s="36"/>
      <c r="X1963" s="28"/>
      <c r="Y1963" s="28"/>
      <c r="Z1963" s="20"/>
    </row>
    <row r="1964" spans="1:26" s="29" customFormat="1" ht="90.75" customHeight="1" x14ac:dyDescent="0.25">
      <c r="A1964" s="20"/>
      <c r="B1964" s="20"/>
      <c r="C1964" s="20"/>
      <c r="D1964" s="21"/>
      <c r="E1964" s="21"/>
      <c r="F1964" s="22"/>
      <c r="G1964" s="23"/>
      <c r="H1964" s="36"/>
      <c r="I1964" s="40"/>
      <c r="J1964" s="28"/>
      <c r="K1964" s="37"/>
      <c r="L1964" s="31"/>
      <c r="M1964" s="32"/>
      <c r="N1964" s="33"/>
      <c r="O1964" s="90"/>
      <c r="P1964" s="86"/>
      <c r="Q1964" s="40"/>
      <c r="R1964" s="36"/>
      <c r="S1964" s="37"/>
      <c r="T1964" s="28"/>
      <c r="U1964" s="80">
        <f>SUM(U1962:U1963)</f>
        <v>77465.849999999977</v>
      </c>
      <c r="V1964" s="36">
        <f>(J1961+U1964)</f>
        <v>127465.84999999998</v>
      </c>
      <c r="W1964" s="36">
        <f>(V1964*100/100)</f>
        <v>127465.84999999998</v>
      </c>
      <c r="X1964" s="28">
        <v>0</v>
      </c>
      <c r="Y1964" s="28">
        <f>(W1964-X1964)</f>
        <v>127465.84999999998</v>
      </c>
      <c r="Z1964" s="49">
        <v>3.0000000000000001E-3</v>
      </c>
    </row>
    <row r="1965" spans="1:26" s="29" customFormat="1" ht="90.75" customHeight="1" x14ac:dyDescent="0.25">
      <c r="A1965" s="20"/>
      <c r="B1965" s="20"/>
      <c r="C1965" s="20"/>
      <c r="D1965" s="21"/>
      <c r="E1965" s="21"/>
      <c r="F1965" s="22"/>
      <c r="G1965" s="23"/>
      <c r="H1965" s="36">
        <v>334.4</v>
      </c>
      <c r="I1965" s="40">
        <v>1000</v>
      </c>
      <c r="J1965" s="28">
        <f>(H1965*I1965)</f>
        <v>334400</v>
      </c>
      <c r="K1965" s="37"/>
      <c r="L1965" s="31"/>
      <c r="M1965" s="32"/>
      <c r="N1965" s="33"/>
      <c r="O1965" s="90"/>
      <c r="P1965" s="86"/>
      <c r="Q1965" s="40"/>
      <c r="R1965" s="36"/>
      <c r="S1965" s="37"/>
      <c r="T1965" s="28"/>
      <c r="U1965" s="36"/>
      <c r="V1965" s="36"/>
      <c r="W1965" s="36"/>
      <c r="X1965" s="28"/>
      <c r="Y1965" s="28"/>
      <c r="Z1965" s="49"/>
    </row>
    <row r="1966" spans="1:26" s="29" customFormat="1" ht="90.75" customHeight="1" x14ac:dyDescent="0.25">
      <c r="A1966" s="20"/>
      <c r="B1966" s="20"/>
      <c r="C1966" s="20"/>
      <c r="D1966" s="21"/>
      <c r="E1966" s="21"/>
      <c r="F1966" s="22"/>
      <c r="G1966" s="23"/>
      <c r="H1966" s="36"/>
      <c r="I1966" s="40"/>
      <c r="J1966" s="28"/>
      <c r="K1966" s="37">
        <v>4</v>
      </c>
      <c r="L1966" s="31" t="s">
        <v>43</v>
      </c>
      <c r="M1966" s="32" t="s">
        <v>254</v>
      </c>
      <c r="N1966" s="33">
        <v>2</v>
      </c>
      <c r="O1966" s="90">
        <v>82.39</v>
      </c>
      <c r="P1966" s="86">
        <v>100</v>
      </c>
      <c r="Q1966" s="40">
        <v>7700</v>
      </c>
      <c r="R1966" s="36">
        <f>(O1966*Q1966)</f>
        <v>634403</v>
      </c>
      <c r="S1966" s="37">
        <v>22</v>
      </c>
      <c r="T1966" s="28">
        <f>(R1966*34/100)</f>
        <v>215697.02</v>
      </c>
      <c r="U1966" s="36">
        <f>(R1966-T1966)</f>
        <v>418705.98</v>
      </c>
      <c r="V1966" s="36"/>
      <c r="W1966" s="36"/>
      <c r="X1966" s="28"/>
      <c r="Y1966" s="28"/>
      <c r="Z1966" s="20"/>
    </row>
    <row r="1967" spans="1:26" s="29" customFormat="1" ht="90.75" customHeight="1" x14ac:dyDescent="0.25">
      <c r="A1967" s="20"/>
      <c r="B1967" s="20"/>
      <c r="C1967" s="20"/>
      <c r="D1967" s="21"/>
      <c r="E1967" s="21"/>
      <c r="F1967" s="22"/>
      <c r="G1967" s="23"/>
      <c r="H1967" s="36"/>
      <c r="I1967" s="40"/>
      <c r="J1967" s="28"/>
      <c r="K1967" s="37">
        <v>5</v>
      </c>
      <c r="L1967" s="31" t="s">
        <v>215</v>
      </c>
      <c r="M1967" s="32" t="s">
        <v>40</v>
      </c>
      <c r="N1967" s="33">
        <v>2</v>
      </c>
      <c r="O1967" s="90">
        <v>55.04</v>
      </c>
      <c r="P1967" s="86">
        <v>100</v>
      </c>
      <c r="Q1967" s="40">
        <v>6450</v>
      </c>
      <c r="R1967" s="36">
        <f>(O1967*Q1967)</f>
        <v>355008</v>
      </c>
      <c r="S1967" s="37">
        <v>22</v>
      </c>
      <c r="T1967" s="28">
        <f>(R1967*93/100)</f>
        <v>330157.44</v>
      </c>
      <c r="U1967" s="36">
        <f>(R1967-T1967)</f>
        <v>24850.559999999998</v>
      </c>
      <c r="V1967" s="36"/>
      <c r="W1967" s="36"/>
      <c r="X1967" s="28"/>
      <c r="Y1967" s="28"/>
      <c r="Z1967" s="20"/>
    </row>
    <row r="1968" spans="1:26" s="29" customFormat="1" ht="90.75" customHeight="1" x14ac:dyDescent="0.25">
      <c r="A1968" s="20"/>
      <c r="B1968" s="20"/>
      <c r="C1968" s="20"/>
      <c r="D1968" s="21"/>
      <c r="E1968" s="21"/>
      <c r="F1968" s="22"/>
      <c r="G1968" s="23"/>
      <c r="H1968" s="36"/>
      <c r="I1968" s="40"/>
      <c r="J1968" s="28"/>
      <c r="K1968" s="37"/>
      <c r="L1968" s="31"/>
      <c r="M1968" s="32"/>
      <c r="N1968" s="33"/>
      <c r="O1968" s="90"/>
      <c r="P1968" s="86"/>
      <c r="Q1968" s="40"/>
      <c r="R1968" s="36"/>
      <c r="S1968" s="37"/>
      <c r="T1968" s="28"/>
      <c r="U1968" s="80">
        <f>SUM(U1966:U1967)</f>
        <v>443556.54</v>
      </c>
      <c r="V1968" s="36">
        <f>(J1965+U1968)</f>
        <v>777956.54</v>
      </c>
      <c r="W1968" s="36">
        <f>(V1968*100/100)</f>
        <v>777956.54</v>
      </c>
      <c r="X1968" s="28">
        <v>0</v>
      </c>
      <c r="Y1968" s="28">
        <f>(W1968-X1968)</f>
        <v>777956.54</v>
      </c>
      <c r="Z1968" s="49">
        <v>2.0000000000000001E-4</v>
      </c>
    </row>
    <row r="1969" spans="1:26" s="29" customFormat="1" ht="90.75" customHeight="1" x14ac:dyDescent="0.25">
      <c r="A1969" s="20">
        <v>1224</v>
      </c>
      <c r="B1969" s="20" t="s">
        <v>0</v>
      </c>
      <c r="C1969" s="20">
        <v>23457</v>
      </c>
      <c r="D1969" s="21">
        <v>0</v>
      </c>
      <c r="E1969" s="21">
        <v>2</v>
      </c>
      <c r="F1969" s="22">
        <v>0</v>
      </c>
      <c r="G1969" s="23" t="s">
        <v>56</v>
      </c>
      <c r="H1969" s="24">
        <f>(D1969*400)+(E1969*100)+F1969</f>
        <v>200</v>
      </c>
      <c r="I1969" s="25" t="s">
        <v>8</v>
      </c>
      <c r="J1969" s="24">
        <f>(H1969*I1969)</f>
        <v>80000</v>
      </c>
      <c r="K1969" s="37">
        <v>1</v>
      </c>
      <c r="L1969" s="20" t="s">
        <v>43</v>
      </c>
      <c r="M1969" s="37" t="s">
        <v>13</v>
      </c>
      <c r="N1969" s="30">
        <v>3</v>
      </c>
      <c r="O1969" s="77">
        <v>256</v>
      </c>
      <c r="P1969" s="35">
        <v>100</v>
      </c>
      <c r="Q1969" s="77">
        <v>7700</v>
      </c>
      <c r="R1969" s="77">
        <f>(O1969*Q1969)</f>
        <v>1971200</v>
      </c>
      <c r="S1969" s="37">
        <v>7</v>
      </c>
      <c r="T1969" s="28">
        <f>(R1969*7/100)</f>
        <v>137984</v>
      </c>
      <c r="U1969" s="77">
        <f>(R1969-T1969)</f>
        <v>1833216</v>
      </c>
      <c r="V1969" s="90"/>
      <c r="W1969" s="90"/>
      <c r="X1969" s="89"/>
      <c r="Y1969" s="26"/>
      <c r="Z1969" s="49"/>
    </row>
    <row r="1970" spans="1:26" s="29" customFormat="1" ht="90.75" customHeight="1" x14ac:dyDescent="0.25">
      <c r="A1970" s="20"/>
      <c r="B1970" s="20"/>
      <c r="C1970" s="20"/>
      <c r="D1970" s="21"/>
      <c r="E1970" s="21"/>
      <c r="F1970" s="22"/>
      <c r="G1970" s="23"/>
      <c r="H1970" s="24"/>
      <c r="I1970" s="25"/>
      <c r="J1970" s="24"/>
      <c r="K1970" s="37">
        <v>2</v>
      </c>
      <c r="L1970" s="20" t="s">
        <v>43</v>
      </c>
      <c r="M1970" s="37" t="s">
        <v>13</v>
      </c>
      <c r="N1970" s="30">
        <v>3</v>
      </c>
      <c r="O1970" s="77">
        <v>64</v>
      </c>
      <c r="P1970" s="35">
        <v>100</v>
      </c>
      <c r="Q1970" s="77">
        <v>7700</v>
      </c>
      <c r="R1970" s="77">
        <f>(O1970*Q1970)</f>
        <v>492800</v>
      </c>
      <c r="S1970" s="37">
        <v>7</v>
      </c>
      <c r="T1970" s="28">
        <f>(R1970*7/100)</f>
        <v>34496</v>
      </c>
      <c r="U1970" s="77">
        <f>(R1970-T1970)</f>
        <v>458304</v>
      </c>
      <c r="V1970" s="90"/>
      <c r="W1970" s="90"/>
      <c r="X1970" s="89"/>
      <c r="Y1970" s="26"/>
      <c r="Z1970" s="49"/>
    </row>
    <row r="1971" spans="1:26" s="29" customFormat="1" ht="90.75" customHeight="1" x14ac:dyDescent="0.25">
      <c r="A1971" s="20"/>
      <c r="B1971" s="20"/>
      <c r="C1971" s="20"/>
      <c r="D1971" s="21"/>
      <c r="E1971" s="21"/>
      <c r="F1971" s="22"/>
      <c r="G1971" s="23"/>
      <c r="H1971" s="24"/>
      <c r="I1971" s="25"/>
      <c r="J1971" s="24"/>
      <c r="K1971" s="37"/>
      <c r="L1971" s="20"/>
      <c r="M1971" s="37"/>
      <c r="N1971" s="30"/>
      <c r="O1971" s="77"/>
      <c r="P1971" s="35"/>
      <c r="Q1971" s="77"/>
      <c r="R1971" s="77"/>
      <c r="S1971" s="37"/>
      <c r="T1971" s="28"/>
      <c r="U1971" s="80">
        <f>SUM(U1969:U1970)</f>
        <v>2291520</v>
      </c>
      <c r="V1971" s="36">
        <f>(J1968+U1971)</f>
        <v>2291520</v>
      </c>
      <c r="W1971" s="36">
        <f>(V1971*100/100)</f>
        <v>2291520</v>
      </c>
      <c r="X1971" s="28">
        <v>0</v>
      </c>
      <c r="Y1971" s="28">
        <f>(W1971-X1971)</f>
        <v>2291520</v>
      </c>
      <c r="Z1971" s="49">
        <v>2.0000000000000001E-4</v>
      </c>
    </row>
    <row r="1972" spans="1:26" s="29" customFormat="1" ht="90.75" customHeight="1" x14ac:dyDescent="0.25">
      <c r="A1972" s="20">
        <v>1225</v>
      </c>
      <c r="B1972" s="20" t="s">
        <v>0</v>
      </c>
      <c r="C1972" s="20">
        <v>31975</v>
      </c>
      <c r="D1972" s="21">
        <v>0</v>
      </c>
      <c r="E1972" s="21">
        <v>2</v>
      </c>
      <c r="F1972" s="22">
        <v>0</v>
      </c>
      <c r="G1972" s="21" t="s">
        <v>209</v>
      </c>
      <c r="H1972" s="24">
        <f>(D1972*400)+(E1972*100)+F1972</f>
        <v>200</v>
      </c>
      <c r="I1972" s="25">
        <v>1150</v>
      </c>
      <c r="J1972" s="24">
        <f>(H1972*I1972)</f>
        <v>230000</v>
      </c>
      <c r="K1972" s="20">
        <v>1</v>
      </c>
      <c r="L1972" s="20" t="s">
        <v>38</v>
      </c>
      <c r="M1972" s="20" t="s">
        <v>55</v>
      </c>
      <c r="N1972" s="20">
        <v>3</v>
      </c>
      <c r="O1972" s="24">
        <v>48</v>
      </c>
      <c r="P1972" s="35">
        <v>100</v>
      </c>
      <c r="Q1972" s="25">
        <v>6550</v>
      </c>
      <c r="R1972" s="77">
        <f>(O1972*Q1972)</f>
        <v>314400</v>
      </c>
      <c r="S1972" s="20">
        <v>4</v>
      </c>
      <c r="T1972" s="28">
        <f>(R1972*4/100)</f>
        <v>12576</v>
      </c>
      <c r="U1972" s="77">
        <f>(R1972-T1972)</f>
        <v>301824</v>
      </c>
      <c r="V1972" s="20"/>
      <c r="W1972" s="26"/>
      <c r="X1972" s="27"/>
      <c r="Y1972" s="20"/>
      <c r="Z1972" s="20"/>
    </row>
    <row r="1973" spans="1:26" s="29" customFormat="1" ht="90.75" customHeight="1" x14ac:dyDescent="0.25">
      <c r="A1973" s="20"/>
      <c r="B1973" s="20"/>
      <c r="C1973" s="20"/>
      <c r="D1973" s="21"/>
      <c r="E1973" s="21"/>
      <c r="F1973" s="22"/>
      <c r="G1973" s="23"/>
      <c r="H1973" s="24"/>
      <c r="I1973" s="25"/>
      <c r="J1973" s="24"/>
      <c r="K1973" s="20">
        <v>2</v>
      </c>
      <c r="L1973" s="20" t="s">
        <v>38</v>
      </c>
      <c r="M1973" s="20" t="s">
        <v>13</v>
      </c>
      <c r="N1973" s="20">
        <v>3</v>
      </c>
      <c r="O1973" s="24">
        <v>24</v>
      </c>
      <c r="P1973" s="35">
        <v>100</v>
      </c>
      <c r="Q1973" s="25">
        <v>6550</v>
      </c>
      <c r="R1973" s="77">
        <f>(O1973*Q1973)</f>
        <v>157200</v>
      </c>
      <c r="S1973" s="20">
        <v>4</v>
      </c>
      <c r="T1973" s="28">
        <f>(R1973*4/100)</f>
        <v>6288</v>
      </c>
      <c r="U1973" s="77">
        <f>(R1973-T1973)</f>
        <v>150912</v>
      </c>
      <c r="V1973" s="20"/>
      <c r="W1973" s="26"/>
      <c r="X1973" s="27"/>
      <c r="Y1973" s="20"/>
      <c r="Z1973" s="20"/>
    </row>
    <row r="1974" spans="1:26" s="29" customFormat="1" ht="90.75" customHeight="1" x14ac:dyDescent="0.25">
      <c r="A1974" s="20"/>
      <c r="B1974" s="20"/>
      <c r="C1974" s="20"/>
      <c r="D1974" s="21"/>
      <c r="E1974" s="21"/>
      <c r="F1974" s="22"/>
      <c r="G1974" s="23"/>
      <c r="H1974" s="24"/>
      <c r="I1974" s="25"/>
      <c r="J1974" s="24"/>
      <c r="K1974" s="20">
        <v>3</v>
      </c>
      <c r="L1974" s="20" t="s">
        <v>38</v>
      </c>
      <c r="M1974" s="20" t="s">
        <v>13</v>
      </c>
      <c r="N1974" s="20">
        <v>3</v>
      </c>
      <c r="O1974" s="24">
        <v>24</v>
      </c>
      <c r="P1974" s="35">
        <v>100</v>
      </c>
      <c r="Q1974" s="25">
        <v>6550</v>
      </c>
      <c r="R1974" s="77">
        <f>(O1974*Q1974)</f>
        <v>157200</v>
      </c>
      <c r="S1974" s="20">
        <v>5</v>
      </c>
      <c r="T1974" s="28">
        <f>(R1974*5/100)</f>
        <v>7860</v>
      </c>
      <c r="U1974" s="77">
        <f>(R1974-T1974)</f>
        <v>149340</v>
      </c>
      <c r="V1974" s="20"/>
      <c r="W1974" s="26"/>
      <c r="X1974" s="27"/>
      <c r="Y1974" s="20"/>
      <c r="Z1974" s="20"/>
    </row>
    <row r="1975" spans="1:26" s="29" customFormat="1" ht="90.75" customHeight="1" x14ac:dyDescent="0.25">
      <c r="A1975" s="20"/>
      <c r="B1975" s="20"/>
      <c r="C1975" s="20"/>
      <c r="D1975" s="21"/>
      <c r="E1975" s="21"/>
      <c r="F1975" s="22"/>
      <c r="G1975" s="23"/>
      <c r="H1975" s="24"/>
      <c r="I1975" s="25"/>
      <c r="J1975" s="24"/>
      <c r="K1975" s="20"/>
      <c r="L1975" s="20"/>
      <c r="M1975" s="20"/>
      <c r="N1975" s="20"/>
      <c r="O1975" s="24"/>
      <c r="P1975" s="24"/>
      <c r="Q1975" s="25"/>
      <c r="R1975" s="24"/>
      <c r="S1975" s="20"/>
      <c r="T1975" s="27"/>
      <c r="U1975" s="80">
        <f>SUM(U1972:U1974)</f>
        <v>602076</v>
      </c>
      <c r="V1975" s="36">
        <f>(J1972+U1975)</f>
        <v>832076</v>
      </c>
      <c r="W1975" s="36">
        <f>(V1975*100/100)</f>
        <v>832076</v>
      </c>
      <c r="X1975" s="28">
        <v>0</v>
      </c>
      <c r="Y1975" s="28">
        <f>(W1975-X1975)</f>
        <v>832076</v>
      </c>
      <c r="Z1975" s="49">
        <v>3.0000000000000001E-3</v>
      </c>
    </row>
    <row r="1976" spans="1:26" s="29" customFormat="1" ht="90.75" customHeight="1" x14ac:dyDescent="0.25">
      <c r="A1976" s="20">
        <v>1226</v>
      </c>
      <c r="B1976" s="20" t="s">
        <v>0</v>
      </c>
      <c r="C1976" s="20">
        <v>2328</v>
      </c>
      <c r="D1976" s="21">
        <v>2</v>
      </c>
      <c r="E1976" s="21">
        <v>0</v>
      </c>
      <c r="F1976" s="22">
        <v>48</v>
      </c>
      <c r="G1976" s="23" t="s">
        <v>211</v>
      </c>
      <c r="H1976" s="24">
        <f>(D1976*400)+(E1976*100)+F1976</f>
        <v>848</v>
      </c>
      <c r="I1976" s="25">
        <v>800</v>
      </c>
      <c r="J1976" s="24">
        <f>(H1976*I1976)</f>
        <v>678400</v>
      </c>
      <c r="K1976" s="20"/>
      <c r="L1976" s="20"/>
      <c r="M1976" s="20"/>
      <c r="N1976" s="20"/>
      <c r="O1976" s="24"/>
      <c r="P1976" s="24"/>
      <c r="Q1976" s="25"/>
      <c r="R1976" s="24"/>
      <c r="S1976" s="20"/>
      <c r="T1976" s="27"/>
      <c r="U1976" s="20"/>
      <c r="V1976" s="20"/>
      <c r="W1976" s="26"/>
      <c r="X1976" s="27"/>
      <c r="Y1976" s="20"/>
      <c r="Z1976" s="20"/>
    </row>
    <row r="1977" spans="1:26" s="29" customFormat="1" ht="90.75" customHeight="1" x14ac:dyDescent="0.25">
      <c r="A1977" s="20"/>
      <c r="B1977" s="20"/>
      <c r="C1977" s="20"/>
      <c r="D1977" s="21"/>
      <c r="E1977" s="21"/>
      <c r="F1977" s="22"/>
      <c r="G1977" s="23"/>
      <c r="H1977" s="36">
        <v>756.13</v>
      </c>
      <c r="I1977" s="40">
        <v>800</v>
      </c>
      <c r="J1977" s="28">
        <f>(H1977*I1977)</f>
        <v>604904</v>
      </c>
      <c r="K1977" s="30">
        <v>1</v>
      </c>
      <c r="L1977" s="31" t="s">
        <v>215</v>
      </c>
      <c r="M1977" s="32" t="s">
        <v>52</v>
      </c>
      <c r="N1977" s="33">
        <v>2</v>
      </c>
      <c r="O1977" s="34">
        <v>201.6</v>
      </c>
      <c r="P1977" s="35">
        <v>100</v>
      </c>
      <c r="Q1977" s="36">
        <v>6450</v>
      </c>
      <c r="R1977" s="36">
        <f>(O1977*Q1977)</f>
        <v>1300320</v>
      </c>
      <c r="S1977" s="37">
        <v>32</v>
      </c>
      <c r="T1977" s="28">
        <f>(R1977*85/100)</f>
        <v>1105272</v>
      </c>
      <c r="U1977" s="36">
        <f>(R1977-T1977)</f>
        <v>195048</v>
      </c>
      <c r="V1977" s="36">
        <f>(J1977+U1977)</f>
        <v>799952</v>
      </c>
      <c r="W1977" s="36">
        <f>(V1977*100/100)</f>
        <v>799952</v>
      </c>
      <c r="X1977" s="28">
        <v>50000000</v>
      </c>
      <c r="Y1977" s="28">
        <v>0</v>
      </c>
      <c r="Z1977" s="49">
        <v>2.0000000000000001E-4</v>
      </c>
    </row>
    <row r="1978" spans="1:26" s="29" customFormat="1" ht="90.75" customHeight="1" x14ac:dyDescent="0.25">
      <c r="A1978" s="20"/>
      <c r="B1978" s="20"/>
      <c r="C1978" s="20"/>
      <c r="D1978" s="21"/>
      <c r="E1978" s="21"/>
      <c r="F1978" s="22"/>
      <c r="G1978" s="23"/>
      <c r="H1978" s="36"/>
      <c r="I1978" s="40"/>
      <c r="J1978" s="28"/>
      <c r="K1978" s="30"/>
      <c r="L1978" s="31"/>
      <c r="M1978" s="32"/>
      <c r="N1978" s="33"/>
      <c r="O1978" s="90">
        <v>56</v>
      </c>
      <c r="P1978" s="35">
        <v>27.78</v>
      </c>
      <c r="Q1978" s="36"/>
      <c r="R1978" s="36"/>
      <c r="S1978" s="37"/>
      <c r="T1978" s="28"/>
      <c r="U1978" s="36"/>
      <c r="V1978" s="36"/>
      <c r="W1978" s="36">
        <f>(W1977*27.78/100)</f>
        <v>222226.66560000004</v>
      </c>
      <c r="X1978" s="28"/>
      <c r="Y1978" s="28"/>
      <c r="Z1978" s="20"/>
    </row>
    <row r="1979" spans="1:26" s="29" customFormat="1" ht="90.75" customHeight="1" x14ac:dyDescent="0.25">
      <c r="A1979" s="20"/>
      <c r="B1979" s="20"/>
      <c r="C1979" s="20"/>
      <c r="D1979" s="21"/>
      <c r="E1979" s="21"/>
      <c r="F1979" s="22"/>
      <c r="G1979" s="23"/>
      <c r="H1979" s="36"/>
      <c r="I1979" s="40"/>
      <c r="J1979" s="28"/>
      <c r="K1979" s="30"/>
      <c r="L1979" s="31"/>
      <c r="M1979" s="32"/>
      <c r="N1979" s="33"/>
      <c r="O1979" s="90">
        <v>103.6</v>
      </c>
      <c r="P1979" s="35">
        <v>51.39</v>
      </c>
      <c r="Q1979" s="36"/>
      <c r="R1979" s="36"/>
      <c r="S1979" s="37"/>
      <c r="T1979" s="28"/>
      <c r="U1979" s="36"/>
      <c r="V1979" s="36"/>
      <c r="W1979" s="36">
        <f>(W1977*51.39/100)</f>
        <v>411095.33280000003</v>
      </c>
      <c r="X1979" s="28"/>
      <c r="Y1979" s="28"/>
      <c r="Z1979" s="20"/>
    </row>
    <row r="1980" spans="1:26" s="29" customFormat="1" ht="90.75" customHeight="1" x14ac:dyDescent="0.25">
      <c r="A1980" s="20"/>
      <c r="B1980" s="20"/>
      <c r="C1980" s="20"/>
      <c r="D1980" s="21"/>
      <c r="E1980" s="21"/>
      <c r="F1980" s="22"/>
      <c r="G1980" s="23"/>
      <c r="H1980" s="36"/>
      <c r="I1980" s="40"/>
      <c r="J1980" s="28"/>
      <c r="K1980" s="30"/>
      <c r="L1980" s="31" t="s">
        <v>61</v>
      </c>
      <c r="M1980" s="32"/>
      <c r="N1980" s="33">
        <v>3</v>
      </c>
      <c r="O1980" s="34">
        <v>42</v>
      </c>
      <c r="P1980" s="35">
        <v>20.83</v>
      </c>
      <c r="Q1980" s="36"/>
      <c r="R1980" s="36"/>
      <c r="S1980" s="37"/>
      <c r="T1980" s="28"/>
      <c r="U1980" s="36"/>
      <c r="V1980" s="36"/>
      <c r="W1980" s="36">
        <f>(W1977*20.83/100)</f>
        <v>166630.00159999999</v>
      </c>
      <c r="X1980" s="28">
        <v>0</v>
      </c>
      <c r="Y1980" s="28">
        <f>(W1980-X1980)</f>
        <v>166630.00159999999</v>
      </c>
      <c r="Z1980" s="49">
        <v>3.0000000000000001E-3</v>
      </c>
    </row>
    <row r="1981" spans="1:26" s="29" customFormat="1" ht="90.75" customHeight="1" x14ac:dyDescent="0.25">
      <c r="A1981" s="20"/>
      <c r="B1981" s="20"/>
      <c r="C1981" s="20"/>
      <c r="D1981" s="21"/>
      <c r="E1981" s="21"/>
      <c r="F1981" s="22"/>
      <c r="G1981" s="23"/>
      <c r="H1981" s="36">
        <v>14</v>
      </c>
      <c r="I1981" s="40">
        <v>800</v>
      </c>
      <c r="J1981" s="28">
        <f t="shared" ref="J1981:J1995" si="346">(H1981*I1981)</f>
        <v>11200</v>
      </c>
      <c r="K1981" s="30">
        <v>2</v>
      </c>
      <c r="L1981" s="31" t="s">
        <v>215</v>
      </c>
      <c r="M1981" s="32" t="s">
        <v>13</v>
      </c>
      <c r="N1981" s="33">
        <v>2</v>
      </c>
      <c r="O1981" s="34">
        <v>56</v>
      </c>
      <c r="P1981" s="35">
        <v>100</v>
      </c>
      <c r="Q1981" s="37">
        <v>6450</v>
      </c>
      <c r="R1981" s="36">
        <f>(O1981*Q1981)</f>
        <v>361200</v>
      </c>
      <c r="S1981" s="37">
        <v>32</v>
      </c>
      <c r="T1981" s="28">
        <f>(R1981*54/100)</f>
        <v>195048</v>
      </c>
      <c r="U1981" s="36">
        <f>(R1981-T1981)</f>
        <v>166152</v>
      </c>
      <c r="V1981" s="36">
        <f>(J1981+U1981)</f>
        <v>177352</v>
      </c>
      <c r="W1981" s="36">
        <f>(V1981*P1981/100)</f>
        <v>177352</v>
      </c>
      <c r="X1981" s="28">
        <v>0</v>
      </c>
      <c r="Y1981" s="28"/>
      <c r="Z1981" s="20"/>
    </row>
    <row r="1982" spans="1:26" s="29" customFormat="1" ht="90.75" customHeight="1" x14ac:dyDescent="0.25">
      <c r="A1982" s="20"/>
      <c r="B1982" s="20"/>
      <c r="C1982" s="20"/>
      <c r="D1982" s="21"/>
      <c r="E1982" s="21"/>
      <c r="F1982" s="22"/>
      <c r="G1982" s="23"/>
      <c r="H1982" s="36">
        <v>28</v>
      </c>
      <c r="I1982" s="40">
        <v>800</v>
      </c>
      <c r="J1982" s="28">
        <f t="shared" si="346"/>
        <v>22400</v>
      </c>
      <c r="K1982" s="30">
        <v>3</v>
      </c>
      <c r="L1982" s="31" t="s">
        <v>43</v>
      </c>
      <c r="M1982" s="32" t="s">
        <v>13</v>
      </c>
      <c r="N1982" s="33">
        <v>3</v>
      </c>
      <c r="O1982" s="34">
        <v>112</v>
      </c>
      <c r="P1982" s="35">
        <v>100</v>
      </c>
      <c r="Q1982" s="37">
        <v>7700</v>
      </c>
      <c r="R1982" s="36">
        <f>(O1982*Q1982)</f>
        <v>862400</v>
      </c>
      <c r="S1982" s="37">
        <v>12</v>
      </c>
      <c r="T1982" s="28">
        <f>(R1982*14/100)</f>
        <v>120736</v>
      </c>
      <c r="U1982" s="36">
        <f>(R1982-T1982)</f>
        <v>741664</v>
      </c>
      <c r="V1982" s="36">
        <f>(J1982+U1982)</f>
        <v>764064</v>
      </c>
      <c r="W1982" s="36">
        <f>(V1982*P1982/100)</f>
        <v>764064</v>
      </c>
      <c r="X1982" s="28">
        <v>0</v>
      </c>
      <c r="Y1982" s="28"/>
      <c r="Z1982" s="20"/>
    </row>
    <row r="1983" spans="1:26" s="29" customFormat="1" ht="90.75" customHeight="1" x14ac:dyDescent="0.25">
      <c r="A1983" s="20"/>
      <c r="B1983" s="20"/>
      <c r="C1983" s="20"/>
      <c r="D1983" s="21"/>
      <c r="E1983" s="21"/>
      <c r="F1983" s="22"/>
      <c r="G1983" s="23"/>
      <c r="H1983" s="36">
        <v>27.4</v>
      </c>
      <c r="I1983" s="40">
        <v>800</v>
      </c>
      <c r="J1983" s="28">
        <f t="shared" si="346"/>
        <v>21920</v>
      </c>
      <c r="K1983" s="30">
        <v>4</v>
      </c>
      <c r="L1983" s="31" t="s">
        <v>31</v>
      </c>
      <c r="M1983" s="32"/>
      <c r="N1983" s="33">
        <v>2</v>
      </c>
      <c r="O1983" s="34">
        <v>109.6</v>
      </c>
      <c r="P1983" s="35">
        <v>100</v>
      </c>
      <c r="Q1983" s="37">
        <v>2550</v>
      </c>
      <c r="R1983" s="36">
        <f>(O1983*Q1983)</f>
        <v>279480</v>
      </c>
      <c r="S1983" s="37">
        <v>32</v>
      </c>
      <c r="T1983" s="28">
        <f>(R1983*85/100)</f>
        <v>237558</v>
      </c>
      <c r="U1983" s="36">
        <f>(R1983-T1983)</f>
        <v>41922</v>
      </c>
      <c r="V1983" s="36">
        <f>(J1983+U1983)</f>
        <v>63842</v>
      </c>
      <c r="W1983" s="36">
        <f>(V1983*P1983/100)</f>
        <v>63842</v>
      </c>
      <c r="X1983" s="28">
        <v>0</v>
      </c>
      <c r="Y1983" s="28"/>
      <c r="Z1983" s="20"/>
    </row>
    <row r="1984" spans="1:26" s="29" customFormat="1" ht="90.75" customHeight="1" x14ac:dyDescent="0.25">
      <c r="A1984" s="20"/>
      <c r="B1984" s="20"/>
      <c r="C1984" s="20"/>
      <c r="D1984" s="21"/>
      <c r="E1984" s="21"/>
      <c r="F1984" s="22"/>
      <c r="G1984" s="23"/>
      <c r="H1984" s="36">
        <v>22.47</v>
      </c>
      <c r="I1984" s="40">
        <v>800</v>
      </c>
      <c r="J1984" s="28">
        <f t="shared" si="346"/>
        <v>17976</v>
      </c>
      <c r="K1984" s="30">
        <v>5</v>
      </c>
      <c r="L1984" s="31" t="s">
        <v>215</v>
      </c>
      <c r="M1984" s="32" t="s">
        <v>13</v>
      </c>
      <c r="N1984" s="33">
        <v>2</v>
      </c>
      <c r="O1984" s="34">
        <v>89.9</v>
      </c>
      <c r="P1984" s="35">
        <v>100</v>
      </c>
      <c r="Q1984" s="37">
        <v>6450</v>
      </c>
      <c r="R1984" s="36">
        <f>(O1984*Q1984)</f>
        <v>579855</v>
      </c>
      <c r="S1984" s="37">
        <v>7</v>
      </c>
      <c r="T1984" s="28">
        <f>(R1984*7/100)</f>
        <v>40589.85</v>
      </c>
      <c r="U1984" s="36">
        <f>(R1984-T1984)</f>
        <v>539265.15</v>
      </c>
      <c r="V1984" s="36">
        <f>(J1984+U1984)</f>
        <v>557241.15</v>
      </c>
      <c r="W1984" s="36">
        <f>(V1984*P1984/100)</f>
        <v>557241.15</v>
      </c>
      <c r="X1984" s="28">
        <v>10000000</v>
      </c>
      <c r="Y1984" s="28">
        <v>0</v>
      </c>
      <c r="Z1984" s="49">
        <v>2.0000000000000001E-4</v>
      </c>
    </row>
    <row r="1985" spans="1:26" s="29" customFormat="1" ht="90.75" customHeight="1" x14ac:dyDescent="0.25">
      <c r="A1985" s="20">
        <v>1227</v>
      </c>
      <c r="B1985" s="20" t="s">
        <v>0</v>
      </c>
      <c r="C1985" s="20">
        <v>4368</v>
      </c>
      <c r="D1985" s="21">
        <v>0</v>
      </c>
      <c r="E1985" s="21">
        <v>1</v>
      </c>
      <c r="F1985" s="22">
        <v>55</v>
      </c>
      <c r="G1985" s="23" t="s">
        <v>211</v>
      </c>
      <c r="H1985" s="24">
        <f>(D1985*400)+(E1985*100)+F1985</f>
        <v>155</v>
      </c>
      <c r="I1985" s="25" t="s">
        <v>26</v>
      </c>
      <c r="J1985" s="24">
        <f t="shared" si="346"/>
        <v>178250</v>
      </c>
      <c r="K1985" s="20"/>
      <c r="L1985" s="20"/>
      <c r="M1985" s="20"/>
      <c r="N1985" s="20"/>
      <c r="O1985" s="24"/>
      <c r="P1985" s="24"/>
      <c r="Q1985" s="25"/>
      <c r="R1985" s="24"/>
      <c r="S1985" s="20"/>
      <c r="T1985" s="27"/>
      <c r="U1985" s="20"/>
      <c r="V1985" s="20"/>
      <c r="W1985" s="26"/>
      <c r="X1985" s="27"/>
      <c r="Y1985" s="20"/>
      <c r="Z1985" s="20"/>
    </row>
    <row r="1986" spans="1:26" s="29" customFormat="1" ht="90.75" customHeight="1" x14ac:dyDescent="0.25">
      <c r="A1986" s="20"/>
      <c r="B1986" s="20"/>
      <c r="C1986" s="20"/>
      <c r="D1986" s="21"/>
      <c r="E1986" s="21"/>
      <c r="F1986" s="22"/>
      <c r="G1986" s="23"/>
      <c r="H1986" s="77">
        <v>140</v>
      </c>
      <c r="I1986" s="40">
        <v>1150</v>
      </c>
      <c r="J1986" s="28">
        <f t="shared" si="346"/>
        <v>161000</v>
      </c>
      <c r="K1986" s="37">
        <v>1</v>
      </c>
      <c r="L1986" s="20" t="s">
        <v>215</v>
      </c>
      <c r="M1986" s="37" t="s">
        <v>13</v>
      </c>
      <c r="N1986" s="30"/>
      <c r="O1986" s="77">
        <v>96</v>
      </c>
      <c r="P1986" s="35">
        <v>100</v>
      </c>
      <c r="Q1986" s="77">
        <v>6450</v>
      </c>
      <c r="R1986" s="77">
        <f>(O1986*Q1986)</f>
        <v>619200</v>
      </c>
      <c r="S1986" s="37">
        <v>3</v>
      </c>
      <c r="T1986" s="28">
        <f>(R1986*3/100)</f>
        <v>18576</v>
      </c>
      <c r="U1986" s="77">
        <f>(R1986-T1986)</f>
        <v>600624</v>
      </c>
      <c r="V1986" s="77">
        <f>(J1986+U1986)</f>
        <v>761624</v>
      </c>
      <c r="W1986" s="77">
        <f>(V1986*P1986/100)</f>
        <v>761624</v>
      </c>
      <c r="X1986" s="28">
        <v>50000000</v>
      </c>
      <c r="Y1986" s="28"/>
      <c r="Z1986" s="49">
        <v>2.0000000000000001E-4</v>
      </c>
    </row>
    <row r="1987" spans="1:26" s="29" customFormat="1" ht="90.75" customHeight="1" x14ac:dyDescent="0.25">
      <c r="A1987" s="20"/>
      <c r="B1987" s="20"/>
      <c r="C1987" s="20"/>
      <c r="D1987" s="21"/>
      <c r="E1987" s="21"/>
      <c r="F1987" s="22"/>
      <c r="G1987" s="23"/>
      <c r="H1987" s="77">
        <v>15</v>
      </c>
      <c r="I1987" s="40">
        <v>1150</v>
      </c>
      <c r="J1987" s="28">
        <f t="shared" si="346"/>
        <v>17250</v>
      </c>
      <c r="K1987" s="37">
        <v>2</v>
      </c>
      <c r="L1987" s="20" t="s">
        <v>31</v>
      </c>
      <c r="M1987" s="37"/>
      <c r="N1987" s="30"/>
      <c r="O1987" s="77">
        <v>60</v>
      </c>
      <c r="P1987" s="35">
        <v>100</v>
      </c>
      <c r="Q1987" s="77">
        <v>2550</v>
      </c>
      <c r="R1987" s="77">
        <f>(O1987*Q1987)</f>
        <v>153000</v>
      </c>
      <c r="S1987" s="37">
        <v>3</v>
      </c>
      <c r="T1987" s="28">
        <f>(R1987*3/100)</f>
        <v>4590</v>
      </c>
      <c r="U1987" s="77">
        <f>(R1987-T1987)</f>
        <v>148410</v>
      </c>
      <c r="V1987" s="77">
        <f>(J1987+U1987)</f>
        <v>165660</v>
      </c>
      <c r="W1987" s="77">
        <f>(V1987*100/100)</f>
        <v>165660</v>
      </c>
      <c r="X1987" s="28">
        <v>0</v>
      </c>
      <c r="Y1987" s="28">
        <f>(W1987-X1987)</f>
        <v>165660</v>
      </c>
      <c r="Z1987" s="49">
        <v>3.0000000000000001E-3</v>
      </c>
    </row>
    <row r="1988" spans="1:26" s="29" customFormat="1" ht="90.75" customHeight="1" x14ac:dyDescent="0.25">
      <c r="A1988" s="20">
        <v>1228</v>
      </c>
      <c r="B1988" s="20" t="s">
        <v>0</v>
      </c>
      <c r="C1988" s="20">
        <v>4367</v>
      </c>
      <c r="D1988" s="21">
        <v>1</v>
      </c>
      <c r="E1988" s="21">
        <v>0</v>
      </c>
      <c r="F1988" s="22">
        <v>0</v>
      </c>
      <c r="G1988" s="23" t="s">
        <v>211</v>
      </c>
      <c r="H1988" s="24">
        <f>(D1988*400)+(E1988*100)+F1988</f>
        <v>400</v>
      </c>
      <c r="I1988" s="25" t="s">
        <v>26</v>
      </c>
      <c r="J1988" s="24">
        <f t="shared" si="346"/>
        <v>460000</v>
      </c>
      <c r="K1988" s="20"/>
      <c r="L1988" s="20"/>
      <c r="M1988" s="20"/>
      <c r="N1988" s="20"/>
      <c r="O1988" s="24"/>
      <c r="P1988" s="24"/>
      <c r="Q1988" s="25"/>
      <c r="R1988" s="24"/>
      <c r="S1988" s="20"/>
      <c r="T1988" s="27"/>
      <c r="U1988" s="20"/>
      <c r="V1988" s="20"/>
      <c r="W1988" s="26"/>
      <c r="X1988" s="27"/>
      <c r="Y1988" s="20"/>
      <c r="Z1988" s="20"/>
    </row>
    <row r="1989" spans="1:26" s="29" customFormat="1" ht="90.75" customHeight="1" x14ac:dyDescent="0.25">
      <c r="A1989" s="20"/>
      <c r="B1989" s="20"/>
      <c r="C1989" s="20"/>
      <c r="D1989" s="21"/>
      <c r="E1989" s="21"/>
      <c r="F1989" s="22"/>
      <c r="G1989" s="23"/>
      <c r="H1989" s="24">
        <v>257</v>
      </c>
      <c r="I1989" s="25" t="s">
        <v>26</v>
      </c>
      <c r="J1989" s="24">
        <f t="shared" si="346"/>
        <v>295550</v>
      </c>
      <c r="K1989" s="20">
        <v>1</v>
      </c>
      <c r="L1989" s="20" t="s">
        <v>215</v>
      </c>
      <c r="M1989" s="20" t="s">
        <v>51</v>
      </c>
      <c r="N1989" s="20">
        <v>5</v>
      </c>
      <c r="O1989" s="24">
        <v>270</v>
      </c>
      <c r="P1989" s="24">
        <v>100</v>
      </c>
      <c r="Q1989" s="25">
        <v>6450</v>
      </c>
      <c r="R1989" s="77">
        <f>(O1989*Q1989)</f>
        <v>1741500</v>
      </c>
      <c r="S1989" s="20">
        <v>8</v>
      </c>
      <c r="T1989" s="28">
        <f>(R1989*8/100)</f>
        <v>139320</v>
      </c>
      <c r="U1989" s="77">
        <f>(R1989-T1989)</f>
        <v>1602180</v>
      </c>
      <c r="V1989" s="80">
        <f>(J1989+U1989)</f>
        <v>1897730</v>
      </c>
      <c r="W1989" s="77">
        <f>(V1989*100/100)</f>
        <v>1897730</v>
      </c>
      <c r="X1989" s="28">
        <v>0</v>
      </c>
      <c r="Y1989" s="28">
        <f>(W1989-X1989)</f>
        <v>1897730</v>
      </c>
      <c r="Z1989" s="49">
        <v>2.0000000000000001E-4</v>
      </c>
    </row>
    <row r="1990" spans="1:26" s="29" customFormat="1" ht="90.75" customHeight="1" x14ac:dyDescent="0.25">
      <c r="A1990" s="20"/>
      <c r="B1990" s="20"/>
      <c r="C1990" s="20"/>
      <c r="D1990" s="21"/>
      <c r="E1990" s="21"/>
      <c r="F1990" s="22"/>
      <c r="G1990" s="23"/>
      <c r="H1990" s="24">
        <v>108</v>
      </c>
      <c r="I1990" s="25" t="s">
        <v>26</v>
      </c>
      <c r="J1990" s="24">
        <f t="shared" si="346"/>
        <v>124200</v>
      </c>
      <c r="K1990" s="20">
        <v>2</v>
      </c>
      <c r="L1990" s="20" t="s">
        <v>43</v>
      </c>
      <c r="M1990" s="20" t="s">
        <v>51</v>
      </c>
      <c r="N1990" s="20"/>
      <c r="O1990" s="24">
        <v>432</v>
      </c>
      <c r="P1990" s="24">
        <v>100</v>
      </c>
      <c r="Q1990" s="25">
        <v>7700</v>
      </c>
      <c r="R1990" s="77">
        <f>(O1990*Q1990)</f>
        <v>3326400</v>
      </c>
      <c r="S1990" s="20">
        <v>12</v>
      </c>
      <c r="T1990" s="28">
        <f>(R1990*14/100)</f>
        <v>465696</v>
      </c>
      <c r="U1990" s="77">
        <f>(R1990-T1990)</f>
        <v>2860704</v>
      </c>
      <c r="V1990" s="80">
        <f>(J1990+U1990)</f>
        <v>2984904</v>
      </c>
      <c r="W1990" s="77">
        <f>(V1990*100/100)</f>
        <v>2984904</v>
      </c>
      <c r="X1990" s="28">
        <v>0</v>
      </c>
      <c r="Y1990" s="28">
        <f>(W1990-X1990)</f>
        <v>2984904</v>
      </c>
      <c r="Z1990" s="49">
        <v>3.0000000000000001E-3</v>
      </c>
    </row>
    <row r="1991" spans="1:26" s="29" customFormat="1" ht="90.75" customHeight="1" x14ac:dyDescent="0.25">
      <c r="A1991" s="20"/>
      <c r="B1991" s="20"/>
      <c r="C1991" s="20"/>
      <c r="D1991" s="21"/>
      <c r="E1991" s="21"/>
      <c r="F1991" s="22"/>
      <c r="G1991" s="23"/>
      <c r="H1991" s="24">
        <v>10</v>
      </c>
      <c r="I1991" s="25" t="s">
        <v>26</v>
      </c>
      <c r="J1991" s="24">
        <f t="shared" si="346"/>
        <v>11500</v>
      </c>
      <c r="K1991" s="20">
        <v>3</v>
      </c>
      <c r="L1991" s="20" t="s">
        <v>215</v>
      </c>
      <c r="M1991" s="20" t="s">
        <v>51</v>
      </c>
      <c r="N1991" s="20"/>
      <c r="O1991" s="24">
        <v>40</v>
      </c>
      <c r="P1991" s="24">
        <v>100</v>
      </c>
      <c r="Q1991" s="25">
        <v>6450</v>
      </c>
      <c r="R1991" s="77">
        <f>(O1991*Q1991)</f>
        <v>258000</v>
      </c>
      <c r="S1991" s="20">
        <v>7</v>
      </c>
      <c r="T1991" s="28">
        <f>(R1991*7/100)</f>
        <v>18060</v>
      </c>
      <c r="U1991" s="77">
        <f>(R1991-T1991)</f>
        <v>239940</v>
      </c>
      <c r="V1991" s="80">
        <f>(J1991+U1991)</f>
        <v>251440</v>
      </c>
      <c r="W1991" s="77">
        <f>(V1991*100/100)</f>
        <v>251440</v>
      </c>
      <c r="X1991" s="28">
        <v>0</v>
      </c>
      <c r="Y1991" s="28">
        <f>(W1991-X1991)</f>
        <v>251440</v>
      </c>
      <c r="Z1991" s="49">
        <v>2.0000000000000001E-4</v>
      </c>
    </row>
    <row r="1992" spans="1:26" s="29" customFormat="1" ht="90.75" customHeight="1" x14ac:dyDescent="0.25">
      <c r="A1992" s="20"/>
      <c r="B1992" s="20"/>
      <c r="C1992" s="20"/>
      <c r="D1992" s="21"/>
      <c r="E1992" s="21"/>
      <c r="F1992" s="22"/>
      <c r="G1992" s="23"/>
      <c r="H1992" s="24">
        <v>10</v>
      </c>
      <c r="I1992" s="25" t="s">
        <v>26</v>
      </c>
      <c r="J1992" s="24">
        <f t="shared" si="346"/>
        <v>11500</v>
      </c>
      <c r="K1992" s="20">
        <v>4</v>
      </c>
      <c r="L1992" s="20" t="s">
        <v>215</v>
      </c>
      <c r="M1992" s="20" t="s">
        <v>51</v>
      </c>
      <c r="N1992" s="20"/>
      <c r="O1992" s="24">
        <v>40</v>
      </c>
      <c r="P1992" s="24">
        <v>100</v>
      </c>
      <c r="Q1992" s="25">
        <v>6450</v>
      </c>
      <c r="R1992" s="77">
        <f>(O1992*Q1992)</f>
        <v>258000</v>
      </c>
      <c r="S1992" s="20">
        <v>5</v>
      </c>
      <c r="T1992" s="28">
        <f>(R1992*5/100)</f>
        <v>12900</v>
      </c>
      <c r="U1992" s="77">
        <f>(R1992-T1992)</f>
        <v>245100</v>
      </c>
      <c r="V1992" s="80">
        <f>(J1992+U1992)</f>
        <v>256600</v>
      </c>
      <c r="W1992" s="77">
        <f>(V1992*100/100)</f>
        <v>256600</v>
      </c>
      <c r="X1992" s="28">
        <v>0</v>
      </c>
      <c r="Y1992" s="28">
        <f>(W1992-X1992)</f>
        <v>256600</v>
      </c>
      <c r="Z1992" s="49">
        <v>2.0000000000000001E-4</v>
      </c>
    </row>
    <row r="1993" spans="1:26" s="29" customFormat="1" ht="90.75" customHeight="1" x14ac:dyDescent="0.25">
      <c r="A1993" s="20"/>
      <c r="B1993" s="20"/>
      <c r="C1993" s="20"/>
      <c r="D1993" s="21"/>
      <c r="E1993" s="21"/>
      <c r="F1993" s="22"/>
      <c r="G1993" s="23"/>
      <c r="H1993" s="24">
        <v>15</v>
      </c>
      <c r="I1993" s="25" t="s">
        <v>26</v>
      </c>
      <c r="J1993" s="24">
        <f t="shared" si="346"/>
        <v>17250</v>
      </c>
      <c r="K1993" s="20">
        <v>5</v>
      </c>
      <c r="L1993" s="20" t="s">
        <v>31</v>
      </c>
      <c r="M1993" s="20" t="s">
        <v>51</v>
      </c>
      <c r="N1993" s="20"/>
      <c r="O1993" s="24">
        <v>60</v>
      </c>
      <c r="P1993" s="24">
        <v>100</v>
      </c>
      <c r="Q1993" s="25">
        <v>2550</v>
      </c>
      <c r="R1993" s="77">
        <f>(O1993*Q1993)</f>
        <v>153000</v>
      </c>
      <c r="S1993" s="20">
        <v>7</v>
      </c>
      <c r="T1993" s="28">
        <f>(R1993*7/100)</f>
        <v>10710</v>
      </c>
      <c r="U1993" s="77">
        <f>(R1993-T1993)</f>
        <v>142290</v>
      </c>
      <c r="V1993" s="80">
        <f>(J1993+U1993)</f>
        <v>159540</v>
      </c>
      <c r="W1993" s="77">
        <f>(V1993*100/100)</f>
        <v>159540</v>
      </c>
      <c r="X1993" s="28">
        <v>0</v>
      </c>
      <c r="Y1993" s="28">
        <f>(W1993-X1993)</f>
        <v>159540</v>
      </c>
      <c r="Z1993" s="49">
        <v>2.0000000000000001E-4</v>
      </c>
    </row>
    <row r="1994" spans="1:26" s="29" customFormat="1" ht="90.75" customHeight="1" x14ac:dyDescent="0.25">
      <c r="A1994" s="20">
        <v>1229</v>
      </c>
      <c r="B1994" s="20" t="s">
        <v>0</v>
      </c>
      <c r="C1994" s="20">
        <v>5719</v>
      </c>
      <c r="D1994" s="21">
        <v>14</v>
      </c>
      <c r="E1994" s="21">
        <v>3</v>
      </c>
      <c r="F1994" s="22">
        <v>44</v>
      </c>
      <c r="G1994" s="23" t="s">
        <v>211</v>
      </c>
      <c r="H1994" s="24">
        <f>(D1994*400)+(E1994*100)+F1994</f>
        <v>5944</v>
      </c>
      <c r="I1994" s="25" t="s">
        <v>5</v>
      </c>
      <c r="J1994" s="24">
        <f t="shared" si="346"/>
        <v>1486000</v>
      </c>
      <c r="K1994" s="20"/>
      <c r="L1994" s="20"/>
      <c r="M1994" s="20"/>
      <c r="N1994" s="20"/>
      <c r="O1994" s="24"/>
      <c r="P1994" s="24"/>
      <c r="Q1994" s="25"/>
      <c r="R1994" s="24"/>
      <c r="S1994" s="20"/>
      <c r="T1994" s="27"/>
      <c r="U1994" s="20"/>
      <c r="V1994" s="20"/>
      <c r="W1994" s="26"/>
      <c r="X1994" s="27"/>
      <c r="Y1994" s="20"/>
      <c r="Z1994" s="20"/>
    </row>
    <row r="1995" spans="1:26" s="29" customFormat="1" ht="90.75" customHeight="1" x14ac:dyDescent="0.25">
      <c r="A1995" s="20"/>
      <c r="B1995" s="20"/>
      <c r="C1995" s="20"/>
      <c r="D1995" s="21"/>
      <c r="E1995" s="21"/>
      <c r="F1995" s="22"/>
      <c r="G1995" s="23"/>
      <c r="H1995" s="36">
        <f>(O1995*0.25)</f>
        <v>30.28</v>
      </c>
      <c r="I1995" s="40">
        <v>250</v>
      </c>
      <c r="J1995" s="28">
        <f t="shared" si="346"/>
        <v>7570</v>
      </c>
      <c r="K1995" s="37">
        <v>1</v>
      </c>
      <c r="L1995" s="31" t="s">
        <v>215</v>
      </c>
      <c r="M1995" s="32" t="s">
        <v>52</v>
      </c>
      <c r="N1995" s="33">
        <v>2</v>
      </c>
      <c r="O1995" s="82">
        <v>121.12</v>
      </c>
      <c r="P1995" s="82">
        <v>100</v>
      </c>
      <c r="Q1995" s="90">
        <v>6450</v>
      </c>
      <c r="R1995" s="36">
        <f>(O1995*Q1995)</f>
        <v>781224</v>
      </c>
      <c r="S1995" s="30">
        <v>32</v>
      </c>
      <c r="T1995" s="28">
        <f>(R1995*85/100)</f>
        <v>664040.4</v>
      </c>
      <c r="U1995" s="36">
        <f>(R1995-T1995)</f>
        <v>117183.59999999998</v>
      </c>
      <c r="V1995" s="36">
        <f>(J1995+U1995)</f>
        <v>124753.59999999998</v>
      </c>
      <c r="W1995" s="36">
        <f>(V1995*100/100)</f>
        <v>124753.59999999998</v>
      </c>
      <c r="X1995" s="45">
        <v>10000000</v>
      </c>
      <c r="Y1995" s="31"/>
      <c r="Z1995" s="31"/>
    </row>
    <row r="1996" spans="1:26" s="29" customFormat="1" ht="90.75" customHeight="1" x14ac:dyDescent="0.25">
      <c r="A1996" s="20"/>
      <c r="B1996" s="20"/>
      <c r="C1996" s="20"/>
      <c r="D1996" s="21"/>
      <c r="E1996" s="21"/>
      <c r="F1996" s="22"/>
      <c r="G1996" s="23"/>
      <c r="H1996" s="113"/>
      <c r="I1996" s="114"/>
      <c r="J1996" s="31"/>
      <c r="K1996" s="31"/>
      <c r="L1996" s="31" t="s">
        <v>59</v>
      </c>
      <c r="M1996" s="32"/>
      <c r="N1996" s="33"/>
      <c r="O1996" s="82">
        <v>12</v>
      </c>
      <c r="P1996" s="82">
        <v>9.91</v>
      </c>
      <c r="Q1996" s="82"/>
      <c r="R1996" s="31"/>
      <c r="S1996" s="31"/>
      <c r="T1996" s="47"/>
      <c r="U1996" s="48"/>
      <c r="V1996" s="48"/>
      <c r="W1996" s="48">
        <f>(W1995*9.91/100)</f>
        <v>12363.081759999997</v>
      </c>
      <c r="X1996" s="45"/>
      <c r="Y1996" s="31"/>
      <c r="Z1996" s="31"/>
    </row>
    <row r="1997" spans="1:26" s="29" customFormat="1" ht="90.75" customHeight="1" x14ac:dyDescent="0.25">
      <c r="A1997" s="20"/>
      <c r="B1997" s="20"/>
      <c r="C1997" s="20"/>
      <c r="D1997" s="21"/>
      <c r="E1997" s="21"/>
      <c r="F1997" s="22"/>
      <c r="G1997" s="23"/>
      <c r="H1997" s="36"/>
      <c r="I1997" s="40"/>
      <c r="J1997" s="28"/>
      <c r="K1997" s="37"/>
      <c r="L1997" s="31" t="s">
        <v>60</v>
      </c>
      <c r="M1997" s="32"/>
      <c r="N1997" s="33"/>
      <c r="O1997" s="82">
        <v>91.12</v>
      </c>
      <c r="P1997" s="82">
        <v>75.23</v>
      </c>
      <c r="Q1997" s="82"/>
      <c r="R1997" s="36"/>
      <c r="S1997" s="30"/>
      <c r="T1997" s="28"/>
      <c r="U1997" s="36"/>
      <c r="V1997" s="36"/>
      <c r="W1997" s="48">
        <f>(W1995*75.23/100)</f>
        <v>93852.13327999998</v>
      </c>
      <c r="X1997" s="28"/>
      <c r="Y1997" s="28"/>
      <c r="Z1997" s="20"/>
    </row>
    <row r="1998" spans="1:26" s="29" customFormat="1" ht="90.75" customHeight="1" x14ac:dyDescent="0.25">
      <c r="A1998" s="20"/>
      <c r="B1998" s="20"/>
      <c r="C1998" s="20"/>
      <c r="D1998" s="21"/>
      <c r="E1998" s="21"/>
      <c r="F1998" s="22"/>
      <c r="G1998" s="23"/>
      <c r="H1998" s="36"/>
      <c r="I1998" s="40"/>
      <c r="J1998" s="28"/>
      <c r="K1998" s="37"/>
      <c r="L1998" s="31" t="s">
        <v>61</v>
      </c>
      <c r="M1998" s="32"/>
      <c r="N1998" s="33">
        <v>3</v>
      </c>
      <c r="O1998" s="82">
        <v>18</v>
      </c>
      <c r="P1998" s="82">
        <v>14.86</v>
      </c>
      <c r="Q1998" s="82"/>
      <c r="R1998" s="36"/>
      <c r="S1998" s="30"/>
      <c r="T1998" s="28"/>
      <c r="U1998" s="36"/>
      <c r="V1998" s="36"/>
      <c r="W1998" s="48">
        <f>(W1995*14.86/100)</f>
        <v>18538.384959999996</v>
      </c>
      <c r="X1998" s="28">
        <v>0</v>
      </c>
      <c r="Y1998" s="28">
        <f>(W1998-X1998)</f>
        <v>18538.384959999996</v>
      </c>
      <c r="Z1998" s="49">
        <v>3.0000000000000001E-3</v>
      </c>
    </row>
    <row r="1999" spans="1:26" s="29" customFormat="1" ht="90.75" customHeight="1" x14ac:dyDescent="0.25">
      <c r="A1999" s="20"/>
      <c r="B1999" s="20"/>
      <c r="C1999" s="20"/>
      <c r="D1999" s="21"/>
      <c r="E1999" s="21"/>
      <c r="F1999" s="22"/>
      <c r="G1999" s="23"/>
      <c r="H1999" s="36">
        <f>(O1999*0.25)</f>
        <v>8.5500000000000007</v>
      </c>
      <c r="I1999" s="40">
        <v>250</v>
      </c>
      <c r="J1999" s="28">
        <f t="shared" ref="J1999:J2006" si="347">(H1999*I1999)</f>
        <v>2137.5</v>
      </c>
      <c r="K1999" s="37">
        <v>2</v>
      </c>
      <c r="L1999" s="31" t="s">
        <v>31</v>
      </c>
      <c r="M1999" s="32" t="s">
        <v>30</v>
      </c>
      <c r="N1999" s="33"/>
      <c r="O1999" s="82">
        <v>34.200000000000003</v>
      </c>
      <c r="P1999" s="82">
        <v>100</v>
      </c>
      <c r="Q1999" s="36">
        <v>2550</v>
      </c>
      <c r="R1999" s="36">
        <f>(O1999*Q1999)</f>
        <v>87210</v>
      </c>
      <c r="S1999" s="30">
        <v>32</v>
      </c>
      <c r="T1999" s="28">
        <f>(R1999*85/100)</f>
        <v>74128.5</v>
      </c>
      <c r="U1999" s="36">
        <f>(R1999-T1999)</f>
        <v>13081.5</v>
      </c>
      <c r="V1999" s="36">
        <f>(J1999+U1999)</f>
        <v>15219</v>
      </c>
      <c r="W1999" s="36"/>
      <c r="X1999" s="28"/>
      <c r="Y1999" s="28"/>
      <c r="Z1999" s="20"/>
    </row>
    <row r="2000" spans="1:26" s="29" customFormat="1" ht="90.75" customHeight="1" x14ac:dyDescent="0.25">
      <c r="A2000" s="20">
        <v>1230</v>
      </c>
      <c r="B2000" s="20" t="s">
        <v>0</v>
      </c>
      <c r="C2000" s="20">
        <v>5565</v>
      </c>
      <c r="D2000" s="21">
        <v>1</v>
      </c>
      <c r="E2000" s="21">
        <v>2</v>
      </c>
      <c r="F2000" s="22">
        <v>46</v>
      </c>
      <c r="G2000" s="23" t="s">
        <v>211</v>
      </c>
      <c r="H2000" s="36">
        <f>(D2000*400)+(E2000*100)+F2000</f>
        <v>646</v>
      </c>
      <c r="I2000" s="40" t="s">
        <v>23</v>
      </c>
      <c r="J2000" s="65">
        <f t="shared" si="347"/>
        <v>646000</v>
      </c>
      <c r="K2000" s="33"/>
      <c r="L2000" s="31"/>
      <c r="M2000" s="112"/>
      <c r="N2000" s="30"/>
      <c r="O2000" s="90"/>
      <c r="P2000" s="82"/>
      <c r="Q2000" s="83"/>
      <c r="R2000" s="33"/>
      <c r="S2000" s="33"/>
      <c r="T2000" s="89"/>
      <c r="U2000" s="33"/>
      <c r="V2000" s="90"/>
      <c r="W2000" s="90"/>
      <c r="X2000" s="89"/>
      <c r="Y2000" s="48"/>
      <c r="Z2000" s="53"/>
    </row>
    <row r="2001" spans="1:26" s="29" customFormat="1" ht="90.75" customHeight="1" x14ac:dyDescent="0.25">
      <c r="A2001" s="20"/>
      <c r="B2001" s="20"/>
      <c r="C2001" s="20"/>
      <c r="D2001" s="21"/>
      <c r="E2001" s="21"/>
      <c r="F2001" s="22"/>
      <c r="G2001" s="62" t="s">
        <v>56</v>
      </c>
      <c r="H2001" s="77">
        <v>618.5</v>
      </c>
      <c r="I2001" s="40">
        <v>1000</v>
      </c>
      <c r="J2001" s="28">
        <f t="shared" si="347"/>
        <v>618500</v>
      </c>
      <c r="K2001" s="37">
        <v>1</v>
      </c>
      <c r="L2001" s="20" t="s">
        <v>215</v>
      </c>
      <c r="M2001" s="37" t="s">
        <v>13</v>
      </c>
      <c r="N2001" s="30">
        <v>2</v>
      </c>
      <c r="O2001" s="77">
        <v>492</v>
      </c>
      <c r="P2001" s="35">
        <v>100</v>
      </c>
      <c r="Q2001" s="77">
        <v>6450</v>
      </c>
      <c r="R2001" s="77">
        <f>(O2001*Q2001)</f>
        <v>3173400</v>
      </c>
      <c r="S2001" s="37">
        <v>32</v>
      </c>
      <c r="T2001" s="28">
        <f>(R2001*54/100)</f>
        <v>1713636</v>
      </c>
      <c r="U2001" s="77">
        <f>(R2001-T2001)</f>
        <v>1459764</v>
      </c>
      <c r="V2001" s="77">
        <f>(J2001+U2001)</f>
        <v>2078264</v>
      </c>
      <c r="W2001" s="77">
        <f>(V2001*100/100)</f>
        <v>2078264</v>
      </c>
      <c r="X2001" s="28">
        <v>50000000</v>
      </c>
      <c r="Y2001" s="28">
        <v>0</v>
      </c>
      <c r="Z2001" s="49">
        <v>2.0000000000000001E-4</v>
      </c>
    </row>
    <row r="2002" spans="1:26" s="29" customFormat="1" ht="90.75" customHeight="1" x14ac:dyDescent="0.25">
      <c r="A2002" s="20"/>
      <c r="B2002" s="20" t="s">
        <v>0</v>
      </c>
      <c r="C2002" s="20">
        <v>5565</v>
      </c>
      <c r="D2002" s="21"/>
      <c r="E2002" s="21"/>
      <c r="F2002" s="22"/>
      <c r="G2002" s="21" t="s">
        <v>209</v>
      </c>
      <c r="H2002" s="77">
        <v>110</v>
      </c>
      <c r="I2002" s="40">
        <v>1000</v>
      </c>
      <c r="J2002" s="28">
        <f t="shared" si="347"/>
        <v>110000</v>
      </c>
      <c r="K2002" s="37"/>
      <c r="L2002" s="20"/>
      <c r="M2002" s="37"/>
      <c r="N2002" s="30"/>
      <c r="O2002" s="77"/>
      <c r="P2002" s="35"/>
      <c r="Q2002" s="77"/>
      <c r="R2002" s="77"/>
      <c r="S2002" s="37"/>
      <c r="T2002" s="28"/>
      <c r="U2002" s="77"/>
      <c r="V2002" s="77">
        <f>(J2002)</f>
        <v>110000</v>
      </c>
      <c r="W2002" s="77">
        <f>(V2002*100/100)</f>
        <v>110000</v>
      </c>
      <c r="X2002" s="28">
        <v>0</v>
      </c>
      <c r="Y2002" s="28">
        <f>(W2002-X2002)</f>
        <v>110000</v>
      </c>
      <c r="Z2002" s="49">
        <v>3.0000000000000001E-3</v>
      </c>
    </row>
    <row r="2003" spans="1:26" s="29" customFormat="1" ht="90.75" customHeight="1" x14ac:dyDescent="0.25">
      <c r="A2003" s="20">
        <v>1231</v>
      </c>
      <c r="B2003" s="20" t="s">
        <v>0</v>
      </c>
      <c r="C2003" s="20">
        <v>15251</v>
      </c>
      <c r="D2003" s="21">
        <v>0</v>
      </c>
      <c r="E2003" s="21">
        <v>3</v>
      </c>
      <c r="F2003" s="22">
        <v>0</v>
      </c>
      <c r="G2003" s="23" t="s">
        <v>211</v>
      </c>
      <c r="H2003" s="24">
        <f>(D2003*400)+(E2003*100)+F2003</f>
        <v>300</v>
      </c>
      <c r="I2003" s="25" t="s">
        <v>23</v>
      </c>
      <c r="J2003" s="24">
        <f t="shared" si="347"/>
        <v>300000</v>
      </c>
      <c r="K2003" s="20">
        <v>1</v>
      </c>
      <c r="L2003" s="20"/>
      <c r="M2003" s="20"/>
      <c r="N2003" s="20"/>
      <c r="O2003" s="24"/>
      <c r="P2003" s="24"/>
      <c r="Q2003" s="25"/>
      <c r="R2003" s="24"/>
      <c r="S2003" s="20"/>
      <c r="T2003" s="27"/>
      <c r="U2003" s="20"/>
      <c r="V2003" s="20"/>
      <c r="W2003" s="26"/>
      <c r="X2003" s="27"/>
      <c r="Y2003" s="20"/>
      <c r="Z2003" s="20"/>
    </row>
    <row r="2004" spans="1:26" s="29" customFormat="1" ht="90.75" customHeight="1" x14ac:dyDescent="0.25">
      <c r="A2004" s="20"/>
      <c r="B2004" s="20"/>
      <c r="C2004" s="20"/>
      <c r="D2004" s="21"/>
      <c r="E2004" s="21"/>
      <c r="F2004" s="22"/>
      <c r="G2004" s="21" t="s">
        <v>209</v>
      </c>
      <c r="H2004" s="24">
        <v>6</v>
      </c>
      <c r="I2004" s="25" t="s">
        <v>23</v>
      </c>
      <c r="J2004" s="24">
        <f t="shared" si="347"/>
        <v>6000</v>
      </c>
      <c r="K2004" s="20"/>
      <c r="L2004" s="20" t="s">
        <v>29</v>
      </c>
      <c r="M2004" s="20" t="s">
        <v>13</v>
      </c>
      <c r="N2004" s="20">
        <v>3</v>
      </c>
      <c r="O2004" s="24">
        <v>24</v>
      </c>
      <c r="P2004" s="35">
        <v>100</v>
      </c>
      <c r="Q2004" s="25">
        <v>5550</v>
      </c>
      <c r="R2004" s="36">
        <f>(O2004*Q2004)</f>
        <v>133200</v>
      </c>
      <c r="S2004" s="20">
        <v>1</v>
      </c>
      <c r="T2004" s="28">
        <f>(R2004*1/100)</f>
        <v>1332</v>
      </c>
      <c r="U2004" s="77">
        <f>(R2004-T2004)</f>
        <v>131868</v>
      </c>
      <c r="V2004" s="77">
        <f>(J2004+U2004)</f>
        <v>137868</v>
      </c>
      <c r="W2004" s="77">
        <f>(V2004*100/100)</f>
        <v>137868</v>
      </c>
      <c r="X2004" s="28">
        <v>0</v>
      </c>
      <c r="Y2004" s="28">
        <f>(W2004-X2004)</f>
        <v>137868</v>
      </c>
      <c r="Z2004" s="49">
        <v>3.0000000000000001E-3</v>
      </c>
    </row>
    <row r="2005" spans="1:26" s="29" customFormat="1" ht="90.75" customHeight="1" x14ac:dyDescent="0.25">
      <c r="A2005" s="20">
        <v>1232</v>
      </c>
      <c r="B2005" s="20" t="s">
        <v>0</v>
      </c>
      <c r="C2005" s="20">
        <v>5776</v>
      </c>
      <c r="D2005" s="21">
        <v>7</v>
      </c>
      <c r="E2005" s="21">
        <v>0</v>
      </c>
      <c r="F2005" s="22">
        <v>79</v>
      </c>
      <c r="G2005" s="22" t="s">
        <v>210</v>
      </c>
      <c r="H2005" s="24">
        <f>(D2005*400)+(E2005*100)+F2005</f>
        <v>2879</v>
      </c>
      <c r="I2005" s="25" t="s">
        <v>3</v>
      </c>
      <c r="J2005" s="24">
        <f t="shared" si="347"/>
        <v>431850</v>
      </c>
      <c r="K2005" s="20"/>
      <c r="L2005" s="20"/>
      <c r="M2005" s="20"/>
      <c r="N2005" s="20"/>
      <c r="O2005" s="24"/>
      <c r="P2005" s="24"/>
      <c r="Q2005" s="25"/>
      <c r="R2005" s="24"/>
      <c r="S2005" s="20"/>
      <c r="T2005" s="27"/>
      <c r="U2005" s="20"/>
      <c r="V2005" s="77">
        <f>(J2005)</f>
        <v>431850</v>
      </c>
      <c r="W2005" s="77">
        <f>(V2005*100/100)</f>
        <v>431850</v>
      </c>
      <c r="X2005" s="28">
        <v>0</v>
      </c>
      <c r="Y2005" s="28">
        <f>(W2005-X2005)</f>
        <v>431850</v>
      </c>
      <c r="Z2005" s="49">
        <v>3.0000000000000001E-3</v>
      </c>
    </row>
    <row r="2006" spans="1:26" s="29" customFormat="1" ht="90.75" customHeight="1" x14ac:dyDescent="0.25">
      <c r="A2006" s="20">
        <v>1233</v>
      </c>
      <c r="B2006" s="20" t="s">
        <v>0</v>
      </c>
      <c r="C2006" s="20">
        <v>2387</v>
      </c>
      <c r="D2006" s="21">
        <v>1</v>
      </c>
      <c r="E2006" s="21">
        <v>0</v>
      </c>
      <c r="F2006" s="22">
        <v>24</v>
      </c>
      <c r="G2006" s="23" t="s">
        <v>209</v>
      </c>
      <c r="H2006" s="24">
        <f>(D2006*400)+(E2006*100)+F2006</f>
        <v>424</v>
      </c>
      <c r="I2006" s="25" t="s">
        <v>26</v>
      </c>
      <c r="J2006" s="24">
        <f t="shared" si="347"/>
        <v>487600</v>
      </c>
      <c r="K2006" s="20"/>
      <c r="L2006" s="20"/>
      <c r="M2006" s="20"/>
      <c r="N2006" s="20"/>
      <c r="O2006" s="24"/>
      <c r="P2006" s="24"/>
      <c r="Q2006" s="25"/>
      <c r="R2006" s="24"/>
      <c r="S2006" s="20"/>
      <c r="T2006" s="27"/>
      <c r="U2006" s="20"/>
      <c r="V2006" s="20"/>
      <c r="W2006" s="26"/>
      <c r="X2006" s="27"/>
      <c r="Y2006" s="20"/>
      <c r="Z2006" s="20"/>
    </row>
    <row r="2007" spans="1:26" s="29" customFormat="1" ht="90.75" customHeight="1" x14ac:dyDescent="0.25">
      <c r="A2007" s="20"/>
      <c r="B2007" s="20"/>
      <c r="C2007" s="20"/>
      <c r="D2007" s="21"/>
      <c r="E2007" s="21"/>
      <c r="F2007" s="22"/>
      <c r="G2007" s="23"/>
      <c r="H2007" s="24"/>
      <c r="I2007" s="25"/>
      <c r="J2007" s="24"/>
      <c r="K2007" s="37">
        <v>1</v>
      </c>
      <c r="L2007" s="31" t="s">
        <v>215</v>
      </c>
      <c r="M2007" s="32" t="s">
        <v>13</v>
      </c>
      <c r="N2007" s="33">
        <v>3</v>
      </c>
      <c r="O2007" s="34">
        <v>90</v>
      </c>
      <c r="P2007" s="35">
        <v>100</v>
      </c>
      <c r="Q2007" s="36">
        <v>6450</v>
      </c>
      <c r="R2007" s="36">
        <f>(O2007*Q2007)</f>
        <v>580500</v>
      </c>
      <c r="S2007" s="37">
        <v>6</v>
      </c>
      <c r="T2007" s="28">
        <f>(R2007*6/100)</f>
        <v>34830</v>
      </c>
      <c r="U2007" s="36">
        <f>(R2007-T2007)</f>
        <v>545670</v>
      </c>
      <c r="V2007" s="36"/>
      <c r="W2007" s="36"/>
      <c r="X2007" s="28"/>
      <c r="Y2007" s="28"/>
      <c r="Z2007" s="20"/>
    </row>
    <row r="2008" spans="1:26" s="29" customFormat="1" ht="90.75" customHeight="1" x14ac:dyDescent="0.25">
      <c r="A2008" s="20"/>
      <c r="B2008" s="20"/>
      <c r="C2008" s="20"/>
      <c r="D2008" s="21"/>
      <c r="E2008" s="21"/>
      <c r="F2008" s="22"/>
      <c r="G2008" s="23"/>
      <c r="H2008" s="24"/>
      <c r="I2008" s="25"/>
      <c r="J2008" s="24"/>
      <c r="K2008" s="37">
        <v>2</v>
      </c>
      <c r="L2008" s="31" t="s">
        <v>31</v>
      </c>
      <c r="M2008" s="32"/>
      <c r="N2008" s="33">
        <v>3</v>
      </c>
      <c r="O2008" s="34">
        <v>30</v>
      </c>
      <c r="P2008" s="35">
        <v>100</v>
      </c>
      <c r="Q2008" s="36">
        <v>2550</v>
      </c>
      <c r="R2008" s="36">
        <f>(O2008*Q2008)</f>
        <v>76500</v>
      </c>
      <c r="S2008" s="37">
        <v>6</v>
      </c>
      <c r="T2008" s="28">
        <f>(R2008*6/100)</f>
        <v>4590</v>
      </c>
      <c r="U2008" s="36">
        <f>(R2008-T2008)</f>
        <v>71910</v>
      </c>
      <c r="V2008" s="36"/>
      <c r="W2008" s="36"/>
      <c r="X2008" s="28"/>
      <c r="Y2008" s="28"/>
      <c r="Z2008" s="20"/>
    </row>
    <row r="2009" spans="1:26" s="29" customFormat="1" ht="90.75" customHeight="1" x14ac:dyDescent="0.25">
      <c r="A2009" s="20"/>
      <c r="B2009" s="20"/>
      <c r="C2009" s="20"/>
      <c r="D2009" s="21"/>
      <c r="E2009" s="21"/>
      <c r="F2009" s="22"/>
      <c r="G2009" s="23"/>
      <c r="H2009" s="24"/>
      <c r="I2009" s="25"/>
      <c r="J2009" s="24"/>
      <c r="K2009" s="37">
        <v>3</v>
      </c>
      <c r="L2009" s="31" t="s">
        <v>63</v>
      </c>
      <c r="M2009" s="32"/>
      <c r="N2009" s="33">
        <v>3</v>
      </c>
      <c r="O2009" s="34">
        <v>24</v>
      </c>
      <c r="P2009" s="35">
        <v>100</v>
      </c>
      <c r="Q2009" s="36">
        <v>5150</v>
      </c>
      <c r="R2009" s="36">
        <f>(O2009*Q2009)</f>
        <v>123600</v>
      </c>
      <c r="S2009" s="37">
        <v>6</v>
      </c>
      <c r="T2009" s="28">
        <f>(R2009*6/100)</f>
        <v>7416</v>
      </c>
      <c r="U2009" s="36">
        <f>(R2009-T2009)</f>
        <v>116184</v>
      </c>
      <c r="V2009" s="36"/>
      <c r="W2009" s="36"/>
      <c r="X2009" s="28"/>
      <c r="Y2009" s="28"/>
      <c r="Z2009" s="20"/>
    </row>
    <row r="2010" spans="1:26" s="29" customFormat="1" ht="90.75" customHeight="1" x14ac:dyDescent="0.25">
      <c r="A2010" s="20"/>
      <c r="B2010" s="20"/>
      <c r="C2010" s="20"/>
      <c r="D2010" s="21"/>
      <c r="E2010" s="21"/>
      <c r="F2010" s="22"/>
      <c r="G2010" s="23"/>
      <c r="H2010" s="24"/>
      <c r="I2010" s="25"/>
      <c r="J2010" s="24"/>
      <c r="K2010" s="37">
        <v>4</v>
      </c>
      <c r="L2010" s="31" t="s">
        <v>64</v>
      </c>
      <c r="M2010" s="32"/>
      <c r="N2010" s="33">
        <v>3</v>
      </c>
      <c r="O2010" s="34">
        <v>8</v>
      </c>
      <c r="P2010" s="35">
        <v>100</v>
      </c>
      <c r="Q2010" s="36">
        <v>5900</v>
      </c>
      <c r="R2010" s="36">
        <f>(O2010*Q2010)</f>
        <v>47200</v>
      </c>
      <c r="S2010" s="37">
        <v>6</v>
      </c>
      <c r="T2010" s="28">
        <f>(R2010*6/100)</f>
        <v>2832</v>
      </c>
      <c r="U2010" s="36">
        <f>(R2010-T2010)</f>
        <v>44368</v>
      </c>
      <c r="V2010" s="36"/>
      <c r="W2010" s="36"/>
      <c r="X2010" s="28"/>
      <c r="Y2010" s="28"/>
      <c r="Z2010" s="20"/>
    </row>
    <row r="2011" spans="1:26" s="29" customFormat="1" ht="90.75" customHeight="1" x14ac:dyDescent="0.25">
      <c r="A2011" s="20"/>
      <c r="B2011" s="20"/>
      <c r="C2011" s="20"/>
      <c r="D2011" s="21"/>
      <c r="E2011" s="21"/>
      <c r="F2011" s="22"/>
      <c r="G2011" s="23"/>
      <c r="H2011" s="24"/>
      <c r="I2011" s="25"/>
      <c r="J2011" s="24"/>
      <c r="K2011" s="37"/>
      <c r="L2011" s="31"/>
      <c r="M2011" s="32"/>
      <c r="N2011" s="33"/>
      <c r="O2011" s="34"/>
      <c r="P2011" s="35"/>
      <c r="Q2011" s="36"/>
      <c r="R2011" s="36"/>
      <c r="S2011" s="37"/>
      <c r="T2011" s="28"/>
      <c r="U2011" s="36">
        <f>(U2007+U2008+U2009+U2010)</f>
        <v>778132</v>
      </c>
      <c r="V2011" s="36">
        <f>(J2006+U2011)</f>
        <v>1265732</v>
      </c>
      <c r="W2011" s="36">
        <f>(V2011*100/100)</f>
        <v>1265732</v>
      </c>
      <c r="X2011" s="28">
        <v>0</v>
      </c>
      <c r="Y2011" s="28">
        <f>(W2011-X2011)</f>
        <v>1265732</v>
      </c>
      <c r="Z2011" s="49">
        <v>3.0000000000000001E-3</v>
      </c>
    </row>
    <row r="2012" spans="1:26" s="29" customFormat="1" ht="90.75" customHeight="1" x14ac:dyDescent="0.25">
      <c r="A2012" s="20">
        <v>1234</v>
      </c>
      <c r="B2012" s="20" t="s">
        <v>0</v>
      </c>
      <c r="C2012" s="20">
        <v>5752</v>
      </c>
      <c r="D2012" s="21">
        <v>0</v>
      </c>
      <c r="E2012" s="21">
        <v>3</v>
      </c>
      <c r="F2012" s="22">
        <v>51</v>
      </c>
      <c r="G2012" s="23" t="s">
        <v>209</v>
      </c>
      <c r="H2012" s="24">
        <f>(D2012*400)+(E2012*100)+F2012</f>
        <v>351</v>
      </c>
      <c r="I2012" s="25" t="s">
        <v>23</v>
      </c>
      <c r="J2012" s="24">
        <f>(H2012*I2012)</f>
        <v>351000</v>
      </c>
      <c r="K2012" s="20">
        <v>1</v>
      </c>
      <c r="L2012" s="20" t="s">
        <v>16</v>
      </c>
      <c r="M2012" s="20" t="s">
        <v>13</v>
      </c>
      <c r="N2012" s="20">
        <v>3</v>
      </c>
      <c r="O2012" s="24">
        <v>150</v>
      </c>
      <c r="P2012" s="35">
        <v>100</v>
      </c>
      <c r="Q2012" s="36">
        <v>6450</v>
      </c>
      <c r="R2012" s="36">
        <f>(O2012*Q2012)</f>
        <v>967500</v>
      </c>
      <c r="S2012" s="20">
        <v>3</v>
      </c>
      <c r="T2012" s="28">
        <f>(R2012*3/100)</f>
        <v>29025</v>
      </c>
      <c r="U2012" s="36">
        <f>(R2012-T2012)</f>
        <v>938475</v>
      </c>
      <c r="V2012" s="20"/>
      <c r="W2012" s="26"/>
      <c r="X2012" s="27"/>
      <c r="Y2012" s="20"/>
      <c r="Z2012" s="20"/>
    </row>
    <row r="2013" spans="1:26" s="29" customFormat="1" ht="90.75" customHeight="1" x14ac:dyDescent="0.25">
      <c r="A2013" s="20"/>
      <c r="B2013" s="20"/>
      <c r="C2013" s="20"/>
      <c r="D2013" s="21"/>
      <c r="E2013" s="21"/>
      <c r="F2013" s="22"/>
      <c r="G2013" s="23"/>
      <c r="H2013" s="24"/>
      <c r="I2013" s="25"/>
      <c r="J2013" s="24"/>
      <c r="K2013" s="20">
        <v>2</v>
      </c>
      <c r="L2013" s="20" t="s">
        <v>16</v>
      </c>
      <c r="M2013" s="20" t="s">
        <v>13</v>
      </c>
      <c r="N2013" s="20">
        <v>3</v>
      </c>
      <c r="O2013" s="24">
        <v>175</v>
      </c>
      <c r="P2013" s="35">
        <v>100</v>
      </c>
      <c r="Q2013" s="36">
        <v>6450</v>
      </c>
      <c r="R2013" s="36">
        <f>(O2013*Q2013)</f>
        <v>1128750</v>
      </c>
      <c r="S2013" s="20">
        <v>3</v>
      </c>
      <c r="T2013" s="28">
        <f>(R2013*3/100)</f>
        <v>33862.5</v>
      </c>
      <c r="U2013" s="36">
        <f>(R2013-T2013)</f>
        <v>1094887.5</v>
      </c>
      <c r="V2013" s="20"/>
      <c r="W2013" s="26"/>
      <c r="X2013" s="27"/>
      <c r="Y2013" s="20"/>
      <c r="Z2013" s="20"/>
    </row>
    <row r="2014" spans="1:26" s="29" customFormat="1" ht="90.75" customHeight="1" x14ac:dyDescent="0.25">
      <c r="A2014" s="20"/>
      <c r="B2014" s="20"/>
      <c r="C2014" s="20"/>
      <c r="D2014" s="21"/>
      <c r="E2014" s="21"/>
      <c r="F2014" s="22"/>
      <c r="G2014" s="23"/>
      <c r="H2014" s="24"/>
      <c r="I2014" s="25"/>
      <c r="J2014" s="24"/>
      <c r="K2014" s="20"/>
      <c r="L2014" s="20"/>
      <c r="M2014" s="20"/>
      <c r="N2014" s="20"/>
      <c r="O2014" s="24"/>
      <c r="P2014" s="24"/>
      <c r="Q2014" s="25"/>
      <c r="R2014" s="24"/>
      <c r="S2014" s="20"/>
      <c r="T2014" s="27"/>
      <c r="U2014" s="78">
        <f>SUM(U2012:U2013)</f>
        <v>2033362.5</v>
      </c>
      <c r="V2014" s="36">
        <f>(J2012+U2014)</f>
        <v>2384362.5</v>
      </c>
      <c r="W2014" s="36">
        <f>(V2014*100/100)</f>
        <v>2384362.5</v>
      </c>
      <c r="X2014" s="28">
        <v>0</v>
      </c>
      <c r="Y2014" s="28">
        <f>(W2014-X2014)</f>
        <v>2384362.5</v>
      </c>
      <c r="Z2014" s="49">
        <v>3.0000000000000001E-3</v>
      </c>
    </row>
    <row r="2015" spans="1:26" s="29" customFormat="1" ht="90.75" customHeight="1" x14ac:dyDescent="0.25">
      <c r="A2015" s="20">
        <v>1235</v>
      </c>
      <c r="B2015" s="20" t="s">
        <v>0</v>
      </c>
      <c r="C2015" s="20">
        <v>29760</v>
      </c>
      <c r="D2015" s="21">
        <v>0</v>
      </c>
      <c r="E2015" s="21">
        <v>0</v>
      </c>
      <c r="F2015" s="22">
        <v>96</v>
      </c>
      <c r="G2015" s="23"/>
      <c r="H2015" s="24">
        <f>(D2015*400)+(E2015*100)+F2015</f>
        <v>96</v>
      </c>
      <c r="I2015" s="25" t="s">
        <v>19</v>
      </c>
      <c r="J2015" s="24">
        <f t="shared" ref="J2015:J2040" si="348">(H2015*I2015)</f>
        <v>36000</v>
      </c>
      <c r="K2015" s="20"/>
      <c r="L2015" s="20"/>
      <c r="M2015" s="20"/>
      <c r="N2015" s="20"/>
      <c r="O2015" s="24"/>
      <c r="P2015" s="24"/>
      <c r="Q2015" s="25"/>
      <c r="R2015" s="24"/>
      <c r="S2015" s="20"/>
      <c r="T2015" s="27"/>
      <c r="U2015" s="20"/>
      <c r="V2015" s="20"/>
      <c r="W2015" s="26"/>
      <c r="X2015" s="27"/>
      <c r="Y2015" s="20"/>
      <c r="Z2015" s="20"/>
    </row>
    <row r="2016" spans="1:26" s="29" customFormat="1" ht="90.75" customHeight="1" x14ac:dyDescent="0.25">
      <c r="A2016" s="20"/>
      <c r="B2016" s="20"/>
      <c r="C2016" s="20"/>
      <c r="D2016" s="21"/>
      <c r="E2016" s="21"/>
      <c r="F2016" s="22"/>
      <c r="G2016" s="23"/>
      <c r="H2016" s="24">
        <v>80.819999999999993</v>
      </c>
      <c r="I2016" s="25" t="s">
        <v>19</v>
      </c>
      <c r="J2016" s="24">
        <f t="shared" si="348"/>
        <v>30307.499999999996</v>
      </c>
      <c r="K2016" s="20">
        <v>1</v>
      </c>
      <c r="L2016" s="20" t="s">
        <v>16</v>
      </c>
      <c r="M2016" s="20" t="s">
        <v>40</v>
      </c>
      <c r="N2016" s="20"/>
      <c r="O2016" s="34">
        <v>357</v>
      </c>
      <c r="P2016" s="35">
        <v>100</v>
      </c>
      <c r="Q2016" s="36">
        <v>6450</v>
      </c>
      <c r="R2016" s="36">
        <f>(O2016*Q2016)</f>
        <v>2302650</v>
      </c>
      <c r="S2016" s="37">
        <v>42</v>
      </c>
      <c r="T2016" s="28">
        <f>(R2016*93/100)</f>
        <v>2141464.5</v>
      </c>
      <c r="U2016" s="36">
        <f>(R2016-T2016)</f>
        <v>161185.5</v>
      </c>
      <c r="V2016" s="36">
        <f>(J2016+U2016)</f>
        <v>191493</v>
      </c>
      <c r="W2016" s="36">
        <f>(V2016*P2016/100)</f>
        <v>191493</v>
      </c>
      <c r="X2016" s="28">
        <v>50000000</v>
      </c>
      <c r="Y2016" s="28">
        <v>0</v>
      </c>
      <c r="Z2016" s="49">
        <v>1E-4</v>
      </c>
    </row>
    <row r="2017" spans="1:26" s="29" customFormat="1" ht="90.75" customHeight="1" x14ac:dyDescent="0.25">
      <c r="A2017" s="20"/>
      <c r="B2017" s="20"/>
      <c r="C2017" s="20"/>
      <c r="D2017" s="21"/>
      <c r="E2017" s="21"/>
      <c r="F2017" s="22"/>
      <c r="G2017" s="23"/>
      <c r="H2017" s="24">
        <v>15.18</v>
      </c>
      <c r="I2017" s="25" t="s">
        <v>19</v>
      </c>
      <c r="J2017" s="24">
        <f t="shared" si="348"/>
        <v>5692.5</v>
      </c>
      <c r="K2017" s="20">
        <v>3</v>
      </c>
      <c r="L2017" s="20" t="s">
        <v>29</v>
      </c>
      <c r="M2017" s="20" t="s">
        <v>13</v>
      </c>
      <c r="N2017" s="20"/>
      <c r="O2017" s="34">
        <v>60.75</v>
      </c>
      <c r="P2017" s="35">
        <v>100</v>
      </c>
      <c r="Q2017" s="36">
        <v>5550</v>
      </c>
      <c r="R2017" s="36">
        <f>(O2017*Q2017)</f>
        <v>337162.5</v>
      </c>
      <c r="S2017" s="37">
        <v>12</v>
      </c>
      <c r="T2017" s="28">
        <f>(R2017*14/100)</f>
        <v>47202.75</v>
      </c>
      <c r="U2017" s="36">
        <f>(R2017-T2017)</f>
        <v>289959.75</v>
      </c>
      <c r="V2017" s="36">
        <f>(J2017+U2017)</f>
        <v>295652.25</v>
      </c>
      <c r="W2017" s="36">
        <f>(V2017*P2017/100)</f>
        <v>295652.25</v>
      </c>
      <c r="X2017" s="28">
        <v>0</v>
      </c>
      <c r="Y2017" s="28">
        <f>(W2017-X2017)</f>
        <v>295652.25</v>
      </c>
      <c r="Z2017" s="49">
        <v>3.0000000000000001E-3</v>
      </c>
    </row>
    <row r="2018" spans="1:26" s="29" customFormat="1" ht="90.75" customHeight="1" x14ac:dyDescent="0.25">
      <c r="A2018" s="20">
        <v>1236</v>
      </c>
      <c r="B2018" s="20" t="s">
        <v>0</v>
      </c>
      <c r="C2018" s="20">
        <v>4735</v>
      </c>
      <c r="D2018" s="21">
        <v>0</v>
      </c>
      <c r="E2018" s="21">
        <v>2</v>
      </c>
      <c r="F2018" s="22">
        <v>96</v>
      </c>
      <c r="G2018" s="23"/>
      <c r="H2018" s="24">
        <f>(D2018*400)+(E2018*100)+F2018</f>
        <v>296</v>
      </c>
      <c r="I2018" s="25" t="s">
        <v>26</v>
      </c>
      <c r="J2018" s="24">
        <f t="shared" si="348"/>
        <v>340400</v>
      </c>
      <c r="K2018" s="20"/>
      <c r="L2018" s="20"/>
      <c r="M2018" s="20"/>
      <c r="N2018" s="20"/>
      <c r="O2018" s="24"/>
      <c r="P2018" s="24"/>
      <c r="Q2018" s="25"/>
      <c r="R2018" s="24"/>
      <c r="S2018" s="20"/>
      <c r="T2018" s="27"/>
      <c r="U2018" s="20"/>
      <c r="V2018" s="20"/>
      <c r="W2018" s="26"/>
      <c r="X2018" s="27"/>
      <c r="Y2018" s="20"/>
      <c r="Z2018" s="20"/>
    </row>
    <row r="2019" spans="1:26" s="29" customFormat="1" ht="90.75" customHeight="1" x14ac:dyDescent="0.25">
      <c r="A2019" s="20"/>
      <c r="B2019" s="20"/>
      <c r="C2019" s="20"/>
      <c r="D2019" s="21"/>
      <c r="E2019" s="21"/>
      <c r="F2019" s="22"/>
      <c r="G2019" s="23"/>
      <c r="H2019" s="36">
        <v>4</v>
      </c>
      <c r="I2019" s="40" t="s">
        <v>26</v>
      </c>
      <c r="J2019" s="65">
        <f t="shared" si="348"/>
        <v>4600</v>
      </c>
      <c r="K2019" s="30">
        <v>1</v>
      </c>
      <c r="L2019" s="20" t="s">
        <v>43</v>
      </c>
      <c r="M2019" s="35" t="s">
        <v>13</v>
      </c>
      <c r="N2019" s="30">
        <v>3</v>
      </c>
      <c r="O2019" s="36">
        <v>16</v>
      </c>
      <c r="P2019" s="35">
        <v>100</v>
      </c>
      <c r="Q2019" s="40">
        <v>6450</v>
      </c>
      <c r="R2019" s="65">
        <f>(O2019*Q2019)</f>
        <v>103200</v>
      </c>
      <c r="S2019" s="79">
        <v>3</v>
      </c>
      <c r="T2019" s="65">
        <f>(R2019*3/100)</f>
        <v>3096</v>
      </c>
      <c r="U2019" s="65">
        <f>(R2019-T2019)</f>
        <v>100104</v>
      </c>
      <c r="V2019" s="36">
        <f>(J2019+U2019)</f>
        <v>104704</v>
      </c>
      <c r="W2019" s="36">
        <f>(V2019*100/100)</f>
        <v>104704</v>
      </c>
      <c r="X2019" s="65">
        <v>0</v>
      </c>
      <c r="Y2019" s="26">
        <f>(W2019-X2019)</f>
        <v>104704</v>
      </c>
      <c r="Z2019" s="49">
        <v>3.0000000000000001E-3</v>
      </c>
    </row>
    <row r="2020" spans="1:26" s="29" customFormat="1" ht="90.75" customHeight="1" x14ac:dyDescent="0.25">
      <c r="A2020" s="20">
        <v>1237</v>
      </c>
      <c r="B2020" s="20" t="s">
        <v>0</v>
      </c>
      <c r="C2020" s="20">
        <v>4724</v>
      </c>
      <c r="D2020" s="21">
        <v>0</v>
      </c>
      <c r="E2020" s="21">
        <v>1</v>
      </c>
      <c r="F2020" s="22">
        <v>97</v>
      </c>
      <c r="G2020" s="23" t="s">
        <v>211</v>
      </c>
      <c r="H2020" s="36">
        <f>(D2020*400)+(E2020*100)+F2020</f>
        <v>197</v>
      </c>
      <c r="I2020" s="40" t="s">
        <v>26</v>
      </c>
      <c r="J2020" s="65">
        <f t="shared" si="348"/>
        <v>226550</v>
      </c>
      <c r="K2020" s="30"/>
      <c r="L2020" s="31"/>
      <c r="M2020" s="112"/>
      <c r="N2020" s="30"/>
      <c r="O2020" s="90"/>
      <c r="P2020" s="82"/>
      <c r="Q2020" s="83"/>
      <c r="R2020" s="33"/>
      <c r="S2020" s="33"/>
      <c r="T2020" s="89"/>
      <c r="U2020" s="33"/>
      <c r="V2020" s="90"/>
      <c r="W2020" s="90"/>
      <c r="X2020" s="89"/>
      <c r="Y2020" s="48"/>
      <c r="Z2020" s="53"/>
    </row>
    <row r="2021" spans="1:26" s="29" customFormat="1" ht="90.75" customHeight="1" x14ac:dyDescent="0.25">
      <c r="A2021" s="20"/>
      <c r="B2021" s="20"/>
      <c r="C2021" s="20"/>
      <c r="D2021" s="21"/>
      <c r="E2021" s="21"/>
      <c r="F2021" s="22"/>
      <c r="G2021" s="23"/>
      <c r="H2021" s="36">
        <v>186.2</v>
      </c>
      <c r="I2021" s="40">
        <v>1150</v>
      </c>
      <c r="J2021" s="28">
        <f t="shared" si="348"/>
        <v>214130</v>
      </c>
      <c r="K2021" s="30">
        <v>1</v>
      </c>
      <c r="L2021" s="31" t="s">
        <v>215</v>
      </c>
      <c r="M2021" s="32" t="s">
        <v>13</v>
      </c>
      <c r="N2021" s="33">
        <v>2</v>
      </c>
      <c r="O2021" s="34">
        <v>240.48</v>
      </c>
      <c r="P2021" s="35">
        <v>100</v>
      </c>
      <c r="Q2021" s="36">
        <v>6450</v>
      </c>
      <c r="R2021" s="36">
        <f>(O2021*Q2021)</f>
        <v>1551096</v>
      </c>
      <c r="S2021" s="37">
        <v>32</v>
      </c>
      <c r="T2021" s="28">
        <f>(R2021*54/100)</f>
        <v>837591.84</v>
      </c>
      <c r="U2021" s="36">
        <f>(R2021-T2021)</f>
        <v>713504.16</v>
      </c>
      <c r="V2021" s="36">
        <f>(J2021+U2021)</f>
        <v>927634.16</v>
      </c>
      <c r="W2021" s="36">
        <f>(V2021*P2021/100)</f>
        <v>927634.16</v>
      </c>
      <c r="X2021" s="28">
        <v>50000000</v>
      </c>
      <c r="Y2021" s="28">
        <v>0</v>
      </c>
      <c r="Z2021" s="49">
        <v>2.0000000000000001E-4</v>
      </c>
    </row>
    <row r="2022" spans="1:26" s="29" customFormat="1" ht="90.75" customHeight="1" x14ac:dyDescent="0.25">
      <c r="A2022" s="20"/>
      <c r="B2022" s="20"/>
      <c r="C2022" s="20"/>
      <c r="D2022" s="21"/>
      <c r="E2022" s="21"/>
      <c r="F2022" s="22"/>
      <c r="G2022" s="23"/>
      <c r="H2022" s="36">
        <v>10.8</v>
      </c>
      <c r="I2022" s="40">
        <v>1150</v>
      </c>
      <c r="J2022" s="28">
        <f t="shared" si="348"/>
        <v>12420</v>
      </c>
      <c r="K2022" s="30">
        <v>2</v>
      </c>
      <c r="L2022" s="31" t="s">
        <v>36</v>
      </c>
      <c r="M2022" s="32"/>
      <c r="N2022" s="33"/>
      <c r="O2022" s="34">
        <v>43.2</v>
      </c>
      <c r="P2022" s="35">
        <v>100</v>
      </c>
      <c r="Q2022" s="36">
        <v>5550</v>
      </c>
      <c r="R2022" s="36">
        <f>(O2022*Q2022)</f>
        <v>239760.00000000003</v>
      </c>
      <c r="S2022" s="37">
        <v>3</v>
      </c>
      <c r="T2022" s="28">
        <f>(R2022*3/100)</f>
        <v>7192.8000000000011</v>
      </c>
      <c r="U2022" s="36">
        <f>(R2022-T2022)</f>
        <v>232567.20000000004</v>
      </c>
      <c r="V2022" s="36">
        <f>(J2022+U2022)</f>
        <v>244987.20000000004</v>
      </c>
      <c r="W2022" s="36">
        <f>(V2022*P2022/100)</f>
        <v>244987.20000000004</v>
      </c>
      <c r="X2022" s="28">
        <v>0</v>
      </c>
      <c r="Y2022" s="28">
        <f>(W2022-X2022)</f>
        <v>244987.20000000004</v>
      </c>
      <c r="Z2022" s="49">
        <v>3.0000000000000001E-3</v>
      </c>
    </row>
    <row r="2023" spans="1:26" s="29" customFormat="1" ht="90.75" customHeight="1" x14ac:dyDescent="0.25">
      <c r="A2023" s="20">
        <v>1238</v>
      </c>
      <c r="B2023" s="20" t="s">
        <v>0</v>
      </c>
      <c r="C2023" s="20">
        <v>4723</v>
      </c>
      <c r="D2023" s="21">
        <v>0</v>
      </c>
      <c r="E2023" s="21">
        <v>0</v>
      </c>
      <c r="F2023" s="22">
        <v>99</v>
      </c>
      <c r="G2023" s="23" t="s">
        <v>56</v>
      </c>
      <c r="H2023" s="36">
        <f>(D2023*400)+(E2023*100)+F2023</f>
        <v>99</v>
      </c>
      <c r="I2023" s="40" t="s">
        <v>26</v>
      </c>
      <c r="J2023" s="65">
        <f t="shared" si="348"/>
        <v>113850</v>
      </c>
      <c r="K2023" s="30">
        <v>1</v>
      </c>
      <c r="L2023" s="31" t="s">
        <v>31</v>
      </c>
      <c r="M2023" s="32" t="s">
        <v>13</v>
      </c>
      <c r="N2023" s="33">
        <v>2</v>
      </c>
      <c r="O2023" s="34">
        <v>241.92</v>
      </c>
      <c r="P2023" s="35">
        <v>100</v>
      </c>
      <c r="Q2023" s="36">
        <v>2550</v>
      </c>
      <c r="R2023" s="36">
        <f>(O2023*Q2023)</f>
        <v>616896</v>
      </c>
      <c r="S2023" s="37">
        <v>31</v>
      </c>
      <c r="T2023" s="28">
        <f>(R2023*52/100)</f>
        <v>320785.91999999998</v>
      </c>
      <c r="U2023" s="36">
        <f>(R2023-T2023)</f>
        <v>296110.08000000002</v>
      </c>
      <c r="V2023" s="36">
        <f>(J2023+U2023)</f>
        <v>409960.08</v>
      </c>
      <c r="W2023" s="36">
        <f>(V2023*P2023/100)</f>
        <v>409960.08</v>
      </c>
      <c r="X2023" s="28">
        <v>0</v>
      </c>
      <c r="Y2023" s="28">
        <f>(W2023-X2023)</f>
        <v>409960.08</v>
      </c>
      <c r="Z2023" s="49">
        <v>2.0000000000000001E-4</v>
      </c>
    </row>
    <row r="2024" spans="1:26" s="29" customFormat="1" ht="90.75" customHeight="1" x14ac:dyDescent="0.25">
      <c r="A2024" s="20">
        <v>1239</v>
      </c>
      <c r="B2024" s="20" t="s">
        <v>0</v>
      </c>
      <c r="C2024" s="20">
        <v>5121</v>
      </c>
      <c r="D2024" s="21">
        <v>0</v>
      </c>
      <c r="E2024" s="21">
        <v>0</v>
      </c>
      <c r="F2024" s="22">
        <v>97</v>
      </c>
      <c r="G2024" s="23" t="s">
        <v>56</v>
      </c>
      <c r="H2024" s="36">
        <f>(D2024*400)+(E2024*100)+F2024</f>
        <v>97</v>
      </c>
      <c r="I2024" s="40" t="s">
        <v>26</v>
      </c>
      <c r="J2024" s="65">
        <f t="shared" si="348"/>
        <v>111550</v>
      </c>
      <c r="K2024" s="30">
        <v>1</v>
      </c>
      <c r="L2024" s="31" t="s">
        <v>43</v>
      </c>
      <c r="M2024" s="32" t="s">
        <v>13</v>
      </c>
      <c r="N2024" s="33">
        <v>3</v>
      </c>
      <c r="O2024" s="34">
        <v>532.5</v>
      </c>
      <c r="P2024" s="35">
        <v>100</v>
      </c>
      <c r="Q2024" s="36">
        <v>7700</v>
      </c>
      <c r="R2024" s="36">
        <f>(O2024*Q2024)</f>
        <v>4100250</v>
      </c>
      <c r="S2024" s="37">
        <v>21</v>
      </c>
      <c r="T2024" s="28">
        <f>(R2024*32/100)</f>
        <v>1312080</v>
      </c>
      <c r="U2024" s="36">
        <f>(R2024-T2024)</f>
        <v>2788170</v>
      </c>
      <c r="V2024" s="36">
        <f>(J2024+U2024)</f>
        <v>2899720</v>
      </c>
      <c r="W2024" s="36">
        <f>(V2024*P2024/100)</f>
        <v>2899720</v>
      </c>
      <c r="X2024" s="28">
        <v>0</v>
      </c>
      <c r="Y2024" s="28">
        <f>(W2024-X2024)</f>
        <v>2899720</v>
      </c>
      <c r="Z2024" s="49">
        <v>2.0000000000000001E-4</v>
      </c>
    </row>
    <row r="2025" spans="1:26" s="29" customFormat="1" ht="90.75" customHeight="1" x14ac:dyDescent="0.25">
      <c r="A2025" s="20">
        <v>1240</v>
      </c>
      <c r="B2025" s="20" t="s">
        <v>0</v>
      </c>
      <c r="C2025" s="20">
        <v>5128</v>
      </c>
      <c r="D2025" s="21">
        <v>0</v>
      </c>
      <c r="E2025" s="21">
        <v>2</v>
      </c>
      <c r="F2025" s="22">
        <v>12</v>
      </c>
      <c r="G2025" s="23" t="s">
        <v>211</v>
      </c>
      <c r="H2025" s="24">
        <f>(D2025*400)+(E2025*100)+F2025</f>
        <v>212</v>
      </c>
      <c r="I2025" s="25" t="s">
        <v>65</v>
      </c>
      <c r="J2025" s="24">
        <f t="shared" si="348"/>
        <v>153700</v>
      </c>
      <c r="K2025" s="20"/>
      <c r="L2025" s="20"/>
      <c r="M2025" s="20"/>
      <c r="N2025" s="20"/>
      <c r="O2025" s="24"/>
      <c r="P2025" s="24"/>
      <c r="Q2025" s="25"/>
      <c r="R2025" s="24"/>
      <c r="S2025" s="20"/>
      <c r="T2025" s="27"/>
      <c r="U2025" s="20"/>
      <c r="V2025" s="20"/>
      <c r="W2025" s="26"/>
      <c r="X2025" s="27"/>
      <c r="Y2025" s="20"/>
      <c r="Z2025" s="20"/>
    </row>
    <row r="2026" spans="1:26" s="29" customFormat="1" ht="90.75" customHeight="1" x14ac:dyDescent="0.25">
      <c r="A2026" s="20"/>
      <c r="B2026" s="20"/>
      <c r="C2026" s="20"/>
      <c r="D2026" s="21"/>
      <c r="E2026" s="21"/>
      <c r="F2026" s="22"/>
      <c r="G2026" s="23"/>
      <c r="H2026" s="36">
        <v>189</v>
      </c>
      <c r="I2026" s="40">
        <v>725</v>
      </c>
      <c r="J2026" s="28">
        <f t="shared" si="348"/>
        <v>137025</v>
      </c>
      <c r="K2026" s="37">
        <v>1</v>
      </c>
      <c r="L2026" s="31" t="s">
        <v>215</v>
      </c>
      <c r="M2026" s="32" t="s">
        <v>13</v>
      </c>
      <c r="N2026" s="33"/>
      <c r="O2026" s="34">
        <v>89.6</v>
      </c>
      <c r="P2026" s="35">
        <v>100</v>
      </c>
      <c r="Q2026" s="36">
        <v>6450</v>
      </c>
      <c r="R2026" s="36">
        <f t="shared" ref="R2026:R2036" si="349">(O2026*Q2026)</f>
        <v>577920</v>
      </c>
      <c r="S2026" s="37">
        <v>26</v>
      </c>
      <c r="T2026" s="28">
        <f>(R2026*42/100)</f>
        <v>242726.39999999999</v>
      </c>
      <c r="U2026" s="36">
        <f t="shared" ref="U2026:U2036" si="350">(R2026-T2026)</f>
        <v>335193.59999999998</v>
      </c>
      <c r="V2026" s="36">
        <f t="shared" ref="V2026:V2036" si="351">(J2026+U2026)</f>
        <v>472218.6</v>
      </c>
      <c r="W2026" s="36">
        <f t="shared" ref="W2026:W2036" si="352">(V2026*P2026/100)</f>
        <v>472218.6</v>
      </c>
      <c r="X2026" s="28">
        <v>0</v>
      </c>
      <c r="Y2026" s="28">
        <f t="shared" ref="Y2026:Y2036" si="353">(W2026-X2026)</f>
        <v>472218.6</v>
      </c>
      <c r="Z2026" s="49">
        <v>2.0000000000000001E-4</v>
      </c>
    </row>
    <row r="2027" spans="1:26" s="29" customFormat="1" ht="90.75" customHeight="1" x14ac:dyDescent="0.25">
      <c r="A2027" s="20"/>
      <c r="B2027" s="20"/>
      <c r="C2027" s="20"/>
      <c r="D2027" s="21"/>
      <c r="E2027" s="21"/>
      <c r="F2027" s="22"/>
      <c r="G2027" s="23"/>
      <c r="H2027" s="36">
        <f t="shared" ref="H2027:H2036" si="354">(O2027*0.25)</f>
        <v>14</v>
      </c>
      <c r="I2027" s="40">
        <v>725</v>
      </c>
      <c r="J2027" s="28">
        <f t="shared" si="348"/>
        <v>10150</v>
      </c>
      <c r="K2027" s="37">
        <v>2</v>
      </c>
      <c r="L2027" s="31" t="s">
        <v>31</v>
      </c>
      <c r="M2027" s="32" t="s">
        <v>13</v>
      </c>
      <c r="N2027" s="33"/>
      <c r="O2027" s="34">
        <v>56</v>
      </c>
      <c r="P2027" s="35">
        <v>100</v>
      </c>
      <c r="Q2027" s="36">
        <v>2550</v>
      </c>
      <c r="R2027" s="36">
        <f t="shared" si="349"/>
        <v>142800</v>
      </c>
      <c r="S2027" s="37">
        <v>5</v>
      </c>
      <c r="T2027" s="28">
        <f>(R2027*5/100)</f>
        <v>7140</v>
      </c>
      <c r="U2027" s="36">
        <f t="shared" si="350"/>
        <v>135660</v>
      </c>
      <c r="V2027" s="36">
        <f t="shared" si="351"/>
        <v>145810</v>
      </c>
      <c r="W2027" s="36">
        <f t="shared" si="352"/>
        <v>145810</v>
      </c>
      <c r="X2027" s="28">
        <v>0</v>
      </c>
      <c r="Y2027" s="28">
        <f t="shared" si="353"/>
        <v>145810</v>
      </c>
      <c r="Z2027" s="49">
        <v>3.0000000000000001E-3</v>
      </c>
    </row>
    <row r="2028" spans="1:26" s="29" customFormat="1" ht="90.75" customHeight="1" x14ac:dyDescent="0.25">
      <c r="A2028" s="20"/>
      <c r="B2028" s="20"/>
      <c r="C2028" s="20"/>
      <c r="D2028" s="21"/>
      <c r="E2028" s="21"/>
      <c r="F2028" s="22"/>
      <c r="G2028" s="23"/>
      <c r="H2028" s="36">
        <f t="shared" si="354"/>
        <v>1</v>
      </c>
      <c r="I2028" s="40">
        <v>725</v>
      </c>
      <c r="J2028" s="28">
        <f t="shared" si="348"/>
        <v>725</v>
      </c>
      <c r="K2028" s="37">
        <v>3</v>
      </c>
      <c r="L2028" s="31" t="s">
        <v>215</v>
      </c>
      <c r="M2028" s="32" t="s">
        <v>40</v>
      </c>
      <c r="N2028" s="33"/>
      <c r="O2028" s="90">
        <v>4</v>
      </c>
      <c r="P2028" s="35">
        <v>100</v>
      </c>
      <c r="Q2028" s="36">
        <v>6450</v>
      </c>
      <c r="R2028" s="36">
        <f t="shared" si="349"/>
        <v>25800</v>
      </c>
      <c r="S2028" s="37">
        <v>5</v>
      </c>
      <c r="T2028" s="28">
        <f t="shared" ref="T2028:T2036" si="355">(R2028*15/100)</f>
        <v>3870</v>
      </c>
      <c r="U2028" s="36">
        <f t="shared" si="350"/>
        <v>21930</v>
      </c>
      <c r="V2028" s="36">
        <f t="shared" si="351"/>
        <v>22655</v>
      </c>
      <c r="W2028" s="36">
        <f t="shared" si="352"/>
        <v>22655</v>
      </c>
      <c r="X2028" s="28">
        <v>0</v>
      </c>
      <c r="Y2028" s="28">
        <f t="shared" si="353"/>
        <v>22655</v>
      </c>
      <c r="Z2028" s="49">
        <v>3.0000000000000001E-3</v>
      </c>
    </row>
    <row r="2029" spans="1:26" s="29" customFormat="1" ht="90.75" customHeight="1" x14ac:dyDescent="0.25">
      <c r="A2029" s="20"/>
      <c r="B2029" s="20"/>
      <c r="C2029" s="20"/>
      <c r="D2029" s="21"/>
      <c r="E2029" s="21"/>
      <c r="F2029" s="22"/>
      <c r="G2029" s="23"/>
      <c r="H2029" s="36">
        <f t="shared" si="354"/>
        <v>1</v>
      </c>
      <c r="I2029" s="40">
        <v>725</v>
      </c>
      <c r="J2029" s="28">
        <f t="shared" si="348"/>
        <v>725</v>
      </c>
      <c r="K2029" s="37">
        <v>4</v>
      </c>
      <c r="L2029" s="31" t="s">
        <v>215</v>
      </c>
      <c r="M2029" s="32" t="s">
        <v>40</v>
      </c>
      <c r="N2029" s="33"/>
      <c r="O2029" s="90">
        <v>4</v>
      </c>
      <c r="P2029" s="35">
        <v>100</v>
      </c>
      <c r="Q2029" s="36">
        <v>6450</v>
      </c>
      <c r="R2029" s="36">
        <f t="shared" si="349"/>
        <v>25800</v>
      </c>
      <c r="S2029" s="37">
        <v>5</v>
      </c>
      <c r="T2029" s="28">
        <f t="shared" si="355"/>
        <v>3870</v>
      </c>
      <c r="U2029" s="36">
        <f t="shared" si="350"/>
        <v>21930</v>
      </c>
      <c r="V2029" s="36">
        <f t="shared" si="351"/>
        <v>22655</v>
      </c>
      <c r="W2029" s="36">
        <f t="shared" si="352"/>
        <v>22655</v>
      </c>
      <c r="X2029" s="28">
        <v>0</v>
      </c>
      <c r="Y2029" s="28">
        <f t="shared" si="353"/>
        <v>22655</v>
      </c>
      <c r="Z2029" s="49">
        <v>3.0000000000000001E-3</v>
      </c>
    </row>
    <row r="2030" spans="1:26" s="29" customFormat="1" ht="90.75" customHeight="1" x14ac:dyDescent="0.25">
      <c r="A2030" s="20"/>
      <c r="B2030" s="20"/>
      <c r="C2030" s="20"/>
      <c r="D2030" s="21"/>
      <c r="E2030" s="21"/>
      <c r="F2030" s="22"/>
      <c r="G2030" s="23"/>
      <c r="H2030" s="36">
        <f t="shared" si="354"/>
        <v>1</v>
      </c>
      <c r="I2030" s="40">
        <v>725</v>
      </c>
      <c r="J2030" s="28">
        <f t="shared" si="348"/>
        <v>725</v>
      </c>
      <c r="K2030" s="37">
        <v>5</v>
      </c>
      <c r="L2030" s="31" t="s">
        <v>215</v>
      </c>
      <c r="M2030" s="32" t="s">
        <v>40</v>
      </c>
      <c r="N2030" s="33"/>
      <c r="O2030" s="90">
        <v>4</v>
      </c>
      <c r="P2030" s="35">
        <v>100</v>
      </c>
      <c r="Q2030" s="36">
        <v>6450</v>
      </c>
      <c r="R2030" s="36">
        <f t="shared" si="349"/>
        <v>25800</v>
      </c>
      <c r="S2030" s="37">
        <v>5</v>
      </c>
      <c r="T2030" s="28">
        <f t="shared" si="355"/>
        <v>3870</v>
      </c>
      <c r="U2030" s="36">
        <f t="shared" si="350"/>
        <v>21930</v>
      </c>
      <c r="V2030" s="36">
        <f t="shared" si="351"/>
        <v>22655</v>
      </c>
      <c r="W2030" s="36">
        <f t="shared" si="352"/>
        <v>22655</v>
      </c>
      <c r="X2030" s="28">
        <v>0</v>
      </c>
      <c r="Y2030" s="28">
        <f t="shared" si="353"/>
        <v>22655</v>
      </c>
      <c r="Z2030" s="49">
        <v>3.0000000000000001E-3</v>
      </c>
    </row>
    <row r="2031" spans="1:26" s="29" customFormat="1" ht="90.75" customHeight="1" x14ac:dyDescent="0.25">
      <c r="A2031" s="20"/>
      <c r="B2031" s="20"/>
      <c r="C2031" s="20"/>
      <c r="D2031" s="21"/>
      <c r="E2031" s="21"/>
      <c r="F2031" s="22"/>
      <c r="G2031" s="23"/>
      <c r="H2031" s="36">
        <f t="shared" si="354"/>
        <v>1</v>
      </c>
      <c r="I2031" s="40">
        <v>725</v>
      </c>
      <c r="J2031" s="28">
        <f t="shared" si="348"/>
        <v>725</v>
      </c>
      <c r="K2031" s="37">
        <v>6</v>
      </c>
      <c r="L2031" s="31" t="s">
        <v>215</v>
      </c>
      <c r="M2031" s="32" t="s">
        <v>40</v>
      </c>
      <c r="N2031" s="33"/>
      <c r="O2031" s="90">
        <v>4</v>
      </c>
      <c r="P2031" s="35">
        <v>100</v>
      </c>
      <c r="Q2031" s="36">
        <v>6450</v>
      </c>
      <c r="R2031" s="36">
        <f t="shared" si="349"/>
        <v>25800</v>
      </c>
      <c r="S2031" s="37">
        <v>5</v>
      </c>
      <c r="T2031" s="28">
        <f t="shared" si="355"/>
        <v>3870</v>
      </c>
      <c r="U2031" s="36">
        <f t="shared" si="350"/>
        <v>21930</v>
      </c>
      <c r="V2031" s="36">
        <f t="shared" si="351"/>
        <v>22655</v>
      </c>
      <c r="W2031" s="36">
        <f t="shared" si="352"/>
        <v>22655</v>
      </c>
      <c r="X2031" s="28">
        <v>0</v>
      </c>
      <c r="Y2031" s="28">
        <f t="shared" si="353"/>
        <v>22655</v>
      </c>
      <c r="Z2031" s="49">
        <v>3.0000000000000001E-3</v>
      </c>
    </row>
    <row r="2032" spans="1:26" s="29" customFormat="1" ht="90.75" customHeight="1" x14ac:dyDescent="0.25">
      <c r="A2032" s="20"/>
      <c r="B2032" s="20"/>
      <c r="C2032" s="20"/>
      <c r="D2032" s="21"/>
      <c r="E2032" s="21"/>
      <c r="F2032" s="22"/>
      <c r="G2032" s="23"/>
      <c r="H2032" s="36">
        <f t="shared" si="354"/>
        <v>1</v>
      </c>
      <c r="I2032" s="40">
        <v>725</v>
      </c>
      <c r="J2032" s="28">
        <f t="shared" si="348"/>
        <v>725</v>
      </c>
      <c r="K2032" s="37">
        <v>7</v>
      </c>
      <c r="L2032" s="31" t="s">
        <v>215</v>
      </c>
      <c r="M2032" s="32" t="s">
        <v>40</v>
      </c>
      <c r="N2032" s="33"/>
      <c r="O2032" s="90">
        <v>4</v>
      </c>
      <c r="P2032" s="35">
        <v>100</v>
      </c>
      <c r="Q2032" s="36">
        <v>6450</v>
      </c>
      <c r="R2032" s="36">
        <f t="shared" si="349"/>
        <v>25800</v>
      </c>
      <c r="S2032" s="37">
        <v>5</v>
      </c>
      <c r="T2032" s="28">
        <f t="shared" si="355"/>
        <v>3870</v>
      </c>
      <c r="U2032" s="36">
        <f t="shared" si="350"/>
        <v>21930</v>
      </c>
      <c r="V2032" s="36">
        <f t="shared" si="351"/>
        <v>22655</v>
      </c>
      <c r="W2032" s="36">
        <f t="shared" si="352"/>
        <v>22655</v>
      </c>
      <c r="X2032" s="28">
        <v>0</v>
      </c>
      <c r="Y2032" s="28">
        <f t="shared" si="353"/>
        <v>22655</v>
      </c>
      <c r="Z2032" s="49">
        <v>3.0000000000000001E-3</v>
      </c>
    </row>
    <row r="2033" spans="1:26" s="29" customFormat="1" ht="90.75" customHeight="1" x14ac:dyDescent="0.25">
      <c r="A2033" s="20"/>
      <c r="B2033" s="20"/>
      <c r="C2033" s="20"/>
      <c r="D2033" s="21"/>
      <c r="E2033" s="21"/>
      <c r="F2033" s="22"/>
      <c r="G2033" s="23"/>
      <c r="H2033" s="36">
        <f t="shared" si="354"/>
        <v>1</v>
      </c>
      <c r="I2033" s="40">
        <v>725</v>
      </c>
      <c r="J2033" s="28">
        <f t="shared" si="348"/>
        <v>725</v>
      </c>
      <c r="K2033" s="37">
        <v>8</v>
      </c>
      <c r="L2033" s="31" t="s">
        <v>215</v>
      </c>
      <c r="M2033" s="32" t="s">
        <v>40</v>
      </c>
      <c r="N2033" s="33"/>
      <c r="O2033" s="90">
        <v>4</v>
      </c>
      <c r="P2033" s="35">
        <v>100</v>
      </c>
      <c r="Q2033" s="36">
        <v>6450</v>
      </c>
      <c r="R2033" s="36">
        <f t="shared" si="349"/>
        <v>25800</v>
      </c>
      <c r="S2033" s="37">
        <v>5</v>
      </c>
      <c r="T2033" s="28">
        <f t="shared" si="355"/>
        <v>3870</v>
      </c>
      <c r="U2033" s="36">
        <f t="shared" si="350"/>
        <v>21930</v>
      </c>
      <c r="V2033" s="36">
        <f t="shared" si="351"/>
        <v>22655</v>
      </c>
      <c r="W2033" s="36">
        <f t="shared" si="352"/>
        <v>22655</v>
      </c>
      <c r="X2033" s="28">
        <v>0</v>
      </c>
      <c r="Y2033" s="28">
        <f t="shared" si="353"/>
        <v>22655</v>
      </c>
      <c r="Z2033" s="49">
        <v>3.0000000000000001E-3</v>
      </c>
    </row>
    <row r="2034" spans="1:26" s="29" customFormat="1" ht="90.75" customHeight="1" x14ac:dyDescent="0.25">
      <c r="A2034" s="20"/>
      <c r="B2034" s="20"/>
      <c r="C2034" s="20"/>
      <c r="D2034" s="21"/>
      <c r="E2034" s="21"/>
      <c r="F2034" s="22"/>
      <c r="G2034" s="23"/>
      <c r="H2034" s="36">
        <f t="shared" si="354"/>
        <v>1</v>
      </c>
      <c r="I2034" s="40">
        <v>725</v>
      </c>
      <c r="J2034" s="28">
        <f t="shared" si="348"/>
        <v>725</v>
      </c>
      <c r="K2034" s="37">
        <v>9</v>
      </c>
      <c r="L2034" s="31" t="s">
        <v>215</v>
      </c>
      <c r="M2034" s="32" t="s">
        <v>40</v>
      </c>
      <c r="N2034" s="33"/>
      <c r="O2034" s="90">
        <v>4</v>
      </c>
      <c r="P2034" s="35">
        <v>100</v>
      </c>
      <c r="Q2034" s="36">
        <v>6450</v>
      </c>
      <c r="R2034" s="36">
        <f t="shared" si="349"/>
        <v>25800</v>
      </c>
      <c r="S2034" s="37">
        <v>5</v>
      </c>
      <c r="T2034" s="28">
        <f t="shared" si="355"/>
        <v>3870</v>
      </c>
      <c r="U2034" s="36">
        <f t="shared" si="350"/>
        <v>21930</v>
      </c>
      <c r="V2034" s="36">
        <f t="shared" si="351"/>
        <v>22655</v>
      </c>
      <c r="W2034" s="36">
        <f t="shared" si="352"/>
        <v>22655</v>
      </c>
      <c r="X2034" s="28">
        <v>0</v>
      </c>
      <c r="Y2034" s="28">
        <f t="shared" si="353"/>
        <v>22655</v>
      </c>
      <c r="Z2034" s="49">
        <v>3.0000000000000001E-3</v>
      </c>
    </row>
    <row r="2035" spans="1:26" s="29" customFormat="1" ht="90.75" customHeight="1" x14ac:dyDescent="0.25">
      <c r="A2035" s="20"/>
      <c r="B2035" s="20"/>
      <c r="C2035" s="20"/>
      <c r="D2035" s="21"/>
      <c r="E2035" s="21"/>
      <c r="F2035" s="22"/>
      <c r="G2035" s="23"/>
      <c r="H2035" s="36">
        <f t="shared" si="354"/>
        <v>1</v>
      </c>
      <c r="I2035" s="40">
        <v>725</v>
      </c>
      <c r="J2035" s="28">
        <f t="shared" si="348"/>
        <v>725</v>
      </c>
      <c r="K2035" s="37">
        <v>10</v>
      </c>
      <c r="L2035" s="31" t="s">
        <v>215</v>
      </c>
      <c r="M2035" s="32" t="s">
        <v>40</v>
      </c>
      <c r="N2035" s="33"/>
      <c r="O2035" s="90">
        <v>4</v>
      </c>
      <c r="P2035" s="35">
        <v>100</v>
      </c>
      <c r="Q2035" s="36">
        <v>6450</v>
      </c>
      <c r="R2035" s="36">
        <f t="shared" si="349"/>
        <v>25800</v>
      </c>
      <c r="S2035" s="37">
        <v>5</v>
      </c>
      <c r="T2035" s="28">
        <f t="shared" si="355"/>
        <v>3870</v>
      </c>
      <c r="U2035" s="36">
        <f t="shared" si="350"/>
        <v>21930</v>
      </c>
      <c r="V2035" s="36">
        <f t="shared" si="351"/>
        <v>22655</v>
      </c>
      <c r="W2035" s="36">
        <f t="shared" si="352"/>
        <v>22655</v>
      </c>
      <c r="X2035" s="28">
        <v>0</v>
      </c>
      <c r="Y2035" s="28">
        <f t="shared" si="353"/>
        <v>22655</v>
      </c>
      <c r="Z2035" s="49">
        <v>3.0000000000000001E-3</v>
      </c>
    </row>
    <row r="2036" spans="1:26" s="29" customFormat="1" ht="90.75" customHeight="1" x14ac:dyDescent="0.25">
      <c r="A2036" s="20"/>
      <c r="B2036" s="20"/>
      <c r="C2036" s="20"/>
      <c r="D2036" s="21"/>
      <c r="E2036" s="21"/>
      <c r="F2036" s="22"/>
      <c r="G2036" s="23"/>
      <c r="H2036" s="36">
        <f t="shared" si="354"/>
        <v>1</v>
      </c>
      <c r="I2036" s="40">
        <v>725</v>
      </c>
      <c r="J2036" s="28">
        <f t="shared" si="348"/>
        <v>725</v>
      </c>
      <c r="K2036" s="37">
        <v>11</v>
      </c>
      <c r="L2036" s="31" t="s">
        <v>215</v>
      </c>
      <c r="M2036" s="32" t="s">
        <v>40</v>
      </c>
      <c r="N2036" s="33"/>
      <c r="O2036" s="90">
        <v>4</v>
      </c>
      <c r="P2036" s="35">
        <v>100</v>
      </c>
      <c r="Q2036" s="36">
        <v>6450</v>
      </c>
      <c r="R2036" s="36">
        <f t="shared" si="349"/>
        <v>25800</v>
      </c>
      <c r="S2036" s="37">
        <v>5</v>
      </c>
      <c r="T2036" s="28">
        <f t="shared" si="355"/>
        <v>3870</v>
      </c>
      <c r="U2036" s="36">
        <f t="shared" si="350"/>
        <v>21930</v>
      </c>
      <c r="V2036" s="36">
        <f t="shared" si="351"/>
        <v>22655</v>
      </c>
      <c r="W2036" s="36">
        <f t="shared" si="352"/>
        <v>22655</v>
      </c>
      <c r="X2036" s="28">
        <v>0</v>
      </c>
      <c r="Y2036" s="28">
        <f t="shared" si="353"/>
        <v>22655</v>
      </c>
      <c r="Z2036" s="49">
        <v>3.0000000000000001E-3</v>
      </c>
    </row>
    <row r="2037" spans="1:26" s="29" customFormat="1" ht="90.75" customHeight="1" x14ac:dyDescent="0.25">
      <c r="A2037" s="20">
        <v>1241</v>
      </c>
      <c r="B2037" s="20" t="s">
        <v>0</v>
      </c>
      <c r="C2037" s="20">
        <v>29597</v>
      </c>
      <c r="D2037" s="21">
        <v>0</v>
      </c>
      <c r="E2037" s="21">
        <v>1</v>
      </c>
      <c r="F2037" s="22">
        <v>0</v>
      </c>
      <c r="G2037" s="23" t="s">
        <v>211</v>
      </c>
      <c r="H2037" s="24">
        <f>(D2037*400)+(E2037*100)+F2037</f>
        <v>100</v>
      </c>
      <c r="I2037" s="25">
        <v>375</v>
      </c>
      <c r="J2037" s="24">
        <f t="shared" si="348"/>
        <v>37500</v>
      </c>
      <c r="K2037" s="20"/>
      <c r="L2037" s="20"/>
      <c r="M2037" s="20"/>
      <c r="N2037" s="20"/>
      <c r="O2037" s="24"/>
      <c r="P2037" s="24"/>
      <c r="Q2037" s="25"/>
      <c r="R2037" s="24"/>
      <c r="S2037" s="20"/>
      <c r="T2037" s="27"/>
      <c r="U2037" s="20"/>
      <c r="V2037" s="20"/>
      <c r="W2037" s="26"/>
      <c r="X2037" s="27"/>
      <c r="Y2037" s="20"/>
      <c r="Z2037" s="20"/>
    </row>
    <row r="2038" spans="1:26" s="29" customFormat="1" ht="90.75" customHeight="1" x14ac:dyDescent="0.25">
      <c r="A2038" s="20"/>
      <c r="B2038" s="20"/>
      <c r="C2038" s="20"/>
      <c r="D2038" s="21"/>
      <c r="E2038" s="21"/>
      <c r="F2038" s="22"/>
      <c r="G2038" s="23"/>
      <c r="H2038" s="24">
        <v>98.45</v>
      </c>
      <c r="I2038" s="25">
        <v>375</v>
      </c>
      <c r="J2038" s="24">
        <f t="shared" si="348"/>
        <v>36918.75</v>
      </c>
      <c r="K2038" s="20">
        <v>1</v>
      </c>
      <c r="L2038" s="20" t="s">
        <v>16</v>
      </c>
      <c r="M2038" s="20" t="s">
        <v>13</v>
      </c>
      <c r="N2038" s="20">
        <v>2</v>
      </c>
      <c r="O2038" s="24">
        <v>43.35</v>
      </c>
      <c r="P2038" s="24">
        <v>100</v>
      </c>
      <c r="Q2038" s="25">
        <v>6450</v>
      </c>
      <c r="R2038" s="36">
        <f>(O2038*Q2038)</f>
        <v>279607.5</v>
      </c>
      <c r="S2038" s="20">
        <v>5</v>
      </c>
      <c r="T2038" s="28">
        <f>(R2038*5/100)</f>
        <v>13980.375</v>
      </c>
      <c r="U2038" s="36">
        <f>(R2038-T2038)</f>
        <v>265627.125</v>
      </c>
      <c r="V2038" s="36">
        <f>(J2038+U2038)</f>
        <v>302545.875</v>
      </c>
      <c r="W2038" s="36">
        <f>(V2038*P2038/100)</f>
        <v>302545.875</v>
      </c>
      <c r="X2038" s="28">
        <v>10000000</v>
      </c>
      <c r="Y2038" s="28">
        <v>0</v>
      </c>
      <c r="Z2038" s="49">
        <v>2.0000000000000001E-4</v>
      </c>
    </row>
    <row r="2039" spans="1:26" s="29" customFormat="1" ht="90.75" customHeight="1" x14ac:dyDescent="0.25">
      <c r="A2039" s="20"/>
      <c r="B2039" s="20"/>
      <c r="C2039" s="20"/>
      <c r="D2039" s="21"/>
      <c r="E2039" s="21"/>
      <c r="F2039" s="22"/>
      <c r="G2039" s="23"/>
      <c r="H2039" s="24">
        <v>1.55</v>
      </c>
      <c r="I2039" s="25">
        <v>375</v>
      </c>
      <c r="J2039" s="24">
        <f t="shared" si="348"/>
        <v>581.25</v>
      </c>
      <c r="K2039" s="20">
        <v>2</v>
      </c>
      <c r="L2039" s="31" t="s">
        <v>31</v>
      </c>
      <c r="M2039" s="32" t="s">
        <v>40</v>
      </c>
      <c r="N2039" s="20">
        <v>3</v>
      </c>
      <c r="O2039" s="24">
        <v>6.2</v>
      </c>
      <c r="P2039" s="24">
        <v>100</v>
      </c>
      <c r="Q2039" s="25">
        <v>2550</v>
      </c>
      <c r="R2039" s="36">
        <f>(O2039*Q2039)</f>
        <v>15810</v>
      </c>
      <c r="S2039" s="20">
        <v>1</v>
      </c>
      <c r="T2039" s="28">
        <f>(R2039*3/100)</f>
        <v>474.3</v>
      </c>
      <c r="U2039" s="36">
        <f>(R2039-T2039)</f>
        <v>15335.7</v>
      </c>
      <c r="V2039" s="36">
        <f>(J2039+U2039)</f>
        <v>15916.95</v>
      </c>
      <c r="W2039" s="36">
        <f>(V2039*P2039/100)</f>
        <v>15916.95</v>
      </c>
      <c r="X2039" s="28">
        <v>0</v>
      </c>
      <c r="Y2039" s="28">
        <f>(W2039-X2039)</f>
        <v>15916.95</v>
      </c>
      <c r="Z2039" s="49">
        <v>3.0000000000000001E-3</v>
      </c>
    </row>
    <row r="2040" spans="1:26" s="29" customFormat="1" ht="90.75" customHeight="1" x14ac:dyDescent="0.25">
      <c r="A2040" s="20">
        <v>1242</v>
      </c>
      <c r="B2040" s="20" t="s">
        <v>0</v>
      </c>
      <c r="C2040" s="20">
        <v>22251</v>
      </c>
      <c r="D2040" s="21">
        <v>0</v>
      </c>
      <c r="E2040" s="21">
        <v>3</v>
      </c>
      <c r="F2040" s="22">
        <v>19</v>
      </c>
      <c r="G2040" s="23" t="s">
        <v>209</v>
      </c>
      <c r="H2040" s="24">
        <f>(D2040*400)+(E2040*100)+F2040</f>
        <v>319</v>
      </c>
      <c r="I2040" s="25">
        <v>375</v>
      </c>
      <c r="J2040" s="24">
        <f t="shared" si="348"/>
        <v>119625</v>
      </c>
      <c r="K2040" s="20">
        <v>1</v>
      </c>
      <c r="L2040" s="20" t="s">
        <v>15</v>
      </c>
      <c r="M2040" s="20" t="s">
        <v>13</v>
      </c>
      <c r="N2040" s="20">
        <v>3</v>
      </c>
      <c r="O2040" s="24">
        <v>128</v>
      </c>
      <c r="P2040" s="24">
        <v>100</v>
      </c>
      <c r="Q2040" s="25">
        <v>5950</v>
      </c>
      <c r="R2040" s="24">
        <f>(O2040*Q2040)</f>
        <v>761600</v>
      </c>
      <c r="S2040" s="20">
        <v>22</v>
      </c>
      <c r="T2040" s="28">
        <f>(R2040*34/100)</f>
        <v>258944</v>
      </c>
      <c r="U2040" s="36">
        <f>(R2040-T2040)</f>
        <v>502656</v>
      </c>
      <c r="V2040" s="20"/>
      <c r="W2040" s="26"/>
      <c r="X2040" s="27"/>
      <c r="Y2040" s="20"/>
      <c r="Z2040" s="20"/>
    </row>
    <row r="2041" spans="1:26" s="29" customFormat="1" ht="90.75" customHeight="1" x14ac:dyDescent="0.25">
      <c r="A2041" s="20"/>
      <c r="B2041" s="20"/>
      <c r="C2041" s="20"/>
      <c r="D2041" s="21"/>
      <c r="E2041" s="21"/>
      <c r="F2041" s="22"/>
      <c r="G2041" s="23"/>
      <c r="H2041" s="24"/>
      <c r="I2041" s="25"/>
      <c r="J2041" s="24"/>
      <c r="K2041" s="20">
        <v>2</v>
      </c>
      <c r="L2041" s="20" t="s">
        <v>16</v>
      </c>
      <c r="M2041" s="20" t="s">
        <v>13</v>
      </c>
      <c r="N2041" s="20">
        <v>3</v>
      </c>
      <c r="O2041" s="24">
        <v>64</v>
      </c>
      <c r="P2041" s="24">
        <v>100</v>
      </c>
      <c r="Q2041" s="25">
        <v>6450</v>
      </c>
      <c r="R2041" s="24">
        <f>(O2041*Q2041)</f>
        <v>412800</v>
      </c>
      <c r="S2041" s="20">
        <v>22</v>
      </c>
      <c r="T2041" s="28">
        <f>(R2041*34/100)</f>
        <v>140352</v>
      </c>
      <c r="U2041" s="36">
        <f>(R2041-T2041)</f>
        <v>272448</v>
      </c>
      <c r="V2041" s="20"/>
      <c r="W2041" s="26"/>
      <c r="X2041" s="27"/>
      <c r="Y2041" s="20"/>
      <c r="Z2041" s="20"/>
    </row>
    <row r="2042" spans="1:26" s="29" customFormat="1" ht="90.75" customHeight="1" x14ac:dyDescent="0.25">
      <c r="A2042" s="20"/>
      <c r="B2042" s="20"/>
      <c r="C2042" s="20"/>
      <c r="D2042" s="21"/>
      <c r="E2042" s="21"/>
      <c r="F2042" s="22"/>
      <c r="G2042" s="23"/>
      <c r="H2042" s="24"/>
      <c r="I2042" s="25"/>
      <c r="J2042" s="24"/>
      <c r="K2042" s="20">
        <v>3</v>
      </c>
      <c r="L2042" s="20" t="s">
        <v>43</v>
      </c>
      <c r="M2042" s="20" t="s">
        <v>13</v>
      </c>
      <c r="N2042" s="20">
        <v>3</v>
      </c>
      <c r="O2042" s="24">
        <v>96</v>
      </c>
      <c r="P2042" s="24">
        <v>100</v>
      </c>
      <c r="Q2042" s="25">
        <v>7700</v>
      </c>
      <c r="R2042" s="24">
        <f>(O2042*Q2042)</f>
        <v>739200</v>
      </c>
      <c r="S2042" s="20">
        <v>22</v>
      </c>
      <c r="T2042" s="28">
        <f>(R2042*34/100)</f>
        <v>251328</v>
      </c>
      <c r="U2042" s="36">
        <f>(R2042-T2042)</f>
        <v>487872</v>
      </c>
      <c r="V2042" s="20"/>
      <c r="W2042" s="26"/>
      <c r="X2042" s="27"/>
      <c r="Y2042" s="20"/>
      <c r="Z2042" s="20"/>
    </row>
    <row r="2043" spans="1:26" s="29" customFormat="1" ht="90.75" customHeight="1" x14ac:dyDescent="0.25">
      <c r="A2043" s="20"/>
      <c r="B2043" s="20"/>
      <c r="C2043" s="20"/>
      <c r="D2043" s="21"/>
      <c r="E2043" s="21"/>
      <c r="F2043" s="22"/>
      <c r="G2043" s="23"/>
      <c r="H2043" s="24"/>
      <c r="I2043" s="25"/>
      <c r="J2043" s="24"/>
      <c r="K2043" s="20"/>
      <c r="L2043" s="20"/>
      <c r="M2043" s="20"/>
      <c r="N2043" s="20"/>
      <c r="O2043" s="24"/>
      <c r="P2043" s="24"/>
      <c r="Q2043" s="25"/>
      <c r="R2043" s="24"/>
      <c r="S2043" s="20"/>
      <c r="T2043" s="27"/>
      <c r="U2043" s="78">
        <f>SUM(U2040:U2042)</f>
        <v>1262976</v>
      </c>
      <c r="V2043" s="80">
        <f>(J2040+U2043)</f>
        <v>1382601</v>
      </c>
      <c r="W2043" s="36">
        <f>(V2043*100/100)</f>
        <v>1382601</v>
      </c>
      <c r="X2043" s="28">
        <v>0</v>
      </c>
      <c r="Y2043" s="28">
        <f>(W2043-X2043)</f>
        <v>1382601</v>
      </c>
      <c r="Z2043" s="49">
        <v>3.0000000000000001E-3</v>
      </c>
    </row>
    <row r="2044" spans="1:26" s="29" customFormat="1" ht="90.75" customHeight="1" x14ac:dyDescent="0.25">
      <c r="A2044" s="20">
        <v>1243</v>
      </c>
      <c r="B2044" s="20" t="s">
        <v>0</v>
      </c>
      <c r="C2044" s="20">
        <v>17947</v>
      </c>
      <c r="D2044" s="21">
        <v>0</v>
      </c>
      <c r="E2044" s="21">
        <v>3</v>
      </c>
      <c r="F2044" s="22">
        <v>8</v>
      </c>
      <c r="G2044" s="23" t="s">
        <v>198</v>
      </c>
      <c r="H2044" s="36">
        <f>(D2044*400)+(E2044*100)+F2044</f>
        <v>308</v>
      </c>
      <c r="I2044" s="40" t="s">
        <v>10</v>
      </c>
      <c r="J2044" s="24">
        <f t="shared" ref="J2044:J2054" si="356">(H2044*I2044)</f>
        <v>100100</v>
      </c>
      <c r="K2044" s="30"/>
      <c r="L2044" s="20"/>
      <c r="M2044" s="35"/>
      <c r="N2044" s="30"/>
      <c r="O2044" s="36"/>
      <c r="P2044" s="86"/>
      <c r="Q2044" s="40"/>
      <c r="R2044" s="84"/>
      <c r="S2044" s="84"/>
      <c r="T2044" s="28"/>
      <c r="U2044" s="84"/>
      <c r="V2044" s="36">
        <f>(J2044+U2044)</f>
        <v>100100</v>
      </c>
      <c r="W2044" s="36">
        <f>(V2044*100/100)</f>
        <v>100100</v>
      </c>
      <c r="X2044" s="28">
        <v>0</v>
      </c>
      <c r="Y2044" s="26">
        <v>0</v>
      </c>
      <c r="Z2044" s="49">
        <v>1E-4</v>
      </c>
    </row>
    <row r="2045" spans="1:26" s="29" customFormat="1" ht="90.75" customHeight="1" x14ac:dyDescent="0.25">
      <c r="A2045" s="20">
        <v>1244</v>
      </c>
      <c r="B2045" s="20" t="s">
        <v>0</v>
      </c>
      <c r="C2045" s="20">
        <v>17948</v>
      </c>
      <c r="D2045" s="21">
        <v>1</v>
      </c>
      <c r="E2045" s="21">
        <v>0</v>
      </c>
      <c r="F2045" s="22">
        <v>57</v>
      </c>
      <c r="G2045" s="23" t="s">
        <v>198</v>
      </c>
      <c r="H2045" s="36">
        <f>(D2045*400)+(E2045*100)+F2045</f>
        <v>457</v>
      </c>
      <c r="I2045" s="40">
        <v>350</v>
      </c>
      <c r="J2045" s="24">
        <f t="shared" si="356"/>
        <v>159950</v>
      </c>
      <c r="K2045" s="30"/>
      <c r="L2045" s="20"/>
      <c r="M2045" s="35"/>
      <c r="N2045" s="30"/>
      <c r="O2045" s="36"/>
      <c r="P2045" s="86"/>
      <c r="Q2045" s="40"/>
      <c r="R2045" s="84"/>
      <c r="S2045" s="84"/>
      <c r="T2045" s="28"/>
      <c r="U2045" s="84"/>
      <c r="V2045" s="36">
        <f>(J2045+U2045)</f>
        <v>159950</v>
      </c>
      <c r="W2045" s="36">
        <f>(V2045*100/100)</f>
        <v>159950</v>
      </c>
      <c r="X2045" s="28">
        <v>0</v>
      </c>
      <c r="Y2045" s="26">
        <v>0</v>
      </c>
      <c r="Z2045" s="49">
        <v>1E-4</v>
      </c>
    </row>
    <row r="2046" spans="1:26" s="29" customFormat="1" ht="90.75" customHeight="1" x14ac:dyDescent="0.25">
      <c r="A2046" s="20">
        <v>1245</v>
      </c>
      <c r="B2046" s="20" t="s">
        <v>0</v>
      </c>
      <c r="C2046" s="20">
        <v>4519</v>
      </c>
      <c r="D2046" s="21">
        <v>0</v>
      </c>
      <c r="E2046" s="21">
        <v>3</v>
      </c>
      <c r="F2046" s="22">
        <v>0</v>
      </c>
      <c r="G2046" s="23" t="s">
        <v>56</v>
      </c>
      <c r="H2046" s="36">
        <v>300</v>
      </c>
      <c r="I2046" s="40">
        <v>950</v>
      </c>
      <c r="J2046" s="24">
        <f t="shared" si="356"/>
        <v>285000</v>
      </c>
      <c r="K2046" s="30">
        <v>1</v>
      </c>
      <c r="L2046" s="20" t="s">
        <v>43</v>
      </c>
      <c r="M2046" s="35" t="s">
        <v>13</v>
      </c>
      <c r="N2046" s="30">
        <v>3</v>
      </c>
      <c r="O2046" s="36">
        <v>372.4</v>
      </c>
      <c r="P2046" s="86">
        <v>100</v>
      </c>
      <c r="Q2046" s="40">
        <v>7700</v>
      </c>
      <c r="R2046" s="24">
        <f>(O2046*Q2046)</f>
        <v>2867480</v>
      </c>
      <c r="S2046" s="84">
        <v>22</v>
      </c>
      <c r="T2046" s="28">
        <f>(R2046*34/100)</f>
        <v>974943.2</v>
      </c>
      <c r="U2046" s="36">
        <f>(R2046-T2046)</f>
        <v>1892536.8</v>
      </c>
      <c r="V2046" s="36">
        <f>(J2046+U2046)</f>
        <v>2177536.7999999998</v>
      </c>
      <c r="W2046" s="36">
        <f>(V2046*100/100)</f>
        <v>2177536.7999999998</v>
      </c>
      <c r="X2046" s="28">
        <v>0</v>
      </c>
      <c r="Y2046" s="26">
        <f>(W2046-X2046)</f>
        <v>2177536.7999999998</v>
      </c>
      <c r="Z2046" s="49">
        <v>2.0000000000000001E-4</v>
      </c>
    </row>
    <row r="2047" spans="1:26" s="29" customFormat="1" ht="90.75" customHeight="1" x14ac:dyDescent="0.25">
      <c r="A2047" s="20">
        <v>1246</v>
      </c>
      <c r="B2047" s="20" t="s">
        <v>0</v>
      </c>
      <c r="C2047" s="20">
        <v>4518</v>
      </c>
      <c r="D2047" s="21">
        <v>0</v>
      </c>
      <c r="E2047" s="21">
        <v>2</v>
      </c>
      <c r="F2047" s="22">
        <v>59</v>
      </c>
      <c r="G2047" s="23" t="s">
        <v>211</v>
      </c>
      <c r="H2047" s="36">
        <v>259</v>
      </c>
      <c r="I2047" s="40">
        <v>950</v>
      </c>
      <c r="J2047" s="24">
        <f t="shared" si="356"/>
        <v>246050</v>
      </c>
      <c r="K2047" s="30"/>
      <c r="L2047" s="20"/>
      <c r="M2047" s="35"/>
      <c r="N2047" s="30"/>
      <c r="O2047" s="36"/>
      <c r="P2047" s="86"/>
      <c r="Q2047" s="40"/>
      <c r="R2047" s="84"/>
      <c r="S2047" s="84"/>
      <c r="T2047" s="28"/>
      <c r="U2047" s="84"/>
      <c r="V2047" s="36"/>
      <c r="W2047" s="36"/>
      <c r="X2047" s="28"/>
      <c r="Y2047" s="26"/>
      <c r="Z2047" s="49"/>
    </row>
    <row r="2048" spans="1:26" s="29" customFormat="1" ht="90.75" customHeight="1" x14ac:dyDescent="0.25">
      <c r="A2048" s="20"/>
      <c r="B2048" s="20"/>
      <c r="C2048" s="20"/>
      <c r="D2048" s="21"/>
      <c r="E2048" s="21"/>
      <c r="F2048" s="22"/>
      <c r="G2048" s="23" t="s">
        <v>56</v>
      </c>
      <c r="H2048" s="36">
        <v>453.48</v>
      </c>
      <c r="I2048" s="40">
        <v>950</v>
      </c>
      <c r="J2048" s="24">
        <f t="shared" si="356"/>
        <v>430806</v>
      </c>
      <c r="K2048" s="30">
        <v>1</v>
      </c>
      <c r="L2048" s="20" t="s">
        <v>215</v>
      </c>
      <c r="M2048" s="35" t="s">
        <v>13</v>
      </c>
      <c r="N2048" s="30">
        <v>5</v>
      </c>
      <c r="O2048" s="36">
        <v>295.2</v>
      </c>
      <c r="P2048" s="86">
        <v>100</v>
      </c>
      <c r="Q2048" s="40">
        <v>6450</v>
      </c>
      <c r="R2048" s="24">
        <f>(O2048*Q2048)</f>
        <v>1904040</v>
      </c>
      <c r="S2048" s="84">
        <v>32</v>
      </c>
      <c r="T2048" s="28">
        <f>(R2048*54/100)</f>
        <v>1028181.6</v>
      </c>
      <c r="U2048" s="36">
        <f>(R2048-T2048)</f>
        <v>875858.4</v>
      </c>
      <c r="V2048" s="36">
        <f>(J2048+U2048)</f>
        <v>1306664.3999999999</v>
      </c>
      <c r="W2048" s="36">
        <f>(V2048*100/100)</f>
        <v>1306664.3999999999</v>
      </c>
      <c r="X2048" s="28">
        <v>50000000</v>
      </c>
      <c r="Y2048" s="26"/>
      <c r="Z2048" s="49"/>
    </row>
    <row r="2049" spans="1:26" s="29" customFormat="1" ht="90.75" customHeight="1" x14ac:dyDescent="0.25">
      <c r="A2049" s="20"/>
      <c r="B2049" s="20"/>
      <c r="C2049" s="20"/>
      <c r="D2049" s="21"/>
      <c r="E2049" s="21"/>
      <c r="F2049" s="22"/>
      <c r="G2049" s="23" t="s">
        <v>209</v>
      </c>
      <c r="H2049" s="36">
        <v>3.52</v>
      </c>
      <c r="I2049" s="40">
        <v>950</v>
      </c>
      <c r="J2049" s="24">
        <f t="shared" si="356"/>
        <v>3344</v>
      </c>
      <c r="K2049" s="30">
        <v>2</v>
      </c>
      <c r="L2049" s="20" t="s">
        <v>29</v>
      </c>
      <c r="M2049" s="35" t="s">
        <v>13</v>
      </c>
      <c r="N2049" s="30">
        <v>3</v>
      </c>
      <c r="O2049" s="36">
        <v>14.08</v>
      </c>
      <c r="P2049" s="86">
        <v>100</v>
      </c>
      <c r="Q2049" s="40">
        <v>5550</v>
      </c>
      <c r="R2049" s="24">
        <f>(O2049*Q2049)</f>
        <v>78144</v>
      </c>
      <c r="S2049" s="84">
        <v>32</v>
      </c>
      <c r="T2049" s="28">
        <f>(R2049*54/100)</f>
        <v>42197.760000000002</v>
      </c>
      <c r="U2049" s="36">
        <f>(R2049-T2049)</f>
        <v>35946.239999999998</v>
      </c>
      <c r="V2049" s="36">
        <f>(J2049+U2049)</f>
        <v>39290.239999999998</v>
      </c>
      <c r="W2049" s="36">
        <f>(V2049*100/100)</f>
        <v>39290.239999999998</v>
      </c>
      <c r="X2049" s="28">
        <v>0</v>
      </c>
      <c r="Y2049" s="28">
        <f>(W2049-X2049)</f>
        <v>39290.239999999998</v>
      </c>
      <c r="Z2049" s="49">
        <v>3.0000000000000001E-3</v>
      </c>
    </row>
    <row r="2050" spans="1:26" s="29" customFormat="1" ht="90.75" customHeight="1" x14ac:dyDescent="0.25">
      <c r="A2050" s="20">
        <v>1247</v>
      </c>
      <c r="B2050" s="20" t="s">
        <v>0</v>
      </c>
      <c r="C2050" s="20">
        <v>17949</v>
      </c>
      <c r="D2050" s="21">
        <v>1</v>
      </c>
      <c r="E2050" s="21">
        <v>0</v>
      </c>
      <c r="F2050" s="22">
        <v>56</v>
      </c>
      <c r="G2050" s="23" t="s">
        <v>56</v>
      </c>
      <c r="H2050" s="36">
        <f>(D2050*400)+(E2050*100)+F2050</f>
        <v>456</v>
      </c>
      <c r="I2050" s="40" t="s">
        <v>7</v>
      </c>
      <c r="J2050" s="65">
        <f t="shared" si="356"/>
        <v>159600</v>
      </c>
      <c r="K2050" s="30"/>
      <c r="L2050" s="20"/>
      <c r="M2050" s="35"/>
      <c r="N2050" s="30"/>
      <c r="O2050" s="36"/>
      <c r="P2050" s="86"/>
      <c r="Q2050" s="40"/>
      <c r="R2050" s="84"/>
      <c r="S2050" s="84"/>
      <c r="T2050" s="28"/>
      <c r="U2050" s="84"/>
      <c r="V2050" s="36"/>
      <c r="W2050" s="36"/>
      <c r="X2050" s="28"/>
      <c r="Y2050" s="48"/>
      <c r="Z2050" s="49"/>
    </row>
    <row r="2051" spans="1:26" s="29" customFormat="1" ht="90.75" customHeight="1" x14ac:dyDescent="0.25">
      <c r="A2051" s="20"/>
      <c r="B2051" s="20"/>
      <c r="C2051" s="20"/>
      <c r="D2051" s="21"/>
      <c r="E2051" s="21"/>
      <c r="F2051" s="22"/>
      <c r="G2051" s="23"/>
      <c r="H2051" s="77">
        <v>440</v>
      </c>
      <c r="I2051" s="40">
        <v>350</v>
      </c>
      <c r="J2051" s="28">
        <f t="shared" si="356"/>
        <v>154000</v>
      </c>
      <c r="K2051" s="37">
        <v>1</v>
      </c>
      <c r="L2051" s="20" t="s">
        <v>215</v>
      </c>
      <c r="M2051" s="37" t="s">
        <v>13</v>
      </c>
      <c r="N2051" s="30">
        <v>2</v>
      </c>
      <c r="O2051" s="77">
        <v>118.08</v>
      </c>
      <c r="P2051" s="35">
        <v>100</v>
      </c>
      <c r="Q2051" s="40">
        <v>6450</v>
      </c>
      <c r="R2051" s="77">
        <f>(O2051*Q2051)</f>
        <v>761616</v>
      </c>
      <c r="S2051" s="37">
        <v>7</v>
      </c>
      <c r="T2051" s="28">
        <f>(R2051*7/100)</f>
        <v>53313.120000000003</v>
      </c>
      <c r="U2051" s="77">
        <f>(R2051-T2051)</f>
        <v>708302.88</v>
      </c>
      <c r="V2051" s="77">
        <f>(J2051+U2051)</f>
        <v>862302.88</v>
      </c>
      <c r="W2051" s="77">
        <f>(V2051*P2051/100)</f>
        <v>862302.88</v>
      </c>
      <c r="X2051" s="28">
        <v>50000000</v>
      </c>
      <c r="Y2051" s="28">
        <v>0</v>
      </c>
      <c r="Z2051" s="49">
        <v>2.0000000000000001E-4</v>
      </c>
    </row>
    <row r="2052" spans="1:26" s="29" customFormat="1" ht="90.75" customHeight="1" x14ac:dyDescent="0.25">
      <c r="A2052" s="20"/>
      <c r="B2052" s="20"/>
      <c r="C2052" s="20"/>
      <c r="D2052" s="21"/>
      <c r="E2052" s="21"/>
      <c r="F2052" s="22"/>
      <c r="G2052" s="23"/>
      <c r="H2052" s="77">
        <v>8</v>
      </c>
      <c r="I2052" s="40">
        <v>350</v>
      </c>
      <c r="J2052" s="28">
        <f t="shared" si="356"/>
        <v>2800</v>
      </c>
      <c r="K2052" s="37">
        <v>2</v>
      </c>
      <c r="L2052" s="20" t="s">
        <v>215</v>
      </c>
      <c r="M2052" s="37" t="s">
        <v>13</v>
      </c>
      <c r="N2052" s="30">
        <v>2</v>
      </c>
      <c r="O2052" s="77">
        <v>32</v>
      </c>
      <c r="P2052" s="35">
        <v>100</v>
      </c>
      <c r="Q2052" s="40">
        <v>6450</v>
      </c>
      <c r="R2052" s="77">
        <f>(O2052*Q2052)</f>
        <v>206400</v>
      </c>
      <c r="S2052" s="37">
        <v>6</v>
      </c>
      <c r="T2052" s="28">
        <f>(R2052*6/100)</f>
        <v>12384</v>
      </c>
      <c r="U2052" s="77">
        <f>(R2052-T2052)</f>
        <v>194016</v>
      </c>
      <c r="V2052" s="77">
        <f>(J2052+U2052)</f>
        <v>196816</v>
      </c>
      <c r="W2052" s="77">
        <f>(V2052*100/100)</f>
        <v>196816</v>
      </c>
      <c r="X2052" s="28">
        <v>0</v>
      </c>
      <c r="Y2052" s="28">
        <f>(W2052-X2052)</f>
        <v>196816</v>
      </c>
      <c r="Z2052" s="49">
        <v>2.0000000000000001E-4</v>
      </c>
    </row>
    <row r="2053" spans="1:26" s="29" customFormat="1" ht="90.75" customHeight="1" x14ac:dyDescent="0.25">
      <c r="A2053" s="20"/>
      <c r="B2053" s="20"/>
      <c r="C2053" s="20"/>
      <c r="D2053" s="21"/>
      <c r="E2053" s="21"/>
      <c r="F2053" s="22"/>
      <c r="G2053" s="23"/>
      <c r="H2053" s="77">
        <v>8</v>
      </c>
      <c r="I2053" s="40">
        <v>350</v>
      </c>
      <c r="J2053" s="28">
        <f t="shared" si="356"/>
        <v>2800</v>
      </c>
      <c r="K2053" s="37">
        <v>3</v>
      </c>
      <c r="L2053" s="20" t="s">
        <v>215</v>
      </c>
      <c r="M2053" s="37" t="s">
        <v>13</v>
      </c>
      <c r="N2053" s="30">
        <v>2</v>
      </c>
      <c r="O2053" s="77">
        <v>32</v>
      </c>
      <c r="P2053" s="35">
        <v>100</v>
      </c>
      <c r="Q2053" s="40">
        <v>6450</v>
      </c>
      <c r="R2053" s="77">
        <f>(O2053*Q2053)</f>
        <v>206400</v>
      </c>
      <c r="S2053" s="37">
        <v>6</v>
      </c>
      <c r="T2053" s="28">
        <f>(R2053*6/100)</f>
        <v>12384</v>
      </c>
      <c r="U2053" s="77">
        <f>(R2053-T2053)</f>
        <v>194016</v>
      </c>
      <c r="V2053" s="77">
        <f>(J2053+U2053)</f>
        <v>196816</v>
      </c>
      <c r="W2053" s="77">
        <f>(V2053*P2053/100)</f>
        <v>196816</v>
      </c>
      <c r="X2053" s="28">
        <v>0</v>
      </c>
      <c r="Y2053" s="28">
        <f>(W2053-X2053)</f>
        <v>196816</v>
      </c>
      <c r="Z2053" s="49">
        <v>2.0000000000000001E-4</v>
      </c>
    </row>
    <row r="2054" spans="1:26" s="29" customFormat="1" ht="90.75" customHeight="1" x14ac:dyDescent="0.25">
      <c r="A2054" s="20">
        <v>1248</v>
      </c>
      <c r="B2054" s="20" t="s">
        <v>0</v>
      </c>
      <c r="C2054" s="20">
        <v>2561</v>
      </c>
      <c r="D2054" s="21">
        <v>1</v>
      </c>
      <c r="E2054" s="21">
        <v>0</v>
      </c>
      <c r="F2054" s="22">
        <v>55</v>
      </c>
      <c r="G2054" s="23" t="s">
        <v>211</v>
      </c>
      <c r="H2054" s="24">
        <f>(D2054*400)+(E2054*100)+F2054</f>
        <v>455</v>
      </c>
      <c r="I2054" s="25">
        <v>950</v>
      </c>
      <c r="J2054" s="24">
        <f t="shared" si="356"/>
        <v>432250</v>
      </c>
      <c r="K2054" s="20"/>
      <c r="L2054" s="20"/>
      <c r="M2054" s="20"/>
      <c r="N2054" s="20"/>
      <c r="O2054" s="24"/>
      <c r="P2054" s="24"/>
      <c r="Q2054" s="25"/>
      <c r="R2054" s="24"/>
      <c r="S2054" s="20"/>
      <c r="T2054" s="27"/>
      <c r="U2054" s="20"/>
      <c r="V2054" s="20"/>
      <c r="W2054" s="26"/>
      <c r="X2054" s="27"/>
      <c r="Y2054" s="20"/>
      <c r="Z2054" s="20"/>
    </row>
    <row r="2055" spans="1:26" s="29" customFormat="1" ht="90.75" customHeight="1" x14ac:dyDescent="0.25">
      <c r="A2055" s="20"/>
      <c r="B2055" s="20"/>
      <c r="C2055" s="20"/>
      <c r="D2055" s="21"/>
      <c r="E2055" s="21"/>
      <c r="F2055" s="22"/>
      <c r="G2055" s="23"/>
      <c r="H2055" s="24"/>
      <c r="I2055" s="25"/>
      <c r="J2055" s="24"/>
      <c r="K2055" s="20">
        <v>1</v>
      </c>
      <c r="L2055" s="20" t="s">
        <v>16</v>
      </c>
      <c r="M2055" s="20" t="s">
        <v>13</v>
      </c>
      <c r="N2055" s="20">
        <v>2</v>
      </c>
      <c r="O2055" s="24">
        <v>468.14</v>
      </c>
      <c r="P2055" s="35">
        <v>100</v>
      </c>
      <c r="Q2055" s="25">
        <v>6450</v>
      </c>
      <c r="R2055" s="77">
        <f>(O2055*Q2055)</f>
        <v>3019503</v>
      </c>
      <c r="S2055" s="20"/>
      <c r="T2055" s="28"/>
      <c r="U2055" s="20"/>
      <c r="V2055" s="20"/>
      <c r="W2055" s="26"/>
      <c r="X2055" s="27"/>
      <c r="Y2055" s="20"/>
      <c r="Z2055" s="20"/>
    </row>
    <row r="2056" spans="1:26" s="29" customFormat="1" ht="90.75" customHeight="1" x14ac:dyDescent="0.25">
      <c r="A2056" s="20"/>
      <c r="B2056" s="20"/>
      <c r="C2056" s="20"/>
      <c r="D2056" s="21"/>
      <c r="E2056" s="21"/>
      <c r="F2056" s="22"/>
      <c r="G2056" s="23"/>
      <c r="H2056" s="24"/>
      <c r="I2056" s="25"/>
      <c r="J2056" s="24"/>
      <c r="K2056" s="20"/>
      <c r="L2056" s="20" t="s">
        <v>56</v>
      </c>
      <c r="M2056" s="20"/>
      <c r="N2056" s="20"/>
      <c r="O2056" s="27">
        <v>426.74</v>
      </c>
      <c r="P2056" s="35">
        <v>91.16</v>
      </c>
      <c r="Q2056" s="25"/>
      <c r="R2056" s="24">
        <f>(R2055*91.16/100)</f>
        <v>2752578.9348000004</v>
      </c>
      <c r="S2056" s="20">
        <v>1</v>
      </c>
      <c r="T2056" s="28">
        <f>(R2056*1/100)</f>
        <v>27525.789348000006</v>
      </c>
      <c r="U2056" s="77">
        <f>(R2056-T2056)</f>
        <v>2725053.1454520002</v>
      </c>
      <c r="V2056" s="80">
        <f>(J2054+U2056)</f>
        <v>3157303.1454520002</v>
      </c>
      <c r="W2056" s="26">
        <f>(V2056*91.16/100)</f>
        <v>2878197.5473940433</v>
      </c>
      <c r="X2056" s="28">
        <v>50000000</v>
      </c>
      <c r="Y2056" s="28"/>
      <c r="Z2056" s="49"/>
    </row>
    <row r="2057" spans="1:26" s="29" customFormat="1" ht="90.75" customHeight="1" x14ac:dyDescent="0.25">
      <c r="A2057" s="20"/>
      <c r="B2057" s="20"/>
      <c r="C2057" s="20"/>
      <c r="D2057" s="21"/>
      <c r="E2057" s="21"/>
      <c r="F2057" s="22"/>
      <c r="G2057" s="23"/>
      <c r="H2057" s="24"/>
      <c r="I2057" s="25"/>
      <c r="J2057" s="24"/>
      <c r="K2057" s="20"/>
      <c r="L2057" s="20" t="s">
        <v>289</v>
      </c>
      <c r="M2057" s="20"/>
      <c r="N2057" s="20">
        <v>3</v>
      </c>
      <c r="O2057" s="27">
        <v>41.4</v>
      </c>
      <c r="P2057" s="35">
        <v>8.84</v>
      </c>
      <c r="Q2057" s="25"/>
      <c r="R2057" s="24">
        <f>(R2056*8.84/100)</f>
        <v>243327.97783632003</v>
      </c>
      <c r="S2057" s="20">
        <v>1</v>
      </c>
      <c r="T2057" s="28">
        <f>(R2057*1/100)</f>
        <v>2433.2797783632004</v>
      </c>
      <c r="U2057" s="77">
        <f>(R2057-T2057)</f>
        <v>240894.69805795682</v>
      </c>
      <c r="V2057" s="80">
        <f>(J2054+U2057)</f>
        <v>673144.69805795676</v>
      </c>
      <c r="W2057" s="26">
        <f>(V2057*8.84/100)</f>
        <v>59505.991308323377</v>
      </c>
      <c r="X2057" s="28">
        <v>0</v>
      </c>
      <c r="Y2057" s="28">
        <f>(W2057-X2057)</f>
        <v>59505.991308323377</v>
      </c>
      <c r="Z2057" s="49">
        <v>3.0000000000000001E-3</v>
      </c>
    </row>
    <row r="2058" spans="1:26" s="29" customFormat="1" ht="90.75" customHeight="1" x14ac:dyDescent="0.25">
      <c r="A2058" s="20">
        <v>1249</v>
      </c>
      <c r="B2058" s="20" t="s">
        <v>0</v>
      </c>
      <c r="C2058" s="20">
        <v>4522</v>
      </c>
      <c r="D2058" s="21">
        <v>1</v>
      </c>
      <c r="E2058" s="21">
        <v>1</v>
      </c>
      <c r="F2058" s="22">
        <v>40</v>
      </c>
      <c r="G2058" s="23" t="s">
        <v>211</v>
      </c>
      <c r="H2058" s="24">
        <f>(D2058*400)+(E2058*100)+F2058</f>
        <v>540</v>
      </c>
      <c r="I2058" s="25">
        <v>950</v>
      </c>
      <c r="J2058" s="24">
        <f>(H2058*I2058)</f>
        <v>513000</v>
      </c>
      <c r="K2058" s="20"/>
      <c r="L2058" s="20"/>
      <c r="M2058" s="20"/>
      <c r="N2058" s="20"/>
      <c r="O2058" s="24"/>
      <c r="P2058" s="24"/>
      <c r="Q2058" s="25"/>
      <c r="R2058" s="24"/>
      <c r="S2058" s="20"/>
      <c r="T2058" s="27"/>
      <c r="U2058" s="20"/>
      <c r="V2058" s="20"/>
      <c r="W2058" s="26"/>
      <c r="X2058" s="27"/>
      <c r="Y2058" s="20"/>
      <c r="Z2058" s="20"/>
    </row>
    <row r="2059" spans="1:26" s="29" customFormat="1" ht="90.75" customHeight="1" x14ac:dyDescent="0.25">
      <c r="A2059" s="20"/>
      <c r="B2059" s="20"/>
      <c r="C2059" s="20"/>
      <c r="D2059" s="33">
        <v>1</v>
      </c>
      <c r="E2059" s="33">
        <v>1</v>
      </c>
      <c r="F2059" s="112">
        <v>0</v>
      </c>
      <c r="G2059" s="51" t="s">
        <v>56</v>
      </c>
      <c r="H2059" s="36">
        <f>(D2059*400)+(E2059*100)+F2059</f>
        <v>500</v>
      </c>
      <c r="I2059" s="40">
        <v>950</v>
      </c>
      <c r="J2059" s="28">
        <f>(H2059*I2059)</f>
        <v>475000</v>
      </c>
      <c r="K2059" s="37"/>
      <c r="L2059" s="31"/>
      <c r="M2059" s="32"/>
      <c r="N2059" s="33"/>
      <c r="O2059" s="82"/>
      <c r="P2059" s="86"/>
      <c r="Q2059" s="36"/>
      <c r="R2059" s="36"/>
      <c r="S2059" s="30"/>
      <c r="T2059" s="88"/>
      <c r="U2059" s="90"/>
      <c r="V2059" s="28"/>
      <c r="W2059" s="28"/>
      <c r="X2059" s="28"/>
      <c r="Y2059" s="28"/>
      <c r="Z2059" s="27"/>
    </row>
    <row r="2060" spans="1:26" s="29" customFormat="1" ht="90.75" customHeight="1" x14ac:dyDescent="0.25">
      <c r="A2060" s="20"/>
      <c r="B2060" s="20"/>
      <c r="C2060" s="20"/>
      <c r="D2060" s="33"/>
      <c r="E2060" s="33"/>
      <c r="F2060" s="112"/>
      <c r="G2060" s="51"/>
      <c r="H2060" s="36"/>
      <c r="I2060" s="40"/>
      <c r="J2060" s="28"/>
      <c r="K2060" s="37">
        <v>1</v>
      </c>
      <c r="L2060" s="31" t="s">
        <v>114</v>
      </c>
      <c r="M2060" s="32" t="s">
        <v>24</v>
      </c>
      <c r="N2060" s="33">
        <v>2</v>
      </c>
      <c r="O2060" s="82">
        <v>72</v>
      </c>
      <c r="P2060" s="86">
        <v>100</v>
      </c>
      <c r="Q2060" s="36">
        <v>6450</v>
      </c>
      <c r="R2060" s="36">
        <f>(O2060*Q2060)</f>
        <v>464400</v>
      </c>
      <c r="S2060" s="30">
        <v>27</v>
      </c>
      <c r="T2060" s="88">
        <f>(R2060*44/100)</f>
        <v>204336</v>
      </c>
      <c r="U2060" s="90">
        <f>(R2060-T2060)</f>
        <v>260064</v>
      </c>
      <c r="V2060" s="28"/>
      <c r="W2060" s="28"/>
      <c r="X2060" s="28"/>
      <c r="Y2060" s="28"/>
      <c r="Z2060" s="27"/>
    </row>
    <row r="2061" spans="1:26" s="29" customFormat="1" ht="90.75" customHeight="1" x14ac:dyDescent="0.25">
      <c r="A2061" s="20"/>
      <c r="B2061" s="20"/>
      <c r="C2061" s="20"/>
      <c r="D2061" s="33"/>
      <c r="E2061" s="33"/>
      <c r="F2061" s="112"/>
      <c r="G2061" s="51"/>
      <c r="H2061" s="36"/>
      <c r="I2061" s="40"/>
      <c r="J2061" s="28"/>
      <c r="K2061" s="37">
        <v>2</v>
      </c>
      <c r="L2061" s="31" t="s">
        <v>71</v>
      </c>
      <c r="M2061" s="32"/>
      <c r="N2061" s="33">
        <v>2</v>
      </c>
      <c r="O2061" s="82">
        <v>54</v>
      </c>
      <c r="P2061" s="86">
        <v>100</v>
      </c>
      <c r="Q2061" s="36">
        <v>2550</v>
      </c>
      <c r="R2061" s="36">
        <f>(O2061*Q2061)</f>
        <v>137700</v>
      </c>
      <c r="S2061" s="30">
        <v>27</v>
      </c>
      <c r="T2061" s="88">
        <f>(R2061*44/100)</f>
        <v>60588</v>
      </c>
      <c r="U2061" s="36">
        <f>(R2061-T2061)</f>
        <v>77112</v>
      </c>
      <c r="V2061" s="28"/>
      <c r="W2061" s="28"/>
      <c r="X2061" s="28"/>
      <c r="Y2061" s="28"/>
      <c r="Z2061" s="27"/>
    </row>
    <row r="2062" spans="1:26" s="29" customFormat="1" ht="90.75" customHeight="1" x14ac:dyDescent="0.25">
      <c r="A2062" s="20"/>
      <c r="B2062" s="20"/>
      <c r="C2062" s="20"/>
      <c r="D2062" s="33"/>
      <c r="E2062" s="33"/>
      <c r="F2062" s="112"/>
      <c r="G2062" s="51"/>
      <c r="H2062" s="36"/>
      <c r="I2062" s="40"/>
      <c r="J2062" s="28"/>
      <c r="K2062" s="37"/>
      <c r="L2062" s="31"/>
      <c r="M2062" s="32"/>
      <c r="N2062" s="33"/>
      <c r="O2062" s="82"/>
      <c r="P2062" s="86"/>
      <c r="Q2062" s="36"/>
      <c r="R2062" s="36"/>
      <c r="S2062" s="30"/>
      <c r="T2062" s="28"/>
      <c r="U2062" s="36">
        <f>(U2060+U2061)</f>
        <v>337176</v>
      </c>
      <c r="V2062" s="28">
        <f>(J2059+U2062)</f>
        <v>812176</v>
      </c>
      <c r="W2062" s="28">
        <f>(V2062*100/100)</f>
        <v>812176</v>
      </c>
      <c r="X2062" s="28">
        <v>50000000</v>
      </c>
      <c r="Y2062" s="28">
        <v>0</v>
      </c>
      <c r="Z2062" s="49">
        <v>2.0000000000000001E-4</v>
      </c>
    </row>
    <row r="2063" spans="1:26" s="29" customFormat="1" ht="90.75" customHeight="1" x14ac:dyDescent="0.25">
      <c r="A2063" s="20"/>
      <c r="B2063" s="20"/>
      <c r="C2063" s="20"/>
      <c r="D2063" s="33">
        <v>0</v>
      </c>
      <c r="E2063" s="33">
        <v>0</v>
      </c>
      <c r="F2063" s="112">
        <v>40</v>
      </c>
      <c r="G2063" s="51"/>
      <c r="H2063" s="36">
        <f>(D2063*400)+(E2063*100)+F2063</f>
        <v>40</v>
      </c>
      <c r="I2063" s="40">
        <v>950</v>
      </c>
      <c r="J2063" s="28">
        <f>(H2063*I2063)</f>
        <v>38000</v>
      </c>
      <c r="K2063" s="37">
        <v>3</v>
      </c>
      <c r="L2063" s="31" t="s">
        <v>43</v>
      </c>
      <c r="M2063" s="32">
        <v>145</v>
      </c>
      <c r="N2063" s="33">
        <v>5</v>
      </c>
      <c r="O2063" s="82">
        <v>145</v>
      </c>
      <c r="P2063" s="86">
        <v>100</v>
      </c>
      <c r="Q2063" s="36">
        <v>7700</v>
      </c>
      <c r="R2063" s="36">
        <f>(O2063*Q2063)</f>
        <v>1116500</v>
      </c>
      <c r="S2063" s="30">
        <v>5</v>
      </c>
      <c r="T2063" s="28">
        <f>(R2063*5/100)</f>
        <v>55825</v>
      </c>
      <c r="U2063" s="36">
        <f>(R2063-T2063)</f>
        <v>1060675</v>
      </c>
      <c r="V2063" s="28">
        <f>(J2063+U2063)</f>
        <v>1098675</v>
      </c>
      <c r="W2063" s="28">
        <f>(V2063*100/100)</f>
        <v>1098675</v>
      </c>
      <c r="X2063" s="28"/>
      <c r="Y2063" s="28"/>
      <c r="Z2063" s="49"/>
    </row>
    <row r="2064" spans="1:26" s="29" customFormat="1" ht="90.75" customHeight="1" x14ac:dyDescent="0.25">
      <c r="A2064" s="20"/>
      <c r="B2064" s="20"/>
      <c r="C2064" s="20"/>
      <c r="D2064" s="33"/>
      <c r="E2064" s="33"/>
      <c r="F2064" s="112"/>
      <c r="G2064" s="51"/>
      <c r="H2064" s="36"/>
      <c r="I2064" s="40"/>
      <c r="J2064" s="28"/>
      <c r="K2064" s="37"/>
      <c r="L2064" s="31" t="s">
        <v>72</v>
      </c>
      <c r="M2064" s="32"/>
      <c r="N2064" s="33"/>
      <c r="O2064" s="82">
        <v>32</v>
      </c>
      <c r="P2064" s="82">
        <v>22.07</v>
      </c>
      <c r="Q2064" s="36"/>
      <c r="R2064" s="36"/>
      <c r="S2064" s="30"/>
      <c r="T2064" s="28"/>
      <c r="U2064" s="36"/>
      <c r="V2064" s="28"/>
      <c r="W2064" s="28">
        <f>(W2063*22.07/100)</f>
        <v>242477.57250000001</v>
      </c>
      <c r="X2064" s="28">
        <v>0</v>
      </c>
      <c r="Y2064" s="28">
        <f>(W2064-X2064)</f>
        <v>242477.57250000001</v>
      </c>
      <c r="Z2064" s="49">
        <v>2.0000000000000001E-4</v>
      </c>
    </row>
    <row r="2065" spans="1:26" s="29" customFormat="1" ht="90.75" customHeight="1" x14ac:dyDescent="0.25">
      <c r="A2065" s="20"/>
      <c r="B2065" s="20"/>
      <c r="C2065" s="20"/>
      <c r="D2065" s="33"/>
      <c r="E2065" s="33"/>
      <c r="F2065" s="112"/>
      <c r="G2065" s="51"/>
      <c r="H2065" s="36"/>
      <c r="I2065" s="40"/>
      <c r="J2065" s="28"/>
      <c r="K2065" s="37"/>
      <c r="L2065" s="31" t="s">
        <v>73</v>
      </c>
      <c r="M2065" s="32"/>
      <c r="N2065" s="33"/>
      <c r="O2065" s="82">
        <v>32</v>
      </c>
      <c r="P2065" s="82">
        <v>22.07</v>
      </c>
      <c r="Q2065" s="36"/>
      <c r="R2065" s="36"/>
      <c r="S2065" s="30"/>
      <c r="T2065" s="28"/>
      <c r="U2065" s="36"/>
      <c r="V2065" s="28"/>
      <c r="W2065" s="28">
        <f>(W2063*22.07/100)</f>
        <v>242477.57250000001</v>
      </c>
      <c r="X2065" s="28">
        <v>0</v>
      </c>
      <c r="Y2065" s="28">
        <f>(W2065-X2065)</f>
        <v>242477.57250000001</v>
      </c>
      <c r="Z2065" s="49">
        <v>2.0000000000000001E-4</v>
      </c>
    </row>
    <row r="2066" spans="1:26" s="29" customFormat="1" ht="90.75" customHeight="1" x14ac:dyDescent="0.25">
      <c r="A2066" s="20"/>
      <c r="B2066" s="20"/>
      <c r="C2066" s="20"/>
      <c r="D2066" s="33"/>
      <c r="E2066" s="33"/>
      <c r="F2066" s="112"/>
      <c r="G2066" s="51"/>
      <c r="H2066" s="36"/>
      <c r="I2066" s="40"/>
      <c r="J2066" s="28"/>
      <c r="K2066" s="37"/>
      <c r="L2066" s="31" t="s">
        <v>74</v>
      </c>
      <c r="M2066" s="32"/>
      <c r="N2066" s="33"/>
      <c r="O2066" s="82">
        <v>81</v>
      </c>
      <c r="P2066" s="82">
        <v>55.86</v>
      </c>
      <c r="Q2066" s="36"/>
      <c r="R2066" s="36"/>
      <c r="S2066" s="30"/>
      <c r="T2066" s="28"/>
      <c r="U2066" s="36"/>
      <c r="V2066" s="28"/>
      <c r="W2066" s="28">
        <f>(W2063*55.86/100)</f>
        <v>613719.85499999998</v>
      </c>
      <c r="X2066" s="28">
        <v>0</v>
      </c>
      <c r="Y2066" s="28">
        <f>(W2066-X2066)</f>
        <v>613719.85499999998</v>
      </c>
      <c r="Z2066" s="49">
        <v>3.0000000000000001E-3</v>
      </c>
    </row>
    <row r="2067" spans="1:26" s="29" customFormat="1" ht="90.75" customHeight="1" x14ac:dyDescent="0.25">
      <c r="A2067" s="20">
        <v>1250</v>
      </c>
      <c r="B2067" s="20" t="s">
        <v>0</v>
      </c>
      <c r="C2067" s="20">
        <v>35086</v>
      </c>
      <c r="D2067" s="21">
        <v>1</v>
      </c>
      <c r="E2067" s="21">
        <v>2</v>
      </c>
      <c r="F2067" s="22">
        <v>49</v>
      </c>
      <c r="G2067" s="23" t="s">
        <v>211</v>
      </c>
      <c r="H2067" s="36">
        <f>(D2067*400)+(E2067*100)+F2067</f>
        <v>649</v>
      </c>
      <c r="I2067" s="25">
        <v>200</v>
      </c>
      <c r="J2067" s="36">
        <f>(H2067*I2067)</f>
        <v>129800</v>
      </c>
      <c r="K2067" s="21">
        <v>1</v>
      </c>
      <c r="L2067" s="20" t="s">
        <v>15</v>
      </c>
      <c r="M2067" s="35" t="s">
        <v>46</v>
      </c>
      <c r="N2067" s="30">
        <v>3</v>
      </c>
      <c r="O2067" s="86">
        <v>356</v>
      </c>
      <c r="P2067" s="86">
        <v>100</v>
      </c>
      <c r="Q2067" s="40">
        <v>5950</v>
      </c>
      <c r="R2067" s="36">
        <f t="shared" ref="R2067:R2076" si="357">(O2067*Q2067)</f>
        <v>2118200</v>
      </c>
      <c r="S2067" s="84">
        <v>10</v>
      </c>
      <c r="T2067" s="28">
        <f t="shared" ref="T2067:T2076" si="358">(R2067*40/100)</f>
        <v>847280</v>
      </c>
      <c r="U2067" s="36">
        <f t="shared" ref="U2067:U2076" si="359">(R2067-T2067)</f>
        <v>1270920</v>
      </c>
      <c r="V2067" s="36"/>
      <c r="W2067" s="36"/>
      <c r="X2067" s="28"/>
      <c r="Y2067" s="26"/>
      <c r="Z2067" s="53"/>
    </row>
    <row r="2068" spans="1:26" s="29" customFormat="1" ht="90.75" customHeight="1" x14ac:dyDescent="0.25">
      <c r="A2068" s="20"/>
      <c r="B2068" s="20"/>
      <c r="C2068" s="20"/>
      <c r="D2068" s="21"/>
      <c r="E2068" s="21"/>
      <c r="F2068" s="22"/>
      <c r="G2068" s="23"/>
      <c r="H2068" s="36"/>
      <c r="I2068" s="25"/>
      <c r="J2068" s="37"/>
      <c r="K2068" s="21">
        <v>2</v>
      </c>
      <c r="L2068" s="20" t="s">
        <v>15</v>
      </c>
      <c r="M2068" s="35" t="s">
        <v>46</v>
      </c>
      <c r="N2068" s="30">
        <v>3</v>
      </c>
      <c r="O2068" s="86">
        <v>45</v>
      </c>
      <c r="P2068" s="86">
        <v>100</v>
      </c>
      <c r="Q2068" s="40">
        <v>5950</v>
      </c>
      <c r="R2068" s="36">
        <f t="shared" si="357"/>
        <v>267750</v>
      </c>
      <c r="S2068" s="84">
        <v>10</v>
      </c>
      <c r="T2068" s="28">
        <f t="shared" si="358"/>
        <v>107100</v>
      </c>
      <c r="U2068" s="36">
        <f t="shared" si="359"/>
        <v>160650</v>
      </c>
      <c r="V2068" s="36"/>
      <c r="W2068" s="36"/>
      <c r="X2068" s="28"/>
      <c r="Y2068" s="26"/>
      <c r="Z2068" s="53"/>
    </row>
    <row r="2069" spans="1:26" s="29" customFormat="1" ht="90.75" customHeight="1" x14ac:dyDescent="0.25">
      <c r="A2069" s="20"/>
      <c r="B2069" s="20"/>
      <c r="C2069" s="20"/>
      <c r="D2069" s="21"/>
      <c r="E2069" s="21"/>
      <c r="F2069" s="22"/>
      <c r="G2069" s="23"/>
      <c r="H2069" s="36"/>
      <c r="I2069" s="25"/>
      <c r="J2069" s="37"/>
      <c r="K2069" s="21">
        <v>3</v>
      </c>
      <c r="L2069" s="20" t="s">
        <v>29</v>
      </c>
      <c r="M2069" s="35" t="s">
        <v>46</v>
      </c>
      <c r="N2069" s="30">
        <v>3</v>
      </c>
      <c r="O2069" s="86">
        <v>98.4</v>
      </c>
      <c r="P2069" s="86">
        <v>100</v>
      </c>
      <c r="Q2069" s="40">
        <v>5550</v>
      </c>
      <c r="R2069" s="36">
        <f t="shared" si="357"/>
        <v>546120</v>
      </c>
      <c r="S2069" s="84">
        <v>10</v>
      </c>
      <c r="T2069" s="28">
        <f t="shared" si="358"/>
        <v>218448</v>
      </c>
      <c r="U2069" s="36">
        <f t="shared" si="359"/>
        <v>327672</v>
      </c>
      <c r="V2069" s="36"/>
      <c r="W2069" s="36"/>
      <c r="X2069" s="28"/>
      <c r="Y2069" s="26"/>
      <c r="Z2069" s="53"/>
    </row>
    <row r="2070" spans="1:26" s="29" customFormat="1" ht="90.75" customHeight="1" x14ac:dyDescent="0.25">
      <c r="A2070" s="20"/>
      <c r="B2070" s="20"/>
      <c r="C2070" s="20"/>
      <c r="D2070" s="21"/>
      <c r="E2070" s="21"/>
      <c r="F2070" s="22"/>
      <c r="G2070" s="23"/>
      <c r="H2070" s="36"/>
      <c r="I2070" s="25"/>
      <c r="J2070" s="37"/>
      <c r="K2070" s="21">
        <v>4</v>
      </c>
      <c r="L2070" s="20" t="s">
        <v>215</v>
      </c>
      <c r="M2070" s="35" t="s">
        <v>46</v>
      </c>
      <c r="N2070" s="30">
        <v>3</v>
      </c>
      <c r="O2070" s="86">
        <v>23.76</v>
      </c>
      <c r="P2070" s="86">
        <v>100</v>
      </c>
      <c r="Q2070" s="40">
        <v>6450</v>
      </c>
      <c r="R2070" s="36">
        <f t="shared" si="357"/>
        <v>153252</v>
      </c>
      <c r="S2070" s="84">
        <v>10</v>
      </c>
      <c r="T2070" s="28">
        <f t="shared" si="358"/>
        <v>61300.800000000003</v>
      </c>
      <c r="U2070" s="36">
        <f t="shared" si="359"/>
        <v>91951.2</v>
      </c>
      <c r="V2070" s="36"/>
      <c r="W2070" s="36"/>
      <c r="X2070" s="28"/>
      <c r="Y2070" s="26"/>
      <c r="Z2070" s="53"/>
    </row>
    <row r="2071" spans="1:26" s="29" customFormat="1" ht="90.75" customHeight="1" x14ac:dyDescent="0.25">
      <c r="A2071" s="20"/>
      <c r="B2071" s="20"/>
      <c r="C2071" s="20"/>
      <c r="D2071" s="21"/>
      <c r="E2071" s="21"/>
      <c r="F2071" s="22"/>
      <c r="G2071" s="23"/>
      <c r="H2071" s="36"/>
      <c r="I2071" s="25"/>
      <c r="J2071" s="37"/>
      <c r="K2071" s="21">
        <v>5</v>
      </c>
      <c r="L2071" s="20" t="s">
        <v>29</v>
      </c>
      <c r="M2071" s="35" t="s">
        <v>46</v>
      </c>
      <c r="N2071" s="30">
        <v>3</v>
      </c>
      <c r="O2071" s="86">
        <v>64</v>
      </c>
      <c r="P2071" s="86">
        <v>100</v>
      </c>
      <c r="Q2071" s="40">
        <v>5550</v>
      </c>
      <c r="R2071" s="36">
        <f t="shared" si="357"/>
        <v>355200</v>
      </c>
      <c r="S2071" s="84">
        <v>10</v>
      </c>
      <c r="T2071" s="28">
        <f t="shared" si="358"/>
        <v>142080</v>
      </c>
      <c r="U2071" s="36">
        <f t="shared" si="359"/>
        <v>213120</v>
      </c>
      <c r="V2071" s="36"/>
      <c r="W2071" s="36"/>
      <c r="X2071" s="28"/>
      <c r="Y2071" s="26"/>
      <c r="Z2071" s="53"/>
    </row>
    <row r="2072" spans="1:26" s="29" customFormat="1" ht="90.75" customHeight="1" x14ac:dyDescent="0.25">
      <c r="A2072" s="20"/>
      <c r="B2072" s="20"/>
      <c r="C2072" s="20"/>
      <c r="D2072" s="21"/>
      <c r="E2072" s="21"/>
      <c r="F2072" s="22"/>
      <c r="G2072" s="23"/>
      <c r="H2072" s="36"/>
      <c r="I2072" s="25"/>
      <c r="J2072" s="37"/>
      <c r="K2072" s="21">
        <v>6</v>
      </c>
      <c r="L2072" s="20" t="s">
        <v>215</v>
      </c>
      <c r="M2072" s="35" t="s">
        <v>46</v>
      </c>
      <c r="N2072" s="30">
        <v>3</v>
      </c>
      <c r="O2072" s="86">
        <v>32.200000000000003</v>
      </c>
      <c r="P2072" s="86">
        <v>100</v>
      </c>
      <c r="Q2072" s="40">
        <v>6450</v>
      </c>
      <c r="R2072" s="36">
        <f t="shared" si="357"/>
        <v>207690.00000000003</v>
      </c>
      <c r="S2072" s="84">
        <v>10</v>
      </c>
      <c r="T2072" s="28">
        <f t="shared" si="358"/>
        <v>83076.000000000015</v>
      </c>
      <c r="U2072" s="36">
        <f t="shared" si="359"/>
        <v>124614.00000000001</v>
      </c>
      <c r="V2072" s="36"/>
      <c r="W2072" s="36"/>
      <c r="X2072" s="28"/>
      <c r="Y2072" s="26"/>
      <c r="Z2072" s="53"/>
    </row>
    <row r="2073" spans="1:26" s="29" customFormat="1" ht="90.75" customHeight="1" x14ac:dyDescent="0.25">
      <c r="A2073" s="20"/>
      <c r="B2073" s="20"/>
      <c r="C2073" s="20"/>
      <c r="D2073" s="21"/>
      <c r="E2073" s="21"/>
      <c r="F2073" s="22"/>
      <c r="G2073" s="23"/>
      <c r="H2073" s="36"/>
      <c r="I2073" s="25"/>
      <c r="J2073" s="37"/>
      <c r="K2073" s="21">
        <v>7</v>
      </c>
      <c r="L2073" s="20" t="s">
        <v>215</v>
      </c>
      <c r="M2073" s="35" t="s">
        <v>46</v>
      </c>
      <c r="N2073" s="30">
        <v>3</v>
      </c>
      <c r="O2073" s="86">
        <v>162</v>
      </c>
      <c r="P2073" s="86">
        <v>100</v>
      </c>
      <c r="Q2073" s="40">
        <v>6450</v>
      </c>
      <c r="R2073" s="36">
        <f t="shared" si="357"/>
        <v>1044900</v>
      </c>
      <c r="S2073" s="84">
        <v>10</v>
      </c>
      <c r="T2073" s="28">
        <f t="shared" si="358"/>
        <v>417960</v>
      </c>
      <c r="U2073" s="36">
        <f t="shared" si="359"/>
        <v>626940</v>
      </c>
      <c r="V2073" s="36"/>
      <c r="W2073" s="36"/>
      <c r="X2073" s="28"/>
      <c r="Y2073" s="26"/>
      <c r="Z2073" s="53"/>
    </row>
    <row r="2074" spans="1:26" s="29" customFormat="1" ht="90.75" customHeight="1" x14ac:dyDescent="0.25">
      <c r="A2074" s="20"/>
      <c r="B2074" s="20"/>
      <c r="C2074" s="20"/>
      <c r="D2074" s="21"/>
      <c r="E2074" s="21"/>
      <c r="F2074" s="22"/>
      <c r="G2074" s="23"/>
      <c r="H2074" s="36"/>
      <c r="I2074" s="25"/>
      <c r="J2074" s="37"/>
      <c r="K2074" s="21">
        <v>8</v>
      </c>
      <c r="L2074" s="20" t="s">
        <v>215</v>
      </c>
      <c r="M2074" s="35" t="s">
        <v>46</v>
      </c>
      <c r="N2074" s="30">
        <v>3</v>
      </c>
      <c r="O2074" s="86">
        <v>56</v>
      </c>
      <c r="P2074" s="86">
        <v>100</v>
      </c>
      <c r="Q2074" s="40">
        <v>6450</v>
      </c>
      <c r="R2074" s="36">
        <f t="shared" si="357"/>
        <v>361200</v>
      </c>
      <c r="S2074" s="84">
        <v>10</v>
      </c>
      <c r="T2074" s="28">
        <f t="shared" si="358"/>
        <v>144480</v>
      </c>
      <c r="U2074" s="36">
        <f t="shared" si="359"/>
        <v>216720</v>
      </c>
      <c r="V2074" s="36"/>
      <c r="W2074" s="36"/>
      <c r="X2074" s="28"/>
      <c r="Y2074" s="26"/>
      <c r="Z2074" s="53"/>
    </row>
    <row r="2075" spans="1:26" s="29" customFormat="1" ht="90.75" customHeight="1" x14ac:dyDescent="0.25">
      <c r="A2075" s="20"/>
      <c r="B2075" s="20"/>
      <c r="C2075" s="20"/>
      <c r="D2075" s="21"/>
      <c r="E2075" s="21"/>
      <c r="F2075" s="22"/>
      <c r="G2075" s="23"/>
      <c r="H2075" s="36"/>
      <c r="I2075" s="25"/>
      <c r="J2075" s="37"/>
      <c r="K2075" s="21">
        <v>9</v>
      </c>
      <c r="L2075" s="20" t="s">
        <v>215</v>
      </c>
      <c r="M2075" s="35" t="s">
        <v>46</v>
      </c>
      <c r="N2075" s="30">
        <v>3</v>
      </c>
      <c r="O2075" s="86">
        <v>12</v>
      </c>
      <c r="P2075" s="86">
        <v>100</v>
      </c>
      <c r="Q2075" s="40">
        <v>6450</v>
      </c>
      <c r="R2075" s="36">
        <f t="shared" si="357"/>
        <v>77400</v>
      </c>
      <c r="S2075" s="84">
        <v>10</v>
      </c>
      <c r="T2075" s="28">
        <f t="shared" si="358"/>
        <v>30960</v>
      </c>
      <c r="U2075" s="36">
        <f t="shared" si="359"/>
        <v>46440</v>
      </c>
      <c r="V2075" s="36"/>
      <c r="W2075" s="36"/>
      <c r="X2075" s="28"/>
      <c r="Y2075" s="26"/>
      <c r="Z2075" s="53"/>
    </row>
    <row r="2076" spans="1:26" s="29" customFormat="1" ht="90.75" customHeight="1" x14ac:dyDescent="0.25">
      <c r="A2076" s="20"/>
      <c r="B2076" s="20"/>
      <c r="C2076" s="20"/>
      <c r="D2076" s="21"/>
      <c r="E2076" s="21"/>
      <c r="F2076" s="22"/>
      <c r="G2076" s="23"/>
      <c r="H2076" s="36"/>
      <c r="I2076" s="25"/>
      <c r="J2076" s="37"/>
      <c r="K2076" s="20">
        <v>10</v>
      </c>
      <c r="L2076" s="20" t="s">
        <v>17</v>
      </c>
      <c r="M2076" s="35" t="s">
        <v>51</v>
      </c>
      <c r="N2076" s="30">
        <v>3</v>
      </c>
      <c r="O2076" s="86">
        <v>7.2</v>
      </c>
      <c r="P2076" s="86">
        <v>100</v>
      </c>
      <c r="Q2076" s="40">
        <v>5900</v>
      </c>
      <c r="R2076" s="36">
        <f t="shared" si="357"/>
        <v>42480</v>
      </c>
      <c r="S2076" s="84">
        <v>10</v>
      </c>
      <c r="T2076" s="28">
        <f t="shared" si="358"/>
        <v>16992</v>
      </c>
      <c r="U2076" s="36">
        <f t="shared" si="359"/>
        <v>25488</v>
      </c>
      <c r="V2076" s="36"/>
      <c r="W2076" s="36"/>
      <c r="X2076" s="28"/>
      <c r="Y2076" s="26"/>
      <c r="Z2076" s="53"/>
    </row>
    <row r="2077" spans="1:26" s="29" customFormat="1" ht="90.75" customHeight="1" x14ac:dyDescent="0.25">
      <c r="A2077" s="20"/>
      <c r="B2077" s="20"/>
      <c r="C2077" s="20"/>
      <c r="D2077" s="21"/>
      <c r="E2077" s="21"/>
      <c r="F2077" s="22"/>
      <c r="G2077" s="23"/>
      <c r="H2077" s="36"/>
      <c r="I2077" s="25"/>
      <c r="J2077" s="37"/>
      <c r="K2077" s="30"/>
      <c r="L2077" s="20"/>
      <c r="M2077" s="35"/>
      <c r="N2077" s="30"/>
      <c r="O2077" s="36"/>
      <c r="P2077" s="86"/>
      <c r="Q2077" s="40"/>
      <c r="R2077" s="36"/>
      <c r="S2077" s="84"/>
      <c r="T2077" s="28"/>
      <c r="U2077" s="36">
        <f>(U2067+U2068+U2069+U2070+U2071+U2072+U2073+U2074+U2075+U2076)</f>
        <v>3104515.2</v>
      </c>
      <c r="V2077" s="36">
        <f>(J2067+U2077)</f>
        <v>3234315.2</v>
      </c>
      <c r="W2077" s="36">
        <f>(V2077*100/100)</f>
        <v>3234315.2</v>
      </c>
      <c r="X2077" s="28">
        <v>0</v>
      </c>
      <c r="Y2077" s="26">
        <f>(W2077-X2077)</f>
        <v>3234315.2</v>
      </c>
      <c r="Z2077" s="49">
        <v>3.0000000000000001E-3</v>
      </c>
    </row>
    <row r="2078" spans="1:26" s="29" customFormat="1" ht="90.75" customHeight="1" x14ac:dyDescent="0.25">
      <c r="A2078" s="20">
        <v>1251</v>
      </c>
      <c r="B2078" s="20" t="s">
        <v>0</v>
      </c>
      <c r="C2078" s="20">
        <v>5818</v>
      </c>
      <c r="D2078" s="21">
        <v>0</v>
      </c>
      <c r="E2078" s="21">
        <v>1</v>
      </c>
      <c r="F2078" s="22">
        <v>19</v>
      </c>
      <c r="G2078" s="23" t="s">
        <v>211</v>
      </c>
      <c r="H2078" s="24">
        <f>(D2078*400)+(E2078*100)+F2078</f>
        <v>119</v>
      </c>
      <c r="I2078" s="25" t="s">
        <v>26</v>
      </c>
      <c r="J2078" s="24">
        <f>(H2078*I2078)</f>
        <v>136850</v>
      </c>
      <c r="K2078" s="37"/>
      <c r="L2078" s="31"/>
      <c r="M2078" s="32"/>
      <c r="N2078" s="33"/>
      <c r="O2078" s="34"/>
      <c r="P2078" s="35"/>
      <c r="Q2078" s="36"/>
      <c r="R2078" s="36"/>
      <c r="S2078" s="37"/>
      <c r="T2078" s="28"/>
      <c r="U2078" s="36"/>
      <c r="V2078" s="36"/>
      <c r="W2078" s="26"/>
      <c r="X2078" s="27"/>
      <c r="Y2078" s="20"/>
      <c r="Z2078" s="20"/>
    </row>
    <row r="2079" spans="1:26" s="29" customFormat="1" ht="90.75" customHeight="1" x14ac:dyDescent="0.25">
      <c r="A2079" s="20"/>
      <c r="B2079" s="20"/>
      <c r="C2079" s="20"/>
      <c r="D2079" s="21"/>
      <c r="E2079" s="21"/>
      <c r="F2079" s="22"/>
      <c r="G2079" s="23"/>
      <c r="H2079" s="36">
        <v>69.5</v>
      </c>
      <c r="I2079" s="40">
        <v>1150</v>
      </c>
      <c r="J2079" s="28">
        <f>(H2079*I2079)</f>
        <v>79925</v>
      </c>
      <c r="K2079" s="37">
        <v>1</v>
      </c>
      <c r="L2079" s="31" t="s">
        <v>215</v>
      </c>
      <c r="M2079" s="32" t="s">
        <v>52</v>
      </c>
      <c r="N2079" s="33">
        <v>2</v>
      </c>
      <c r="O2079" s="34">
        <v>159.25</v>
      </c>
      <c r="P2079" s="35">
        <v>100</v>
      </c>
      <c r="Q2079" s="36">
        <v>6450</v>
      </c>
      <c r="R2079" s="36">
        <f>(O2079*Q2079)</f>
        <v>1027162.5</v>
      </c>
      <c r="S2079" s="37">
        <v>16</v>
      </c>
      <c r="T2079" s="28">
        <f>(R2079*55/100)</f>
        <v>564939.375</v>
      </c>
      <c r="U2079" s="36">
        <f>(R2079-T2079)</f>
        <v>462223.125</v>
      </c>
      <c r="V2079" s="36">
        <f>(J2079+U2079)</f>
        <v>542148.125</v>
      </c>
      <c r="W2079" s="36">
        <f>(V2079*100/100)</f>
        <v>542148.125</v>
      </c>
      <c r="X2079" s="28"/>
      <c r="Y2079" s="28"/>
      <c r="Z2079" s="20"/>
    </row>
    <row r="2080" spans="1:26" s="29" customFormat="1" ht="90.75" customHeight="1" x14ac:dyDescent="0.25">
      <c r="A2080" s="20"/>
      <c r="B2080" s="20"/>
      <c r="C2080" s="20"/>
      <c r="D2080" s="21"/>
      <c r="E2080" s="21"/>
      <c r="F2080" s="22"/>
      <c r="G2080" s="23"/>
      <c r="H2080" s="36"/>
      <c r="I2080" s="40"/>
      <c r="J2080" s="28"/>
      <c r="K2080" s="37"/>
      <c r="L2080" s="31"/>
      <c r="M2080" s="32" t="s">
        <v>59</v>
      </c>
      <c r="N2080" s="33"/>
      <c r="O2080" s="34">
        <v>99</v>
      </c>
      <c r="P2080" s="35">
        <v>62.17</v>
      </c>
      <c r="Q2080" s="36"/>
      <c r="R2080" s="36"/>
      <c r="S2080" s="37"/>
      <c r="T2080" s="28"/>
      <c r="U2080" s="36"/>
      <c r="V2080" s="36"/>
      <c r="W2080" s="36">
        <f>(W2079*62.17/100)</f>
        <v>337053.48931249999</v>
      </c>
      <c r="X2080" s="28">
        <v>50000000</v>
      </c>
      <c r="Y2080" s="28" t="s">
        <v>225</v>
      </c>
      <c r="Z2080" s="20" t="s">
        <v>225</v>
      </c>
    </row>
    <row r="2081" spans="1:26" s="29" customFormat="1" ht="90.75" customHeight="1" x14ac:dyDescent="0.25">
      <c r="A2081" s="20"/>
      <c r="B2081" s="20"/>
      <c r="C2081" s="20"/>
      <c r="D2081" s="21"/>
      <c r="E2081" s="21"/>
      <c r="F2081" s="22"/>
      <c r="G2081" s="23"/>
      <c r="H2081" s="36"/>
      <c r="I2081" s="40"/>
      <c r="J2081" s="28"/>
      <c r="K2081" s="37"/>
      <c r="L2081" s="31"/>
      <c r="M2081" s="32" t="s">
        <v>60</v>
      </c>
      <c r="N2081" s="33"/>
      <c r="O2081" s="34">
        <v>48</v>
      </c>
      <c r="P2081" s="35">
        <v>30.14</v>
      </c>
      <c r="Q2081" s="36"/>
      <c r="R2081" s="36"/>
      <c r="S2081" s="37"/>
      <c r="T2081" s="28"/>
      <c r="U2081" s="36"/>
      <c r="V2081" s="36"/>
      <c r="W2081" s="36">
        <f>(W2079*30.14/100)</f>
        <v>163403.44487500002</v>
      </c>
      <c r="X2081" s="28">
        <v>50000000</v>
      </c>
      <c r="Y2081" s="28" t="s">
        <v>225</v>
      </c>
      <c r="Z2081" s="20" t="s">
        <v>225</v>
      </c>
    </row>
    <row r="2082" spans="1:26" s="29" customFormat="1" ht="90.75" customHeight="1" x14ac:dyDescent="0.25">
      <c r="A2082" s="20"/>
      <c r="B2082" s="20"/>
      <c r="C2082" s="20"/>
      <c r="D2082" s="21"/>
      <c r="E2082" s="21"/>
      <c r="F2082" s="22"/>
      <c r="G2082" s="23"/>
      <c r="H2082" s="36"/>
      <c r="I2082" s="40"/>
      <c r="J2082" s="28"/>
      <c r="K2082" s="37">
        <v>2</v>
      </c>
      <c r="L2082" s="31" t="s">
        <v>29</v>
      </c>
      <c r="M2082" s="32"/>
      <c r="N2082" s="33">
        <v>3</v>
      </c>
      <c r="O2082" s="34">
        <v>12.25</v>
      </c>
      <c r="P2082" s="35">
        <v>7.69</v>
      </c>
      <c r="Q2082" s="36"/>
      <c r="R2082" s="36"/>
      <c r="S2082" s="37"/>
      <c r="T2082" s="28"/>
      <c r="U2082" s="36"/>
      <c r="V2082" s="36"/>
      <c r="W2082" s="36">
        <f>(W2079*7.69/100)</f>
        <v>41691.190812500005</v>
      </c>
      <c r="X2082" s="28">
        <v>0</v>
      </c>
      <c r="Y2082" s="28">
        <f>(W2082)</f>
        <v>41691.190812500005</v>
      </c>
      <c r="Z2082" s="49">
        <v>3.0000000000000001E-3</v>
      </c>
    </row>
    <row r="2083" spans="1:26" s="29" customFormat="1" ht="90.75" customHeight="1" x14ac:dyDescent="0.25">
      <c r="A2083" s="20"/>
      <c r="B2083" s="20"/>
      <c r="C2083" s="20"/>
      <c r="D2083" s="21"/>
      <c r="E2083" s="21"/>
      <c r="F2083" s="22"/>
      <c r="G2083" s="23"/>
      <c r="H2083" s="36">
        <v>49.5</v>
      </c>
      <c r="I2083" s="40">
        <v>1150</v>
      </c>
      <c r="J2083" s="28">
        <f>(H2083*I2083)</f>
        <v>56925</v>
      </c>
      <c r="K2083" s="37">
        <v>2</v>
      </c>
      <c r="L2083" s="31" t="s">
        <v>43</v>
      </c>
      <c r="M2083" s="32" t="s">
        <v>13</v>
      </c>
      <c r="N2083" s="33">
        <v>3</v>
      </c>
      <c r="O2083" s="34">
        <v>198</v>
      </c>
      <c r="P2083" s="35">
        <v>100</v>
      </c>
      <c r="Q2083" s="36">
        <v>7700</v>
      </c>
      <c r="R2083" s="36">
        <f>(O2083*Q2083)</f>
        <v>1524600</v>
      </c>
      <c r="S2083" s="37">
        <v>16</v>
      </c>
      <c r="T2083" s="28">
        <f>(R2083*22/100)</f>
        <v>335412</v>
      </c>
      <c r="U2083" s="36">
        <f>(R2083-T2083)</f>
        <v>1189188</v>
      </c>
      <c r="V2083" s="36">
        <f>(J2083+U2083)</f>
        <v>1246113</v>
      </c>
      <c r="W2083" s="36">
        <f>(V2083*P2083/100)</f>
        <v>1246113</v>
      </c>
      <c r="X2083" s="28">
        <v>0</v>
      </c>
      <c r="Y2083" s="28">
        <f>(W2083-X2083)</f>
        <v>1246113</v>
      </c>
      <c r="Z2083" s="49">
        <v>2.0000000000000001E-4</v>
      </c>
    </row>
    <row r="2084" spans="1:26" s="29" customFormat="1" ht="90.75" customHeight="1" x14ac:dyDescent="0.25">
      <c r="A2084" s="20">
        <v>1252</v>
      </c>
      <c r="B2084" s="20" t="s">
        <v>0</v>
      </c>
      <c r="C2084" s="20">
        <v>21577</v>
      </c>
      <c r="D2084" s="21">
        <v>0</v>
      </c>
      <c r="E2084" s="21">
        <v>0</v>
      </c>
      <c r="F2084" s="22">
        <v>60</v>
      </c>
      <c r="G2084" s="23" t="s">
        <v>209</v>
      </c>
      <c r="H2084" s="24">
        <f>(D2084*400)+(E2084*100)+F2084</f>
        <v>60</v>
      </c>
      <c r="I2084" s="25">
        <v>625</v>
      </c>
      <c r="J2084" s="24">
        <f>(H2084*I2084)</f>
        <v>37500</v>
      </c>
      <c r="K2084" s="20">
        <v>1</v>
      </c>
      <c r="L2084" s="20" t="s">
        <v>15</v>
      </c>
      <c r="M2084" s="20" t="s">
        <v>13</v>
      </c>
      <c r="N2084" s="20">
        <v>3</v>
      </c>
      <c r="O2084" s="24">
        <v>150</v>
      </c>
      <c r="P2084" s="24">
        <v>100</v>
      </c>
      <c r="Q2084" s="25">
        <v>5950</v>
      </c>
      <c r="R2084" s="36">
        <f>(O2084*Q2084)</f>
        <v>892500</v>
      </c>
      <c r="S2084" s="20">
        <v>5</v>
      </c>
      <c r="T2084" s="28">
        <f>(R2084*5/100)</f>
        <v>44625</v>
      </c>
      <c r="U2084" s="36">
        <f>(R2084-T2084)</f>
        <v>847875</v>
      </c>
      <c r="V2084" s="36">
        <f>(J2074+U2084)</f>
        <v>847875</v>
      </c>
      <c r="W2084" s="36">
        <f>(V2084*100/100)</f>
        <v>847875</v>
      </c>
      <c r="X2084" s="28">
        <v>0</v>
      </c>
      <c r="Y2084" s="26">
        <f>(W2084-X2084)</f>
        <v>847875</v>
      </c>
      <c r="Z2084" s="49">
        <v>3.0000000000000001E-3</v>
      </c>
    </row>
    <row r="2085" spans="1:26" s="29" customFormat="1" ht="90.75" customHeight="1" x14ac:dyDescent="0.25">
      <c r="A2085" s="20">
        <v>1253</v>
      </c>
      <c r="B2085" s="20" t="s">
        <v>0</v>
      </c>
      <c r="C2085" s="20">
        <v>20266</v>
      </c>
      <c r="D2085" s="21">
        <v>0</v>
      </c>
      <c r="E2085" s="21">
        <v>0</v>
      </c>
      <c r="F2085" s="22">
        <v>94</v>
      </c>
      <c r="G2085" s="23" t="s">
        <v>56</v>
      </c>
      <c r="H2085" s="77">
        <f>(D2085*400)+(E2085*100)+F2085</f>
        <v>94</v>
      </c>
      <c r="I2085" s="40">
        <v>875</v>
      </c>
      <c r="J2085" s="28">
        <f>(H2085*I2085)</f>
        <v>82250</v>
      </c>
      <c r="K2085" s="37"/>
      <c r="L2085" s="20"/>
      <c r="M2085" s="37"/>
      <c r="N2085" s="30"/>
      <c r="O2085" s="77"/>
      <c r="P2085" s="35"/>
      <c r="Q2085" s="77"/>
      <c r="R2085" s="77"/>
      <c r="S2085" s="37"/>
      <c r="T2085" s="28"/>
      <c r="U2085" s="77"/>
      <c r="V2085" s="77"/>
      <c r="W2085" s="77"/>
      <c r="X2085" s="28"/>
      <c r="Y2085" s="28"/>
      <c r="Z2085" s="20"/>
    </row>
    <row r="2086" spans="1:26" s="29" customFormat="1" ht="90.75" customHeight="1" x14ac:dyDescent="0.25">
      <c r="A2086" s="20"/>
      <c r="B2086" s="20"/>
      <c r="C2086" s="20"/>
      <c r="D2086" s="21"/>
      <c r="E2086" s="21"/>
      <c r="F2086" s="22"/>
      <c r="G2086" s="23"/>
      <c r="H2086" s="77"/>
      <c r="I2086" s="40"/>
      <c r="J2086" s="28"/>
      <c r="K2086" s="37">
        <v>1</v>
      </c>
      <c r="L2086" s="20" t="s">
        <v>43</v>
      </c>
      <c r="M2086" s="37" t="s">
        <v>13</v>
      </c>
      <c r="N2086" s="30">
        <v>2</v>
      </c>
      <c r="O2086" s="77">
        <v>41.25</v>
      </c>
      <c r="P2086" s="35">
        <v>100</v>
      </c>
      <c r="Q2086" s="77">
        <v>7700</v>
      </c>
      <c r="R2086" s="77">
        <f>(O2086*Q2086)</f>
        <v>317625</v>
      </c>
      <c r="S2086" s="37">
        <v>22</v>
      </c>
      <c r="T2086" s="28">
        <f>(R2086*34/100)</f>
        <v>107992.5</v>
      </c>
      <c r="U2086" s="77">
        <f>(R2086-T2086)</f>
        <v>209632.5</v>
      </c>
      <c r="V2086" s="77"/>
      <c r="W2086" s="77"/>
      <c r="X2086" s="28"/>
      <c r="Y2086" s="28"/>
      <c r="Z2086" s="20"/>
    </row>
    <row r="2087" spans="1:26" s="29" customFormat="1" ht="90.75" customHeight="1" x14ac:dyDescent="0.25">
      <c r="A2087" s="20"/>
      <c r="B2087" s="20"/>
      <c r="C2087" s="20"/>
      <c r="D2087" s="21"/>
      <c r="E2087" s="21"/>
      <c r="F2087" s="22"/>
      <c r="G2087" s="23"/>
      <c r="H2087" s="77"/>
      <c r="I2087" s="40"/>
      <c r="J2087" s="28"/>
      <c r="K2087" s="37">
        <v>2</v>
      </c>
      <c r="L2087" s="20" t="s">
        <v>215</v>
      </c>
      <c r="M2087" s="37" t="s">
        <v>13</v>
      </c>
      <c r="N2087" s="30">
        <v>2</v>
      </c>
      <c r="O2087" s="77">
        <v>112</v>
      </c>
      <c r="P2087" s="35">
        <v>100</v>
      </c>
      <c r="Q2087" s="77">
        <v>6450</v>
      </c>
      <c r="R2087" s="77">
        <f>(O2087*Q2087)</f>
        <v>722400</v>
      </c>
      <c r="S2087" s="37">
        <v>17</v>
      </c>
      <c r="T2087" s="28">
        <f>(R2087*24/100)</f>
        <v>173376</v>
      </c>
      <c r="U2087" s="77">
        <f>(R2087-T2087)</f>
        <v>549024</v>
      </c>
      <c r="V2087" s="77"/>
      <c r="W2087" s="77"/>
      <c r="X2087" s="28"/>
      <c r="Y2087" s="28"/>
      <c r="Z2087" s="20"/>
    </row>
    <row r="2088" spans="1:26" s="29" customFormat="1" ht="90.75" customHeight="1" x14ac:dyDescent="0.25">
      <c r="A2088" s="20"/>
      <c r="B2088" s="20"/>
      <c r="C2088" s="20"/>
      <c r="D2088" s="21"/>
      <c r="E2088" s="21"/>
      <c r="F2088" s="22"/>
      <c r="G2088" s="23"/>
      <c r="H2088" s="36"/>
      <c r="I2088" s="44"/>
      <c r="J2088" s="65"/>
      <c r="K2088" s="33"/>
      <c r="L2088" s="31"/>
      <c r="M2088" s="112"/>
      <c r="N2088" s="30"/>
      <c r="O2088" s="90"/>
      <c r="P2088" s="82"/>
      <c r="Q2088" s="83"/>
      <c r="R2088" s="33"/>
      <c r="S2088" s="33"/>
      <c r="T2088" s="89"/>
      <c r="U2088" s="90">
        <f>SUM(U2086:U2087)</f>
        <v>758656.5</v>
      </c>
      <c r="V2088" s="90">
        <f>(J2085+U2088)</f>
        <v>840906.5</v>
      </c>
      <c r="W2088" s="90">
        <f>(V2088*100/100)</f>
        <v>840906.5</v>
      </c>
      <c r="X2088" s="89">
        <v>0</v>
      </c>
      <c r="Y2088" s="48">
        <f>(W2088-X2088)</f>
        <v>840906.5</v>
      </c>
      <c r="Z2088" s="49">
        <v>2.0000000000000001E-4</v>
      </c>
    </row>
    <row r="2089" spans="1:26" s="29" customFormat="1" ht="90.75" customHeight="1" x14ac:dyDescent="0.25">
      <c r="A2089" s="20">
        <v>1254</v>
      </c>
      <c r="B2089" s="20" t="s">
        <v>0</v>
      </c>
      <c r="C2089" s="20">
        <v>5821</v>
      </c>
      <c r="D2089" s="21">
        <v>0</v>
      </c>
      <c r="E2089" s="21">
        <v>1</v>
      </c>
      <c r="F2089" s="22">
        <v>2</v>
      </c>
      <c r="G2089" s="23" t="s">
        <v>211</v>
      </c>
      <c r="H2089" s="36">
        <f>(D2089*400)+(E2089*100)+F2089</f>
        <v>102</v>
      </c>
      <c r="I2089" s="40">
        <v>875</v>
      </c>
      <c r="J2089" s="28">
        <f t="shared" ref="J2089:J2094" si="360">(H2089*I2089)</f>
        <v>89250</v>
      </c>
      <c r="K2089" s="30"/>
      <c r="L2089" s="31"/>
      <c r="M2089" s="32"/>
      <c r="N2089" s="33"/>
      <c r="O2089" s="90"/>
      <c r="P2089" s="35"/>
      <c r="Q2089" s="36"/>
      <c r="R2089" s="36"/>
      <c r="S2089" s="37"/>
      <c r="T2089" s="28"/>
      <c r="U2089" s="36"/>
      <c r="V2089" s="36"/>
      <c r="W2089" s="36"/>
      <c r="X2089" s="28"/>
      <c r="Y2089" s="28"/>
      <c r="Z2089" s="20"/>
    </row>
    <row r="2090" spans="1:26" s="29" customFormat="1" ht="90.75" customHeight="1" x14ac:dyDescent="0.25">
      <c r="A2090" s="20"/>
      <c r="B2090" s="20"/>
      <c r="C2090" s="20"/>
      <c r="D2090" s="21"/>
      <c r="E2090" s="21"/>
      <c r="F2090" s="22"/>
      <c r="G2090" s="23"/>
      <c r="H2090" s="36">
        <v>93.45</v>
      </c>
      <c r="I2090" s="40">
        <v>875</v>
      </c>
      <c r="J2090" s="28">
        <f t="shared" si="360"/>
        <v>81768.75</v>
      </c>
      <c r="K2090" s="30">
        <v>1</v>
      </c>
      <c r="L2090" s="31" t="s">
        <v>215</v>
      </c>
      <c r="M2090" s="32" t="s">
        <v>52</v>
      </c>
      <c r="N2090" s="33">
        <v>2</v>
      </c>
      <c r="O2090" s="90">
        <v>386.3</v>
      </c>
      <c r="P2090" s="35">
        <v>100</v>
      </c>
      <c r="Q2090" s="36">
        <v>6450</v>
      </c>
      <c r="R2090" s="36">
        <f>(O2090*Q2090)</f>
        <v>2491635</v>
      </c>
      <c r="S2090" s="37">
        <v>32</v>
      </c>
      <c r="T2090" s="28">
        <f>(R2090*85/100)</f>
        <v>2117889.75</v>
      </c>
      <c r="U2090" s="36">
        <f>(R2090-T2090)</f>
        <v>373745.25</v>
      </c>
      <c r="V2090" s="36">
        <f>(J2090+U2090)</f>
        <v>455514</v>
      </c>
      <c r="W2090" s="36">
        <f>(V2090*P2090/100)</f>
        <v>455514</v>
      </c>
      <c r="X2090" s="28">
        <v>50000000</v>
      </c>
      <c r="Y2090" s="28">
        <v>0</v>
      </c>
      <c r="Z2090" s="49">
        <v>2.0000000000000001E-4</v>
      </c>
    </row>
    <row r="2091" spans="1:26" s="29" customFormat="1" ht="90.75" customHeight="1" x14ac:dyDescent="0.25">
      <c r="A2091" s="20"/>
      <c r="B2091" s="20"/>
      <c r="C2091" s="20"/>
      <c r="D2091" s="21"/>
      <c r="E2091" s="21"/>
      <c r="F2091" s="22"/>
      <c r="G2091" s="23"/>
      <c r="H2091" s="36">
        <v>8.5500000000000007</v>
      </c>
      <c r="I2091" s="40">
        <v>875</v>
      </c>
      <c r="J2091" s="28">
        <f t="shared" si="360"/>
        <v>7481.2500000000009</v>
      </c>
      <c r="K2091" s="30">
        <v>2</v>
      </c>
      <c r="L2091" s="31" t="s">
        <v>36</v>
      </c>
      <c r="M2091" s="32"/>
      <c r="N2091" s="33">
        <v>3</v>
      </c>
      <c r="O2091" s="90">
        <v>34.200000000000003</v>
      </c>
      <c r="P2091" s="35">
        <v>100</v>
      </c>
      <c r="Q2091" s="36">
        <v>5550</v>
      </c>
      <c r="R2091" s="36">
        <f>(O2091*Q2091)</f>
        <v>189810.00000000003</v>
      </c>
      <c r="S2091" s="37">
        <v>32</v>
      </c>
      <c r="T2091" s="28">
        <f>(R2091*85/100)</f>
        <v>161338.50000000003</v>
      </c>
      <c r="U2091" s="36">
        <f>(R2091-T2091)</f>
        <v>28471.5</v>
      </c>
      <c r="V2091" s="36">
        <f>(J2091+U2091)</f>
        <v>35952.75</v>
      </c>
      <c r="W2091" s="36">
        <f>(V2091*P2091/100)</f>
        <v>35952.75</v>
      </c>
      <c r="X2091" s="28">
        <v>0</v>
      </c>
      <c r="Y2091" s="28">
        <f>(W2091-X2091)</f>
        <v>35952.75</v>
      </c>
      <c r="Z2091" s="49">
        <v>3.0000000000000001E-3</v>
      </c>
    </row>
    <row r="2092" spans="1:26" s="29" customFormat="1" ht="90.75" customHeight="1" x14ac:dyDescent="0.25">
      <c r="A2092" s="20">
        <v>1255</v>
      </c>
      <c r="B2092" s="20" t="s">
        <v>0</v>
      </c>
      <c r="C2092" s="20">
        <v>48411</v>
      </c>
      <c r="D2092" s="21">
        <v>0</v>
      </c>
      <c r="E2092" s="21">
        <v>0</v>
      </c>
      <c r="F2092" s="22">
        <v>26</v>
      </c>
      <c r="G2092" s="23" t="s">
        <v>56</v>
      </c>
      <c r="H2092" s="24">
        <f>(D2092*400)+(E2092*100)+F2092</f>
        <v>26</v>
      </c>
      <c r="I2092" s="25">
        <v>875</v>
      </c>
      <c r="J2092" s="24">
        <f t="shared" si="360"/>
        <v>22750</v>
      </c>
      <c r="K2092" s="20">
        <v>1</v>
      </c>
      <c r="L2092" s="20" t="s">
        <v>16</v>
      </c>
      <c r="M2092" s="20" t="s">
        <v>13</v>
      </c>
      <c r="N2092" s="20">
        <v>2</v>
      </c>
      <c r="O2092" s="24">
        <v>72</v>
      </c>
      <c r="P2092" s="35">
        <v>100</v>
      </c>
      <c r="Q2092" s="36">
        <v>6450</v>
      </c>
      <c r="R2092" s="36">
        <f>(O2092*Q2092)</f>
        <v>464400</v>
      </c>
      <c r="S2092" s="20">
        <v>8</v>
      </c>
      <c r="T2092" s="28">
        <f>(R2092*8/100)</f>
        <v>37152</v>
      </c>
      <c r="U2092" s="36">
        <f>(R2092-T2092)</f>
        <v>427248</v>
      </c>
      <c r="V2092" s="36">
        <f>(J2092+U2092)</f>
        <v>449998</v>
      </c>
      <c r="W2092" s="36">
        <f>(V2092*P2092/100)</f>
        <v>449998</v>
      </c>
      <c r="X2092" s="28">
        <v>0</v>
      </c>
      <c r="Y2092" s="28">
        <f>(W2092-X2092)</f>
        <v>449998</v>
      </c>
      <c r="Z2092" s="49">
        <v>2.0000000000000001E-4</v>
      </c>
    </row>
    <row r="2093" spans="1:26" s="29" customFormat="1" ht="90.75" customHeight="1" x14ac:dyDescent="0.25">
      <c r="A2093" s="20">
        <v>1256</v>
      </c>
      <c r="B2093" s="20" t="s">
        <v>0</v>
      </c>
      <c r="C2093" s="20">
        <v>5056</v>
      </c>
      <c r="D2093" s="21">
        <v>0</v>
      </c>
      <c r="E2093" s="21">
        <v>0</v>
      </c>
      <c r="F2093" s="22">
        <v>73</v>
      </c>
      <c r="G2093" s="23" t="s">
        <v>211</v>
      </c>
      <c r="H2093" s="24">
        <f>(D2093*400)+(E2093*100)+F2093</f>
        <v>73</v>
      </c>
      <c r="I2093" s="25" t="s">
        <v>78</v>
      </c>
      <c r="J2093" s="24">
        <f t="shared" si="360"/>
        <v>63875</v>
      </c>
      <c r="K2093" s="20">
        <v>1</v>
      </c>
      <c r="L2093" s="20" t="s">
        <v>16</v>
      </c>
      <c r="M2093" s="20" t="s">
        <v>54</v>
      </c>
      <c r="N2093" s="20"/>
      <c r="O2093" s="24">
        <v>320</v>
      </c>
      <c r="P2093" s="24"/>
      <c r="Q2093" s="25"/>
      <c r="R2093" s="24"/>
      <c r="S2093" s="20">
        <v>50</v>
      </c>
      <c r="T2093" s="27"/>
      <c r="U2093" s="20"/>
      <c r="V2093" s="20"/>
      <c r="W2093" s="26"/>
      <c r="X2093" s="27"/>
      <c r="Y2093" s="20"/>
      <c r="Z2093" s="20"/>
    </row>
    <row r="2094" spans="1:26" s="29" customFormat="1" ht="90.75" customHeight="1" x14ac:dyDescent="0.25">
      <c r="A2094" s="20"/>
      <c r="B2094" s="20"/>
      <c r="C2094" s="20"/>
      <c r="D2094" s="21"/>
      <c r="E2094" s="21"/>
      <c r="F2094" s="22"/>
      <c r="G2094" s="23"/>
      <c r="H2094" s="36">
        <v>35.950000000000003</v>
      </c>
      <c r="I2094" s="40">
        <v>875</v>
      </c>
      <c r="J2094" s="28">
        <f t="shared" si="360"/>
        <v>31456.250000000004</v>
      </c>
      <c r="K2094" s="37">
        <v>1</v>
      </c>
      <c r="L2094" s="31" t="s">
        <v>215</v>
      </c>
      <c r="M2094" s="32" t="s">
        <v>52</v>
      </c>
      <c r="N2094" s="33">
        <v>2</v>
      </c>
      <c r="O2094" s="34">
        <v>138</v>
      </c>
      <c r="P2094" s="35">
        <v>100</v>
      </c>
      <c r="Q2094" s="36">
        <v>6450</v>
      </c>
      <c r="R2094" s="36">
        <f>(O2094*Q2094)</f>
        <v>890100</v>
      </c>
      <c r="S2094" s="37">
        <v>32</v>
      </c>
      <c r="T2094" s="28">
        <f>(R2094*54/100)</f>
        <v>480654</v>
      </c>
      <c r="U2094" s="36">
        <f>(R2094-T2094)</f>
        <v>409446</v>
      </c>
      <c r="V2094" s="36">
        <f>(J2094+U2094)</f>
        <v>440902.25</v>
      </c>
      <c r="W2094" s="36">
        <f>(V2094*100/100)</f>
        <v>440902.25</v>
      </c>
      <c r="X2094" s="28">
        <v>50000000</v>
      </c>
      <c r="Y2094" s="28"/>
      <c r="Z2094" s="20"/>
    </row>
    <row r="2095" spans="1:26" s="29" customFormat="1" ht="90.75" customHeight="1" x14ac:dyDescent="0.25">
      <c r="A2095" s="20"/>
      <c r="B2095" s="20"/>
      <c r="C2095" s="20"/>
      <c r="D2095" s="21"/>
      <c r="E2095" s="21"/>
      <c r="F2095" s="22"/>
      <c r="G2095" s="23"/>
      <c r="H2095" s="36"/>
      <c r="I2095" s="40"/>
      <c r="J2095" s="28"/>
      <c r="K2095" s="37"/>
      <c r="L2095" s="31"/>
      <c r="M2095" s="32" t="s">
        <v>59</v>
      </c>
      <c r="N2095" s="33"/>
      <c r="O2095" s="90">
        <v>30</v>
      </c>
      <c r="P2095" s="86">
        <f>(O2095*100/138)</f>
        <v>21.739130434782609</v>
      </c>
      <c r="Q2095" s="36"/>
      <c r="R2095" s="36"/>
      <c r="S2095" s="37"/>
      <c r="T2095" s="28"/>
      <c r="U2095" s="36"/>
      <c r="V2095" s="36"/>
      <c r="W2095" s="36">
        <f>(W2094*21.74/100)</f>
        <v>95852.149149999997</v>
      </c>
      <c r="X2095" s="28"/>
      <c r="Y2095" s="28"/>
      <c r="Z2095" s="20"/>
    </row>
    <row r="2096" spans="1:26" s="29" customFormat="1" ht="90.75" customHeight="1" x14ac:dyDescent="0.25">
      <c r="A2096" s="20"/>
      <c r="B2096" s="20"/>
      <c r="C2096" s="20"/>
      <c r="D2096" s="21"/>
      <c r="E2096" s="21"/>
      <c r="F2096" s="22"/>
      <c r="G2096" s="23"/>
      <c r="H2096" s="36"/>
      <c r="I2096" s="40"/>
      <c r="J2096" s="28"/>
      <c r="K2096" s="37"/>
      <c r="L2096" s="31"/>
      <c r="M2096" s="32" t="s">
        <v>60</v>
      </c>
      <c r="N2096" s="33"/>
      <c r="O2096" s="90">
        <v>108</v>
      </c>
      <c r="P2096" s="86">
        <f>(O2096*100/138)</f>
        <v>78.260869565217391</v>
      </c>
      <c r="Q2096" s="36"/>
      <c r="R2096" s="36"/>
      <c r="S2096" s="37"/>
      <c r="T2096" s="28"/>
      <c r="U2096" s="36"/>
      <c r="V2096" s="36"/>
      <c r="W2096" s="36">
        <f>W2094*78.26/100</f>
        <v>345050.10084999999</v>
      </c>
      <c r="X2096" s="28"/>
      <c r="Y2096" s="28"/>
      <c r="Z2096" s="20"/>
    </row>
    <row r="2097" spans="1:26" s="29" customFormat="1" ht="90.75" customHeight="1" x14ac:dyDescent="0.25">
      <c r="A2097" s="20"/>
      <c r="B2097" s="20"/>
      <c r="C2097" s="20"/>
      <c r="D2097" s="21"/>
      <c r="E2097" s="21"/>
      <c r="F2097" s="22"/>
      <c r="G2097" s="23"/>
      <c r="H2097" s="36">
        <f>(O2097*0.25)</f>
        <v>37.049999999999997</v>
      </c>
      <c r="I2097" s="40">
        <v>875</v>
      </c>
      <c r="J2097" s="28">
        <f>(H2097*I2097)</f>
        <v>32418.749999999996</v>
      </c>
      <c r="K2097" s="37">
        <v>2</v>
      </c>
      <c r="L2097" s="31" t="s">
        <v>43</v>
      </c>
      <c r="M2097" s="32" t="s">
        <v>13</v>
      </c>
      <c r="N2097" s="33">
        <v>2</v>
      </c>
      <c r="O2097" s="34">
        <v>148.19999999999999</v>
      </c>
      <c r="P2097" s="86" t="s">
        <v>256</v>
      </c>
      <c r="Q2097" s="36">
        <v>7700</v>
      </c>
      <c r="R2097" s="36">
        <f>(O2097*Q2097)</f>
        <v>1141140</v>
      </c>
      <c r="S2097" s="37">
        <v>22</v>
      </c>
      <c r="T2097" s="28">
        <f>(R2097*34/100)</f>
        <v>387987.6</v>
      </c>
      <c r="U2097" s="36">
        <f>(R2097-T2097)</f>
        <v>753152.4</v>
      </c>
      <c r="V2097" s="36">
        <f>(J2097+U2097)</f>
        <v>785571.15</v>
      </c>
      <c r="W2097" s="36">
        <f>(V2097*100/100)</f>
        <v>785571.15</v>
      </c>
      <c r="X2097" s="28">
        <v>0</v>
      </c>
      <c r="Y2097" s="28">
        <f>(W2097-X2097)</f>
        <v>785571.15</v>
      </c>
      <c r="Z2097" s="49">
        <v>2.0000000000000001E-4</v>
      </c>
    </row>
    <row r="2098" spans="1:26" s="29" customFormat="1" ht="90.75" customHeight="1" x14ac:dyDescent="0.25">
      <c r="A2098" s="20">
        <v>1257</v>
      </c>
      <c r="B2098" s="20" t="s">
        <v>0</v>
      </c>
      <c r="C2098" s="20">
        <v>22375</v>
      </c>
      <c r="D2098" s="21">
        <v>0</v>
      </c>
      <c r="E2098" s="21">
        <v>1</v>
      </c>
      <c r="F2098" s="22">
        <v>59</v>
      </c>
      <c r="G2098" s="23" t="s">
        <v>211</v>
      </c>
      <c r="H2098" s="24">
        <f>(D2098*400)+(E2098*100)+F2098</f>
        <v>159</v>
      </c>
      <c r="I2098" s="25" t="s">
        <v>78</v>
      </c>
      <c r="J2098" s="24">
        <f>(H2098*I2098)</f>
        <v>139125</v>
      </c>
      <c r="K2098" s="20"/>
      <c r="L2098" s="20"/>
      <c r="M2098" s="20"/>
      <c r="N2098" s="20"/>
      <c r="O2098" s="24"/>
      <c r="P2098" s="24"/>
      <c r="Q2098" s="25"/>
      <c r="R2098" s="24"/>
      <c r="S2098" s="20"/>
      <c r="T2098" s="27"/>
      <c r="U2098" s="20"/>
      <c r="V2098" s="20"/>
      <c r="W2098" s="26"/>
      <c r="X2098" s="27"/>
      <c r="Y2098" s="20"/>
      <c r="Z2098" s="20"/>
    </row>
    <row r="2099" spans="1:26" s="29" customFormat="1" ht="90.75" customHeight="1" x14ac:dyDescent="0.25">
      <c r="A2099" s="20"/>
      <c r="B2099" s="20"/>
      <c r="C2099" s="20"/>
      <c r="D2099" s="21"/>
      <c r="E2099" s="21"/>
      <c r="F2099" s="22"/>
      <c r="G2099" s="23"/>
      <c r="H2099" s="77">
        <v>152</v>
      </c>
      <c r="I2099" s="40">
        <v>875</v>
      </c>
      <c r="J2099" s="28">
        <f>(H2099*I2099)</f>
        <v>133000</v>
      </c>
      <c r="K2099" s="37">
        <v>1</v>
      </c>
      <c r="L2099" s="20" t="s">
        <v>215</v>
      </c>
      <c r="M2099" s="37" t="s">
        <v>13</v>
      </c>
      <c r="N2099" s="30"/>
      <c r="O2099" s="77">
        <v>413.6</v>
      </c>
      <c r="P2099" s="35">
        <v>100</v>
      </c>
      <c r="Q2099" s="40">
        <v>6450</v>
      </c>
      <c r="R2099" s="77">
        <f>(O2099*Q2099)</f>
        <v>2667720</v>
      </c>
      <c r="S2099" s="37">
        <v>22</v>
      </c>
      <c r="T2099" s="28">
        <f>(R2099*34/100)</f>
        <v>907024.8</v>
      </c>
      <c r="U2099" s="77">
        <f>(R2099-T2099)</f>
        <v>1760695.2</v>
      </c>
      <c r="V2099" s="77">
        <f>(J2099+U2099)</f>
        <v>1893695.2</v>
      </c>
      <c r="W2099" s="77">
        <f>(V2099*100/100)</f>
        <v>1893695.2</v>
      </c>
      <c r="X2099" s="28"/>
      <c r="Y2099" s="28"/>
      <c r="Z2099" s="20"/>
    </row>
    <row r="2100" spans="1:26" s="29" customFormat="1" ht="90.75" customHeight="1" x14ac:dyDescent="0.25">
      <c r="A2100" s="20"/>
      <c r="B2100" s="20"/>
      <c r="C2100" s="20"/>
      <c r="D2100" s="21"/>
      <c r="E2100" s="21"/>
      <c r="F2100" s="22"/>
      <c r="G2100" s="23"/>
      <c r="H2100" s="77"/>
      <c r="I2100" s="40"/>
      <c r="J2100" s="28"/>
      <c r="K2100" s="37"/>
      <c r="L2100" s="20" t="s">
        <v>69</v>
      </c>
      <c r="M2100" s="37"/>
      <c r="N2100" s="30">
        <v>2</v>
      </c>
      <c r="O2100" s="77">
        <v>272.8</v>
      </c>
      <c r="P2100" s="35">
        <f>(O2100*100/413.6)</f>
        <v>65.957446808510639</v>
      </c>
      <c r="Q2100" s="40"/>
      <c r="R2100" s="77"/>
      <c r="S2100" s="37"/>
      <c r="T2100" s="28"/>
      <c r="U2100" s="77"/>
      <c r="V2100" s="77"/>
      <c r="W2100" s="77">
        <f>(W2099*65.96/100)</f>
        <v>1249081.3539199999</v>
      </c>
      <c r="X2100" s="28">
        <v>50000000</v>
      </c>
      <c r="Y2100" s="28">
        <v>0</v>
      </c>
      <c r="Z2100" s="49">
        <v>2.0000000000000001E-4</v>
      </c>
    </row>
    <row r="2101" spans="1:26" s="29" customFormat="1" ht="90.75" customHeight="1" x14ac:dyDescent="0.25">
      <c r="A2101" s="20"/>
      <c r="B2101" s="20"/>
      <c r="C2101" s="20"/>
      <c r="D2101" s="21"/>
      <c r="E2101" s="21"/>
      <c r="F2101" s="22"/>
      <c r="G2101" s="23"/>
      <c r="H2101" s="77"/>
      <c r="I2101" s="40"/>
      <c r="J2101" s="28"/>
      <c r="K2101" s="37"/>
      <c r="L2101" s="20" t="s">
        <v>61</v>
      </c>
      <c r="M2101" s="37"/>
      <c r="N2101" s="30">
        <v>3</v>
      </c>
      <c r="O2101" s="77">
        <v>140.80000000000001</v>
      </c>
      <c r="P2101" s="35">
        <f>(O2101*100/413.6)</f>
        <v>34.042553191489361</v>
      </c>
      <c r="Q2101" s="40"/>
      <c r="R2101" s="77"/>
      <c r="S2101" s="37"/>
      <c r="T2101" s="28"/>
      <c r="U2101" s="77"/>
      <c r="V2101" s="77"/>
      <c r="W2101" s="77">
        <f>(W2099*34.04/100)</f>
        <v>644613.84607999993</v>
      </c>
      <c r="X2101" s="28">
        <v>0</v>
      </c>
      <c r="Y2101" s="28">
        <f>(W2101-X2101)</f>
        <v>644613.84607999993</v>
      </c>
      <c r="Z2101" s="49">
        <v>3.0000000000000001E-3</v>
      </c>
    </row>
    <row r="2102" spans="1:26" s="29" customFormat="1" ht="90.75" customHeight="1" x14ac:dyDescent="0.25">
      <c r="A2102" s="20"/>
      <c r="B2102" s="20"/>
      <c r="C2102" s="20"/>
      <c r="D2102" s="21"/>
      <c r="E2102" s="21"/>
      <c r="F2102" s="22"/>
      <c r="G2102" s="23"/>
      <c r="H2102" s="77">
        <v>7</v>
      </c>
      <c r="I2102" s="40">
        <v>875</v>
      </c>
      <c r="J2102" s="28">
        <f t="shared" ref="J2102:J2108" si="361">(H2102*I2102)</f>
        <v>6125</v>
      </c>
      <c r="K2102" s="37">
        <v>2</v>
      </c>
      <c r="L2102" s="20" t="s">
        <v>31</v>
      </c>
      <c r="M2102" s="37"/>
      <c r="N2102" s="30"/>
      <c r="O2102" s="77">
        <v>28</v>
      </c>
      <c r="P2102" s="35">
        <v>100</v>
      </c>
      <c r="Q2102" s="40">
        <v>2550</v>
      </c>
      <c r="R2102" s="77">
        <f>(O2102*Q2102)</f>
        <v>71400</v>
      </c>
      <c r="S2102" s="37">
        <v>22</v>
      </c>
      <c r="T2102" s="28">
        <f>(R2102*34/100)</f>
        <v>24276</v>
      </c>
      <c r="U2102" s="77">
        <f>(R2102-T2102)</f>
        <v>47124</v>
      </c>
      <c r="V2102" s="77">
        <f>(J2102+U2102)</f>
        <v>53249</v>
      </c>
      <c r="W2102" s="77">
        <f>(V2102*P2102/100)</f>
        <v>53249</v>
      </c>
      <c r="X2102" s="28">
        <v>0</v>
      </c>
      <c r="Y2102" s="28">
        <f>(W2102-X2102)</f>
        <v>53249</v>
      </c>
      <c r="Z2102" s="49">
        <v>2.0000000000000001E-4</v>
      </c>
    </row>
    <row r="2103" spans="1:26" s="29" customFormat="1" ht="90.75" customHeight="1" x14ac:dyDescent="0.25">
      <c r="A2103" s="20">
        <v>1258</v>
      </c>
      <c r="B2103" s="20" t="s">
        <v>0</v>
      </c>
      <c r="C2103" s="20">
        <v>22373</v>
      </c>
      <c r="D2103" s="21">
        <v>0</v>
      </c>
      <c r="E2103" s="21">
        <v>1</v>
      </c>
      <c r="F2103" s="22">
        <v>59</v>
      </c>
      <c r="G2103" s="23" t="s">
        <v>211</v>
      </c>
      <c r="H2103" s="36">
        <f>(D2103*400)+(E2103*100)+F2103</f>
        <v>159</v>
      </c>
      <c r="I2103" s="40" t="s">
        <v>78</v>
      </c>
      <c r="J2103" s="65">
        <f t="shared" si="361"/>
        <v>139125</v>
      </c>
      <c r="K2103" s="33"/>
      <c r="L2103" s="31"/>
      <c r="M2103" s="112"/>
      <c r="N2103" s="30"/>
      <c r="O2103" s="90"/>
      <c r="P2103" s="82"/>
      <c r="Q2103" s="83"/>
      <c r="R2103" s="33"/>
      <c r="S2103" s="33"/>
      <c r="T2103" s="89"/>
      <c r="U2103" s="33"/>
      <c r="V2103" s="90"/>
      <c r="W2103" s="90"/>
      <c r="X2103" s="89"/>
      <c r="Y2103" s="48"/>
      <c r="Z2103" s="53"/>
    </row>
    <row r="2104" spans="1:26" s="29" customFormat="1" ht="90.75" customHeight="1" x14ac:dyDescent="0.25">
      <c r="A2104" s="20"/>
      <c r="B2104" s="20"/>
      <c r="C2104" s="20"/>
      <c r="D2104" s="21"/>
      <c r="E2104" s="21"/>
      <c r="F2104" s="22"/>
      <c r="G2104" s="23"/>
      <c r="H2104" s="36">
        <v>27.3</v>
      </c>
      <c r="I2104" s="40" t="s">
        <v>78</v>
      </c>
      <c r="J2104" s="65">
        <f t="shared" si="361"/>
        <v>23887.5</v>
      </c>
      <c r="K2104" s="37">
        <v>1</v>
      </c>
      <c r="L2104" s="20" t="s">
        <v>31</v>
      </c>
      <c r="M2104" s="20" t="s">
        <v>82</v>
      </c>
      <c r="N2104" s="20">
        <v>2</v>
      </c>
      <c r="O2104" s="24">
        <v>109.2</v>
      </c>
      <c r="P2104" s="24">
        <v>100</v>
      </c>
      <c r="Q2104" s="25">
        <v>2550</v>
      </c>
      <c r="R2104" s="36">
        <f>(O2104*Q2104)</f>
        <v>278460</v>
      </c>
      <c r="S2104" s="20">
        <v>2</v>
      </c>
      <c r="T2104" s="28">
        <f>(R2104*2/100)</f>
        <v>5569.2</v>
      </c>
      <c r="U2104" s="36">
        <f>(R2104-T2104)</f>
        <v>272890.8</v>
      </c>
      <c r="V2104" s="36">
        <f>(J2104+U2104)</f>
        <v>296778.3</v>
      </c>
      <c r="W2104" s="36">
        <f>(V2104*P2104/100)</f>
        <v>296778.3</v>
      </c>
      <c r="X2104" s="28"/>
      <c r="Y2104" s="28"/>
      <c r="Z2104" s="49"/>
    </row>
    <row r="2105" spans="1:26" s="29" customFormat="1" ht="90.75" customHeight="1" x14ac:dyDescent="0.25">
      <c r="A2105" s="20"/>
      <c r="B2105" s="20"/>
      <c r="C2105" s="20"/>
      <c r="D2105" s="21"/>
      <c r="E2105" s="21"/>
      <c r="F2105" s="22"/>
      <c r="G2105" s="23"/>
      <c r="H2105" s="24">
        <v>9.5500000000000007</v>
      </c>
      <c r="I2105" s="40" t="s">
        <v>78</v>
      </c>
      <c r="J2105" s="65">
        <f t="shared" si="361"/>
        <v>8356.25</v>
      </c>
      <c r="K2105" s="20">
        <v>2</v>
      </c>
      <c r="L2105" s="20" t="s">
        <v>84</v>
      </c>
      <c r="M2105" s="20"/>
      <c r="N2105" s="20">
        <v>3</v>
      </c>
      <c r="O2105" s="24">
        <v>38.22</v>
      </c>
      <c r="P2105" s="24">
        <v>100</v>
      </c>
      <c r="Q2105" s="25">
        <v>5550</v>
      </c>
      <c r="R2105" s="36">
        <f>(O2105*Q2105)</f>
        <v>212121</v>
      </c>
      <c r="S2105" s="20">
        <v>2</v>
      </c>
      <c r="T2105" s="28">
        <f>(R2105*2/100)</f>
        <v>4242.42</v>
      </c>
      <c r="U2105" s="36">
        <f>(R2105-T2105)</f>
        <v>207878.58</v>
      </c>
      <c r="V2105" s="36">
        <f>(J2105+U2105)</f>
        <v>216234.83</v>
      </c>
      <c r="W2105" s="36">
        <f>(V2105*P2105/100)</f>
        <v>216234.83</v>
      </c>
      <c r="X2105" s="28">
        <v>0</v>
      </c>
      <c r="Y2105" s="28">
        <f>(W2105-X2105)</f>
        <v>216234.83</v>
      </c>
      <c r="Z2105" s="49">
        <v>3.0000000000000001E-3</v>
      </c>
    </row>
    <row r="2106" spans="1:26" s="29" customFormat="1" ht="90.75" customHeight="1" x14ac:dyDescent="0.25">
      <c r="A2106" s="20"/>
      <c r="B2106" s="20"/>
      <c r="C2106" s="20"/>
      <c r="D2106" s="21"/>
      <c r="E2106" s="21"/>
      <c r="F2106" s="22"/>
      <c r="G2106" s="23"/>
      <c r="H2106" s="36">
        <v>20.93</v>
      </c>
      <c r="I2106" s="40" t="s">
        <v>78</v>
      </c>
      <c r="J2106" s="65">
        <f t="shared" si="361"/>
        <v>18313.75</v>
      </c>
      <c r="K2106" s="37">
        <v>3</v>
      </c>
      <c r="L2106" s="20" t="s">
        <v>83</v>
      </c>
      <c r="M2106" s="20"/>
      <c r="N2106" s="20">
        <v>3</v>
      </c>
      <c r="O2106" s="24">
        <v>83.72</v>
      </c>
      <c r="P2106" s="24">
        <v>100</v>
      </c>
      <c r="Q2106" s="25">
        <v>2550</v>
      </c>
      <c r="R2106" s="36">
        <f>(O2106*Q2106)</f>
        <v>213486</v>
      </c>
      <c r="S2106" s="20">
        <v>2</v>
      </c>
      <c r="T2106" s="28">
        <f>(R2106*2/100)</f>
        <v>4269.72</v>
      </c>
      <c r="U2106" s="36">
        <f>(R2106-T2106)</f>
        <v>209216.28</v>
      </c>
      <c r="V2106" s="36">
        <f>(J2106+U2106)</f>
        <v>227530.03</v>
      </c>
      <c r="W2106" s="36">
        <f>(V2106*P2106/100)</f>
        <v>227530.03</v>
      </c>
      <c r="X2106" s="28">
        <v>0</v>
      </c>
      <c r="Y2106" s="28">
        <f>(W2106-X2106)</f>
        <v>227530.03</v>
      </c>
      <c r="Z2106" s="49">
        <v>3.0000000000000001E-3</v>
      </c>
    </row>
    <row r="2107" spans="1:26" s="29" customFormat="1" ht="90.75" customHeight="1" x14ac:dyDescent="0.25">
      <c r="A2107" s="20">
        <v>1259</v>
      </c>
      <c r="B2107" s="20" t="s">
        <v>0</v>
      </c>
      <c r="C2107" s="20">
        <v>22372</v>
      </c>
      <c r="D2107" s="21">
        <v>0</v>
      </c>
      <c r="E2107" s="21">
        <v>1</v>
      </c>
      <c r="F2107" s="22">
        <v>60</v>
      </c>
      <c r="G2107" s="23" t="s">
        <v>211</v>
      </c>
      <c r="H2107" s="24">
        <f>(D2107*400)+(E2107*100)+F2107</f>
        <v>160</v>
      </c>
      <c r="I2107" s="25" t="s">
        <v>78</v>
      </c>
      <c r="J2107" s="24">
        <f t="shared" si="361"/>
        <v>140000</v>
      </c>
      <c r="K2107" s="20"/>
      <c r="L2107" s="20"/>
      <c r="M2107" s="20"/>
      <c r="N2107" s="20"/>
      <c r="O2107" s="24"/>
      <c r="P2107" s="24"/>
      <c r="Q2107" s="25"/>
      <c r="R2107" s="36"/>
      <c r="S2107" s="20"/>
      <c r="T2107" s="27"/>
      <c r="U2107" s="20"/>
      <c r="V2107" s="20"/>
      <c r="W2107" s="26"/>
      <c r="X2107" s="27"/>
      <c r="Y2107" s="20"/>
      <c r="Z2107" s="20"/>
    </row>
    <row r="2108" spans="1:26" s="29" customFormat="1" ht="90.75" customHeight="1" x14ac:dyDescent="0.25">
      <c r="A2108" s="20"/>
      <c r="B2108" s="20"/>
      <c r="C2108" s="20"/>
      <c r="D2108" s="21"/>
      <c r="E2108" s="21"/>
      <c r="F2108" s="22"/>
      <c r="G2108" s="23"/>
      <c r="H2108" s="36">
        <v>51.56</v>
      </c>
      <c r="I2108" s="40">
        <v>875</v>
      </c>
      <c r="J2108" s="28">
        <f t="shared" si="361"/>
        <v>45115</v>
      </c>
      <c r="K2108" s="37">
        <v>1</v>
      </c>
      <c r="L2108" s="31" t="s">
        <v>215</v>
      </c>
      <c r="M2108" s="32" t="s">
        <v>13</v>
      </c>
      <c r="N2108" s="33"/>
      <c r="O2108" s="34">
        <v>206.25</v>
      </c>
      <c r="P2108" s="35">
        <v>100</v>
      </c>
      <c r="Q2108" s="36">
        <v>6450</v>
      </c>
      <c r="R2108" s="36">
        <f>(O2108*Q2108)</f>
        <v>1330312.5</v>
      </c>
      <c r="S2108" s="37">
        <v>7</v>
      </c>
      <c r="T2108" s="28">
        <f>(R2108*7/100)</f>
        <v>93121.875</v>
      </c>
      <c r="U2108" s="36">
        <f>(R2108-T2108)</f>
        <v>1237190.625</v>
      </c>
      <c r="V2108" s="36">
        <f>(J2108+U2108)</f>
        <v>1282305.625</v>
      </c>
      <c r="W2108" s="36">
        <f>(V2108*100/100)</f>
        <v>1282305.625</v>
      </c>
      <c r="X2108" s="28"/>
      <c r="Y2108" s="28"/>
      <c r="Z2108" s="20"/>
    </row>
    <row r="2109" spans="1:26" s="29" customFormat="1" ht="90.75" customHeight="1" x14ac:dyDescent="0.25">
      <c r="A2109" s="20"/>
      <c r="B2109" s="20"/>
      <c r="C2109" s="20"/>
      <c r="D2109" s="21"/>
      <c r="E2109" s="21"/>
      <c r="F2109" s="22"/>
      <c r="G2109" s="23"/>
      <c r="H2109" s="36"/>
      <c r="I2109" s="40"/>
      <c r="J2109" s="28"/>
      <c r="K2109" s="37"/>
      <c r="L2109" s="31" t="s">
        <v>42</v>
      </c>
      <c r="M2109" s="32"/>
      <c r="N2109" s="33">
        <v>2</v>
      </c>
      <c r="O2109" s="34">
        <v>120</v>
      </c>
      <c r="P2109" s="35">
        <v>41.82</v>
      </c>
      <c r="Q2109" s="36"/>
      <c r="R2109" s="36"/>
      <c r="S2109" s="37"/>
      <c r="T2109" s="28"/>
      <c r="U2109" s="36"/>
      <c r="V2109" s="36"/>
      <c r="W2109" s="36">
        <f>(W2108*41.82/100)</f>
        <v>536260.212375</v>
      </c>
      <c r="X2109" s="28">
        <v>50000000</v>
      </c>
      <c r="Y2109" s="28">
        <v>0</v>
      </c>
      <c r="Z2109" s="49">
        <v>2.0000000000000001E-4</v>
      </c>
    </row>
    <row r="2110" spans="1:26" s="29" customFormat="1" ht="90.75" customHeight="1" x14ac:dyDescent="0.25">
      <c r="A2110" s="20"/>
      <c r="B2110" s="20"/>
      <c r="C2110" s="20"/>
      <c r="D2110" s="21"/>
      <c r="E2110" s="21"/>
      <c r="F2110" s="22"/>
      <c r="G2110" s="23"/>
      <c r="H2110" s="36"/>
      <c r="I2110" s="40"/>
      <c r="J2110" s="28"/>
      <c r="K2110" s="37">
        <v>2</v>
      </c>
      <c r="L2110" s="31" t="s">
        <v>81</v>
      </c>
      <c r="M2110" s="32"/>
      <c r="N2110" s="33">
        <v>3</v>
      </c>
      <c r="O2110" s="34">
        <v>86.25</v>
      </c>
      <c r="P2110" s="35">
        <v>58.18</v>
      </c>
      <c r="Q2110" s="36"/>
      <c r="R2110" s="36"/>
      <c r="S2110" s="37"/>
      <c r="T2110" s="28"/>
      <c r="U2110" s="36"/>
      <c r="V2110" s="36"/>
      <c r="W2110" s="36">
        <f>(W2108*58.18/100)</f>
        <v>746045.412625</v>
      </c>
      <c r="X2110" s="28">
        <v>0</v>
      </c>
      <c r="Y2110" s="28">
        <f>(W2110-X2110)</f>
        <v>746045.412625</v>
      </c>
      <c r="Z2110" s="49">
        <v>3.0000000000000001E-3</v>
      </c>
    </row>
    <row r="2111" spans="1:26" s="29" customFormat="1" ht="90.75" customHeight="1" x14ac:dyDescent="0.25">
      <c r="A2111" s="20"/>
      <c r="B2111" s="20"/>
      <c r="C2111" s="20"/>
      <c r="D2111" s="21"/>
      <c r="E2111" s="21"/>
      <c r="F2111" s="22"/>
      <c r="G2111" s="23"/>
      <c r="H2111" s="36">
        <v>82.8</v>
      </c>
      <c r="I2111" s="40">
        <v>875</v>
      </c>
      <c r="J2111" s="28">
        <f>(H2111*I2111)</f>
        <v>72450</v>
      </c>
      <c r="K2111" s="37">
        <v>3</v>
      </c>
      <c r="L2111" s="31" t="s">
        <v>43</v>
      </c>
      <c r="M2111" s="32" t="s">
        <v>13</v>
      </c>
      <c r="N2111" s="33">
        <v>2</v>
      </c>
      <c r="O2111" s="34">
        <v>331.2</v>
      </c>
      <c r="P2111" s="35">
        <v>100</v>
      </c>
      <c r="Q2111" s="36">
        <v>7700</v>
      </c>
      <c r="R2111" s="36">
        <f>(O2111*Q2111)</f>
        <v>2550240</v>
      </c>
      <c r="S2111" s="37">
        <v>7</v>
      </c>
      <c r="T2111" s="28">
        <f>(R2111*7/100)</f>
        <v>178516.8</v>
      </c>
      <c r="U2111" s="36">
        <f>(R2111-T2111)</f>
        <v>2371723.2000000002</v>
      </c>
      <c r="V2111" s="36">
        <f>(J2111+U2111)</f>
        <v>2444173.2000000002</v>
      </c>
      <c r="W2111" s="36">
        <f>(V2111*P2111/100)</f>
        <v>2444173.2000000002</v>
      </c>
      <c r="X2111" s="28">
        <v>0</v>
      </c>
      <c r="Y2111" s="28">
        <f>(W2111-X2111)</f>
        <v>2444173.2000000002</v>
      </c>
      <c r="Z2111" s="49">
        <v>2.0000000000000001E-4</v>
      </c>
    </row>
    <row r="2112" spans="1:26" s="29" customFormat="1" ht="90.75" customHeight="1" x14ac:dyDescent="0.25">
      <c r="A2112" s="20"/>
      <c r="B2112" s="20"/>
      <c r="C2112" s="20"/>
      <c r="D2112" s="21"/>
      <c r="E2112" s="21"/>
      <c r="F2112" s="22"/>
      <c r="G2112" s="23"/>
      <c r="H2112" s="24">
        <v>15</v>
      </c>
      <c r="I2112" s="40">
        <v>875</v>
      </c>
      <c r="J2112" s="28">
        <f>(H2112*I2112)</f>
        <v>13125</v>
      </c>
      <c r="K2112" s="20">
        <v>4</v>
      </c>
      <c r="L2112" s="20" t="s">
        <v>290</v>
      </c>
      <c r="M2112" s="20" t="s">
        <v>82</v>
      </c>
      <c r="N2112" s="20">
        <v>3</v>
      </c>
      <c r="O2112" s="24">
        <v>60</v>
      </c>
      <c r="P2112" s="24">
        <v>100</v>
      </c>
      <c r="Q2112" s="25">
        <v>6400</v>
      </c>
      <c r="R2112" s="36">
        <f>(O2112*Q2112)</f>
        <v>384000</v>
      </c>
      <c r="S2112" s="20">
        <v>1</v>
      </c>
      <c r="T2112" s="28">
        <f>(R2112*1/100)</f>
        <v>3840</v>
      </c>
      <c r="U2112" s="36">
        <f>(R2112-T2112)</f>
        <v>380160</v>
      </c>
      <c r="V2112" s="36">
        <f>(J2112+U2112)</f>
        <v>393285</v>
      </c>
      <c r="W2112" s="36">
        <f>(V2112*P2112/100)</f>
        <v>393285</v>
      </c>
      <c r="X2112" s="28">
        <v>0</v>
      </c>
      <c r="Y2112" s="28">
        <f>(W2112-X2112)</f>
        <v>393285</v>
      </c>
      <c r="Z2112" s="49">
        <v>3.0000000000000001E-3</v>
      </c>
    </row>
    <row r="2113" spans="1:26" s="29" customFormat="1" ht="90.75" customHeight="1" x14ac:dyDescent="0.25">
      <c r="A2113" s="20">
        <v>1260</v>
      </c>
      <c r="B2113" s="20" t="s">
        <v>0</v>
      </c>
      <c r="C2113" s="20">
        <v>22365</v>
      </c>
      <c r="D2113" s="21">
        <v>0</v>
      </c>
      <c r="E2113" s="21">
        <v>2</v>
      </c>
      <c r="F2113" s="22">
        <v>26</v>
      </c>
      <c r="G2113" s="23" t="s">
        <v>211</v>
      </c>
      <c r="H2113" s="24">
        <f>(D2113*400)+(E2113*100)+F2113</f>
        <v>226</v>
      </c>
      <c r="I2113" s="25" t="s">
        <v>78</v>
      </c>
      <c r="J2113" s="24">
        <f>(H2113*I2113)</f>
        <v>197750</v>
      </c>
      <c r="K2113" s="20"/>
      <c r="L2113" s="20"/>
      <c r="M2113" s="20"/>
      <c r="N2113" s="20"/>
      <c r="O2113" s="24"/>
      <c r="P2113" s="24"/>
      <c r="Q2113" s="25"/>
      <c r="R2113" s="24"/>
      <c r="S2113" s="20"/>
      <c r="T2113" s="27"/>
      <c r="U2113" s="20"/>
      <c r="V2113" s="20"/>
      <c r="W2113" s="26"/>
      <c r="X2113" s="27"/>
      <c r="Y2113" s="20"/>
      <c r="Z2113" s="20"/>
    </row>
    <row r="2114" spans="1:26" s="29" customFormat="1" ht="90.75" customHeight="1" x14ac:dyDescent="0.25">
      <c r="A2114" s="20"/>
      <c r="B2114" s="20"/>
      <c r="C2114" s="20"/>
      <c r="D2114" s="21"/>
      <c r="E2114" s="21"/>
      <c r="F2114" s="22"/>
      <c r="G2114" s="23"/>
      <c r="H2114" s="24">
        <v>200</v>
      </c>
      <c r="I2114" s="25" t="s">
        <v>78</v>
      </c>
      <c r="J2114" s="24">
        <f>(H2114*I2114)</f>
        <v>175000</v>
      </c>
      <c r="K2114" s="20">
        <v>1</v>
      </c>
      <c r="L2114" s="20" t="s">
        <v>16</v>
      </c>
      <c r="M2114" s="20" t="s">
        <v>24</v>
      </c>
      <c r="N2114" s="20">
        <v>2</v>
      </c>
      <c r="O2114" s="24">
        <v>137.6</v>
      </c>
      <c r="P2114" s="24">
        <v>100</v>
      </c>
      <c r="Q2114" s="25">
        <v>6450</v>
      </c>
      <c r="R2114" s="36">
        <f>(O2114*Q2114)</f>
        <v>887520</v>
      </c>
      <c r="S2114" s="20">
        <v>2</v>
      </c>
      <c r="T2114" s="28">
        <f>(R2114*2/100)</f>
        <v>17750.400000000001</v>
      </c>
      <c r="U2114" s="80">
        <f>(R2114-T2114)</f>
        <v>869769.6</v>
      </c>
      <c r="V2114" s="20"/>
      <c r="W2114" s="26"/>
      <c r="X2114" s="27"/>
      <c r="Y2114" s="20"/>
      <c r="Z2114" s="20"/>
    </row>
    <row r="2115" spans="1:26" s="29" customFormat="1" ht="90.75" customHeight="1" x14ac:dyDescent="0.25">
      <c r="A2115" s="20"/>
      <c r="B2115" s="20"/>
      <c r="C2115" s="20"/>
      <c r="D2115" s="21"/>
      <c r="E2115" s="21"/>
      <c r="F2115" s="22"/>
      <c r="G2115" s="23"/>
      <c r="H2115" s="24"/>
      <c r="I2115" s="25"/>
      <c r="J2115" s="24"/>
      <c r="K2115" s="20">
        <v>2</v>
      </c>
      <c r="L2115" s="20" t="s">
        <v>31</v>
      </c>
      <c r="M2115" s="20"/>
      <c r="N2115" s="20">
        <v>2</v>
      </c>
      <c r="O2115" s="24">
        <v>25.2</v>
      </c>
      <c r="P2115" s="24">
        <v>100</v>
      </c>
      <c r="Q2115" s="25">
        <v>2550</v>
      </c>
      <c r="R2115" s="36">
        <f>(O2115*Q2115)</f>
        <v>64260</v>
      </c>
      <c r="S2115" s="20">
        <v>2</v>
      </c>
      <c r="T2115" s="28">
        <f>(R2115*2/100)</f>
        <v>1285.2</v>
      </c>
      <c r="U2115" s="80">
        <f>(R2115-T2115)</f>
        <v>62974.8</v>
      </c>
      <c r="V2115" s="20"/>
      <c r="W2115" s="26"/>
      <c r="X2115" s="27"/>
      <c r="Y2115" s="20"/>
      <c r="Z2115" s="20"/>
    </row>
    <row r="2116" spans="1:26" s="29" customFormat="1" ht="90.75" customHeight="1" x14ac:dyDescent="0.25">
      <c r="A2116" s="20"/>
      <c r="B2116" s="20"/>
      <c r="C2116" s="20"/>
      <c r="D2116" s="21"/>
      <c r="E2116" s="21"/>
      <c r="F2116" s="22"/>
      <c r="G2116" s="23"/>
      <c r="H2116" s="24"/>
      <c r="I2116" s="25"/>
      <c r="J2116" s="24"/>
      <c r="K2116" s="20">
        <v>3</v>
      </c>
      <c r="L2116" s="20" t="s">
        <v>31</v>
      </c>
      <c r="M2116" s="20"/>
      <c r="N2116" s="20">
        <v>2</v>
      </c>
      <c r="O2116" s="24">
        <v>41.4</v>
      </c>
      <c r="P2116" s="24">
        <v>100</v>
      </c>
      <c r="Q2116" s="25">
        <v>2550</v>
      </c>
      <c r="R2116" s="36">
        <f>(O2116*Q2116)</f>
        <v>105570</v>
      </c>
      <c r="S2116" s="20">
        <v>1</v>
      </c>
      <c r="T2116" s="28">
        <f>(R2116*1/100)</f>
        <v>1055.7</v>
      </c>
      <c r="U2116" s="80">
        <f>(R2116-T2116)</f>
        <v>104514.3</v>
      </c>
      <c r="V2116" s="20"/>
      <c r="W2116" s="26"/>
      <c r="X2116" s="27"/>
      <c r="Y2116" s="20"/>
      <c r="Z2116" s="20"/>
    </row>
    <row r="2117" spans="1:26" s="29" customFormat="1" ht="90.75" customHeight="1" x14ac:dyDescent="0.25">
      <c r="A2117" s="20"/>
      <c r="B2117" s="20"/>
      <c r="C2117" s="20"/>
      <c r="D2117" s="21"/>
      <c r="E2117" s="21"/>
      <c r="F2117" s="22"/>
      <c r="G2117" s="23"/>
      <c r="H2117" s="24"/>
      <c r="I2117" s="25"/>
      <c r="J2117" s="24"/>
      <c r="K2117" s="20"/>
      <c r="L2117" s="20"/>
      <c r="M2117" s="20"/>
      <c r="N2117" s="20"/>
      <c r="O2117" s="24"/>
      <c r="P2117" s="24"/>
      <c r="Q2117" s="25"/>
      <c r="R2117" s="36"/>
      <c r="S2117" s="20"/>
      <c r="T2117" s="28"/>
      <c r="U2117" s="80">
        <f>SUM(U2114:U2116)</f>
        <v>1037258.7000000001</v>
      </c>
      <c r="V2117" s="80">
        <f>(J2114+U2117)</f>
        <v>1212258.7000000002</v>
      </c>
      <c r="W2117" s="26">
        <f>(V2117*100/100)</f>
        <v>1212258.7000000002</v>
      </c>
      <c r="X2117" s="24">
        <v>50000000</v>
      </c>
      <c r="Y2117" s="20"/>
      <c r="Z2117" s="20"/>
    </row>
    <row r="2118" spans="1:26" s="29" customFormat="1" ht="90.75" customHeight="1" x14ac:dyDescent="0.25">
      <c r="A2118" s="20"/>
      <c r="B2118" s="20"/>
      <c r="C2118" s="20"/>
      <c r="D2118" s="21"/>
      <c r="E2118" s="21"/>
      <c r="F2118" s="22"/>
      <c r="G2118" s="23"/>
      <c r="H2118" s="24">
        <v>6</v>
      </c>
      <c r="I2118" s="25" t="s">
        <v>78</v>
      </c>
      <c r="J2118" s="24">
        <f t="shared" ref="J2118:J2124" si="362">(H2118*I2118)</f>
        <v>5250</v>
      </c>
      <c r="K2118" s="20">
        <v>4</v>
      </c>
      <c r="L2118" s="20" t="s">
        <v>41</v>
      </c>
      <c r="M2118" s="20" t="s">
        <v>13</v>
      </c>
      <c r="N2118" s="20">
        <v>3</v>
      </c>
      <c r="O2118" s="24">
        <v>24</v>
      </c>
      <c r="P2118" s="24">
        <v>100</v>
      </c>
      <c r="Q2118" s="25">
        <v>6400</v>
      </c>
      <c r="R2118" s="36">
        <f>(O2118*Q2118)</f>
        <v>153600</v>
      </c>
      <c r="S2118" s="20">
        <v>2</v>
      </c>
      <c r="T2118" s="28">
        <f>(R2118*2/100)</f>
        <v>3072</v>
      </c>
      <c r="U2118" s="80">
        <f>(R2118-T2118)</f>
        <v>150528</v>
      </c>
      <c r="V2118" s="80">
        <f>(J2118+U2118)</f>
        <v>155778</v>
      </c>
      <c r="W2118" s="36">
        <f>(V2118*P2118/100)</f>
        <v>155778</v>
      </c>
      <c r="X2118" s="28">
        <v>0</v>
      </c>
      <c r="Y2118" s="28">
        <f>(W2118-X2118)</f>
        <v>155778</v>
      </c>
      <c r="Z2118" s="49">
        <v>3.0000000000000001E-3</v>
      </c>
    </row>
    <row r="2119" spans="1:26" s="29" customFormat="1" ht="90.75" customHeight="1" x14ac:dyDescent="0.25">
      <c r="A2119" s="20"/>
      <c r="B2119" s="20"/>
      <c r="C2119" s="20"/>
      <c r="D2119" s="21"/>
      <c r="E2119" s="21"/>
      <c r="F2119" s="22"/>
      <c r="G2119" s="23"/>
      <c r="H2119" s="24">
        <v>20</v>
      </c>
      <c r="I2119" s="25" t="s">
        <v>78</v>
      </c>
      <c r="J2119" s="24">
        <f t="shared" si="362"/>
        <v>17500</v>
      </c>
      <c r="K2119" s="20">
        <v>5</v>
      </c>
      <c r="L2119" s="20" t="s">
        <v>43</v>
      </c>
      <c r="M2119" s="20" t="s">
        <v>85</v>
      </c>
      <c r="N2119" s="20">
        <v>2</v>
      </c>
      <c r="O2119" s="24">
        <v>80</v>
      </c>
      <c r="P2119" s="24">
        <v>100</v>
      </c>
      <c r="Q2119" s="25">
        <v>7700</v>
      </c>
      <c r="R2119" s="36">
        <f>(O2119*Q2119)</f>
        <v>616000</v>
      </c>
      <c r="S2119" s="20">
        <v>2</v>
      </c>
      <c r="T2119" s="28">
        <f>(R2119*2/100)</f>
        <v>12320</v>
      </c>
      <c r="U2119" s="80">
        <f>(R2119-T2119)</f>
        <v>603680</v>
      </c>
      <c r="V2119" s="80">
        <f>(J2119+U2119)</f>
        <v>621180</v>
      </c>
      <c r="W2119" s="36">
        <f>(V2119*P2119/100)</f>
        <v>621180</v>
      </c>
      <c r="X2119" s="28">
        <v>0</v>
      </c>
      <c r="Y2119" s="28">
        <f>(W2119-X2119)</f>
        <v>621180</v>
      </c>
      <c r="Z2119" s="49">
        <v>2.0000000000000001E-4</v>
      </c>
    </row>
    <row r="2120" spans="1:26" s="29" customFormat="1" ht="90.75" customHeight="1" x14ac:dyDescent="0.25">
      <c r="A2120" s="20">
        <v>1261</v>
      </c>
      <c r="B2120" s="20" t="s">
        <v>0</v>
      </c>
      <c r="C2120" s="20">
        <v>31163</v>
      </c>
      <c r="D2120" s="21">
        <v>6</v>
      </c>
      <c r="E2120" s="21">
        <v>1</v>
      </c>
      <c r="F2120" s="22">
        <v>78</v>
      </c>
      <c r="G2120" s="23" t="s">
        <v>209</v>
      </c>
      <c r="H2120" s="24">
        <f>(D2120*400)+(E2120*100)+F2120</f>
        <v>2578</v>
      </c>
      <c r="I2120" s="25" t="s">
        <v>53</v>
      </c>
      <c r="J2120" s="24">
        <f t="shared" si="362"/>
        <v>1160100</v>
      </c>
      <c r="K2120" s="20"/>
      <c r="L2120" s="20"/>
      <c r="M2120" s="20"/>
      <c r="N2120" s="20"/>
      <c r="O2120" s="24"/>
      <c r="P2120" s="24"/>
      <c r="Q2120" s="25"/>
      <c r="R2120" s="24"/>
      <c r="S2120" s="20"/>
      <c r="T2120" s="27"/>
      <c r="U2120" s="20"/>
      <c r="V2120" s="20"/>
      <c r="W2120" s="26"/>
      <c r="X2120" s="27"/>
      <c r="Y2120" s="20"/>
      <c r="Z2120" s="20"/>
    </row>
    <row r="2121" spans="1:26" s="29" customFormat="1" ht="90.75" customHeight="1" x14ac:dyDescent="0.25">
      <c r="A2121" s="20"/>
      <c r="B2121" s="20"/>
      <c r="C2121" s="20"/>
      <c r="D2121" s="21"/>
      <c r="E2121" s="21"/>
      <c r="F2121" s="22"/>
      <c r="G2121" s="23"/>
      <c r="H2121" s="36">
        <v>2380</v>
      </c>
      <c r="I2121" s="40">
        <v>450</v>
      </c>
      <c r="J2121" s="28">
        <f t="shared" si="362"/>
        <v>1071000</v>
      </c>
      <c r="K2121" s="37">
        <v>1</v>
      </c>
      <c r="L2121" s="31" t="s">
        <v>215</v>
      </c>
      <c r="M2121" s="32" t="s">
        <v>13</v>
      </c>
      <c r="N2121" s="33">
        <v>2</v>
      </c>
      <c r="O2121" s="34">
        <v>128</v>
      </c>
      <c r="P2121" s="35">
        <v>100</v>
      </c>
      <c r="Q2121" s="36">
        <v>6450</v>
      </c>
      <c r="R2121" s="36">
        <f>(O2121*Q2121)</f>
        <v>825600</v>
      </c>
      <c r="S2121" s="37">
        <v>8</v>
      </c>
      <c r="T2121" s="28">
        <f>(R2121*8/100)</f>
        <v>66048</v>
      </c>
      <c r="U2121" s="36">
        <f>(R2121-T2121)</f>
        <v>759552</v>
      </c>
      <c r="V2121" s="36">
        <f>(J2121+U2121)</f>
        <v>1830552</v>
      </c>
      <c r="W2121" s="36">
        <f>(V2121*P2121/100)</f>
        <v>1830552</v>
      </c>
      <c r="X2121" s="28">
        <v>50000000</v>
      </c>
      <c r="Y2121" s="28"/>
      <c r="Z2121" s="52"/>
    </row>
    <row r="2122" spans="1:26" s="29" customFormat="1" ht="90.75" customHeight="1" x14ac:dyDescent="0.25">
      <c r="A2122" s="20"/>
      <c r="B2122" s="20"/>
      <c r="C2122" s="20"/>
      <c r="D2122" s="21"/>
      <c r="E2122" s="21"/>
      <c r="F2122" s="22"/>
      <c r="G2122" s="23"/>
      <c r="H2122" s="36">
        <f>(O2122*0.25)</f>
        <v>180</v>
      </c>
      <c r="I2122" s="40">
        <v>450</v>
      </c>
      <c r="J2122" s="28">
        <f t="shared" si="362"/>
        <v>81000</v>
      </c>
      <c r="K2122" s="37">
        <v>2</v>
      </c>
      <c r="L2122" s="31" t="s">
        <v>15</v>
      </c>
      <c r="M2122" s="32"/>
      <c r="N2122" s="33">
        <v>3</v>
      </c>
      <c r="O2122" s="34">
        <v>720</v>
      </c>
      <c r="P2122" s="35">
        <v>100</v>
      </c>
      <c r="Q2122" s="36">
        <v>5950</v>
      </c>
      <c r="R2122" s="36">
        <f>(O2122*Q2122)</f>
        <v>4284000</v>
      </c>
      <c r="S2122" s="37">
        <v>8</v>
      </c>
      <c r="T2122" s="28">
        <f>(R2122*8/100)</f>
        <v>342720</v>
      </c>
      <c r="U2122" s="36">
        <f>(R2122-T2122)</f>
        <v>3941280</v>
      </c>
      <c r="V2122" s="36">
        <f>(J2122+U2122)</f>
        <v>4022280</v>
      </c>
      <c r="W2122" s="36">
        <f>(V2122*P2122/100)</f>
        <v>4022280</v>
      </c>
      <c r="X2122" s="28">
        <v>0</v>
      </c>
      <c r="Y2122" s="28">
        <f>(W2122-X2122)</f>
        <v>4022280</v>
      </c>
      <c r="Z2122" s="49">
        <v>3.0000000000000001E-3</v>
      </c>
    </row>
    <row r="2123" spans="1:26" s="29" customFormat="1" ht="90.75" customHeight="1" x14ac:dyDescent="0.25">
      <c r="A2123" s="20"/>
      <c r="B2123" s="20"/>
      <c r="C2123" s="20"/>
      <c r="D2123" s="21"/>
      <c r="E2123" s="21"/>
      <c r="F2123" s="22"/>
      <c r="G2123" s="23"/>
      <c r="H2123" s="36">
        <f>(O2123*0.25)</f>
        <v>18</v>
      </c>
      <c r="I2123" s="40">
        <v>450</v>
      </c>
      <c r="J2123" s="28">
        <f t="shared" si="362"/>
        <v>8100</v>
      </c>
      <c r="K2123" s="37">
        <v>3</v>
      </c>
      <c r="L2123" s="31" t="s">
        <v>29</v>
      </c>
      <c r="M2123" s="32"/>
      <c r="N2123" s="33">
        <v>3</v>
      </c>
      <c r="O2123" s="34">
        <v>72</v>
      </c>
      <c r="P2123" s="35">
        <v>100</v>
      </c>
      <c r="Q2123" s="36">
        <v>5550</v>
      </c>
      <c r="R2123" s="36">
        <f>(O2123*Q2123)</f>
        <v>399600</v>
      </c>
      <c r="S2123" s="37">
        <v>8</v>
      </c>
      <c r="T2123" s="28">
        <f>(R2123*8/100)</f>
        <v>31968</v>
      </c>
      <c r="U2123" s="36">
        <f>(R2123-T2123)</f>
        <v>367632</v>
      </c>
      <c r="V2123" s="36">
        <f>(J2123+U2123)</f>
        <v>375732</v>
      </c>
      <c r="W2123" s="36">
        <f>(V2123*P2123/100)</f>
        <v>375732</v>
      </c>
      <c r="X2123" s="28">
        <v>0</v>
      </c>
      <c r="Y2123" s="28">
        <f>(W2123-X2123)</f>
        <v>375732</v>
      </c>
      <c r="Z2123" s="49">
        <v>3.0000000000000001E-3</v>
      </c>
    </row>
    <row r="2124" spans="1:26" s="29" customFormat="1" ht="90.75" customHeight="1" x14ac:dyDescent="0.25">
      <c r="A2124" s="20">
        <v>1262</v>
      </c>
      <c r="B2124" s="20" t="s">
        <v>0</v>
      </c>
      <c r="C2124" s="20">
        <v>8891</v>
      </c>
      <c r="D2124" s="21">
        <v>0</v>
      </c>
      <c r="E2124" s="21">
        <v>2</v>
      </c>
      <c r="F2124" s="22">
        <v>10</v>
      </c>
      <c r="G2124" s="23" t="s">
        <v>56</v>
      </c>
      <c r="H2124" s="24">
        <f>(D2124*400)+(E2124*100)+F2124</f>
        <v>210</v>
      </c>
      <c r="I2124" s="25" t="s">
        <v>75</v>
      </c>
      <c r="J2124" s="24">
        <f t="shared" si="362"/>
        <v>131250</v>
      </c>
      <c r="K2124" s="20"/>
      <c r="L2124" s="20"/>
      <c r="M2124" s="20"/>
      <c r="N2124" s="20"/>
      <c r="O2124" s="24"/>
      <c r="P2124" s="24"/>
      <c r="Q2124" s="25"/>
      <c r="R2124" s="24"/>
      <c r="S2124" s="20"/>
      <c r="T2124" s="27"/>
      <c r="U2124" s="20"/>
      <c r="V2124" s="20"/>
      <c r="W2124" s="26"/>
      <c r="X2124" s="27"/>
      <c r="Y2124" s="20"/>
      <c r="Z2124" s="20"/>
    </row>
    <row r="2125" spans="1:26" s="29" customFormat="1" ht="90.75" customHeight="1" x14ac:dyDescent="0.25">
      <c r="A2125" s="20"/>
      <c r="B2125" s="20"/>
      <c r="C2125" s="20"/>
      <c r="D2125" s="21"/>
      <c r="E2125" s="21"/>
      <c r="F2125" s="22"/>
      <c r="G2125" s="23"/>
      <c r="H2125" s="24"/>
      <c r="I2125" s="25"/>
      <c r="J2125" s="24"/>
      <c r="K2125" s="37">
        <v>1</v>
      </c>
      <c r="L2125" s="20" t="s">
        <v>43</v>
      </c>
      <c r="M2125" s="37" t="s">
        <v>13</v>
      </c>
      <c r="N2125" s="30">
        <v>2</v>
      </c>
      <c r="O2125" s="77">
        <v>168</v>
      </c>
      <c r="P2125" s="35">
        <v>100</v>
      </c>
      <c r="Q2125" s="77">
        <v>7700</v>
      </c>
      <c r="R2125" s="77">
        <f>(O2125*Q2125)</f>
        <v>1293600</v>
      </c>
      <c r="S2125" s="37">
        <v>5</v>
      </c>
      <c r="T2125" s="28">
        <f>(R2125*5/100)</f>
        <v>64680</v>
      </c>
      <c r="U2125" s="77">
        <f>(R2125-T2125)</f>
        <v>1228920</v>
      </c>
      <c r="V2125" s="77"/>
      <c r="W2125" s="77"/>
      <c r="X2125" s="28"/>
      <c r="Y2125" s="28"/>
      <c r="Z2125" s="20"/>
    </row>
    <row r="2126" spans="1:26" s="29" customFormat="1" ht="90.75" customHeight="1" x14ac:dyDescent="0.25">
      <c r="A2126" s="20"/>
      <c r="B2126" s="20"/>
      <c r="C2126" s="20"/>
      <c r="D2126" s="21"/>
      <c r="E2126" s="21"/>
      <c r="F2126" s="22"/>
      <c r="G2126" s="23"/>
      <c r="H2126" s="24"/>
      <c r="I2126" s="25"/>
      <c r="J2126" s="24"/>
      <c r="K2126" s="37">
        <v>2</v>
      </c>
      <c r="L2126" s="20" t="s">
        <v>215</v>
      </c>
      <c r="M2126" s="37" t="s">
        <v>13</v>
      </c>
      <c r="N2126" s="30">
        <v>2</v>
      </c>
      <c r="O2126" s="77">
        <v>35</v>
      </c>
      <c r="P2126" s="35">
        <v>100</v>
      </c>
      <c r="Q2126" s="77">
        <v>6450</v>
      </c>
      <c r="R2126" s="77">
        <f>(O2126*Q2126)</f>
        <v>225750</v>
      </c>
      <c r="S2126" s="37">
        <v>12</v>
      </c>
      <c r="T2126" s="28">
        <f>(R2126*14/100)</f>
        <v>31605</v>
      </c>
      <c r="U2126" s="77">
        <f>(R2126-T2126)</f>
        <v>194145</v>
      </c>
      <c r="V2126" s="77"/>
      <c r="W2126" s="77"/>
      <c r="X2126" s="28"/>
      <c r="Y2126" s="28"/>
      <c r="Z2126" s="20"/>
    </row>
    <row r="2127" spans="1:26" s="29" customFormat="1" ht="90.75" customHeight="1" x14ac:dyDescent="0.25">
      <c r="A2127" s="20"/>
      <c r="B2127" s="20"/>
      <c r="C2127" s="20"/>
      <c r="D2127" s="21"/>
      <c r="E2127" s="21"/>
      <c r="F2127" s="22"/>
      <c r="G2127" s="23"/>
      <c r="H2127" s="24"/>
      <c r="I2127" s="25"/>
      <c r="J2127" s="24"/>
      <c r="K2127" s="37">
        <v>3</v>
      </c>
      <c r="L2127" s="20" t="s">
        <v>215</v>
      </c>
      <c r="M2127" s="37" t="s">
        <v>13</v>
      </c>
      <c r="N2127" s="30">
        <v>2</v>
      </c>
      <c r="O2127" s="77">
        <v>35</v>
      </c>
      <c r="P2127" s="35">
        <v>100</v>
      </c>
      <c r="Q2127" s="77">
        <v>6450</v>
      </c>
      <c r="R2127" s="77">
        <f>(O2127*Q2127)</f>
        <v>225750</v>
      </c>
      <c r="S2127" s="37">
        <v>12</v>
      </c>
      <c r="T2127" s="28">
        <f>(R2127*14/100)</f>
        <v>31605</v>
      </c>
      <c r="U2127" s="77">
        <f>(R2127-T2127)</f>
        <v>194145</v>
      </c>
      <c r="V2127" s="77"/>
      <c r="W2127" s="77"/>
      <c r="X2127" s="28"/>
      <c r="Y2127" s="28"/>
      <c r="Z2127" s="20"/>
    </row>
    <row r="2128" spans="1:26" s="29" customFormat="1" ht="90.75" customHeight="1" x14ac:dyDescent="0.25">
      <c r="A2128" s="20"/>
      <c r="B2128" s="20"/>
      <c r="C2128" s="20"/>
      <c r="D2128" s="21"/>
      <c r="E2128" s="21"/>
      <c r="F2128" s="22"/>
      <c r="G2128" s="23"/>
      <c r="H2128" s="24"/>
      <c r="I2128" s="25"/>
      <c r="J2128" s="24"/>
      <c r="K2128" s="37">
        <v>4</v>
      </c>
      <c r="L2128" s="20" t="s">
        <v>215</v>
      </c>
      <c r="M2128" s="37" t="s">
        <v>13</v>
      </c>
      <c r="N2128" s="30">
        <v>2</v>
      </c>
      <c r="O2128" s="77">
        <v>35</v>
      </c>
      <c r="P2128" s="35">
        <v>100</v>
      </c>
      <c r="Q2128" s="77">
        <v>6450</v>
      </c>
      <c r="R2128" s="77">
        <f>(O2128*Q2128)</f>
        <v>225750</v>
      </c>
      <c r="S2128" s="37">
        <v>12</v>
      </c>
      <c r="T2128" s="28">
        <f>(R2128*14/100)</f>
        <v>31605</v>
      </c>
      <c r="U2128" s="77">
        <f>(R2128-T2128)</f>
        <v>194145</v>
      </c>
      <c r="V2128" s="77"/>
      <c r="W2128" s="77"/>
      <c r="X2128" s="28"/>
      <c r="Y2128" s="28"/>
      <c r="Z2128" s="20"/>
    </row>
    <row r="2129" spans="1:26" s="29" customFormat="1" ht="90.75" customHeight="1" x14ac:dyDescent="0.25">
      <c r="A2129" s="20"/>
      <c r="B2129" s="20"/>
      <c r="C2129" s="20"/>
      <c r="D2129" s="21"/>
      <c r="E2129" s="21"/>
      <c r="F2129" s="22"/>
      <c r="G2129" s="23"/>
      <c r="H2129" s="24"/>
      <c r="I2129" s="25"/>
      <c r="J2129" s="24"/>
      <c r="K2129" s="37">
        <v>5</v>
      </c>
      <c r="L2129" s="20" t="s">
        <v>215</v>
      </c>
      <c r="M2129" s="37" t="s">
        <v>13</v>
      </c>
      <c r="N2129" s="30">
        <v>2</v>
      </c>
      <c r="O2129" s="77">
        <v>35</v>
      </c>
      <c r="P2129" s="35">
        <v>100</v>
      </c>
      <c r="Q2129" s="77">
        <v>6450</v>
      </c>
      <c r="R2129" s="77">
        <f>(O2129*Q2129)</f>
        <v>225750</v>
      </c>
      <c r="S2129" s="37">
        <v>12</v>
      </c>
      <c r="T2129" s="28">
        <f>(R2129*14/100)</f>
        <v>31605</v>
      </c>
      <c r="U2129" s="77">
        <f>(R2129-T2129)</f>
        <v>194145</v>
      </c>
      <c r="V2129" s="77"/>
      <c r="W2129" s="77"/>
      <c r="X2129" s="28"/>
      <c r="Y2129" s="28"/>
      <c r="Z2129" s="20"/>
    </row>
    <row r="2130" spans="1:26" s="29" customFormat="1" ht="90.75" customHeight="1" x14ac:dyDescent="0.25">
      <c r="A2130" s="20"/>
      <c r="B2130" s="20"/>
      <c r="C2130" s="20"/>
      <c r="D2130" s="21"/>
      <c r="E2130" s="21"/>
      <c r="F2130" s="22"/>
      <c r="G2130" s="23"/>
      <c r="H2130" s="24"/>
      <c r="I2130" s="25"/>
      <c r="J2130" s="24"/>
      <c r="K2130" s="37"/>
      <c r="L2130" s="20"/>
      <c r="M2130" s="37"/>
      <c r="N2130" s="30"/>
      <c r="O2130" s="77"/>
      <c r="P2130" s="35"/>
      <c r="Q2130" s="77"/>
      <c r="R2130" s="77"/>
      <c r="S2130" s="37"/>
      <c r="T2130" s="28"/>
      <c r="U2130" s="115">
        <f>(U2125+U2126+U2127+U2128+U2129)</f>
        <v>2005500</v>
      </c>
      <c r="V2130" s="77">
        <f>(J2124+U2130)</f>
        <v>2136750</v>
      </c>
      <c r="W2130" s="77">
        <f>(V2130*100/100)</f>
        <v>2136750</v>
      </c>
      <c r="X2130" s="28">
        <v>0</v>
      </c>
      <c r="Y2130" s="28">
        <f>(W2130-X2130)</f>
        <v>2136750</v>
      </c>
      <c r="Z2130" s="49">
        <v>2.0000000000000001E-4</v>
      </c>
    </row>
    <row r="2131" spans="1:26" s="29" customFormat="1" ht="90.75" customHeight="1" x14ac:dyDescent="0.25">
      <c r="A2131" s="20">
        <v>1263</v>
      </c>
      <c r="B2131" s="20" t="s">
        <v>0</v>
      </c>
      <c r="C2131" s="20">
        <v>19820</v>
      </c>
      <c r="D2131" s="21">
        <v>0</v>
      </c>
      <c r="E2131" s="21">
        <v>2</v>
      </c>
      <c r="F2131" s="22">
        <v>0</v>
      </c>
      <c r="G2131" s="23" t="s">
        <v>211</v>
      </c>
      <c r="H2131" s="24">
        <f>(D2131*400)+(E2131*100)+F2131</f>
        <v>200</v>
      </c>
      <c r="I2131" s="25" t="s">
        <v>75</v>
      </c>
      <c r="J2131" s="24">
        <f>(H2131*I2131)</f>
        <v>125000</v>
      </c>
      <c r="K2131" s="20"/>
      <c r="L2131" s="20"/>
      <c r="M2131" s="20"/>
      <c r="N2131" s="20"/>
      <c r="O2131" s="24"/>
      <c r="P2131" s="24"/>
      <c r="Q2131" s="25"/>
      <c r="R2131" s="24"/>
      <c r="S2131" s="20"/>
      <c r="T2131" s="27"/>
      <c r="U2131" s="20"/>
      <c r="V2131" s="20"/>
      <c r="W2131" s="26"/>
      <c r="X2131" s="27"/>
      <c r="Y2131" s="20"/>
      <c r="Z2131" s="20"/>
    </row>
    <row r="2132" spans="1:26" s="29" customFormat="1" ht="90.75" customHeight="1" x14ac:dyDescent="0.25">
      <c r="A2132" s="20"/>
      <c r="B2132" s="20" t="s">
        <v>0</v>
      </c>
      <c r="C2132" s="20">
        <v>19820</v>
      </c>
      <c r="D2132" s="21"/>
      <c r="E2132" s="21"/>
      <c r="F2132" s="22"/>
      <c r="G2132" s="23" t="s">
        <v>209</v>
      </c>
      <c r="H2132" s="24">
        <v>2.25</v>
      </c>
      <c r="I2132" s="25">
        <v>625</v>
      </c>
      <c r="J2132" s="24">
        <f>(H2132*I2132)</f>
        <v>1406.25</v>
      </c>
      <c r="K2132" s="20"/>
      <c r="L2132" s="20"/>
      <c r="M2132" s="20"/>
      <c r="N2132" s="20"/>
      <c r="O2132" s="24"/>
      <c r="P2132" s="24"/>
      <c r="Q2132" s="25"/>
      <c r="R2132" s="24"/>
      <c r="S2132" s="20"/>
      <c r="T2132" s="28"/>
      <c r="U2132" s="36"/>
      <c r="V2132" s="36">
        <f>(J2132+U2132)</f>
        <v>1406.25</v>
      </c>
      <c r="W2132" s="36">
        <f>(V2132*100/100)</f>
        <v>1406.25</v>
      </c>
      <c r="X2132" s="28">
        <v>0</v>
      </c>
      <c r="Y2132" s="28">
        <f>(W2132-X2132)</f>
        <v>1406.25</v>
      </c>
      <c r="Z2132" s="49">
        <v>3.0000000000000001E-3</v>
      </c>
    </row>
    <row r="2133" spans="1:26" s="29" customFormat="1" ht="90.75" customHeight="1" x14ac:dyDescent="0.25">
      <c r="A2133" s="20">
        <v>1264</v>
      </c>
      <c r="B2133" s="20" t="s">
        <v>0</v>
      </c>
      <c r="C2133" s="20">
        <v>4343</v>
      </c>
      <c r="D2133" s="21">
        <v>0</v>
      </c>
      <c r="E2133" s="21">
        <v>0</v>
      </c>
      <c r="F2133" s="22">
        <v>69</v>
      </c>
      <c r="G2133" s="23" t="s">
        <v>56</v>
      </c>
      <c r="H2133" s="24">
        <f>(D2133*400)+(E2133*100)+F2133</f>
        <v>69</v>
      </c>
      <c r="I2133" s="25">
        <v>875</v>
      </c>
      <c r="J2133" s="24">
        <f>(H2133*I2133)</f>
        <v>60375</v>
      </c>
      <c r="K2133" s="20">
        <v>1</v>
      </c>
      <c r="L2133" s="20" t="s">
        <v>16</v>
      </c>
      <c r="M2133" s="20" t="s">
        <v>13</v>
      </c>
      <c r="N2133" s="20">
        <v>2</v>
      </c>
      <c r="O2133" s="24">
        <v>36</v>
      </c>
      <c r="P2133" s="24">
        <v>100</v>
      </c>
      <c r="Q2133" s="77">
        <v>6450</v>
      </c>
      <c r="R2133" s="77">
        <f>(O2133*Q2133)</f>
        <v>232200</v>
      </c>
      <c r="S2133" s="20">
        <v>25</v>
      </c>
      <c r="T2133" s="28">
        <f>(R2133*40/100)</f>
        <v>92880</v>
      </c>
      <c r="U2133" s="77">
        <f>(R2133-T2133)</f>
        <v>139320</v>
      </c>
      <c r="V2133" s="80">
        <f>(J2133+U2133)</f>
        <v>199695</v>
      </c>
      <c r="W2133" s="77">
        <f>(V2133*100/100)</f>
        <v>199695</v>
      </c>
      <c r="X2133" s="28">
        <v>0</v>
      </c>
      <c r="Y2133" s="28">
        <f>(W2133-X2133)</f>
        <v>199695</v>
      </c>
      <c r="Z2133" s="49">
        <v>2.0000000000000001E-4</v>
      </c>
    </row>
    <row r="2134" spans="1:26" s="29" customFormat="1" ht="90.75" customHeight="1" x14ac:dyDescent="0.25">
      <c r="A2134" s="20">
        <v>1265</v>
      </c>
      <c r="B2134" s="20" t="s">
        <v>0</v>
      </c>
      <c r="C2134" s="20">
        <v>5901</v>
      </c>
      <c r="D2134" s="21">
        <v>0</v>
      </c>
      <c r="E2134" s="21">
        <v>2</v>
      </c>
      <c r="F2134" s="22">
        <v>48</v>
      </c>
      <c r="G2134" s="23" t="s">
        <v>56</v>
      </c>
      <c r="H2134" s="24">
        <f>(D2134*400)+(E2134*100)+F2134</f>
        <v>248</v>
      </c>
      <c r="I2134" s="25">
        <v>875</v>
      </c>
      <c r="J2134" s="24">
        <f>(H2134*I2134)</f>
        <v>217000</v>
      </c>
      <c r="K2134" s="20">
        <v>1</v>
      </c>
      <c r="L2134" s="20" t="s">
        <v>16</v>
      </c>
      <c r="M2134" s="20" t="s">
        <v>40</v>
      </c>
      <c r="N2134" s="20">
        <v>2</v>
      </c>
      <c r="O2134" s="63">
        <v>97.5</v>
      </c>
      <c r="P2134" s="24">
        <v>100</v>
      </c>
      <c r="Q2134" s="77">
        <v>6450</v>
      </c>
      <c r="R2134" s="77">
        <f>(O2134*Q2134)</f>
        <v>628875</v>
      </c>
      <c r="S2134" s="20">
        <v>32</v>
      </c>
      <c r="T2134" s="28">
        <f>(R2134*93/100)</f>
        <v>584853.75</v>
      </c>
      <c r="U2134" s="77">
        <f>(R2134-T2134)</f>
        <v>44021.25</v>
      </c>
      <c r="V2134" s="80"/>
      <c r="W2134" s="77"/>
      <c r="X2134" s="28"/>
      <c r="Y2134" s="28"/>
      <c r="Z2134" s="49"/>
    </row>
    <row r="2135" spans="1:26" s="29" customFormat="1" ht="90.75" customHeight="1" x14ac:dyDescent="0.25">
      <c r="A2135" s="20"/>
      <c r="B2135" s="20"/>
      <c r="C2135" s="20"/>
      <c r="D2135" s="21"/>
      <c r="E2135" s="21"/>
      <c r="F2135" s="22"/>
      <c r="G2135" s="23"/>
      <c r="H2135" s="24"/>
      <c r="I2135" s="25"/>
      <c r="J2135" s="24"/>
      <c r="K2135" s="20">
        <v>2</v>
      </c>
      <c r="L2135" s="20" t="s">
        <v>31</v>
      </c>
      <c r="M2135" s="20"/>
      <c r="N2135" s="20"/>
      <c r="O2135" s="63">
        <v>40.5</v>
      </c>
      <c r="P2135" s="24">
        <v>100</v>
      </c>
      <c r="Q2135" s="77">
        <v>2550</v>
      </c>
      <c r="R2135" s="77">
        <f>(O2135*Q2135)</f>
        <v>103275</v>
      </c>
      <c r="S2135" s="20">
        <v>32</v>
      </c>
      <c r="T2135" s="28">
        <f>(R2135*93/100)</f>
        <v>96045.75</v>
      </c>
      <c r="U2135" s="77">
        <f>(R2135-T2135)</f>
        <v>7229.25</v>
      </c>
      <c r="V2135" s="80"/>
      <c r="W2135" s="77"/>
      <c r="X2135" s="28"/>
      <c r="Y2135" s="28"/>
      <c r="Z2135" s="49"/>
    </row>
    <row r="2136" spans="1:26" s="29" customFormat="1" ht="90.75" customHeight="1" x14ac:dyDescent="0.25">
      <c r="A2136" s="20"/>
      <c r="B2136" s="20"/>
      <c r="C2136" s="20"/>
      <c r="D2136" s="21"/>
      <c r="E2136" s="21"/>
      <c r="F2136" s="22"/>
      <c r="G2136" s="23"/>
      <c r="H2136" s="24"/>
      <c r="I2136" s="25"/>
      <c r="J2136" s="24"/>
      <c r="K2136" s="20"/>
      <c r="L2136" s="20"/>
      <c r="M2136" s="20"/>
      <c r="N2136" s="20"/>
      <c r="O2136" s="63"/>
      <c r="P2136" s="24"/>
      <c r="Q2136" s="77"/>
      <c r="R2136" s="77"/>
      <c r="S2136" s="20"/>
      <c r="T2136" s="28"/>
      <c r="U2136" s="77">
        <f>SUM(U2134:U2135)</f>
        <v>51250.5</v>
      </c>
      <c r="V2136" s="80">
        <f>(J2134+U2136)</f>
        <v>268250.5</v>
      </c>
      <c r="W2136" s="77">
        <f>(V2136*100/100)</f>
        <v>268250.5</v>
      </c>
      <c r="X2136" s="28">
        <v>0</v>
      </c>
      <c r="Y2136" s="28">
        <f>(W2136-X2136)</f>
        <v>268250.5</v>
      </c>
      <c r="Z2136" s="49">
        <v>2.0000000000000001E-4</v>
      </c>
    </row>
    <row r="2137" spans="1:26" s="29" customFormat="1" ht="90.75" customHeight="1" x14ac:dyDescent="0.25">
      <c r="A2137" s="20">
        <v>1266</v>
      </c>
      <c r="B2137" s="20" t="s">
        <v>0</v>
      </c>
      <c r="C2137" s="20">
        <v>10379</v>
      </c>
      <c r="D2137" s="21">
        <v>0</v>
      </c>
      <c r="E2137" s="21">
        <v>0</v>
      </c>
      <c r="F2137" s="22">
        <v>35</v>
      </c>
      <c r="G2137" s="23" t="s">
        <v>211</v>
      </c>
      <c r="H2137" s="24">
        <f>(D2137*400)+(E2137*100)+F2137</f>
        <v>35</v>
      </c>
      <c r="I2137" s="25" t="s">
        <v>75</v>
      </c>
      <c r="J2137" s="24">
        <f>(H2137*I2137)</f>
        <v>21875</v>
      </c>
      <c r="K2137" s="20">
        <v>1</v>
      </c>
      <c r="L2137" s="20" t="s">
        <v>16</v>
      </c>
      <c r="M2137" s="20" t="s">
        <v>52</v>
      </c>
      <c r="N2137" s="20">
        <v>2</v>
      </c>
      <c r="O2137" s="24">
        <v>25</v>
      </c>
      <c r="P2137" s="24">
        <v>100</v>
      </c>
      <c r="Q2137" s="25">
        <v>6450</v>
      </c>
      <c r="R2137" s="77">
        <f>(O2137*Q2137)</f>
        <v>161250</v>
      </c>
      <c r="S2137" s="20">
        <v>35</v>
      </c>
      <c r="T2137" s="28">
        <f>(R2137*85/100)</f>
        <v>137062.5</v>
      </c>
      <c r="U2137" s="77">
        <f>(R2137-T2137)</f>
        <v>24187.5</v>
      </c>
      <c r="V2137" s="80">
        <f>(J2137+U2137)</f>
        <v>46062.5</v>
      </c>
      <c r="W2137" s="77">
        <f>(V2137*100/100)</f>
        <v>46062.5</v>
      </c>
      <c r="X2137" s="28">
        <v>50000000</v>
      </c>
      <c r="Y2137" s="28"/>
      <c r="Z2137" s="20"/>
    </row>
    <row r="2138" spans="1:26" s="29" customFormat="1" ht="90.75" customHeight="1" x14ac:dyDescent="0.25">
      <c r="A2138" s="20"/>
      <c r="B2138" s="20"/>
      <c r="C2138" s="20"/>
      <c r="D2138" s="21"/>
      <c r="E2138" s="21"/>
      <c r="F2138" s="22"/>
      <c r="G2138" s="23"/>
      <c r="H2138" s="24">
        <v>1.56</v>
      </c>
      <c r="I2138" s="25" t="s">
        <v>75</v>
      </c>
      <c r="J2138" s="24">
        <f>(H2138*I2138)</f>
        <v>975</v>
      </c>
      <c r="K2138" s="20"/>
      <c r="L2138" s="20" t="s">
        <v>89</v>
      </c>
      <c r="M2138" s="20" t="s">
        <v>13</v>
      </c>
      <c r="N2138" s="20">
        <v>3</v>
      </c>
      <c r="O2138" s="24">
        <v>6.25</v>
      </c>
      <c r="P2138" s="24">
        <v>100</v>
      </c>
      <c r="Q2138" s="25">
        <v>6550</v>
      </c>
      <c r="R2138" s="24">
        <f>(O2138*Q2138)</f>
        <v>40937.5</v>
      </c>
      <c r="S2138" s="20">
        <v>35</v>
      </c>
      <c r="T2138" s="28">
        <f>(R2138*60/100)</f>
        <v>24562.5</v>
      </c>
      <c r="U2138" s="27">
        <f>(R2138-T2138)</f>
        <v>16375</v>
      </c>
      <c r="V2138" s="27">
        <f>(J2138+U2138)</f>
        <v>17350</v>
      </c>
      <c r="W2138" s="77">
        <f>(V2138*100/100)</f>
        <v>17350</v>
      </c>
      <c r="X2138" s="28">
        <v>0</v>
      </c>
      <c r="Y2138" s="28">
        <f>(W2138-X2138)</f>
        <v>17350</v>
      </c>
      <c r="Z2138" s="49">
        <v>3.0000000000000001E-3</v>
      </c>
    </row>
    <row r="2139" spans="1:26" s="29" customFormat="1" ht="90.75" customHeight="1" x14ac:dyDescent="0.25">
      <c r="A2139" s="20">
        <v>1267</v>
      </c>
      <c r="B2139" s="20" t="s">
        <v>0</v>
      </c>
      <c r="C2139" s="20">
        <v>10208</v>
      </c>
      <c r="D2139" s="21">
        <v>0</v>
      </c>
      <c r="E2139" s="21">
        <v>0</v>
      </c>
      <c r="F2139" s="22">
        <v>96</v>
      </c>
      <c r="G2139" s="23" t="s">
        <v>211</v>
      </c>
      <c r="H2139" s="24">
        <f>(D2139*400)+(E2139*100)+F2139</f>
        <v>96</v>
      </c>
      <c r="I2139" s="25" t="s">
        <v>32</v>
      </c>
      <c r="J2139" s="24">
        <f>(H2139*I2139)</f>
        <v>19200</v>
      </c>
      <c r="K2139" s="20"/>
      <c r="L2139" s="20"/>
      <c r="M2139" s="20"/>
      <c r="N2139" s="20"/>
      <c r="O2139" s="24"/>
      <c r="P2139" s="24"/>
      <c r="Q2139" s="25"/>
      <c r="R2139" s="24"/>
      <c r="S2139" s="20"/>
      <c r="T2139" s="27"/>
      <c r="U2139" s="20"/>
      <c r="V2139" s="20"/>
      <c r="W2139" s="26"/>
      <c r="X2139" s="27"/>
      <c r="Y2139" s="20"/>
      <c r="Z2139" s="20"/>
    </row>
    <row r="2140" spans="1:26" s="29" customFormat="1" ht="90.75" customHeight="1" x14ac:dyDescent="0.25">
      <c r="A2140" s="20"/>
      <c r="B2140" s="20"/>
      <c r="C2140" s="20"/>
      <c r="D2140" s="21"/>
      <c r="E2140" s="21"/>
      <c r="F2140" s="22"/>
      <c r="G2140" s="23"/>
      <c r="H2140" s="36">
        <f>(D2140*400)+(E2140*100)+F2140</f>
        <v>0</v>
      </c>
      <c r="I2140" s="40"/>
      <c r="J2140" s="28"/>
      <c r="K2140" s="37">
        <v>1</v>
      </c>
      <c r="L2140" s="31" t="s">
        <v>215</v>
      </c>
      <c r="M2140" s="32" t="s">
        <v>52</v>
      </c>
      <c r="N2140" s="33">
        <v>2</v>
      </c>
      <c r="O2140" s="34">
        <v>244</v>
      </c>
      <c r="P2140" s="35">
        <v>100</v>
      </c>
      <c r="Q2140" s="36">
        <v>6450</v>
      </c>
      <c r="R2140" s="36">
        <f>(O2140*Q2140)</f>
        <v>1573800</v>
      </c>
      <c r="S2140" s="37">
        <v>32</v>
      </c>
      <c r="T2140" s="28">
        <f>(R2140*85/100)</f>
        <v>1337730</v>
      </c>
      <c r="U2140" s="36">
        <f>(R2140-T2140)</f>
        <v>236070</v>
      </c>
      <c r="V2140" s="36">
        <f>(J2139+U2140)</f>
        <v>255270</v>
      </c>
      <c r="W2140" s="36">
        <f>(V2140*100/100)</f>
        <v>255270</v>
      </c>
      <c r="X2140" s="28"/>
      <c r="Y2140" s="28"/>
      <c r="Z2140" s="20"/>
    </row>
    <row r="2141" spans="1:26" s="29" customFormat="1" ht="90.75" customHeight="1" x14ac:dyDescent="0.25">
      <c r="A2141" s="20"/>
      <c r="B2141" s="20"/>
      <c r="C2141" s="20"/>
      <c r="D2141" s="21"/>
      <c r="E2141" s="21"/>
      <c r="F2141" s="22"/>
      <c r="G2141" s="23"/>
      <c r="H2141" s="36"/>
      <c r="I2141" s="40"/>
      <c r="J2141" s="28"/>
      <c r="K2141" s="37"/>
      <c r="L2141" s="31"/>
      <c r="M2141" s="32" t="s">
        <v>59</v>
      </c>
      <c r="N2141" s="33"/>
      <c r="O2141" s="90">
        <v>39</v>
      </c>
      <c r="P2141" s="82">
        <v>15.98</v>
      </c>
      <c r="Q2141" s="36"/>
      <c r="R2141" s="36"/>
      <c r="S2141" s="37"/>
      <c r="T2141" s="28"/>
      <c r="U2141" s="36"/>
      <c r="V2141" s="36"/>
      <c r="W2141" s="36">
        <f>(W2140*15.98/100)</f>
        <v>40792.146000000001</v>
      </c>
      <c r="X2141" s="28">
        <v>50000000</v>
      </c>
      <c r="Y2141" s="28"/>
      <c r="Z2141" s="20"/>
    </row>
    <row r="2142" spans="1:26" s="29" customFormat="1" ht="90.75" customHeight="1" x14ac:dyDescent="0.25">
      <c r="A2142" s="20"/>
      <c r="B2142" s="20"/>
      <c r="C2142" s="20"/>
      <c r="D2142" s="21"/>
      <c r="E2142" s="21"/>
      <c r="F2142" s="22"/>
      <c r="G2142" s="23"/>
      <c r="H2142" s="36"/>
      <c r="I2142" s="40"/>
      <c r="J2142" s="28"/>
      <c r="K2142" s="37"/>
      <c r="L2142" s="31"/>
      <c r="M2142" s="32" t="s">
        <v>60</v>
      </c>
      <c r="N2142" s="33"/>
      <c r="O2142" s="90">
        <v>115</v>
      </c>
      <c r="P2142" s="82">
        <v>47.13</v>
      </c>
      <c r="Q2142" s="36"/>
      <c r="R2142" s="36"/>
      <c r="S2142" s="37"/>
      <c r="T2142" s="28"/>
      <c r="U2142" s="36"/>
      <c r="V2142" s="36"/>
      <c r="W2142" s="36">
        <f>(W2140*47.13/100)</f>
        <v>120308.75100000002</v>
      </c>
      <c r="X2142" s="28"/>
      <c r="Y2142" s="28"/>
      <c r="Z2142" s="20"/>
    </row>
    <row r="2143" spans="1:26" s="29" customFormat="1" ht="90.75" customHeight="1" x14ac:dyDescent="0.25">
      <c r="A2143" s="20"/>
      <c r="B2143" s="20"/>
      <c r="C2143" s="20"/>
      <c r="D2143" s="21"/>
      <c r="E2143" s="21"/>
      <c r="F2143" s="22"/>
      <c r="G2143" s="23"/>
      <c r="H2143" s="36"/>
      <c r="I2143" s="40"/>
      <c r="J2143" s="28"/>
      <c r="K2143" s="37"/>
      <c r="L2143" s="31" t="s">
        <v>61</v>
      </c>
      <c r="M2143" s="32"/>
      <c r="N2143" s="33">
        <v>3</v>
      </c>
      <c r="O2143" s="90">
        <v>90</v>
      </c>
      <c r="P2143" s="82">
        <v>36.89</v>
      </c>
      <c r="Q2143" s="36"/>
      <c r="R2143" s="36"/>
      <c r="S2143" s="37"/>
      <c r="T2143" s="28"/>
      <c r="U2143" s="36"/>
      <c r="V2143" s="36"/>
      <c r="W2143" s="36">
        <f>(W2140*36.89/100)</f>
        <v>94169.103000000003</v>
      </c>
      <c r="X2143" s="28">
        <v>0</v>
      </c>
      <c r="Y2143" s="28">
        <f>(W2143-X2143)</f>
        <v>94169.103000000003</v>
      </c>
      <c r="Z2143" s="49">
        <v>3.0000000000000001E-3</v>
      </c>
    </row>
    <row r="2144" spans="1:26" s="29" customFormat="1" ht="90.75" customHeight="1" x14ac:dyDescent="0.25">
      <c r="A2144" s="20">
        <v>1268</v>
      </c>
      <c r="B2144" s="20" t="s">
        <v>0</v>
      </c>
      <c r="C2144" s="20">
        <v>7873</v>
      </c>
      <c r="D2144" s="21">
        <v>0</v>
      </c>
      <c r="E2144" s="21">
        <v>0</v>
      </c>
      <c r="F2144" s="22">
        <v>64</v>
      </c>
      <c r="G2144" s="23" t="s">
        <v>56</v>
      </c>
      <c r="H2144" s="36">
        <f>(D2144*400)+(E2144*100)+F2144</f>
        <v>64</v>
      </c>
      <c r="I2144" s="40" t="s">
        <v>75</v>
      </c>
      <c r="J2144" s="65">
        <f>(H2144*I2144)</f>
        <v>40000</v>
      </c>
      <c r="K2144" s="30">
        <v>1</v>
      </c>
      <c r="L2144" s="31" t="s">
        <v>43</v>
      </c>
      <c r="M2144" s="31" t="s">
        <v>13</v>
      </c>
      <c r="N2144" s="41">
        <v>3</v>
      </c>
      <c r="O2144" s="48">
        <v>184</v>
      </c>
      <c r="P2144" s="35">
        <v>100</v>
      </c>
      <c r="Q2144" s="36">
        <v>7700</v>
      </c>
      <c r="R2144" s="36">
        <f>(O2144*Q2144)</f>
        <v>1416800</v>
      </c>
      <c r="S2144" s="37">
        <v>5</v>
      </c>
      <c r="T2144" s="28">
        <f>(R2144*5/100)</f>
        <v>70840</v>
      </c>
      <c r="U2144" s="36">
        <f>(R2144-T2144)</f>
        <v>1345960</v>
      </c>
      <c r="V2144" s="36">
        <f>(J2144+U2144)</f>
        <v>1385960</v>
      </c>
      <c r="W2144" s="36">
        <f>(V2144*100/100)</f>
        <v>1385960</v>
      </c>
      <c r="X2144" s="28">
        <v>0</v>
      </c>
      <c r="Y2144" s="28">
        <f>(W2144-X2144)</f>
        <v>1385960</v>
      </c>
      <c r="Z2144" s="49">
        <v>2.0000000000000001E-4</v>
      </c>
    </row>
    <row r="2145" spans="1:26" s="29" customFormat="1" ht="90.75" customHeight="1" x14ac:dyDescent="0.25">
      <c r="A2145" s="20">
        <v>1269</v>
      </c>
      <c r="B2145" s="20" t="s">
        <v>0</v>
      </c>
      <c r="C2145" s="37">
        <v>4033</v>
      </c>
      <c r="D2145" s="37">
        <v>0</v>
      </c>
      <c r="E2145" s="37">
        <v>2</v>
      </c>
      <c r="F2145" s="37">
        <v>28</v>
      </c>
      <c r="G2145" s="23" t="s">
        <v>211</v>
      </c>
      <c r="H2145" s="24">
        <f>(D2145*400)+(E2145*100)+F2145</f>
        <v>228</v>
      </c>
      <c r="I2145" s="40">
        <v>875</v>
      </c>
      <c r="J2145" s="28">
        <f>(H2145*I2145)</f>
        <v>199500</v>
      </c>
      <c r="K2145" s="37"/>
      <c r="L2145" s="31"/>
      <c r="M2145" s="31"/>
      <c r="N2145" s="41"/>
      <c r="O2145" s="42"/>
      <c r="P2145" s="35"/>
      <c r="Q2145" s="36"/>
      <c r="R2145" s="36"/>
      <c r="S2145" s="37"/>
      <c r="T2145" s="28"/>
      <c r="U2145" s="36"/>
      <c r="V2145" s="36"/>
      <c r="W2145" s="36"/>
      <c r="X2145" s="28"/>
      <c r="Y2145" s="28"/>
      <c r="Z2145" s="20"/>
    </row>
    <row r="2146" spans="1:26" s="29" customFormat="1" ht="90.75" customHeight="1" x14ac:dyDescent="0.25">
      <c r="A2146" s="20"/>
      <c r="B2146" s="20"/>
      <c r="C2146" s="37"/>
      <c r="D2146" s="37"/>
      <c r="E2146" s="37"/>
      <c r="F2146" s="37"/>
      <c r="G2146" s="21"/>
      <c r="H2146" s="36">
        <f>(O2146*0.25)</f>
        <v>56.8125</v>
      </c>
      <c r="I2146" s="40">
        <v>875</v>
      </c>
      <c r="J2146" s="28">
        <f>(H2146*I2146)</f>
        <v>49710.9375</v>
      </c>
      <c r="K2146" s="37">
        <v>1</v>
      </c>
      <c r="L2146" s="31" t="s">
        <v>43</v>
      </c>
      <c r="M2146" s="31" t="s">
        <v>24</v>
      </c>
      <c r="N2146" s="41">
        <v>5</v>
      </c>
      <c r="O2146" s="42">
        <v>227.25</v>
      </c>
      <c r="P2146" s="35">
        <v>100</v>
      </c>
      <c r="Q2146" s="36">
        <v>7700</v>
      </c>
      <c r="R2146" s="36">
        <f>(O2146*Q2146)</f>
        <v>1749825</v>
      </c>
      <c r="S2146" s="37">
        <v>32</v>
      </c>
      <c r="T2146" s="28">
        <f>(R2146*54/100)</f>
        <v>944905.5</v>
      </c>
      <c r="U2146" s="36">
        <f>(R2146-T2146)</f>
        <v>804919.5</v>
      </c>
      <c r="V2146" s="36">
        <f>(J2146+U2146)</f>
        <v>854630.4375</v>
      </c>
      <c r="W2146" s="36">
        <f>(V2146*100/100)</f>
        <v>854630.4375</v>
      </c>
      <c r="X2146" s="28"/>
      <c r="Y2146" s="28"/>
      <c r="Z2146" s="20"/>
    </row>
    <row r="2147" spans="1:26" s="29" customFormat="1" ht="90.75" customHeight="1" x14ac:dyDescent="0.25">
      <c r="A2147" s="20"/>
      <c r="B2147" s="20"/>
      <c r="C2147" s="37"/>
      <c r="D2147" s="37"/>
      <c r="E2147" s="37"/>
      <c r="F2147" s="37"/>
      <c r="G2147" s="21"/>
      <c r="H2147" s="36"/>
      <c r="I2147" s="40"/>
      <c r="J2147" s="28"/>
      <c r="K2147" s="37"/>
      <c r="L2147" s="31" t="s">
        <v>59</v>
      </c>
      <c r="M2147" s="31"/>
      <c r="N2147" s="41"/>
      <c r="O2147" s="42">
        <v>96</v>
      </c>
      <c r="P2147" s="43">
        <v>42.25</v>
      </c>
      <c r="Q2147" s="48"/>
      <c r="R2147" s="36"/>
      <c r="S2147" s="37"/>
      <c r="T2147" s="28"/>
      <c r="U2147" s="36"/>
      <c r="V2147" s="36"/>
      <c r="W2147" s="36">
        <f>(W2146*42.25/100)</f>
        <v>361081.35984375002</v>
      </c>
      <c r="X2147" s="28">
        <v>50000000</v>
      </c>
      <c r="Y2147" s="28">
        <v>0</v>
      </c>
      <c r="Z2147" s="20"/>
    </row>
    <row r="2148" spans="1:26" s="29" customFormat="1" ht="90.75" customHeight="1" x14ac:dyDescent="0.25">
      <c r="A2148" s="20"/>
      <c r="B2148" s="20"/>
      <c r="C2148" s="37"/>
      <c r="D2148" s="37"/>
      <c r="E2148" s="37"/>
      <c r="F2148" s="37"/>
      <c r="G2148" s="21"/>
      <c r="H2148" s="36"/>
      <c r="I2148" s="40"/>
      <c r="J2148" s="28"/>
      <c r="K2148" s="37"/>
      <c r="L2148" s="31" t="s">
        <v>60</v>
      </c>
      <c r="M2148" s="31"/>
      <c r="N2148" s="41"/>
      <c r="O2148" s="42">
        <v>82.25</v>
      </c>
      <c r="P2148" s="43">
        <v>36.19</v>
      </c>
      <c r="Q2148" s="48"/>
      <c r="R2148" s="36"/>
      <c r="S2148" s="37"/>
      <c r="T2148" s="28"/>
      <c r="U2148" s="36"/>
      <c r="V2148" s="36"/>
      <c r="W2148" s="36">
        <f>(W2146*36.19/100)</f>
        <v>309290.75533124997</v>
      </c>
      <c r="X2148" s="28"/>
      <c r="Y2148" s="28"/>
      <c r="Z2148" s="20"/>
    </row>
    <row r="2149" spans="1:26" s="29" customFormat="1" ht="90.75" customHeight="1" x14ac:dyDescent="0.25">
      <c r="A2149" s="20"/>
      <c r="B2149" s="20"/>
      <c r="C2149" s="37"/>
      <c r="D2149" s="37"/>
      <c r="E2149" s="37"/>
      <c r="F2149" s="37"/>
      <c r="G2149" s="21"/>
      <c r="H2149" s="36"/>
      <c r="I2149" s="40"/>
      <c r="J2149" s="28"/>
      <c r="K2149" s="37"/>
      <c r="L2149" s="31" t="s">
        <v>61</v>
      </c>
      <c r="M2149" s="31"/>
      <c r="N2149" s="41"/>
      <c r="O2149" s="42">
        <v>49</v>
      </c>
      <c r="P2149" s="43">
        <v>21.56</v>
      </c>
      <c r="Q2149" s="48"/>
      <c r="R2149" s="36"/>
      <c r="S2149" s="37"/>
      <c r="T2149" s="28"/>
      <c r="U2149" s="36"/>
      <c r="V2149" s="36"/>
      <c r="W2149" s="36">
        <f>(W2146*21.56/100)</f>
        <v>184258.32232499999</v>
      </c>
      <c r="X2149" s="28">
        <v>0</v>
      </c>
      <c r="Y2149" s="28">
        <f>(W2149-X2149)</f>
        <v>184258.32232499999</v>
      </c>
      <c r="Z2149" s="49">
        <v>3.0000000000000001E-3</v>
      </c>
    </row>
    <row r="2150" spans="1:26" s="29" customFormat="1" ht="90.75" customHeight="1" x14ac:dyDescent="0.25">
      <c r="A2150" s="20"/>
      <c r="B2150" s="20"/>
      <c r="C2150" s="37"/>
      <c r="D2150" s="37"/>
      <c r="E2150" s="37"/>
      <c r="F2150" s="37"/>
      <c r="G2150" s="21"/>
      <c r="H2150" s="36">
        <f>(O2150*0.25)</f>
        <v>6.375</v>
      </c>
      <c r="I2150" s="40">
        <v>875</v>
      </c>
      <c r="J2150" s="28">
        <f>(H2150*I2150)</f>
        <v>5578.125</v>
      </c>
      <c r="K2150" s="37">
        <v>2</v>
      </c>
      <c r="L2150" s="31" t="s">
        <v>15</v>
      </c>
      <c r="M2150" s="31"/>
      <c r="N2150" s="41">
        <v>3</v>
      </c>
      <c r="O2150" s="42">
        <v>25.5</v>
      </c>
      <c r="P2150" s="43">
        <v>100</v>
      </c>
      <c r="Q2150" s="48">
        <v>5950</v>
      </c>
      <c r="R2150" s="36">
        <f>(O2150*Q2150)</f>
        <v>151725</v>
      </c>
      <c r="S2150" s="37">
        <v>32</v>
      </c>
      <c r="T2150" s="28">
        <f>(R2150*54/100)</f>
        <v>81931.5</v>
      </c>
      <c r="U2150" s="36">
        <f>(R2150-T2150)</f>
        <v>69793.5</v>
      </c>
      <c r="V2150" s="36">
        <f>(J2150+U2150)</f>
        <v>75371.625</v>
      </c>
      <c r="W2150" s="36">
        <f>(V2150*100/100)</f>
        <v>75371.625</v>
      </c>
      <c r="X2150" s="28">
        <v>0</v>
      </c>
      <c r="Y2150" s="28">
        <f>(W2150-X2150)</f>
        <v>75371.625</v>
      </c>
      <c r="Z2150" s="49">
        <v>3.0000000000000001E-3</v>
      </c>
    </row>
    <row r="2151" spans="1:26" s="29" customFormat="1" ht="90.75" customHeight="1" x14ac:dyDescent="0.25">
      <c r="A2151" s="20"/>
      <c r="B2151" s="20"/>
      <c r="C2151" s="37"/>
      <c r="D2151" s="37"/>
      <c r="E2151" s="37"/>
      <c r="F2151" s="37"/>
      <c r="G2151" s="21"/>
      <c r="H2151" s="36">
        <v>164.81</v>
      </c>
      <c r="I2151" s="40">
        <v>875</v>
      </c>
      <c r="J2151" s="28">
        <f>(H2151*I2151)</f>
        <v>144208.75</v>
      </c>
      <c r="K2151" s="37"/>
      <c r="L2151" s="31"/>
      <c r="M2151" s="31"/>
      <c r="N2151" s="41"/>
      <c r="O2151" s="42"/>
      <c r="P2151" s="43"/>
      <c r="Q2151" s="48"/>
      <c r="R2151" s="36"/>
      <c r="S2151" s="37"/>
      <c r="T2151" s="28"/>
      <c r="U2151" s="36"/>
      <c r="V2151" s="36">
        <f>(J2151+U2151)</f>
        <v>144208.75</v>
      </c>
      <c r="W2151" s="36">
        <f>(V2151*100/100)</f>
        <v>144208.75</v>
      </c>
      <c r="X2151" s="28">
        <v>0</v>
      </c>
      <c r="Y2151" s="28">
        <f>(W2151-X2151)</f>
        <v>144208.75</v>
      </c>
      <c r="Z2151" s="49" t="s">
        <v>257</v>
      </c>
    </row>
    <row r="2152" spans="1:26" s="29" customFormat="1" ht="90.75" customHeight="1" x14ac:dyDescent="0.25">
      <c r="A2152" s="20">
        <v>1270</v>
      </c>
      <c r="B2152" s="20" t="s">
        <v>0</v>
      </c>
      <c r="C2152" s="20">
        <v>16926</v>
      </c>
      <c r="D2152" s="21">
        <v>0</v>
      </c>
      <c r="E2152" s="21">
        <v>2</v>
      </c>
      <c r="F2152" s="22">
        <v>81</v>
      </c>
      <c r="G2152" s="23" t="s">
        <v>56</v>
      </c>
      <c r="H2152" s="24">
        <f>(D2152*400)+(E2152*100)+F2152</f>
        <v>281</v>
      </c>
      <c r="I2152" s="25">
        <v>875</v>
      </c>
      <c r="J2152" s="24">
        <f>(H2152*I2152)</f>
        <v>245875</v>
      </c>
      <c r="K2152" s="20"/>
      <c r="L2152" s="20"/>
      <c r="M2152" s="20"/>
      <c r="N2152" s="20"/>
      <c r="O2152" s="24"/>
      <c r="P2152" s="24"/>
      <c r="Q2152" s="25"/>
      <c r="R2152" s="24"/>
      <c r="S2152" s="20"/>
      <c r="T2152" s="27"/>
      <c r="U2152" s="20"/>
      <c r="V2152" s="20"/>
      <c r="W2152" s="26"/>
      <c r="X2152" s="27"/>
      <c r="Y2152" s="20"/>
      <c r="Z2152" s="20"/>
    </row>
    <row r="2153" spans="1:26" s="29" customFormat="1" ht="90.75" customHeight="1" x14ac:dyDescent="0.25">
      <c r="A2153" s="20"/>
      <c r="B2153" s="20"/>
      <c r="C2153" s="20"/>
      <c r="D2153" s="21"/>
      <c r="E2153" s="21"/>
      <c r="F2153" s="22"/>
      <c r="G2153" s="23"/>
      <c r="H2153" s="24"/>
      <c r="I2153" s="25"/>
      <c r="J2153" s="24"/>
      <c r="K2153" s="30">
        <v>1</v>
      </c>
      <c r="L2153" s="20" t="s">
        <v>215</v>
      </c>
      <c r="M2153" s="31" t="s">
        <v>13</v>
      </c>
      <c r="N2153" s="30">
        <v>2</v>
      </c>
      <c r="O2153" s="36">
        <v>48</v>
      </c>
      <c r="P2153" s="86">
        <v>100</v>
      </c>
      <c r="Q2153" s="36">
        <v>6450</v>
      </c>
      <c r="R2153" s="36">
        <f t="shared" ref="R2153:R2160" si="363">(O2153*Q2153)</f>
        <v>309600</v>
      </c>
      <c r="S2153" s="37">
        <v>22</v>
      </c>
      <c r="T2153" s="28">
        <f t="shared" ref="T2153:T2160" si="364">(R2153*34/100)</f>
        <v>105264</v>
      </c>
      <c r="U2153" s="36">
        <f t="shared" ref="U2153:U2160" si="365">(R2153-T2153)</f>
        <v>204336</v>
      </c>
      <c r="V2153" s="36"/>
      <c r="W2153" s="36"/>
      <c r="X2153" s="28"/>
      <c r="Y2153" s="26"/>
      <c r="Z2153" s="49"/>
    </row>
    <row r="2154" spans="1:26" s="29" customFormat="1" ht="90.75" customHeight="1" x14ac:dyDescent="0.25">
      <c r="A2154" s="20"/>
      <c r="B2154" s="20"/>
      <c r="C2154" s="20"/>
      <c r="D2154" s="21"/>
      <c r="E2154" s="21"/>
      <c r="F2154" s="22"/>
      <c r="G2154" s="23"/>
      <c r="H2154" s="24"/>
      <c r="I2154" s="25"/>
      <c r="J2154" s="24"/>
      <c r="K2154" s="30">
        <v>2</v>
      </c>
      <c r="L2154" s="20" t="s">
        <v>215</v>
      </c>
      <c r="M2154" s="31" t="s">
        <v>13</v>
      </c>
      <c r="N2154" s="30">
        <v>2</v>
      </c>
      <c r="O2154" s="36">
        <v>48</v>
      </c>
      <c r="P2154" s="86">
        <v>100</v>
      </c>
      <c r="Q2154" s="36">
        <v>6450</v>
      </c>
      <c r="R2154" s="36">
        <f t="shared" si="363"/>
        <v>309600</v>
      </c>
      <c r="S2154" s="37">
        <v>22</v>
      </c>
      <c r="T2154" s="28">
        <f t="shared" si="364"/>
        <v>105264</v>
      </c>
      <c r="U2154" s="36">
        <f t="shared" si="365"/>
        <v>204336</v>
      </c>
      <c r="V2154" s="36"/>
      <c r="W2154" s="36"/>
      <c r="X2154" s="28"/>
      <c r="Y2154" s="26"/>
      <c r="Z2154" s="53"/>
    </row>
    <row r="2155" spans="1:26" s="29" customFormat="1" ht="90.75" customHeight="1" x14ac:dyDescent="0.25">
      <c r="A2155" s="20"/>
      <c r="B2155" s="20"/>
      <c r="C2155" s="20"/>
      <c r="D2155" s="21"/>
      <c r="E2155" s="21"/>
      <c r="F2155" s="22"/>
      <c r="G2155" s="23"/>
      <c r="H2155" s="24"/>
      <c r="I2155" s="25"/>
      <c r="J2155" s="24"/>
      <c r="K2155" s="30">
        <v>3</v>
      </c>
      <c r="L2155" s="20" t="s">
        <v>215</v>
      </c>
      <c r="M2155" s="31" t="s">
        <v>13</v>
      </c>
      <c r="N2155" s="30">
        <v>2</v>
      </c>
      <c r="O2155" s="36">
        <v>48</v>
      </c>
      <c r="P2155" s="86">
        <v>100</v>
      </c>
      <c r="Q2155" s="36">
        <v>6450</v>
      </c>
      <c r="R2155" s="36">
        <f t="shared" si="363"/>
        <v>309600</v>
      </c>
      <c r="S2155" s="37">
        <v>22</v>
      </c>
      <c r="T2155" s="28">
        <f t="shared" si="364"/>
        <v>105264</v>
      </c>
      <c r="U2155" s="36">
        <f t="shared" si="365"/>
        <v>204336</v>
      </c>
      <c r="V2155" s="36"/>
      <c r="W2155" s="36"/>
      <c r="X2155" s="28"/>
      <c r="Y2155" s="26"/>
      <c r="Z2155" s="53"/>
    </row>
    <row r="2156" spans="1:26" s="29" customFormat="1" ht="90.75" customHeight="1" x14ac:dyDescent="0.25">
      <c r="A2156" s="20"/>
      <c r="B2156" s="20"/>
      <c r="C2156" s="20"/>
      <c r="D2156" s="21"/>
      <c r="E2156" s="21"/>
      <c r="F2156" s="22"/>
      <c r="G2156" s="23"/>
      <c r="H2156" s="24"/>
      <c r="I2156" s="25"/>
      <c r="J2156" s="24"/>
      <c r="K2156" s="30">
        <v>4</v>
      </c>
      <c r="L2156" s="20" t="s">
        <v>215</v>
      </c>
      <c r="M2156" s="31" t="s">
        <v>13</v>
      </c>
      <c r="N2156" s="30">
        <v>2</v>
      </c>
      <c r="O2156" s="36">
        <v>48</v>
      </c>
      <c r="P2156" s="86">
        <v>100</v>
      </c>
      <c r="Q2156" s="36">
        <v>6450</v>
      </c>
      <c r="R2156" s="36">
        <f t="shared" si="363"/>
        <v>309600</v>
      </c>
      <c r="S2156" s="37">
        <v>22</v>
      </c>
      <c r="T2156" s="28">
        <f t="shared" si="364"/>
        <v>105264</v>
      </c>
      <c r="U2156" s="36">
        <f t="shared" si="365"/>
        <v>204336</v>
      </c>
      <c r="V2156" s="36"/>
      <c r="W2156" s="36"/>
      <c r="X2156" s="28"/>
      <c r="Y2156" s="26"/>
      <c r="Z2156" s="53"/>
    </row>
    <row r="2157" spans="1:26" s="29" customFormat="1" ht="90.75" customHeight="1" x14ac:dyDescent="0.25">
      <c r="A2157" s="20"/>
      <c r="B2157" s="20"/>
      <c r="C2157" s="20"/>
      <c r="D2157" s="21"/>
      <c r="E2157" s="21"/>
      <c r="F2157" s="22"/>
      <c r="G2157" s="23"/>
      <c r="H2157" s="24"/>
      <c r="I2157" s="25"/>
      <c r="J2157" s="24"/>
      <c r="K2157" s="30">
        <v>5</v>
      </c>
      <c r="L2157" s="20" t="s">
        <v>215</v>
      </c>
      <c r="M2157" s="31" t="s">
        <v>40</v>
      </c>
      <c r="N2157" s="30">
        <v>2</v>
      </c>
      <c r="O2157" s="36">
        <v>48</v>
      </c>
      <c r="P2157" s="86">
        <v>100</v>
      </c>
      <c r="Q2157" s="36">
        <v>6450</v>
      </c>
      <c r="R2157" s="36">
        <f t="shared" si="363"/>
        <v>309600</v>
      </c>
      <c r="S2157" s="37">
        <v>22</v>
      </c>
      <c r="T2157" s="28">
        <f t="shared" si="364"/>
        <v>105264</v>
      </c>
      <c r="U2157" s="36">
        <f t="shared" si="365"/>
        <v>204336</v>
      </c>
      <c r="V2157" s="36"/>
      <c r="W2157" s="36"/>
      <c r="X2157" s="28"/>
      <c r="Y2157" s="26"/>
      <c r="Z2157" s="53"/>
    </row>
    <row r="2158" spans="1:26" s="29" customFormat="1" ht="90.75" customHeight="1" x14ac:dyDescent="0.25">
      <c r="A2158" s="20"/>
      <c r="B2158" s="20"/>
      <c r="C2158" s="20"/>
      <c r="D2158" s="21"/>
      <c r="E2158" s="21"/>
      <c r="F2158" s="22"/>
      <c r="G2158" s="23"/>
      <c r="H2158" s="24"/>
      <c r="I2158" s="25"/>
      <c r="J2158" s="24"/>
      <c r="K2158" s="30">
        <v>6</v>
      </c>
      <c r="L2158" s="20" t="s">
        <v>215</v>
      </c>
      <c r="M2158" s="31" t="s">
        <v>13</v>
      </c>
      <c r="N2158" s="30">
        <v>2</v>
      </c>
      <c r="O2158" s="36">
        <v>48</v>
      </c>
      <c r="P2158" s="86">
        <v>100</v>
      </c>
      <c r="Q2158" s="36">
        <v>6450</v>
      </c>
      <c r="R2158" s="36">
        <f t="shared" si="363"/>
        <v>309600</v>
      </c>
      <c r="S2158" s="37">
        <v>22</v>
      </c>
      <c r="T2158" s="28">
        <f t="shared" si="364"/>
        <v>105264</v>
      </c>
      <c r="U2158" s="36">
        <f t="shared" si="365"/>
        <v>204336</v>
      </c>
      <c r="V2158" s="36"/>
      <c r="W2158" s="36"/>
      <c r="X2158" s="28"/>
      <c r="Y2158" s="26"/>
      <c r="Z2158" s="53"/>
    </row>
    <row r="2159" spans="1:26" s="29" customFormat="1" ht="90.75" customHeight="1" x14ac:dyDescent="0.25">
      <c r="A2159" s="20"/>
      <c r="B2159" s="20"/>
      <c r="C2159" s="20"/>
      <c r="D2159" s="21"/>
      <c r="E2159" s="21"/>
      <c r="F2159" s="22"/>
      <c r="G2159" s="23"/>
      <c r="H2159" s="24"/>
      <c r="I2159" s="25"/>
      <c r="J2159" s="24"/>
      <c r="K2159" s="30">
        <v>7</v>
      </c>
      <c r="L2159" s="20" t="s">
        <v>215</v>
      </c>
      <c r="M2159" s="31" t="s">
        <v>13</v>
      </c>
      <c r="N2159" s="30">
        <v>2</v>
      </c>
      <c r="O2159" s="36">
        <v>48</v>
      </c>
      <c r="P2159" s="86">
        <v>100</v>
      </c>
      <c r="Q2159" s="36">
        <v>6450</v>
      </c>
      <c r="R2159" s="36">
        <f t="shared" si="363"/>
        <v>309600</v>
      </c>
      <c r="S2159" s="37">
        <v>22</v>
      </c>
      <c r="T2159" s="28">
        <f t="shared" si="364"/>
        <v>105264</v>
      </c>
      <c r="U2159" s="36">
        <f t="shared" si="365"/>
        <v>204336</v>
      </c>
      <c r="V2159" s="36"/>
      <c r="W2159" s="36"/>
      <c r="X2159" s="28"/>
      <c r="Y2159" s="26"/>
      <c r="Z2159" s="53"/>
    </row>
    <row r="2160" spans="1:26" s="29" customFormat="1" ht="90.75" customHeight="1" x14ac:dyDescent="0.25">
      <c r="A2160" s="20"/>
      <c r="B2160" s="20"/>
      <c r="C2160" s="20"/>
      <c r="D2160" s="21"/>
      <c r="E2160" s="21"/>
      <c r="F2160" s="22"/>
      <c r="G2160" s="23"/>
      <c r="H2160" s="24"/>
      <c r="I2160" s="25"/>
      <c r="J2160" s="24"/>
      <c r="K2160" s="30">
        <v>8</v>
      </c>
      <c r="L2160" s="20" t="s">
        <v>215</v>
      </c>
      <c r="M2160" s="31" t="s">
        <v>13</v>
      </c>
      <c r="N2160" s="30">
        <v>2</v>
      </c>
      <c r="O2160" s="36">
        <v>48</v>
      </c>
      <c r="P2160" s="86">
        <v>100</v>
      </c>
      <c r="Q2160" s="36">
        <v>6450</v>
      </c>
      <c r="R2160" s="36">
        <f t="shared" si="363"/>
        <v>309600</v>
      </c>
      <c r="S2160" s="37">
        <v>22</v>
      </c>
      <c r="T2160" s="28">
        <f t="shared" si="364"/>
        <v>105264</v>
      </c>
      <c r="U2160" s="36">
        <f t="shared" si="365"/>
        <v>204336</v>
      </c>
      <c r="V2160" s="36"/>
      <c r="W2160" s="36"/>
      <c r="X2160" s="28"/>
      <c r="Y2160" s="26"/>
      <c r="Z2160" s="53"/>
    </row>
    <row r="2161" spans="1:26" s="29" customFormat="1" ht="90.75" customHeight="1" x14ac:dyDescent="0.25">
      <c r="A2161" s="20"/>
      <c r="B2161" s="20"/>
      <c r="C2161" s="20"/>
      <c r="D2161" s="21"/>
      <c r="E2161" s="21"/>
      <c r="F2161" s="22"/>
      <c r="G2161" s="23"/>
      <c r="H2161" s="24"/>
      <c r="I2161" s="25"/>
      <c r="J2161" s="24"/>
      <c r="K2161" s="30"/>
      <c r="L2161" s="20"/>
      <c r="M2161" s="35"/>
      <c r="N2161" s="30"/>
      <c r="O2161" s="36"/>
      <c r="P2161" s="86"/>
      <c r="Q2161" s="40"/>
      <c r="R2161" s="84"/>
      <c r="S2161" s="84"/>
      <c r="T2161" s="28"/>
      <c r="U2161" s="36">
        <f>SUBTOTAL(9,U2153:U2160)</f>
        <v>1634688</v>
      </c>
      <c r="V2161" s="36">
        <f>(J2152+U2161)</f>
        <v>1880563</v>
      </c>
      <c r="W2161" s="36">
        <f>(V2161*100/100)</f>
        <v>1880563</v>
      </c>
      <c r="X2161" s="28">
        <v>0</v>
      </c>
      <c r="Y2161" s="26">
        <f>(W2161-X2161)</f>
        <v>1880563</v>
      </c>
      <c r="Z2161" s="49">
        <v>2.0000000000000001E-4</v>
      </c>
    </row>
    <row r="2162" spans="1:26" s="29" customFormat="1" ht="90.75" customHeight="1" x14ac:dyDescent="0.25">
      <c r="A2162" s="20">
        <v>1271</v>
      </c>
      <c r="B2162" s="20" t="s">
        <v>0</v>
      </c>
      <c r="C2162" s="20">
        <v>16858</v>
      </c>
      <c r="D2162" s="21">
        <v>0</v>
      </c>
      <c r="E2162" s="21">
        <v>1</v>
      </c>
      <c r="F2162" s="22">
        <v>4</v>
      </c>
      <c r="G2162" s="23" t="s">
        <v>211</v>
      </c>
      <c r="H2162" s="24">
        <f>(D2162*400)+(E2162*100)+F2162</f>
        <v>104</v>
      </c>
      <c r="I2162" s="25">
        <v>875</v>
      </c>
      <c r="J2162" s="24">
        <f>(H2162*I2162)</f>
        <v>91000</v>
      </c>
      <c r="K2162" s="20"/>
      <c r="L2162" s="20"/>
      <c r="M2162" s="20"/>
      <c r="N2162" s="20"/>
      <c r="O2162" s="24"/>
      <c r="P2162" s="24"/>
      <c r="Q2162" s="25"/>
      <c r="R2162" s="24"/>
      <c r="S2162" s="20"/>
      <c r="T2162" s="27"/>
      <c r="U2162" s="20"/>
      <c r="V2162" s="20"/>
      <c r="W2162" s="26"/>
      <c r="X2162" s="27"/>
      <c r="Y2162" s="20"/>
      <c r="Z2162" s="20"/>
    </row>
    <row r="2163" spans="1:26" s="29" customFormat="1" ht="90.75" customHeight="1" x14ac:dyDescent="0.25">
      <c r="A2163" s="20"/>
      <c r="B2163" s="20"/>
      <c r="C2163" s="20"/>
      <c r="D2163" s="21"/>
      <c r="E2163" s="21"/>
      <c r="F2163" s="22"/>
      <c r="G2163" s="23"/>
      <c r="H2163" s="36">
        <v>98.31</v>
      </c>
      <c r="I2163" s="28">
        <v>875</v>
      </c>
      <c r="J2163" s="28">
        <f>(H2163*I2163)</f>
        <v>86021.25</v>
      </c>
      <c r="K2163" s="37"/>
      <c r="L2163" s="31"/>
      <c r="M2163" s="32"/>
      <c r="N2163" s="33"/>
      <c r="O2163" s="82"/>
      <c r="P2163" s="86"/>
      <c r="Q2163" s="36"/>
      <c r="R2163" s="36"/>
      <c r="S2163" s="37"/>
      <c r="T2163" s="28"/>
      <c r="U2163" s="36"/>
      <c r="V2163" s="36"/>
      <c r="W2163" s="36"/>
      <c r="X2163" s="28"/>
      <c r="Y2163" s="28"/>
      <c r="Z2163" s="20"/>
    </row>
    <row r="2164" spans="1:26" s="29" customFormat="1" ht="90.75" customHeight="1" x14ac:dyDescent="0.25">
      <c r="A2164" s="20"/>
      <c r="B2164" s="20"/>
      <c r="C2164" s="20"/>
      <c r="D2164" s="21"/>
      <c r="E2164" s="21"/>
      <c r="F2164" s="22"/>
      <c r="G2164" s="23"/>
      <c r="H2164" s="36"/>
      <c r="I2164" s="40"/>
      <c r="J2164" s="28"/>
      <c r="K2164" s="37">
        <v>1</v>
      </c>
      <c r="L2164" s="31" t="s">
        <v>215</v>
      </c>
      <c r="M2164" s="32" t="s">
        <v>52</v>
      </c>
      <c r="N2164" s="33">
        <v>2</v>
      </c>
      <c r="O2164" s="82">
        <v>162.5</v>
      </c>
      <c r="P2164" s="86">
        <v>100</v>
      </c>
      <c r="Q2164" s="36">
        <v>6450</v>
      </c>
      <c r="R2164" s="36">
        <f>(O2164*Q2164)</f>
        <v>1048125</v>
      </c>
      <c r="S2164" s="37">
        <v>42</v>
      </c>
      <c r="T2164" s="28">
        <f>(R2164*85/100)</f>
        <v>890906.25</v>
      </c>
      <c r="U2164" s="36">
        <f>(R2164-T2164)</f>
        <v>157218.75</v>
      </c>
      <c r="V2164" s="36"/>
      <c r="W2164" s="36"/>
      <c r="X2164" s="28"/>
      <c r="Y2164" s="28"/>
      <c r="Z2164" s="20"/>
    </row>
    <row r="2165" spans="1:26" s="29" customFormat="1" ht="90.75" customHeight="1" x14ac:dyDescent="0.25">
      <c r="A2165" s="20"/>
      <c r="B2165" s="20"/>
      <c r="C2165" s="20"/>
      <c r="D2165" s="21"/>
      <c r="E2165" s="21"/>
      <c r="F2165" s="22"/>
      <c r="G2165" s="23"/>
      <c r="H2165" s="36"/>
      <c r="I2165" s="40"/>
      <c r="J2165" s="28"/>
      <c r="K2165" s="37">
        <v>2</v>
      </c>
      <c r="L2165" s="31" t="s">
        <v>31</v>
      </c>
      <c r="M2165" s="32"/>
      <c r="N2165" s="33">
        <v>2</v>
      </c>
      <c r="O2165" s="82">
        <v>27</v>
      </c>
      <c r="P2165" s="86">
        <v>100</v>
      </c>
      <c r="Q2165" s="36">
        <v>2550</v>
      </c>
      <c r="R2165" s="36">
        <f>(O2165*Q2165)</f>
        <v>68850</v>
      </c>
      <c r="S2165" s="37">
        <v>42</v>
      </c>
      <c r="T2165" s="28">
        <f>(R2165*85/100)</f>
        <v>58522.5</v>
      </c>
      <c r="U2165" s="36">
        <f>(R2165-T2165)</f>
        <v>10327.5</v>
      </c>
      <c r="V2165" s="36"/>
      <c r="W2165" s="36"/>
      <c r="X2165" s="28"/>
      <c r="Y2165" s="28"/>
      <c r="Z2165" s="20"/>
    </row>
    <row r="2166" spans="1:26" s="29" customFormat="1" ht="90.75" customHeight="1" x14ac:dyDescent="0.25">
      <c r="A2166" s="20"/>
      <c r="B2166" s="20"/>
      <c r="C2166" s="20"/>
      <c r="D2166" s="21"/>
      <c r="E2166" s="21"/>
      <c r="F2166" s="22"/>
      <c r="G2166" s="23"/>
      <c r="H2166" s="36"/>
      <c r="I2166" s="40"/>
      <c r="J2166" s="28"/>
      <c r="K2166" s="37"/>
      <c r="L2166" s="31"/>
      <c r="M2166" s="32"/>
      <c r="N2166" s="33"/>
      <c r="O2166" s="82"/>
      <c r="P2166" s="86"/>
      <c r="Q2166" s="36"/>
      <c r="R2166" s="36"/>
      <c r="S2166" s="37"/>
      <c r="T2166" s="28"/>
      <c r="U2166" s="36">
        <f>(U2164+U2165)</f>
        <v>167546.25</v>
      </c>
      <c r="V2166" s="36">
        <f>(J2163+U2166)</f>
        <v>253567.5</v>
      </c>
      <c r="W2166" s="36">
        <f>(V2166*100/100)</f>
        <v>253567.5</v>
      </c>
      <c r="X2166" s="28">
        <v>50000000</v>
      </c>
      <c r="Y2166" s="28">
        <v>0</v>
      </c>
      <c r="Z2166" s="49">
        <v>2.0000000000000001E-4</v>
      </c>
    </row>
    <row r="2167" spans="1:26" s="29" customFormat="1" ht="90.75" customHeight="1" x14ac:dyDescent="0.25">
      <c r="A2167" s="20"/>
      <c r="B2167" s="20"/>
      <c r="C2167" s="20"/>
      <c r="D2167" s="21"/>
      <c r="E2167" s="21"/>
      <c r="F2167" s="22"/>
      <c r="G2167" s="23"/>
      <c r="H2167" s="36">
        <f>(O2167*0.25)</f>
        <v>5.6875</v>
      </c>
      <c r="I2167" s="40">
        <v>875</v>
      </c>
      <c r="J2167" s="28">
        <f>(H2167*I2167)</f>
        <v>4976.5625</v>
      </c>
      <c r="K2167" s="37">
        <v>3</v>
      </c>
      <c r="L2167" s="31" t="s">
        <v>86</v>
      </c>
      <c r="M2167" s="32"/>
      <c r="N2167" s="33">
        <v>3</v>
      </c>
      <c r="O2167" s="82">
        <v>22.75</v>
      </c>
      <c r="P2167" s="86">
        <v>100</v>
      </c>
      <c r="Q2167" s="36">
        <v>5550</v>
      </c>
      <c r="R2167" s="36">
        <f>(O2167*Q2167)</f>
        <v>126262.5</v>
      </c>
      <c r="S2167" s="37">
        <v>42</v>
      </c>
      <c r="T2167" s="28">
        <f>(R2167*85/100)</f>
        <v>107323.125</v>
      </c>
      <c r="U2167" s="36">
        <f>(R2167-T2167)</f>
        <v>18939.375</v>
      </c>
      <c r="V2167" s="36">
        <f>(J2167+U2167)</f>
        <v>23915.9375</v>
      </c>
      <c r="W2167" s="36">
        <f>(V2167*100/100)</f>
        <v>23915.9375</v>
      </c>
      <c r="X2167" s="28">
        <v>0</v>
      </c>
      <c r="Y2167" s="28">
        <f>(W2167-X2167)</f>
        <v>23915.9375</v>
      </c>
      <c r="Z2167" s="49">
        <v>3.0000000000000001E-3</v>
      </c>
    </row>
    <row r="2168" spans="1:26" s="29" customFormat="1" ht="90.75" customHeight="1" x14ac:dyDescent="0.25">
      <c r="A2168" s="20">
        <v>1272</v>
      </c>
      <c r="B2168" s="20" t="s">
        <v>0</v>
      </c>
      <c r="C2168" s="20">
        <v>7857</v>
      </c>
      <c r="D2168" s="21">
        <v>0</v>
      </c>
      <c r="E2168" s="21">
        <v>1</v>
      </c>
      <c r="F2168" s="22">
        <v>45</v>
      </c>
      <c r="G2168" s="23" t="s">
        <v>211</v>
      </c>
      <c r="H2168" s="24">
        <f>(D2168*400)+(E2168*100)+F2168</f>
        <v>145</v>
      </c>
      <c r="I2168" s="25">
        <v>875</v>
      </c>
      <c r="J2168" s="24">
        <f>(H2168*I2168)</f>
        <v>126875</v>
      </c>
      <c r="K2168" s="20"/>
      <c r="L2168" s="20"/>
      <c r="M2168" s="20"/>
      <c r="N2168" s="20"/>
      <c r="O2168" s="24"/>
      <c r="P2168" s="86"/>
      <c r="Q2168" s="25"/>
      <c r="R2168" s="36"/>
      <c r="S2168" s="20"/>
      <c r="T2168" s="28"/>
      <c r="U2168" s="36"/>
      <c r="V2168" s="36"/>
      <c r="W2168" s="36"/>
      <c r="X2168" s="28"/>
      <c r="Y2168" s="28"/>
      <c r="Z2168" s="49"/>
    </row>
    <row r="2169" spans="1:26" s="29" customFormat="1" ht="90.75" customHeight="1" x14ac:dyDescent="0.25">
      <c r="A2169" s="20"/>
      <c r="B2169" s="20"/>
      <c r="C2169" s="20"/>
      <c r="D2169" s="21"/>
      <c r="E2169" s="21"/>
      <c r="F2169" s="22"/>
      <c r="G2169" s="23"/>
      <c r="H2169" s="24">
        <v>117.5</v>
      </c>
      <c r="I2169" s="25">
        <v>875</v>
      </c>
      <c r="J2169" s="24">
        <f>(H2169*I2169)</f>
        <v>102812.5</v>
      </c>
      <c r="K2169" s="20">
        <v>1</v>
      </c>
      <c r="L2169" s="20" t="s">
        <v>16</v>
      </c>
      <c r="M2169" s="20" t="s">
        <v>52</v>
      </c>
      <c r="N2169" s="20">
        <v>2</v>
      </c>
      <c r="O2169" s="24">
        <v>319</v>
      </c>
      <c r="P2169" s="86">
        <v>100</v>
      </c>
      <c r="Q2169" s="25">
        <v>6450</v>
      </c>
      <c r="R2169" s="36">
        <f>(O2169*Q2169)</f>
        <v>2057550</v>
      </c>
      <c r="S2169" s="20">
        <v>30</v>
      </c>
      <c r="T2169" s="28">
        <f>(R2169*85/100)</f>
        <v>1748917.5</v>
      </c>
      <c r="U2169" s="36">
        <f>(R2169-T2169)</f>
        <v>308632.5</v>
      </c>
      <c r="V2169" s="36">
        <f>(J2169+U2169)</f>
        <v>411445</v>
      </c>
      <c r="W2169" s="36"/>
      <c r="X2169" s="28"/>
      <c r="Y2169" s="28"/>
      <c r="Z2169" s="49"/>
    </row>
    <row r="2170" spans="1:26" s="29" customFormat="1" ht="90.75" customHeight="1" x14ac:dyDescent="0.25">
      <c r="A2170" s="20"/>
      <c r="B2170" s="20"/>
      <c r="C2170" s="20"/>
      <c r="D2170" s="21"/>
      <c r="E2170" s="21"/>
      <c r="F2170" s="22"/>
      <c r="G2170" s="23"/>
      <c r="H2170" s="24"/>
      <c r="I2170" s="25"/>
      <c r="J2170" s="24"/>
      <c r="K2170" s="20"/>
      <c r="L2170" s="20" t="s">
        <v>56</v>
      </c>
      <c r="M2170" s="20"/>
      <c r="N2170" s="20"/>
      <c r="O2170" s="24">
        <v>280.5</v>
      </c>
      <c r="P2170" s="86">
        <v>87.93</v>
      </c>
      <c r="Q2170" s="25"/>
      <c r="R2170" s="36"/>
      <c r="S2170" s="20"/>
      <c r="T2170" s="28"/>
      <c r="U2170" s="36"/>
      <c r="V2170" s="36"/>
      <c r="W2170" s="36">
        <f>(V2169*87.93/100)</f>
        <v>361783.58850000001</v>
      </c>
      <c r="X2170" s="28">
        <v>50000000</v>
      </c>
      <c r="Y2170" s="28"/>
      <c r="Z2170" s="49"/>
    </row>
    <row r="2171" spans="1:26" s="29" customFormat="1" ht="90.75" customHeight="1" x14ac:dyDescent="0.25">
      <c r="A2171" s="20"/>
      <c r="B2171" s="20"/>
      <c r="C2171" s="20"/>
      <c r="D2171" s="21"/>
      <c r="E2171" s="21"/>
      <c r="F2171" s="22"/>
      <c r="G2171" s="23"/>
      <c r="H2171" s="24"/>
      <c r="I2171" s="25"/>
      <c r="J2171" s="24"/>
      <c r="K2171" s="20">
        <v>2</v>
      </c>
      <c r="L2171" s="20" t="s">
        <v>36</v>
      </c>
      <c r="M2171" s="20"/>
      <c r="N2171" s="20">
        <v>3</v>
      </c>
      <c r="O2171" s="24">
        <v>38.5</v>
      </c>
      <c r="P2171" s="86">
        <v>12.07</v>
      </c>
      <c r="Q2171" s="25"/>
      <c r="R2171" s="36"/>
      <c r="S2171" s="20"/>
      <c r="T2171" s="28"/>
      <c r="U2171" s="36"/>
      <c r="V2171" s="36"/>
      <c r="W2171" s="36">
        <f>(V2169*38.5/100)</f>
        <v>158406.32500000001</v>
      </c>
      <c r="X2171" s="28">
        <v>0</v>
      </c>
      <c r="Y2171" s="28">
        <f>(W2171-X2171)</f>
        <v>158406.32500000001</v>
      </c>
      <c r="Z2171" s="49">
        <v>3.0000000000000001E-3</v>
      </c>
    </row>
    <row r="2172" spans="1:26" s="29" customFormat="1" ht="90.75" customHeight="1" x14ac:dyDescent="0.25">
      <c r="A2172" s="20"/>
      <c r="B2172" s="20"/>
      <c r="C2172" s="20"/>
      <c r="D2172" s="21"/>
      <c r="E2172" s="21"/>
      <c r="F2172" s="22"/>
      <c r="G2172" s="23"/>
      <c r="H2172" s="24">
        <v>27.5</v>
      </c>
      <c r="I2172" s="25">
        <v>875</v>
      </c>
      <c r="J2172" s="24">
        <f t="shared" ref="J2172:J2180" si="366">(H2172*I2172)</f>
        <v>24062.5</v>
      </c>
      <c r="K2172" s="20">
        <v>3</v>
      </c>
      <c r="L2172" s="20" t="s">
        <v>43</v>
      </c>
      <c r="M2172" s="20" t="s">
        <v>13</v>
      </c>
      <c r="N2172" s="20">
        <v>2</v>
      </c>
      <c r="O2172" s="24">
        <v>110</v>
      </c>
      <c r="P2172" s="86">
        <v>100</v>
      </c>
      <c r="Q2172" s="25">
        <v>7700</v>
      </c>
      <c r="R2172" s="36">
        <f>(O2172*Q2172)</f>
        <v>847000</v>
      </c>
      <c r="S2172" s="20">
        <v>3</v>
      </c>
      <c r="T2172" s="28">
        <f>(R2172*3/100)</f>
        <v>25410</v>
      </c>
      <c r="U2172" s="36">
        <f>(R2172-T2172)</f>
        <v>821590</v>
      </c>
      <c r="V2172" s="36">
        <f>(J2172+U2172)</f>
        <v>845652.5</v>
      </c>
      <c r="W2172" s="36">
        <f>(V2172*100/100)</f>
        <v>845652.5</v>
      </c>
      <c r="X2172" s="28">
        <v>0</v>
      </c>
      <c r="Y2172" s="28">
        <f>(W2172-X2172)</f>
        <v>845652.5</v>
      </c>
      <c r="Z2172" s="49">
        <v>2.0000000000000001E-4</v>
      </c>
    </row>
    <row r="2173" spans="1:26" s="29" customFormat="1" ht="90.75" customHeight="1" x14ac:dyDescent="0.25">
      <c r="A2173" s="20">
        <v>1273</v>
      </c>
      <c r="B2173" s="20" t="s">
        <v>0</v>
      </c>
      <c r="C2173" s="20">
        <v>11449</v>
      </c>
      <c r="D2173" s="21">
        <v>0</v>
      </c>
      <c r="E2173" s="21">
        <v>1</v>
      </c>
      <c r="F2173" s="22">
        <v>50</v>
      </c>
      <c r="G2173" s="23" t="s">
        <v>209</v>
      </c>
      <c r="H2173" s="24">
        <f>(D2173*400)+(E2173*100)+F2173</f>
        <v>150</v>
      </c>
      <c r="I2173" s="25">
        <v>875</v>
      </c>
      <c r="J2173" s="24">
        <f t="shared" si="366"/>
        <v>131250</v>
      </c>
      <c r="K2173" s="20">
        <v>1</v>
      </c>
      <c r="L2173" s="20" t="s">
        <v>29</v>
      </c>
      <c r="M2173" s="20" t="s">
        <v>13</v>
      </c>
      <c r="N2173" s="20">
        <v>3</v>
      </c>
      <c r="O2173" s="24">
        <v>299</v>
      </c>
      <c r="P2173" s="24">
        <v>100</v>
      </c>
      <c r="Q2173" s="25">
        <v>5550</v>
      </c>
      <c r="R2173" s="24">
        <f>(O2173*Q2173)</f>
        <v>1659450</v>
      </c>
      <c r="S2173" s="20">
        <v>2</v>
      </c>
      <c r="T2173" s="24">
        <f>(R2173*2/100)</f>
        <v>33189</v>
      </c>
      <c r="U2173" s="27">
        <f>(R2173-T2173)</f>
        <v>1626261</v>
      </c>
      <c r="V2173" s="27">
        <f>(J2173+U2173)</f>
        <v>1757511</v>
      </c>
      <c r="W2173" s="26">
        <f>(V2173*100/100)</f>
        <v>1757511</v>
      </c>
      <c r="X2173" s="27">
        <v>0</v>
      </c>
      <c r="Y2173" s="28">
        <f>(W2173-X2173)</f>
        <v>1757511</v>
      </c>
      <c r="Z2173" s="49">
        <v>3.0000000000000001E-3</v>
      </c>
    </row>
    <row r="2174" spans="1:26" s="29" customFormat="1" ht="90.75" customHeight="1" x14ac:dyDescent="0.25">
      <c r="A2174" s="20">
        <v>1274</v>
      </c>
      <c r="B2174" s="20" t="s">
        <v>0</v>
      </c>
      <c r="C2174" s="20">
        <v>10388</v>
      </c>
      <c r="D2174" s="21">
        <v>0</v>
      </c>
      <c r="E2174" s="21">
        <v>1</v>
      </c>
      <c r="F2174" s="22">
        <v>11</v>
      </c>
      <c r="G2174" s="23" t="s">
        <v>56</v>
      </c>
      <c r="H2174" s="77">
        <f>(D2174*400)+(E2174*100)+F2174</f>
        <v>111</v>
      </c>
      <c r="I2174" s="28">
        <v>875</v>
      </c>
      <c r="J2174" s="28">
        <f t="shared" si="366"/>
        <v>97125</v>
      </c>
      <c r="K2174" s="37">
        <v>1</v>
      </c>
      <c r="L2174" s="20" t="s">
        <v>43</v>
      </c>
      <c r="M2174" s="20" t="s">
        <v>13</v>
      </c>
      <c r="N2174" s="21">
        <v>3</v>
      </c>
      <c r="O2174" s="63">
        <v>231.4</v>
      </c>
      <c r="P2174" s="37">
        <v>100</v>
      </c>
      <c r="Q2174" s="40">
        <v>7700</v>
      </c>
      <c r="R2174" s="77">
        <f>(O2174*Q2174)</f>
        <v>1781780</v>
      </c>
      <c r="S2174" s="37">
        <v>6</v>
      </c>
      <c r="T2174" s="28">
        <f>(R2174*6/100)</f>
        <v>106906.8</v>
      </c>
      <c r="U2174" s="77">
        <f>(R2174-T2174)</f>
        <v>1674873.2</v>
      </c>
      <c r="V2174" s="77">
        <f>(J2174+U2174)</f>
        <v>1771998.2</v>
      </c>
      <c r="W2174" s="77">
        <f>(V2174*P2174/100)</f>
        <v>1771998.2</v>
      </c>
      <c r="X2174" s="28">
        <v>0</v>
      </c>
      <c r="Y2174" s="28">
        <f>(W2174-X2174)</f>
        <v>1771998.2</v>
      </c>
      <c r="Z2174" s="49">
        <v>2.0000000000000001E-4</v>
      </c>
    </row>
    <row r="2175" spans="1:26" s="29" customFormat="1" ht="90.75" customHeight="1" x14ac:dyDescent="0.25">
      <c r="A2175" s="20">
        <v>1275</v>
      </c>
      <c r="B2175" s="20" t="s">
        <v>0</v>
      </c>
      <c r="C2175" s="20">
        <v>7878</v>
      </c>
      <c r="D2175" s="21">
        <v>0</v>
      </c>
      <c r="E2175" s="21">
        <v>1</v>
      </c>
      <c r="F2175" s="22">
        <v>11</v>
      </c>
      <c r="G2175" s="23" t="s">
        <v>56</v>
      </c>
      <c r="H2175" s="77">
        <f>(D2175*400)+(E2175*100)+F2175</f>
        <v>111</v>
      </c>
      <c r="I2175" s="40">
        <v>875</v>
      </c>
      <c r="J2175" s="28">
        <f t="shared" si="366"/>
        <v>97125</v>
      </c>
      <c r="K2175" s="37">
        <v>1</v>
      </c>
      <c r="L2175" s="20" t="s">
        <v>43</v>
      </c>
      <c r="M2175" s="37" t="s">
        <v>13</v>
      </c>
      <c r="N2175" s="30">
        <v>3</v>
      </c>
      <c r="O2175" s="77">
        <v>224</v>
      </c>
      <c r="P2175" s="35">
        <v>100</v>
      </c>
      <c r="Q2175" s="40">
        <v>7700</v>
      </c>
      <c r="R2175" s="77">
        <f>(O2175*Q2175)</f>
        <v>1724800</v>
      </c>
      <c r="S2175" s="37">
        <v>6</v>
      </c>
      <c r="T2175" s="28">
        <f>(R2175*6/100)</f>
        <v>103488</v>
      </c>
      <c r="U2175" s="77">
        <f>(R2175-T2175)</f>
        <v>1621312</v>
      </c>
      <c r="V2175" s="77">
        <f>(J2175+U2175)</f>
        <v>1718437</v>
      </c>
      <c r="W2175" s="77">
        <f>(V2175*P2175/100)</f>
        <v>1718437</v>
      </c>
      <c r="X2175" s="28">
        <v>0</v>
      </c>
      <c r="Y2175" s="28">
        <f>(W2175-X2175)</f>
        <v>1718437</v>
      </c>
      <c r="Z2175" s="49">
        <v>2.0000000000000001E-4</v>
      </c>
    </row>
    <row r="2176" spans="1:26" s="29" customFormat="1" ht="90.75" customHeight="1" x14ac:dyDescent="0.25">
      <c r="A2176" s="20">
        <v>1276</v>
      </c>
      <c r="B2176" s="20" t="s">
        <v>0</v>
      </c>
      <c r="C2176" s="20">
        <v>22296</v>
      </c>
      <c r="D2176" s="21">
        <v>0</v>
      </c>
      <c r="E2176" s="21">
        <v>0</v>
      </c>
      <c r="F2176" s="22">
        <v>50</v>
      </c>
      <c r="G2176" s="23" t="s">
        <v>211</v>
      </c>
      <c r="H2176" s="24">
        <f>(D2176*400)+(E2176*100)+F2176</f>
        <v>50</v>
      </c>
      <c r="I2176" s="25">
        <v>875</v>
      </c>
      <c r="J2176" s="24">
        <f t="shared" si="366"/>
        <v>43750</v>
      </c>
      <c r="K2176" s="20"/>
      <c r="L2176" s="20"/>
      <c r="M2176" s="20"/>
      <c r="N2176" s="20"/>
      <c r="O2176" s="24"/>
      <c r="P2176" s="24"/>
      <c r="Q2176" s="25"/>
      <c r="R2176" s="24"/>
      <c r="S2176" s="20"/>
      <c r="T2176" s="27"/>
      <c r="U2176" s="20"/>
      <c r="V2176" s="20"/>
      <c r="W2176" s="26"/>
      <c r="X2176" s="27"/>
      <c r="Y2176" s="20"/>
      <c r="Z2176" s="20"/>
    </row>
    <row r="2177" spans="1:26" s="29" customFormat="1" ht="90.75" customHeight="1" x14ac:dyDescent="0.25">
      <c r="A2177" s="20"/>
      <c r="B2177" s="20"/>
      <c r="C2177" s="20"/>
      <c r="D2177" s="21"/>
      <c r="E2177" s="21"/>
      <c r="F2177" s="22"/>
      <c r="G2177" s="23"/>
      <c r="H2177" s="36">
        <v>34.25</v>
      </c>
      <c r="I2177" s="40">
        <v>875</v>
      </c>
      <c r="J2177" s="65">
        <f t="shared" si="366"/>
        <v>29968.75</v>
      </c>
      <c r="K2177" s="30">
        <v>1</v>
      </c>
      <c r="L2177" s="20" t="s">
        <v>215</v>
      </c>
      <c r="M2177" s="35" t="s">
        <v>13</v>
      </c>
      <c r="N2177" s="30">
        <v>2</v>
      </c>
      <c r="O2177" s="36">
        <v>81</v>
      </c>
      <c r="P2177" s="86">
        <v>100</v>
      </c>
      <c r="Q2177" s="40">
        <v>6450</v>
      </c>
      <c r="R2177" s="36">
        <f>(O2177*Q2177)</f>
        <v>522450</v>
      </c>
      <c r="S2177" s="84">
        <v>11</v>
      </c>
      <c r="T2177" s="28">
        <f>(R2177*12/100)</f>
        <v>62694</v>
      </c>
      <c r="U2177" s="36">
        <f>(R2177-T2177)</f>
        <v>459756</v>
      </c>
      <c r="V2177" s="36">
        <f>(J2177+U2177)</f>
        <v>489724.75</v>
      </c>
      <c r="W2177" s="36">
        <f>(V2177*100/100)</f>
        <v>489724.75</v>
      </c>
      <c r="X2177" s="28">
        <v>50000000</v>
      </c>
      <c r="Y2177" s="26">
        <v>0</v>
      </c>
      <c r="Z2177" s="49">
        <v>2.0000000000000001E-4</v>
      </c>
    </row>
    <row r="2178" spans="1:26" s="29" customFormat="1" ht="90.75" customHeight="1" x14ac:dyDescent="0.25">
      <c r="A2178" s="20"/>
      <c r="B2178" s="20"/>
      <c r="C2178" s="20"/>
      <c r="D2178" s="21"/>
      <c r="E2178" s="21"/>
      <c r="F2178" s="22"/>
      <c r="G2178" s="23"/>
      <c r="H2178" s="36">
        <v>13.5</v>
      </c>
      <c r="I2178" s="40">
        <v>875</v>
      </c>
      <c r="J2178" s="65">
        <f t="shared" si="366"/>
        <v>11812.5</v>
      </c>
      <c r="K2178" s="30">
        <v>2</v>
      </c>
      <c r="L2178" s="20" t="s">
        <v>35</v>
      </c>
      <c r="M2178" s="35"/>
      <c r="N2178" s="30"/>
      <c r="O2178" s="36">
        <v>54</v>
      </c>
      <c r="P2178" s="86">
        <v>100</v>
      </c>
      <c r="Q2178" s="40">
        <v>2550</v>
      </c>
      <c r="R2178" s="36">
        <f>(O2178*Q2178)</f>
        <v>137700</v>
      </c>
      <c r="S2178" s="84">
        <v>11</v>
      </c>
      <c r="T2178" s="28">
        <f>(R2178*12/100)</f>
        <v>16524</v>
      </c>
      <c r="U2178" s="36">
        <f>(R2178-T2178)</f>
        <v>121176</v>
      </c>
      <c r="V2178" s="36">
        <f>(J2178+U2178)</f>
        <v>132988.5</v>
      </c>
      <c r="W2178" s="36">
        <f>(V2178*100/100)</f>
        <v>132988.5</v>
      </c>
      <c r="X2178" s="28"/>
      <c r="Y2178" s="26"/>
      <c r="Z2178" s="53"/>
    </row>
    <row r="2179" spans="1:26" s="29" customFormat="1" ht="90.75" customHeight="1" x14ac:dyDescent="0.25">
      <c r="A2179" s="20"/>
      <c r="B2179" s="20"/>
      <c r="C2179" s="20"/>
      <c r="D2179" s="21"/>
      <c r="E2179" s="21"/>
      <c r="F2179" s="22"/>
      <c r="G2179" s="23"/>
      <c r="H2179" s="36">
        <v>2.25</v>
      </c>
      <c r="I2179" s="40">
        <v>875</v>
      </c>
      <c r="J2179" s="65">
        <f t="shared" si="366"/>
        <v>1968.75</v>
      </c>
      <c r="K2179" s="30"/>
      <c r="L2179" s="20" t="s">
        <v>258</v>
      </c>
      <c r="M2179" s="35" t="s">
        <v>13</v>
      </c>
      <c r="N2179" s="30">
        <v>3</v>
      </c>
      <c r="O2179" s="36">
        <v>9</v>
      </c>
      <c r="P2179" s="86">
        <v>100</v>
      </c>
      <c r="Q2179" s="40">
        <v>5550</v>
      </c>
      <c r="R2179" s="36">
        <f>(O2179*Q2179)</f>
        <v>49950</v>
      </c>
      <c r="S2179" s="84">
        <v>11</v>
      </c>
      <c r="T2179" s="28">
        <f>(R2179*12/100)</f>
        <v>5994</v>
      </c>
      <c r="U2179" s="36">
        <f>(R2179-T2179)</f>
        <v>43956</v>
      </c>
      <c r="V2179" s="36">
        <f>(J2179+U2179)</f>
        <v>45924.75</v>
      </c>
      <c r="W2179" s="36">
        <f>(V2179*100/100)</f>
        <v>45924.75</v>
      </c>
      <c r="X2179" s="28">
        <v>0</v>
      </c>
      <c r="Y2179" s="26">
        <f>(W2179-X2179)</f>
        <v>45924.75</v>
      </c>
      <c r="Z2179" s="49">
        <v>3.0000000000000001E-3</v>
      </c>
    </row>
    <row r="2180" spans="1:26" s="29" customFormat="1" ht="90.75" customHeight="1" x14ac:dyDescent="0.25">
      <c r="A2180" s="20">
        <v>1277</v>
      </c>
      <c r="B2180" s="20" t="s">
        <v>0</v>
      </c>
      <c r="C2180" s="20">
        <v>9663</v>
      </c>
      <c r="D2180" s="21">
        <v>5</v>
      </c>
      <c r="E2180" s="21">
        <v>0</v>
      </c>
      <c r="F2180" s="22">
        <v>72</v>
      </c>
      <c r="G2180" s="23" t="s">
        <v>56</v>
      </c>
      <c r="H2180" s="24">
        <f>(D2180*400)+(E2180*100)+F2180</f>
        <v>2072</v>
      </c>
      <c r="I2180" s="25">
        <v>750</v>
      </c>
      <c r="J2180" s="24">
        <f t="shared" si="366"/>
        <v>1554000</v>
      </c>
      <c r="K2180" s="20"/>
      <c r="L2180" s="20"/>
      <c r="M2180" s="20"/>
      <c r="N2180" s="20"/>
      <c r="O2180" s="24"/>
      <c r="P2180" s="24"/>
      <c r="Q2180" s="25"/>
      <c r="R2180" s="24"/>
      <c r="S2180" s="20"/>
      <c r="T2180" s="27"/>
      <c r="U2180" s="20"/>
      <c r="V2180" s="20"/>
      <c r="W2180" s="26"/>
      <c r="X2180" s="27"/>
      <c r="Y2180" s="20"/>
      <c r="Z2180" s="20"/>
    </row>
    <row r="2181" spans="1:26" s="29" customFormat="1" ht="90.75" customHeight="1" x14ac:dyDescent="0.25">
      <c r="A2181" s="20"/>
      <c r="B2181" s="20"/>
      <c r="C2181" s="20"/>
      <c r="D2181" s="21"/>
      <c r="E2181" s="21"/>
      <c r="F2181" s="22"/>
      <c r="G2181" s="23"/>
      <c r="H2181" s="24"/>
      <c r="I2181" s="25"/>
      <c r="J2181" s="24"/>
      <c r="K2181" s="37">
        <v>1</v>
      </c>
      <c r="L2181" s="31" t="s">
        <v>215</v>
      </c>
      <c r="M2181" s="31" t="s">
        <v>30</v>
      </c>
      <c r="N2181" s="41">
        <v>2</v>
      </c>
      <c r="O2181" s="46">
        <v>99</v>
      </c>
      <c r="P2181" s="86">
        <v>100</v>
      </c>
      <c r="Q2181" s="36">
        <v>6450</v>
      </c>
      <c r="R2181" s="36">
        <f t="shared" ref="R2181:R2190" si="367">(O2181*Q2181)</f>
        <v>638550</v>
      </c>
      <c r="S2181" s="37">
        <v>22</v>
      </c>
      <c r="T2181" s="28">
        <f t="shared" ref="T2181:T2190" si="368">(R2181*34/100)</f>
        <v>217107</v>
      </c>
      <c r="U2181" s="36">
        <f t="shared" ref="U2181:U2190" si="369">(R2181-T2181)</f>
        <v>421443</v>
      </c>
      <c r="V2181" s="48"/>
      <c r="W2181" s="48"/>
      <c r="X2181" s="47"/>
      <c r="Y2181" s="48"/>
      <c r="Z2181" s="53"/>
    </row>
    <row r="2182" spans="1:26" s="29" customFormat="1" ht="90.75" customHeight="1" x14ac:dyDescent="0.25">
      <c r="A2182" s="20"/>
      <c r="B2182" s="20"/>
      <c r="C2182" s="20"/>
      <c r="D2182" s="21"/>
      <c r="E2182" s="21"/>
      <c r="F2182" s="22"/>
      <c r="G2182" s="23"/>
      <c r="H2182" s="24"/>
      <c r="I2182" s="25"/>
      <c r="J2182" s="24"/>
      <c r="K2182" s="37">
        <v>2</v>
      </c>
      <c r="L2182" s="31" t="s">
        <v>215</v>
      </c>
      <c r="M2182" s="31" t="s">
        <v>30</v>
      </c>
      <c r="N2182" s="41">
        <v>2</v>
      </c>
      <c r="O2182" s="46">
        <v>52.25</v>
      </c>
      <c r="P2182" s="86">
        <v>100</v>
      </c>
      <c r="Q2182" s="36">
        <v>6450</v>
      </c>
      <c r="R2182" s="36">
        <f t="shared" si="367"/>
        <v>337012.5</v>
      </c>
      <c r="S2182" s="37">
        <v>22</v>
      </c>
      <c r="T2182" s="28">
        <f t="shared" si="368"/>
        <v>114584.25</v>
      </c>
      <c r="U2182" s="36">
        <f t="shared" si="369"/>
        <v>222428.25</v>
      </c>
      <c r="V2182" s="48"/>
      <c r="W2182" s="48"/>
      <c r="X2182" s="47"/>
      <c r="Y2182" s="48"/>
      <c r="Z2182" s="53"/>
    </row>
    <row r="2183" spans="1:26" s="29" customFormat="1" ht="90.75" customHeight="1" x14ac:dyDescent="0.25">
      <c r="A2183" s="20"/>
      <c r="B2183" s="20"/>
      <c r="C2183" s="20"/>
      <c r="D2183" s="21"/>
      <c r="E2183" s="21"/>
      <c r="F2183" s="22"/>
      <c r="G2183" s="23"/>
      <c r="H2183" s="24"/>
      <c r="I2183" s="25"/>
      <c r="J2183" s="24"/>
      <c r="K2183" s="37">
        <v>3</v>
      </c>
      <c r="L2183" s="31" t="s">
        <v>215</v>
      </c>
      <c r="M2183" s="31" t="s">
        <v>30</v>
      </c>
      <c r="N2183" s="41">
        <v>2</v>
      </c>
      <c r="O2183" s="46">
        <v>66</v>
      </c>
      <c r="P2183" s="86">
        <v>100</v>
      </c>
      <c r="Q2183" s="36">
        <v>6450</v>
      </c>
      <c r="R2183" s="36">
        <f t="shared" si="367"/>
        <v>425700</v>
      </c>
      <c r="S2183" s="37">
        <v>22</v>
      </c>
      <c r="T2183" s="28">
        <f t="shared" si="368"/>
        <v>144738</v>
      </c>
      <c r="U2183" s="36">
        <f t="shared" si="369"/>
        <v>280962</v>
      </c>
      <c r="V2183" s="48"/>
      <c r="W2183" s="48"/>
      <c r="X2183" s="47"/>
      <c r="Y2183" s="48"/>
      <c r="Z2183" s="53"/>
    </row>
    <row r="2184" spans="1:26" s="29" customFormat="1" ht="90.75" customHeight="1" x14ac:dyDescent="0.25">
      <c r="A2184" s="20"/>
      <c r="B2184" s="20"/>
      <c r="C2184" s="20"/>
      <c r="D2184" s="21"/>
      <c r="E2184" s="21"/>
      <c r="F2184" s="22"/>
      <c r="G2184" s="23"/>
      <c r="H2184" s="24"/>
      <c r="I2184" s="25"/>
      <c r="J2184" s="24"/>
      <c r="K2184" s="37">
        <v>4</v>
      </c>
      <c r="L2184" s="31" t="s">
        <v>215</v>
      </c>
      <c r="M2184" s="31" t="s">
        <v>30</v>
      </c>
      <c r="N2184" s="41">
        <v>2</v>
      </c>
      <c r="O2184" s="46">
        <v>52.25</v>
      </c>
      <c r="P2184" s="86">
        <v>100</v>
      </c>
      <c r="Q2184" s="36">
        <v>6450</v>
      </c>
      <c r="R2184" s="36">
        <f t="shared" si="367"/>
        <v>337012.5</v>
      </c>
      <c r="S2184" s="37">
        <v>22</v>
      </c>
      <c r="T2184" s="28">
        <f t="shared" si="368"/>
        <v>114584.25</v>
      </c>
      <c r="U2184" s="36">
        <f t="shared" si="369"/>
        <v>222428.25</v>
      </c>
      <c r="V2184" s="48"/>
      <c r="W2184" s="48"/>
      <c r="X2184" s="47"/>
      <c r="Y2184" s="48"/>
      <c r="Z2184" s="53"/>
    </row>
    <row r="2185" spans="1:26" s="29" customFormat="1" ht="90.75" customHeight="1" x14ac:dyDescent="0.25">
      <c r="A2185" s="20"/>
      <c r="B2185" s="20"/>
      <c r="C2185" s="20"/>
      <c r="D2185" s="21"/>
      <c r="E2185" s="21"/>
      <c r="F2185" s="22"/>
      <c r="G2185" s="23"/>
      <c r="H2185" s="24"/>
      <c r="I2185" s="25"/>
      <c r="J2185" s="24"/>
      <c r="K2185" s="37">
        <v>5</v>
      </c>
      <c r="L2185" s="31" t="s">
        <v>215</v>
      </c>
      <c r="M2185" s="31" t="s">
        <v>30</v>
      </c>
      <c r="N2185" s="41">
        <v>2</v>
      </c>
      <c r="O2185" s="46">
        <v>50</v>
      </c>
      <c r="P2185" s="86">
        <v>100</v>
      </c>
      <c r="Q2185" s="36">
        <v>6450</v>
      </c>
      <c r="R2185" s="36">
        <f t="shared" si="367"/>
        <v>322500</v>
      </c>
      <c r="S2185" s="37">
        <v>22</v>
      </c>
      <c r="T2185" s="28">
        <f t="shared" si="368"/>
        <v>109650</v>
      </c>
      <c r="U2185" s="36">
        <f t="shared" si="369"/>
        <v>212850</v>
      </c>
      <c r="V2185" s="48"/>
      <c r="W2185" s="48"/>
      <c r="X2185" s="47"/>
      <c r="Y2185" s="48"/>
      <c r="Z2185" s="53"/>
    </row>
    <row r="2186" spans="1:26" s="29" customFormat="1" ht="90.75" customHeight="1" x14ac:dyDescent="0.25">
      <c r="A2186" s="20"/>
      <c r="B2186" s="20"/>
      <c r="C2186" s="20"/>
      <c r="D2186" s="21"/>
      <c r="E2186" s="21"/>
      <c r="F2186" s="22"/>
      <c r="G2186" s="23"/>
      <c r="H2186" s="24"/>
      <c r="I2186" s="25"/>
      <c r="J2186" s="24"/>
      <c r="K2186" s="37">
        <v>6</v>
      </c>
      <c r="L2186" s="31" t="s">
        <v>215</v>
      </c>
      <c r="M2186" s="31" t="s">
        <v>30</v>
      </c>
      <c r="N2186" s="41">
        <v>2</v>
      </c>
      <c r="O2186" s="46">
        <v>69</v>
      </c>
      <c r="P2186" s="86">
        <v>100</v>
      </c>
      <c r="Q2186" s="36">
        <v>6450</v>
      </c>
      <c r="R2186" s="36">
        <f t="shared" si="367"/>
        <v>445050</v>
      </c>
      <c r="S2186" s="37">
        <v>22</v>
      </c>
      <c r="T2186" s="28">
        <f t="shared" si="368"/>
        <v>151317</v>
      </c>
      <c r="U2186" s="36">
        <f t="shared" si="369"/>
        <v>293733</v>
      </c>
      <c r="V2186" s="48"/>
      <c r="W2186" s="48"/>
      <c r="X2186" s="47"/>
      <c r="Y2186" s="48"/>
      <c r="Z2186" s="53"/>
    </row>
    <row r="2187" spans="1:26" s="29" customFormat="1" ht="90.75" customHeight="1" x14ac:dyDescent="0.25">
      <c r="A2187" s="20"/>
      <c r="B2187" s="20"/>
      <c r="C2187" s="20"/>
      <c r="D2187" s="21"/>
      <c r="E2187" s="21"/>
      <c r="F2187" s="22"/>
      <c r="G2187" s="23"/>
      <c r="H2187" s="24"/>
      <c r="I2187" s="25"/>
      <c r="J2187" s="24"/>
      <c r="K2187" s="37">
        <v>7</v>
      </c>
      <c r="L2187" s="31" t="s">
        <v>215</v>
      </c>
      <c r="M2187" s="31" t="s">
        <v>30</v>
      </c>
      <c r="N2187" s="41">
        <v>2</v>
      </c>
      <c r="O2187" s="46">
        <v>70.400000000000006</v>
      </c>
      <c r="P2187" s="86">
        <v>100</v>
      </c>
      <c r="Q2187" s="36">
        <v>6450</v>
      </c>
      <c r="R2187" s="36">
        <f t="shared" si="367"/>
        <v>454080.00000000006</v>
      </c>
      <c r="S2187" s="37">
        <v>22</v>
      </c>
      <c r="T2187" s="28">
        <f t="shared" si="368"/>
        <v>154387.20000000001</v>
      </c>
      <c r="U2187" s="36">
        <f t="shared" si="369"/>
        <v>299692.80000000005</v>
      </c>
      <c r="V2187" s="48"/>
      <c r="W2187" s="48"/>
      <c r="X2187" s="47"/>
      <c r="Y2187" s="48"/>
      <c r="Z2187" s="53"/>
    </row>
    <row r="2188" spans="1:26" s="29" customFormat="1" ht="90.75" customHeight="1" x14ac:dyDescent="0.25">
      <c r="A2188" s="20"/>
      <c r="B2188" s="20"/>
      <c r="C2188" s="20"/>
      <c r="D2188" s="21"/>
      <c r="E2188" s="21"/>
      <c r="F2188" s="22"/>
      <c r="G2188" s="23"/>
      <c r="H2188" s="24"/>
      <c r="I2188" s="25"/>
      <c r="J2188" s="24"/>
      <c r="K2188" s="37">
        <v>8</v>
      </c>
      <c r="L2188" s="31" t="s">
        <v>215</v>
      </c>
      <c r="M2188" s="31" t="s">
        <v>30</v>
      </c>
      <c r="N2188" s="41">
        <v>2</v>
      </c>
      <c r="O2188" s="46">
        <v>88</v>
      </c>
      <c r="P2188" s="86">
        <v>100</v>
      </c>
      <c r="Q2188" s="36">
        <v>6450</v>
      </c>
      <c r="R2188" s="36">
        <f t="shared" si="367"/>
        <v>567600</v>
      </c>
      <c r="S2188" s="37">
        <v>22</v>
      </c>
      <c r="T2188" s="28">
        <f t="shared" si="368"/>
        <v>192984</v>
      </c>
      <c r="U2188" s="36">
        <f t="shared" si="369"/>
        <v>374616</v>
      </c>
      <c r="V2188" s="48"/>
      <c r="W2188" s="48"/>
      <c r="X2188" s="47"/>
      <c r="Y2188" s="48"/>
      <c r="Z2188" s="53"/>
    </row>
    <row r="2189" spans="1:26" s="29" customFormat="1" ht="90.75" customHeight="1" x14ac:dyDescent="0.25">
      <c r="A2189" s="20"/>
      <c r="B2189" s="20"/>
      <c r="C2189" s="20"/>
      <c r="D2189" s="21"/>
      <c r="E2189" s="21"/>
      <c r="F2189" s="22"/>
      <c r="G2189" s="23"/>
      <c r="H2189" s="24"/>
      <c r="I2189" s="25"/>
      <c r="J2189" s="24"/>
      <c r="K2189" s="37">
        <v>9</v>
      </c>
      <c r="L2189" s="31" t="s">
        <v>215</v>
      </c>
      <c r="M2189" s="31" t="s">
        <v>30</v>
      </c>
      <c r="N2189" s="33">
        <v>2</v>
      </c>
      <c r="O2189" s="82">
        <v>123.5</v>
      </c>
      <c r="P2189" s="86">
        <v>100</v>
      </c>
      <c r="Q2189" s="36">
        <v>6450</v>
      </c>
      <c r="R2189" s="36">
        <f t="shared" si="367"/>
        <v>796575</v>
      </c>
      <c r="S2189" s="37">
        <v>22</v>
      </c>
      <c r="T2189" s="28">
        <f t="shared" si="368"/>
        <v>270835.5</v>
      </c>
      <c r="U2189" s="36">
        <f t="shared" si="369"/>
        <v>525739.5</v>
      </c>
      <c r="V2189" s="48"/>
      <c r="W2189" s="48"/>
      <c r="X2189" s="47"/>
      <c r="Y2189" s="48"/>
      <c r="Z2189" s="53"/>
    </row>
    <row r="2190" spans="1:26" s="29" customFormat="1" ht="90.75" customHeight="1" x14ac:dyDescent="0.25">
      <c r="A2190" s="20"/>
      <c r="B2190" s="20"/>
      <c r="C2190" s="20"/>
      <c r="D2190" s="21"/>
      <c r="E2190" s="21"/>
      <c r="F2190" s="22"/>
      <c r="G2190" s="23"/>
      <c r="H2190" s="24"/>
      <c r="I2190" s="25"/>
      <c r="J2190" s="24"/>
      <c r="K2190" s="37">
        <v>10</v>
      </c>
      <c r="L2190" s="31" t="s">
        <v>31</v>
      </c>
      <c r="M2190" s="32"/>
      <c r="N2190" s="33"/>
      <c r="O2190" s="82">
        <v>39</v>
      </c>
      <c r="P2190" s="86">
        <v>100</v>
      </c>
      <c r="Q2190" s="36">
        <v>2550</v>
      </c>
      <c r="R2190" s="36">
        <f t="shared" si="367"/>
        <v>99450</v>
      </c>
      <c r="S2190" s="37">
        <v>22</v>
      </c>
      <c r="T2190" s="28">
        <f t="shared" si="368"/>
        <v>33813</v>
      </c>
      <c r="U2190" s="36">
        <f t="shared" si="369"/>
        <v>65637</v>
      </c>
      <c r="V2190" s="48"/>
      <c r="W2190" s="48"/>
      <c r="X2190" s="47"/>
      <c r="Y2190" s="48"/>
      <c r="Z2190" s="53"/>
    </row>
    <row r="2191" spans="1:26" s="29" customFormat="1" ht="90.75" customHeight="1" x14ac:dyDescent="0.25">
      <c r="A2191" s="20"/>
      <c r="B2191" s="20"/>
      <c r="C2191" s="20"/>
      <c r="D2191" s="21"/>
      <c r="E2191" s="21"/>
      <c r="F2191" s="22"/>
      <c r="G2191" s="23"/>
      <c r="H2191" s="24"/>
      <c r="I2191" s="25"/>
      <c r="J2191" s="24"/>
      <c r="K2191" s="33"/>
      <c r="L2191" s="31"/>
      <c r="M2191" s="43"/>
      <c r="N2191" s="30"/>
      <c r="O2191" s="48"/>
      <c r="P2191" s="43"/>
      <c r="Q2191" s="44"/>
      <c r="R2191" s="41"/>
      <c r="S2191" s="41"/>
      <c r="T2191" s="47"/>
      <c r="U2191" s="48">
        <f>(U2181+U2182+U2183+U2184+U2185+U2186+U2187+U2188+U2189+U2190)</f>
        <v>2919529.8</v>
      </c>
      <c r="V2191" s="48">
        <f>(J2180+U2191)</f>
        <v>4473529.8</v>
      </c>
      <c r="W2191" s="48">
        <f>(V2191*100/100)</f>
        <v>4473529.8</v>
      </c>
      <c r="X2191" s="47">
        <v>0</v>
      </c>
      <c r="Y2191" s="48">
        <f>(W2191-X2191)</f>
        <v>4473529.8</v>
      </c>
      <c r="Z2191" s="49">
        <v>2.0000000000000001E-4</v>
      </c>
    </row>
    <row r="2192" spans="1:26" s="29" customFormat="1" ht="90.75" customHeight="1" x14ac:dyDescent="0.25">
      <c r="A2192" s="20">
        <v>1278</v>
      </c>
      <c r="B2192" s="20" t="s">
        <v>0</v>
      </c>
      <c r="C2192" s="20">
        <v>6875</v>
      </c>
      <c r="D2192" s="21">
        <v>0</v>
      </c>
      <c r="E2192" s="21">
        <v>2</v>
      </c>
      <c r="F2192" s="22">
        <v>5</v>
      </c>
      <c r="G2192" s="23" t="s">
        <v>211</v>
      </c>
      <c r="H2192" s="24">
        <f>(D2192*400)+(E2192*100)+F2192</f>
        <v>205</v>
      </c>
      <c r="I2192" s="25" t="s">
        <v>75</v>
      </c>
      <c r="J2192" s="24">
        <f t="shared" ref="J2192:J2198" si="370">(H2192*I2192)</f>
        <v>128125</v>
      </c>
      <c r="K2192" s="20"/>
      <c r="L2192" s="20"/>
      <c r="M2192" s="20"/>
      <c r="N2192" s="20"/>
      <c r="O2192" s="24"/>
      <c r="P2192" s="24"/>
      <c r="Q2192" s="25"/>
      <c r="R2192" s="24"/>
      <c r="S2192" s="20"/>
      <c r="T2192" s="27"/>
      <c r="U2192" s="20"/>
      <c r="V2192" s="20"/>
      <c r="W2192" s="26"/>
      <c r="X2192" s="27"/>
      <c r="Y2192" s="20"/>
      <c r="Z2192" s="20"/>
    </row>
    <row r="2193" spans="1:26" s="29" customFormat="1" ht="90.75" customHeight="1" x14ac:dyDescent="0.25">
      <c r="A2193" s="20"/>
      <c r="B2193" s="20"/>
      <c r="C2193" s="20"/>
      <c r="D2193" s="21"/>
      <c r="E2193" s="21"/>
      <c r="F2193" s="22"/>
      <c r="G2193" s="23"/>
      <c r="H2193" s="24">
        <v>194.75</v>
      </c>
      <c r="I2193" s="25" t="s">
        <v>75</v>
      </c>
      <c r="J2193" s="24">
        <f t="shared" si="370"/>
        <v>121718.75</v>
      </c>
      <c r="K2193" s="20">
        <v>1</v>
      </c>
      <c r="L2193" s="20" t="s">
        <v>16</v>
      </c>
      <c r="M2193" s="20" t="s">
        <v>13</v>
      </c>
      <c r="N2193" s="20">
        <v>5</v>
      </c>
      <c r="O2193" s="24">
        <v>117.7</v>
      </c>
      <c r="P2193" s="24">
        <v>100</v>
      </c>
      <c r="Q2193" s="25">
        <v>6450</v>
      </c>
      <c r="R2193" s="36">
        <f>(O2193*Q2193)</f>
        <v>759165</v>
      </c>
      <c r="S2193" s="20">
        <v>1</v>
      </c>
      <c r="T2193" s="24">
        <f>(R2193*1/100)</f>
        <v>7591.65</v>
      </c>
      <c r="U2193" s="78">
        <f>(R2193-T2193)</f>
        <v>751573.35</v>
      </c>
      <c r="V2193" s="27">
        <f>(J2193+U2193)</f>
        <v>873292.1</v>
      </c>
      <c r="W2193" s="26">
        <f>(V2193*100/100)</f>
        <v>873292.1</v>
      </c>
      <c r="X2193" s="24">
        <v>50000000</v>
      </c>
      <c r="Y2193" s="20"/>
      <c r="Z2193" s="20"/>
    </row>
    <row r="2194" spans="1:26" s="29" customFormat="1" ht="90.75" customHeight="1" x14ac:dyDescent="0.25">
      <c r="A2194" s="20"/>
      <c r="B2194" s="20"/>
      <c r="C2194" s="20"/>
      <c r="D2194" s="21"/>
      <c r="E2194" s="21"/>
      <c r="F2194" s="22"/>
      <c r="G2194" s="23"/>
      <c r="H2194" s="24">
        <v>10.25</v>
      </c>
      <c r="I2194" s="25" t="s">
        <v>75</v>
      </c>
      <c r="J2194" s="24">
        <f t="shared" si="370"/>
        <v>6406.25</v>
      </c>
      <c r="K2194" s="20"/>
      <c r="L2194" s="20" t="s">
        <v>29</v>
      </c>
      <c r="M2194" s="20" t="s">
        <v>13</v>
      </c>
      <c r="N2194" s="20">
        <v>3</v>
      </c>
      <c r="O2194" s="24">
        <v>41</v>
      </c>
      <c r="P2194" s="24">
        <v>100</v>
      </c>
      <c r="Q2194" s="25">
        <v>5550</v>
      </c>
      <c r="R2194" s="36">
        <f>(O2194*Q2194)</f>
        <v>227550</v>
      </c>
      <c r="S2194" s="20">
        <v>1</v>
      </c>
      <c r="T2194" s="24">
        <f>(R2194*1/100)</f>
        <v>2275.5</v>
      </c>
      <c r="U2194" s="78">
        <f>(R2194-T2194)</f>
        <v>225274.5</v>
      </c>
      <c r="V2194" s="27">
        <f>(J2194+U2194)</f>
        <v>231680.75</v>
      </c>
      <c r="W2194" s="26">
        <f>(V2194*100/100)</f>
        <v>231680.75</v>
      </c>
      <c r="X2194" s="47">
        <v>0</v>
      </c>
      <c r="Y2194" s="48">
        <f>(W2194-X2194)</f>
        <v>231680.75</v>
      </c>
      <c r="Z2194" s="49">
        <v>3.0000000000000001E-3</v>
      </c>
    </row>
    <row r="2195" spans="1:26" s="29" customFormat="1" ht="90.75" customHeight="1" x14ac:dyDescent="0.25">
      <c r="A2195" s="20">
        <v>1279</v>
      </c>
      <c r="B2195" s="20" t="s">
        <v>0</v>
      </c>
      <c r="C2195" s="20">
        <v>2202</v>
      </c>
      <c r="D2195" s="21">
        <v>0</v>
      </c>
      <c r="E2195" s="21">
        <v>2</v>
      </c>
      <c r="F2195" s="22">
        <v>21</v>
      </c>
      <c r="G2195" s="23" t="s">
        <v>209</v>
      </c>
      <c r="H2195" s="24">
        <f>(D2195*400)+(E2195*100)+F2195</f>
        <v>221</v>
      </c>
      <c r="I2195" s="25" t="s">
        <v>65</v>
      </c>
      <c r="J2195" s="24">
        <f t="shared" si="370"/>
        <v>160225</v>
      </c>
      <c r="K2195" s="20">
        <v>1</v>
      </c>
      <c r="L2195" s="20" t="s">
        <v>29</v>
      </c>
      <c r="M2195" s="20" t="s">
        <v>13</v>
      </c>
      <c r="N2195" s="20">
        <v>3</v>
      </c>
      <c r="O2195" s="24">
        <v>546</v>
      </c>
      <c r="P2195" s="24">
        <v>100</v>
      </c>
      <c r="Q2195" s="25">
        <v>3500</v>
      </c>
      <c r="R2195" s="24">
        <f>(O2195*Q2195)</f>
        <v>1911000</v>
      </c>
      <c r="S2195" s="20">
        <v>10</v>
      </c>
      <c r="T2195" s="27">
        <f>(R2195*12/100)</f>
        <v>229320</v>
      </c>
      <c r="U2195" s="27">
        <f>(J2195+T2195)</f>
        <v>389545</v>
      </c>
      <c r="V2195" s="27">
        <f>(J2195+U2195)</f>
        <v>549770</v>
      </c>
      <c r="W2195" s="26">
        <f>(V2195*100/100)</f>
        <v>549770</v>
      </c>
      <c r="X2195" s="47">
        <v>0</v>
      </c>
      <c r="Y2195" s="48">
        <f>(W2195-X2195)</f>
        <v>549770</v>
      </c>
      <c r="Z2195" s="49">
        <v>3.0000000000000001E-3</v>
      </c>
    </row>
    <row r="2196" spans="1:26" s="29" customFormat="1" ht="90.75" customHeight="1" x14ac:dyDescent="0.25">
      <c r="A2196" s="20">
        <v>1280</v>
      </c>
      <c r="B2196" s="20" t="s">
        <v>0</v>
      </c>
      <c r="C2196" s="20">
        <v>35555</v>
      </c>
      <c r="D2196" s="21">
        <v>4</v>
      </c>
      <c r="E2196" s="21">
        <v>2</v>
      </c>
      <c r="F2196" s="22">
        <v>48</v>
      </c>
      <c r="G2196" s="23" t="s">
        <v>209</v>
      </c>
      <c r="H2196" s="24">
        <f>(D2196*400)+(E2196*100)+F2196</f>
        <v>1848</v>
      </c>
      <c r="I2196" s="25">
        <v>800</v>
      </c>
      <c r="J2196" s="24">
        <f t="shared" si="370"/>
        <v>1478400</v>
      </c>
      <c r="K2196" s="20"/>
      <c r="L2196" s="20"/>
      <c r="M2196" s="20"/>
      <c r="N2196" s="20"/>
      <c r="O2196" s="24"/>
      <c r="P2196" s="24"/>
      <c r="Q2196" s="25"/>
      <c r="R2196" s="24"/>
      <c r="S2196" s="20"/>
      <c r="T2196" s="27"/>
      <c r="U2196" s="20"/>
      <c r="V2196" s="20"/>
      <c r="W2196" s="26"/>
      <c r="X2196" s="27"/>
      <c r="Y2196" s="20"/>
      <c r="Z2196" s="20"/>
    </row>
    <row r="2197" spans="1:26" s="29" customFormat="1" ht="90.75" customHeight="1" x14ac:dyDescent="0.25">
      <c r="A2197" s="20"/>
      <c r="B2197" s="20"/>
      <c r="C2197" s="20"/>
      <c r="D2197" s="21"/>
      <c r="E2197" s="21"/>
      <c r="F2197" s="22"/>
      <c r="G2197" s="23"/>
      <c r="H2197" s="24">
        <v>36</v>
      </c>
      <c r="I2197" s="25">
        <v>800</v>
      </c>
      <c r="J2197" s="24">
        <f t="shared" si="370"/>
        <v>28800</v>
      </c>
      <c r="K2197" s="20">
        <v>1</v>
      </c>
      <c r="L2197" s="20" t="s">
        <v>29</v>
      </c>
      <c r="M2197" s="20" t="s">
        <v>13</v>
      </c>
      <c r="N2197" s="20">
        <v>3</v>
      </c>
      <c r="O2197" s="24">
        <v>144</v>
      </c>
      <c r="P2197" s="24">
        <v>100</v>
      </c>
      <c r="Q2197" s="25">
        <v>5550</v>
      </c>
      <c r="R2197" s="36">
        <f>(O2197*Q2197)</f>
        <v>799200</v>
      </c>
      <c r="S2197" s="20">
        <v>3</v>
      </c>
      <c r="T2197" s="24">
        <f>(R2197*3/100)</f>
        <v>23976</v>
      </c>
      <c r="U2197" s="78">
        <f>(R2197-T2197)</f>
        <v>775224</v>
      </c>
      <c r="V2197" s="27">
        <f>(J2197+U2197)</f>
        <v>804024</v>
      </c>
      <c r="W2197" s="26">
        <f>(V2197*100/100)</f>
        <v>804024</v>
      </c>
      <c r="X2197" s="47">
        <v>0</v>
      </c>
      <c r="Y2197" s="48">
        <f>(W2197-X2197)</f>
        <v>804024</v>
      </c>
      <c r="Z2197" s="49">
        <v>3.0000000000000001E-3</v>
      </c>
    </row>
    <row r="2198" spans="1:26" s="29" customFormat="1" ht="90.75" customHeight="1" x14ac:dyDescent="0.25">
      <c r="A2198" s="20">
        <v>1281</v>
      </c>
      <c r="B2198" s="20" t="s">
        <v>0</v>
      </c>
      <c r="C2198" s="20">
        <v>3959</v>
      </c>
      <c r="D2198" s="21">
        <v>0</v>
      </c>
      <c r="E2198" s="21">
        <v>1</v>
      </c>
      <c r="F2198" s="22">
        <v>23</v>
      </c>
      <c r="G2198" s="23" t="s">
        <v>209</v>
      </c>
      <c r="H2198" s="24">
        <f>(D2198*400)+(E2198*100)+F2198</f>
        <v>123</v>
      </c>
      <c r="I2198" s="25" t="s">
        <v>47</v>
      </c>
      <c r="J2198" s="24">
        <f t="shared" si="370"/>
        <v>104550</v>
      </c>
      <c r="K2198" s="20"/>
      <c r="L2198" s="20"/>
      <c r="M2198" s="20"/>
      <c r="N2198" s="20"/>
      <c r="O2198" s="24"/>
      <c r="P2198" s="24"/>
      <c r="Q2198" s="25"/>
      <c r="R2198" s="24"/>
      <c r="S2198" s="20"/>
      <c r="T2198" s="27"/>
      <c r="U2198" s="20"/>
      <c r="V2198" s="20"/>
      <c r="W2198" s="26"/>
      <c r="X2198" s="27"/>
      <c r="Y2198" s="20"/>
      <c r="Z2198" s="20"/>
    </row>
    <row r="2199" spans="1:26" s="29" customFormat="1" ht="90.75" customHeight="1" x14ac:dyDescent="0.25">
      <c r="A2199" s="20"/>
      <c r="B2199" s="20"/>
      <c r="C2199" s="20"/>
      <c r="D2199" s="21"/>
      <c r="E2199" s="21"/>
      <c r="F2199" s="22"/>
      <c r="G2199" s="23"/>
      <c r="H2199" s="24"/>
      <c r="I2199" s="25"/>
      <c r="J2199" s="24"/>
      <c r="K2199" s="37">
        <v>1</v>
      </c>
      <c r="L2199" s="20" t="s">
        <v>41</v>
      </c>
      <c r="M2199" s="37" t="s">
        <v>13</v>
      </c>
      <c r="N2199" s="30">
        <v>3</v>
      </c>
      <c r="O2199" s="77">
        <v>24</v>
      </c>
      <c r="P2199" s="35">
        <v>100</v>
      </c>
      <c r="Q2199" s="40">
        <v>6400</v>
      </c>
      <c r="R2199" s="77">
        <f>(O2199*Q2199)</f>
        <v>153600</v>
      </c>
      <c r="S2199" s="37">
        <v>5</v>
      </c>
      <c r="T2199" s="28">
        <f>(R2199*5/100)</f>
        <v>7680</v>
      </c>
      <c r="U2199" s="77">
        <f>(R2199-T2199)</f>
        <v>145920</v>
      </c>
      <c r="V2199" s="36"/>
      <c r="W2199" s="36"/>
      <c r="X2199" s="28"/>
      <c r="Y2199" s="26"/>
      <c r="Z2199" s="53"/>
    </row>
    <row r="2200" spans="1:26" s="29" customFormat="1" ht="90.75" customHeight="1" x14ac:dyDescent="0.25">
      <c r="A2200" s="20"/>
      <c r="B2200" s="20"/>
      <c r="C2200" s="20"/>
      <c r="D2200" s="21"/>
      <c r="E2200" s="21"/>
      <c r="F2200" s="22"/>
      <c r="G2200" s="23"/>
      <c r="H2200" s="24"/>
      <c r="I2200" s="25"/>
      <c r="J2200" s="24"/>
      <c r="K2200" s="37">
        <v>2</v>
      </c>
      <c r="L2200" s="20" t="s">
        <v>31</v>
      </c>
      <c r="M2200" s="37"/>
      <c r="N2200" s="30">
        <v>3</v>
      </c>
      <c r="O2200" s="77">
        <v>14</v>
      </c>
      <c r="P2200" s="35">
        <v>100</v>
      </c>
      <c r="Q2200" s="40">
        <v>2550</v>
      </c>
      <c r="R2200" s="77">
        <f>(O2200*Q2200)</f>
        <v>35700</v>
      </c>
      <c r="S2200" s="37">
        <v>5</v>
      </c>
      <c r="T2200" s="28">
        <f>(R2200*5/100)</f>
        <v>1785</v>
      </c>
      <c r="U2200" s="77">
        <f>(R2200-T2200)</f>
        <v>33915</v>
      </c>
      <c r="V2200" s="36"/>
      <c r="W2200" s="36"/>
      <c r="X2200" s="28"/>
      <c r="Y2200" s="26"/>
      <c r="Z2200" s="53"/>
    </row>
    <row r="2201" spans="1:26" s="29" customFormat="1" ht="90.75" customHeight="1" x14ac:dyDescent="0.25">
      <c r="A2201" s="20"/>
      <c r="B2201" s="20"/>
      <c r="C2201" s="20"/>
      <c r="D2201" s="21"/>
      <c r="E2201" s="21"/>
      <c r="F2201" s="22"/>
      <c r="G2201" s="23"/>
      <c r="H2201" s="24"/>
      <c r="I2201" s="25"/>
      <c r="J2201" s="24"/>
      <c r="K2201" s="37"/>
      <c r="L2201" s="20"/>
      <c r="M2201" s="37"/>
      <c r="N2201" s="30"/>
      <c r="O2201" s="77"/>
      <c r="P2201" s="35"/>
      <c r="Q2201" s="40"/>
      <c r="R2201" s="77"/>
      <c r="S2201" s="37"/>
      <c r="T2201" s="28"/>
      <c r="U2201" s="77">
        <f>SUM(U2199:U2200)</f>
        <v>179835</v>
      </c>
      <c r="V2201" s="36">
        <f>(J2198+U2201)</f>
        <v>284385</v>
      </c>
      <c r="W2201" s="36">
        <f>(V2201*100/100)</f>
        <v>284385</v>
      </c>
      <c r="X2201" s="28">
        <v>0</v>
      </c>
      <c r="Y2201" s="26">
        <f>(W2201-X2201)</f>
        <v>284385</v>
      </c>
      <c r="Z2201" s="49">
        <v>3.0000000000000001E-3</v>
      </c>
    </row>
    <row r="2202" spans="1:26" s="29" customFormat="1" ht="90.75" customHeight="1" x14ac:dyDescent="0.25">
      <c r="A2202" s="20">
        <v>1282</v>
      </c>
      <c r="B2202" s="20" t="s">
        <v>0</v>
      </c>
      <c r="C2202" s="20">
        <v>5474</v>
      </c>
      <c r="D2202" s="21">
        <v>0</v>
      </c>
      <c r="E2202" s="21">
        <v>1</v>
      </c>
      <c r="F2202" s="22">
        <v>43</v>
      </c>
      <c r="G2202" s="23" t="s">
        <v>56</v>
      </c>
      <c r="H2202" s="24">
        <f>(D2202*400)+(E2202*100)+F2202</f>
        <v>143</v>
      </c>
      <c r="I2202" s="25" t="s">
        <v>26</v>
      </c>
      <c r="J2202" s="24">
        <f t="shared" ref="J2202:J2207" si="371">(H2202*I2202)</f>
        <v>164450</v>
      </c>
      <c r="K2202" s="20"/>
      <c r="L2202" s="20"/>
      <c r="M2202" s="20"/>
      <c r="N2202" s="20"/>
      <c r="O2202" s="24"/>
      <c r="P2202" s="24"/>
      <c r="Q2202" s="25"/>
      <c r="R2202" s="24"/>
      <c r="S2202" s="20"/>
      <c r="T2202" s="27"/>
      <c r="U2202" s="20"/>
      <c r="V2202" s="20"/>
      <c r="W2202" s="26"/>
      <c r="X2202" s="27"/>
      <c r="Y2202" s="20"/>
      <c r="Z2202" s="20"/>
    </row>
    <row r="2203" spans="1:26" s="29" customFormat="1" ht="90.75" customHeight="1" x14ac:dyDescent="0.25">
      <c r="A2203" s="20"/>
      <c r="B2203" s="20"/>
      <c r="C2203" s="20"/>
      <c r="D2203" s="21"/>
      <c r="E2203" s="21"/>
      <c r="F2203" s="22"/>
      <c r="G2203" s="23"/>
      <c r="H2203" s="36">
        <v>52</v>
      </c>
      <c r="I2203" s="40">
        <v>1150</v>
      </c>
      <c r="J2203" s="28">
        <f t="shared" si="371"/>
        <v>59800</v>
      </c>
      <c r="K2203" s="37">
        <v>1</v>
      </c>
      <c r="L2203" s="31" t="s">
        <v>43</v>
      </c>
      <c r="M2203" s="32" t="s">
        <v>13</v>
      </c>
      <c r="N2203" s="33">
        <v>2</v>
      </c>
      <c r="O2203" s="34">
        <v>208</v>
      </c>
      <c r="P2203" s="35">
        <v>100</v>
      </c>
      <c r="Q2203" s="36">
        <v>7700</v>
      </c>
      <c r="R2203" s="36">
        <f>(O2203*Q2203)</f>
        <v>1601600</v>
      </c>
      <c r="S2203" s="37">
        <v>22</v>
      </c>
      <c r="T2203" s="28">
        <f>(R2203*34/100)</f>
        <v>544544</v>
      </c>
      <c r="U2203" s="36">
        <f>(R2203-T2203)</f>
        <v>1057056</v>
      </c>
      <c r="V2203" s="36">
        <f>(J2203+U2203)</f>
        <v>1116856</v>
      </c>
      <c r="W2203" s="36">
        <f>(V2203*100/100)</f>
        <v>1116856</v>
      </c>
      <c r="X2203" s="28">
        <v>0</v>
      </c>
      <c r="Y2203" s="28">
        <f>(W2203-X2203)</f>
        <v>1116856</v>
      </c>
      <c r="Z2203" s="49">
        <v>2.0000000000000001E-4</v>
      </c>
    </row>
    <row r="2204" spans="1:26" s="29" customFormat="1" ht="90.75" customHeight="1" x14ac:dyDescent="0.25">
      <c r="A2204" s="20">
        <v>1283</v>
      </c>
      <c r="B2204" s="20" t="s">
        <v>0</v>
      </c>
      <c r="C2204" s="20">
        <v>37497</v>
      </c>
      <c r="D2204" s="21">
        <v>0</v>
      </c>
      <c r="E2204" s="21">
        <v>0</v>
      </c>
      <c r="F2204" s="22">
        <v>44</v>
      </c>
      <c r="G2204" s="23" t="s">
        <v>211</v>
      </c>
      <c r="H2204" s="24">
        <f>(D2204*400)+(E2204*100)+F2204</f>
        <v>44</v>
      </c>
      <c r="I2204" s="25" t="s">
        <v>32</v>
      </c>
      <c r="J2204" s="24">
        <f t="shared" si="371"/>
        <v>8800</v>
      </c>
      <c r="K2204" s="20"/>
      <c r="L2204" s="20"/>
      <c r="M2204" s="20"/>
      <c r="N2204" s="20"/>
      <c r="O2204" s="24"/>
      <c r="P2204" s="24"/>
      <c r="Q2204" s="25"/>
      <c r="R2204" s="24"/>
      <c r="S2204" s="20"/>
      <c r="T2204" s="27"/>
      <c r="U2204" s="20"/>
      <c r="V2204" s="20"/>
      <c r="W2204" s="26"/>
      <c r="X2204" s="27"/>
      <c r="Y2204" s="20"/>
      <c r="Z2204" s="20"/>
    </row>
    <row r="2205" spans="1:26" s="29" customFormat="1" ht="90.75" customHeight="1" x14ac:dyDescent="0.25">
      <c r="A2205" s="20"/>
      <c r="B2205" s="20"/>
      <c r="C2205" s="20"/>
      <c r="D2205" s="21"/>
      <c r="E2205" s="21"/>
      <c r="F2205" s="22"/>
      <c r="G2205" s="23"/>
      <c r="H2205" s="77">
        <v>36</v>
      </c>
      <c r="I2205" s="40">
        <v>200</v>
      </c>
      <c r="J2205" s="28">
        <f t="shared" si="371"/>
        <v>7200</v>
      </c>
      <c r="K2205" s="37">
        <v>1</v>
      </c>
      <c r="L2205" s="20" t="s">
        <v>215</v>
      </c>
      <c r="M2205" s="37" t="s">
        <v>13</v>
      </c>
      <c r="N2205" s="30">
        <v>2</v>
      </c>
      <c r="O2205" s="77">
        <v>76.8</v>
      </c>
      <c r="P2205" s="35">
        <v>100</v>
      </c>
      <c r="Q2205" s="40">
        <v>6450</v>
      </c>
      <c r="R2205" s="77">
        <f>(O2205*Q2205)</f>
        <v>495360</v>
      </c>
      <c r="S2205" s="37">
        <v>4</v>
      </c>
      <c r="T2205" s="28">
        <f>(R2205*4/100)</f>
        <v>19814.400000000001</v>
      </c>
      <c r="U2205" s="77">
        <f>(R2205-T2205)</f>
        <v>475545.59999999998</v>
      </c>
      <c r="V2205" s="77">
        <f>(J2205+U2205)</f>
        <v>482745.59999999998</v>
      </c>
      <c r="W2205" s="77">
        <f>(V2205)</f>
        <v>482745.59999999998</v>
      </c>
      <c r="X2205" s="28">
        <v>50000000</v>
      </c>
      <c r="Y2205" s="28" t="s">
        <v>225</v>
      </c>
      <c r="Z2205" s="20" t="s">
        <v>225</v>
      </c>
    </row>
    <row r="2206" spans="1:26" s="29" customFormat="1" ht="90.75" customHeight="1" x14ac:dyDescent="0.25">
      <c r="A2206" s="20"/>
      <c r="B2206" s="20"/>
      <c r="C2206" s="20"/>
      <c r="D2206" s="21"/>
      <c r="E2206" s="21"/>
      <c r="F2206" s="22"/>
      <c r="G2206" s="23"/>
      <c r="H2206" s="77">
        <v>8</v>
      </c>
      <c r="I2206" s="40">
        <v>200</v>
      </c>
      <c r="J2206" s="28">
        <f t="shared" si="371"/>
        <v>1600</v>
      </c>
      <c r="K2206" s="37">
        <v>2</v>
      </c>
      <c r="L2206" s="20" t="s">
        <v>215</v>
      </c>
      <c r="M2206" s="37" t="s">
        <v>13</v>
      </c>
      <c r="N2206" s="30">
        <v>3</v>
      </c>
      <c r="O2206" s="77">
        <v>32</v>
      </c>
      <c r="P2206" s="35">
        <v>100</v>
      </c>
      <c r="Q2206" s="40">
        <v>6450</v>
      </c>
      <c r="R2206" s="77">
        <f>(O2206*Q2206)</f>
        <v>206400</v>
      </c>
      <c r="S2206" s="37">
        <v>8</v>
      </c>
      <c r="T2206" s="28">
        <f>(R2206*8/100)</f>
        <v>16512</v>
      </c>
      <c r="U2206" s="77">
        <f>(R2206-T2206)</f>
        <v>189888</v>
      </c>
      <c r="V2206" s="77">
        <f>(J2206+U2206)</f>
        <v>191488</v>
      </c>
      <c r="W2206" s="77">
        <f>(V2206)</f>
        <v>191488</v>
      </c>
      <c r="X2206" s="28"/>
      <c r="Y2206" s="28">
        <f>(W2206)</f>
        <v>191488</v>
      </c>
      <c r="Z2206" s="49">
        <v>3.0000000000000001E-3</v>
      </c>
    </row>
    <row r="2207" spans="1:26" s="29" customFormat="1" ht="90.75" customHeight="1" x14ac:dyDescent="0.25">
      <c r="A2207" s="20">
        <v>1284</v>
      </c>
      <c r="B2207" s="20" t="s">
        <v>0</v>
      </c>
      <c r="C2207" s="20">
        <v>6289</v>
      </c>
      <c r="D2207" s="21">
        <v>0</v>
      </c>
      <c r="E2207" s="21">
        <v>1</v>
      </c>
      <c r="F2207" s="22">
        <v>9</v>
      </c>
      <c r="G2207" s="23" t="s">
        <v>56</v>
      </c>
      <c r="H2207" s="24">
        <f>(D2207*400)+(E2207*100)+F2207</f>
        <v>109</v>
      </c>
      <c r="I2207" s="25" t="s">
        <v>26</v>
      </c>
      <c r="J2207" s="24">
        <f t="shared" si="371"/>
        <v>125350</v>
      </c>
      <c r="K2207" s="20"/>
      <c r="L2207" s="20"/>
      <c r="M2207" s="20"/>
      <c r="N2207" s="20"/>
      <c r="O2207" s="77"/>
      <c r="P2207" s="35"/>
      <c r="Q2207" s="40"/>
      <c r="R2207" s="77"/>
      <c r="S2207" s="37"/>
      <c r="T2207" s="28"/>
      <c r="U2207" s="77"/>
      <c r="V2207" s="20"/>
      <c r="W2207" s="26"/>
      <c r="X2207" s="27"/>
      <c r="Y2207" s="20"/>
      <c r="Z2207" s="20"/>
    </row>
    <row r="2208" spans="1:26" s="29" customFormat="1" ht="90.75" customHeight="1" x14ac:dyDescent="0.25">
      <c r="A2208" s="20"/>
      <c r="B2208" s="20"/>
      <c r="C2208" s="20"/>
      <c r="D2208" s="21"/>
      <c r="E2208" s="21"/>
      <c r="F2208" s="22"/>
      <c r="G2208" s="23"/>
      <c r="H2208" s="24"/>
      <c r="I2208" s="25"/>
      <c r="J2208" s="24"/>
      <c r="K2208" s="20">
        <v>1</v>
      </c>
      <c r="L2208" s="20" t="s">
        <v>43</v>
      </c>
      <c r="M2208" s="20" t="s">
        <v>13</v>
      </c>
      <c r="N2208" s="20">
        <v>2</v>
      </c>
      <c r="O2208" s="77">
        <v>118.9</v>
      </c>
      <c r="P2208" s="35">
        <v>100</v>
      </c>
      <c r="Q2208" s="40">
        <v>7700</v>
      </c>
      <c r="R2208" s="77">
        <f>(O2208*Q2208)</f>
        <v>915530</v>
      </c>
      <c r="S2208" s="37">
        <v>24</v>
      </c>
      <c r="T2208" s="28">
        <f>(R2208*38/100)</f>
        <v>347901.4</v>
      </c>
      <c r="U2208" s="77">
        <f>(R2208-T2208)</f>
        <v>567628.6</v>
      </c>
      <c r="V2208" s="20"/>
      <c r="W2208" s="26"/>
      <c r="X2208" s="27"/>
      <c r="Y2208" s="20"/>
      <c r="Z2208" s="20"/>
    </row>
    <row r="2209" spans="1:26" s="29" customFormat="1" ht="90.75" customHeight="1" x14ac:dyDescent="0.25">
      <c r="A2209" s="20"/>
      <c r="B2209" s="20"/>
      <c r="C2209" s="20"/>
      <c r="D2209" s="21"/>
      <c r="E2209" s="21"/>
      <c r="F2209" s="22"/>
      <c r="G2209" s="23"/>
      <c r="H2209" s="24"/>
      <c r="I2209" s="25"/>
      <c r="J2209" s="24"/>
      <c r="K2209" s="20">
        <v>2</v>
      </c>
      <c r="L2209" s="20" t="s">
        <v>43</v>
      </c>
      <c r="M2209" s="20" t="s">
        <v>13</v>
      </c>
      <c r="N2209" s="20">
        <v>2</v>
      </c>
      <c r="O2209" s="77">
        <v>283.5</v>
      </c>
      <c r="P2209" s="35">
        <v>100</v>
      </c>
      <c r="Q2209" s="40">
        <v>7700</v>
      </c>
      <c r="R2209" s="77">
        <f>(O2209*Q2209)</f>
        <v>2182950</v>
      </c>
      <c r="S2209" s="37">
        <v>24</v>
      </c>
      <c r="T2209" s="28">
        <f>(R2209*38/100)</f>
        <v>829521</v>
      </c>
      <c r="U2209" s="77">
        <f>(R2209-T2209)</f>
        <v>1353429</v>
      </c>
      <c r="V2209" s="20"/>
      <c r="W2209" s="26"/>
      <c r="X2209" s="27"/>
      <c r="Y2209" s="20"/>
      <c r="Z2209" s="20"/>
    </row>
    <row r="2210" spans="1:26" s="29" customFormat="1" ht="90.75" customHeight="1" x14ac:dyDescent="0.25">
      <c r="A2210" s="20"/>
      <c r="B2210" s="20"/>
      <c r="C2210" s="20"/>
      <c r="D2210" s="21"/>
      <c r="E2210" s="21"/>
      <c r="F2210" s="22"/>
      <c r="G2210" s="23"/>
      <c r="H2210" s="24"/>
      <c r="I2210" s="25"/>
      <c r="J2210" s="24"/>
      <c r="K2210" s="20"/>
      <c r="L2210" s="20"/>
      <c r="M2210" s="20"/>
      <c r="N2210" s="20"/>
      <c r="O2210" s="24"/>
      <c r="P2210" s="24"/>
      <c r="Q2210" s="25"/>
      <c r="R2210" s="24"/>
      <c r="S2210" s="20"/>
      <c r="T2210" s="27"/>
      <c r="U2210" s="80">
        <f>SUM(U2208:U2209)</f>
        <v>1921057.6</v>
      </c>
      <c r="V2210" s="80">
        <f>(J2207+U2210)</f>
        <v>2046407.6</v>
      </c>
      <c r="W2210" s="26">
        <f>(V2210*100/100)</f>
        <v>2046407.6</v>
      </c>
      <c r="X2210" s="27">
        <v>0</v>
      </c>
      <c r="Y2210" s="80">
        <f>(W2210-X2210)</f>
        <v>2046407.6</v>
      </c>
      <c r="Z2210" s="49">
        <v>2.0000000000000001E-4</v>
      </c>
    </row>
    <row r="2211" spans="1:26" s="29" customFormat="1" ht="90.75" customHeight="1" x14ac:dyDescent="0.25">
      <c r="A2211" s="20">
        <v>1285</v>
      </c>
      <c r="B2211" s="20" t="s">
        <v>0</v>
      </c>
      <c r="C2211" s="20">
        <v>30636</v>
      </c>
      <c r="D2211" s="21">
        <v>0</v>
      </c>
      <c r="E2211" s="21">
        <v>0</v>
      </c>
      <c r="F2211" s="22">
        <v>68</v>
      </c>
      <c r="G2211" s="23" t="s">
        <v>56</v>
      </c>
      <c r="H2211" s="24">
        <f>(D2211*400)+(E2211*100)+F2211</f>
        <v>68</v>
      </c>
      <c r="I2211" s="25" t="s">
        <v>80</v>
      </c>
      <c r="J2211" s="24">
        <f>(H2211*I2211)</f>
        <v>39100</v>
      </c>
      <c r="K2211" s="20">
        <v>1</v>
      </c>
      <c r="L2211" s="20" t="s">
        <v>43</v>
      </c>
      <c r="M2211" s="20" t="s">
        <v>13</v>
      </c>
      <c r="N2211" s="20"/>
      <c r="O2211" s="24">
        <v>94.4</v>
      </c>
      <c r="P2211" s="35">
        <v>100</v>
      </c>
      <c r="Q2211" s="40">
        <v>7700</v>
      </c>
      <c r="R2211" s="77">
        <f>(O2211*Q2211)</f>
        <v>726880</v>
      </c>
      <c r="S2211" s="20">
        <v>8</v>
      </c>
      <c r="T2211" s="28">
        <f>(R2211*8/100)</f>
        <v>58150.400000000001</v>
      </c>
      <c r="U2211" s="77">
        <f>(R2211-T2211)</f>
        <v>668729.59999999998</v>
      </c>
      <c r="V2211" s="80">
        <f>(J2208+U2211)</f>
        <v>668729.59999999998</v>
      </c>
      <c r="W2211" s="26">
        <f>(V2211*100/100)</f>
        <v>668729.59999999998</v>
      </c>
      <c r="X2211" s="27">
        <v>0</v>
      </c>
      <c r="Y2211" s="80">
        <f>(W2211-X2211)</f>
        <v>668729.59999999998</v>
      </c>
      <c r="Z2211" s="49">
        <v>2.0000000000000001E-4</v>
      </c>
    </row>
    <row r="2212" spans="1:26" s="29" customFormat="1" ht="90.75" customHeight="1" x14ac:dyDescent="0.25">
      <c r="A2212" s="20">
        <v>1286</v>
      </c>
      <c r="B2212" s="20" t="s">
        <v>0</v>
      </c>
      <c r="C2212" s="20">
        <v>10466</v>
      </c>
      <c r="D2212" s="21">
        <v>0</v>
      </c>
      <c r="E2212" s="21">
        <v>1</v>
      </c>
      <c r="F2212" s="22">
        <v>64</v>
      </c>
      <c r="G2212" s="23" t="s">
        <v>56</v>
      </c>
      <c r="H2212" s="24">
        <f>(D2212*400)+(E2212*100)+F2212</f>
        <v>164</v>
      </c>
      <c r="I2212" s="25">
        <v>525</v>
      </c>
      <c r="J2212" s="24">
        <f>(H2212*I2212)</f>
        <v>86100</v>
      </c>
      <c r="K2212" s="20"/>
      <c r="L2212" s="20"/>
      <c r="M2212" s="20"/>
      <c r="N2212" s="20"/>
      <c r="O2212" s="24"/>
      <c r="P2212" s="24"/>
      <c r="Q2212" s="25"/>
      <c r="R2212" s="24"/>
      <c r="S2212" s="20"/>
      <c r="T2212" s="27"/>
      <c r="U2212" s="20"/>
      <c r="V2212" s="20"/>
      <c r="W2212" s="26"/>
      <c r="X2212" s="27"/>
      <c r="Y2212" s="20"/>
      <c r="Z2212" s="20"/>
    </row>
    <row r="2213" spans="1:26" s="29" customFormat="1" ht="90.75" customHeight="1" x14ac:dyDescent="0.25">
      <c r="A2213" s="20"/>
      <c r="B2213" s="20"/>
      <c r="C2213" s="20"/>
      <c r="D2213" s="21"/>
      <c r="E2213" s="21"/>
      <c r="F2213" s="22"/>
      <c r="G2213" s="23"/>
      <c r="H2213" s="24">
        <v>140</v>
      </c>
      <c r="I2213" s="25">
        <v>525</v>
      </c>
      <c r="J2213" s="24">
        <f>(H2213*I2213)</f>
        <v>73500</v>
      </c>
      <c r="K2213" s="20">
        <v>1</v>
      </c>
      <c r="L2213" s="20" t="s">
        <v>16</v>
      </c>
      <c r="M2213" s="20" t="s">
        <v>46</v>
      </c>
      <c r="N2213" s="20">
        <v>2</v>
      </c>
      <c r="O2213" s="24">
        <v>108</v>
      </c>
      <c r="P2213" s="35">
        <v>100</v>
      </c>
      <c r="Q2213" s="25">
        <v>6450</v>
      </c>
      <c r="R2213" s="77">
        <f>(O2213*Q2213)</f>
        <v>696600</v>
      </c>
      <c r="S2213" s="20">
        <v>35</v>
      </c>
      <c r="T2213" s="28">
        <f>(R2213*93/100)</f>
        <v>647838</v>
      </c>
      <c r="U2213" s="77">
        <f>(R2213-T2213)</f>
        <v>48762</v>
      </c>
      <c r="V2213" s="20"/>
      <c r="W2213" s="26"/>
      <c r="X2213" s="27"/>
      <c r="Y2213" s="20"/>
      <c r="Z2213" s="20"/>
    </row>
    <row r="2214" spans="1:26" s="29" customFormat="1" ht="90.75" customHeight="1" x14ac:dyDescent="0.25">
      <c r="A2214" s="20"/>
      <c r="B2214" s="20"/>
      <c r="C2214" s="20"/>
      <c r="D2214" s="21"/>
      <c r="E2214" s="21"/>
      <c r="F2214" s="22"/>
      <c r="G2214" s="23"/>
      <c r="H2214" s="24"/>
      <c r="I2214" s="25"/>
      <c r="J2214" s="24"/>
      <c r="K2214" s="20">
        <v>2</v>
      </c>
      <c r="L2214" s="20" t="s">
        <v>36</v>
      </c>
      <c r="M2214" s="20" t="s">
        <v>46</v>
      </c>
      <c r="N2214" s="20"/>
      <c r="O2214" s="24">
        <v>24</v>
      </c>
      <c r="P2214" s="35">
        <v>100</v>
      </c>
      <c r="Q2214" s="25">
        <v>5550</v>
      </c>
      <c r="R2214" s="77">
        <f>(O2214*Q2214)</f>
        <v>133200</v>
      </c>
      <c r="S2214" s="20">
        <v>35</v>
      </c>
      <c r="T2214" s="28">
        <f>(R2214*93/100)</f>
        <v>123876</v>
      </c>
      <c r="U2214" s="77">
        <f>(R2214-T2214)</f>
        <v>9324</v>
      </c>
      <c r="V2214" s="20"/>
      <c r="W2214" s="26"/>
      <c r="X2214" s="27"/>
      <c r="Y2214" s="20"/>
      <c r="Z2214" s="20"/>
    </row>
    <row r="2215" spans="1:26" s="29" customFormat="1" ht="90.75" customHeight="1" x14ac:dyDescent="0.25">
      <c r="A2215" s="20"/>
      <c r="B2215" s="20"/>
      <c r="C2215" s="20"/>
      <c r="D2215" s="21"/>
      <c r="E2215" s="21"/>
      <c r="F2215" s="22"/>
      <c r="G2215" s="23"/>
      <c r="H2215" s="24"/>
      <c r="I2215" s="25"/>
      <c r="J2215" s="24"/>
      <c r="K2215" s="20"/>
      <c r="L2215" s="20"/>
      <c r="M2215" s="20"/>
      <c r="N2215" s="20"/>
      <c r="O2215" s="24"/>
      <c r="P2215" s="35"/>
      <c r="Q2215" s="25"/>
      <c r="R2215" s="77"/>
      <c r="S2215" s="20"/>
      <c r="T2215" s="28"/>
      <c r="U2215" s="77">
        <f>SUM(U2213:U2214)</f>
        <v>58086</v>
      </c>
      <c r="V2215" s="80">
        <f>(J2213+U2215)</f>
        <v>131586</v>
      </c>
      <c r="W2215" s="26">
        <f>(V2215*100/100)</f>
        <v>131586</v>
      </c>
      <c r="X2215" s="24">
        <v>50000000</v>
      </c>
      <c r="Y2215" s="20"/>
      <c r="Z2215" s="20"/>
    </row>
    <row r="2216" spans="1:26" s="29" customFormat="1" ht="90.75" customHeight="1" x14ac:dyDescent="0.25">
      <c r="A2216" s="20"/>
      <c r="B2216" s="20"/>
      <c r="C2216" s="20"/>
      <c r="D2216" s="21"/>
      <c r="E2216" s="21"/>
      <c r="F2216" s="22"/>
      <c r="G2216" s="23"/>
      <c r="H2216" s="24">
        <v>24</v>
      </c>
      <c r="I2216" s="25">
        <v>525</v>
      </c>
      <c r="J2216" s="24">
        <f>(H2216*I2216)</f>
        <v>12600</v>
      </c>
      <c r="K2216" s="20">
        <v>3</v>
      </c>
      <c r="L2216" s="20" t="s">
        <v>43</v>
      </c>
      <c r="M2216" s="20" t="s">
        <v>13</v>
      </c>
      <c r="N2216" s="20">
        <v>2</v>
      </c>
      <c r="O2216" s="24">
        <v>96</v>
      </c>
      <c r="P2216" s="35">
        <v>100</v>
      </c>
      <c r="Q2216" s="25">
        <v>7700</v>
      </c>
      <c r="R2216" s="77">
        <f>(O2216*Q2216)</f>
        <v>739200</v>
      </c>
      <c r="S2216" s="20">
        <v>3</v>
      </c>
      <c r="T2216" s="28">
        <f>(R2216*3/100)</f>
        <v>22176</v>
      </c>
      <c r="U2216" s="77">
        <f>(R2216-T2216)</f>
        <v>717024</v>
      </c>
      <c r="V2216" s="80">
        <f>(J2216+U2216)</f>
        <v>729624</v>
      </c>
      <c r="W2216" s="26">
        <f>(V2216*100/100)</f>
        <v>729624</v>
      </c>
      <c r="X2216" s="27">
        <v>0</v>
      </c>
      <c r="Y2216" s="80">
        <f>(W2216-X2216)</f>
        <v>729624</v>
      </c>
      <c r="Z2216" s="49">
        <v>2.0000000000000001E-4</v>
      </c>
    </row>
    <row r="2217" spans="1:26" s="29" customFormat="1" ht="90.75" customHeight="1" x14ac:dyDescent="0.25">
      <c r="A2217" s="20">
        <v>1287</v>
      </c>
      <c r="B2217" s="20" t="s">
        <v>0</v>
      </c>
      <c r="C2217" s="20">
        <v>21870</v>
      </c>
      <c r="D2217" s="21">
        <v>0</v>
      </c>
      <c r="E2217" s="21">
        <v>0</v>
      </c>
      <c r="F2217" s="22">
        <v>82</v>
      </c>
      <c r="G2217" s="23" t="s">
        <v>211</v>
      </c>
      <c r="H2217" s="24">
        <f>(D2217*400)+(E2217*100)+F2217</f>
        <v>82</v>
      </c>
      <c r="I2217" s="25" t="s">
        <v>26</v>
      </c>
      <c r="J2217" s="24">
        <f>(H2217*I2217)</f>
        <v>94300</v>
      </c>
      <c r="K2217" s="30">
        <v>1</v>
      </c>
      <c r="L2217" s="31" t="s">
        <v>215</v>
      </c>
      <c r="M2217" s="32" t="s">
        <v>52</v>
      </c>
      <c r="N2217" s="33">
        <v>2</v>
      </c>
      <c r="O2217" s="34">
        <v>289.5</v>
      </c>
      <c r="P2217" s="35">
        <v>100</v>
      </c>
      <c r="Q2217" s="36">
        <v>6450</v>
      </c>
      <c r="R2217" s="36">
        <f>(O2217*Q2217)</f>
        <v>1867275</v>
      </c>
      <c r="S2217" s="37">
        <v>21</v>
      </c>
      <c r="T2217" s="28">
        <f>(R2217*34/100)</f>
        <v>634873.5</v>
      </c>
      <c r="U2217" s="36">
        <f>(R2217-T2217)</f>
        <v>1232401.5</v>
      </c>
      <c r="V2217" s="36">
        <f>(J2217+U2217)</f>
        <v>1326701.5</v>
      </c>
      <c r="W2217" s="36">
        <f>(V2217*100/100)</f>
        <v>1326701.5</v>
      </c>
      <c r="X2217" s="28"/>
      <c r="Y2217" s="28"/>
      <c r="Z2217" s="20"/>
    </row>
    <row r="2218" spans="1:26" s="29" customFormat="1" ht="90.75" customHeight="1" x14ac:dyDescent="0.25">
      <c r="A2218" s="20"/>
      <c r="B2218" s="20"/>
      <c r="C2218" s="20"/>
      <c r="D2218" s="21"/>
      <c r="E2218" s="21"/>
      <c r="F2218" s="22"/>
      <c r="G2218" s="23"/>
      <c r="H2218" s="24"/>
      <c r="I2218" s="25"/>
      <c r="J2218" s="24"/>
      <c r="K2218" s="30"/>
      <c r="L2218" s="31"/>
      <c r="M2218" s="32" t="s">
        <v>96</v>
      </c>
      <c r="N2218" s="33"/>
      <c r="O2218" s="34">
        <v>94.5</v>
      </c>
      <c r="P2218" s="35">
        <v>32.64</v>
      </c>
      <c r="Q2218" s="36"/>
      <c r="R2218" s="36"/>
      <c r="S2218" s="37"/>
      <c r="T2218" s="28"/>
      <c r="U2218" s="36"/>
      <c r="V2218" s="36"/>
      <c r="W2218" s="36">
        <f>(W2217*32.64/100)</f>
        <v>433035.36960000003</v>
      </c>
      <c r="X2218" s="28">
        <v>50000000</v>
      </c>
      <c r="Y2218" s="28">
        <v>0</v>
      </c>
      <c r="Z2218" s="49">
        <v>2.0000000000000001E-4</v>
      </c>
    </row>
    <row r="2219" spans="1:26" s="29" customFormat="1" ht="90.75" customHeight="1" x14ac:dyDescent="0.25">
      <c r="A2219" s="20"/>
      <c r="B2219" s="20"/>
      <c r="C2219" s="20"/>
      <c r="D2219" s="21"/>
      <c r="E2219" s="21"/>
      <c r="F2219" s="22"/>
      <c r="G2219" s="23"/>
      <c r="H2219" s="24"/>
      <c r="I2219" s="25"/>
      <c r="J2219" s="24"/>
      <c r="K2219" s="30"/>
      <c r="L2219" s="31"/>
      <c r="M2219" s="32" t="s">
        <v>97</v>
      </c>
      <c r="N2219" s="33"/>
      <c r="O2219" s="34">
        <v>181</v>
      </c>
      <c r="P2219" s="35">
        <v>62.52</v>
      </c>
      <c r="Q2219" s="36"/>
      <c r="R2219" s="36"/>
      <c r="S2219" s="37"/>
      <c r="T2219" s="28"/>
      <c r="U2219" s="36"/>
      <c r="V2219" s="36"/>
      <c r="W2219" s="36">
        <f>(W2217*62.52/100)</f>
        <v>829453.77780000004</v>
      </c>
      <c r="X2219" s="28"/>
      <c r="Y2219" s="28"/>
      <c r="Z2219" s="49"/>
    </row>
    <row r="2220" spans="1:26" s="29" customFormat="1" ht="90.75" customHeight="1" x14ac:dyDescent="0.25">
      <c r="A2220" s="20"/>
      <c r="B2220" s="20"/>
      <c r="C2220" s="20"/>
      <c r="D2220" s="21"/>
      <c r="E2220" s="21"/>
      <c r="F2220" s="22"/>
      <c r="G2220" s="23"/>
      <c r="H2220" s="24"/>
      <c r="I2220" s="25"/>
      <c r="J2220" s="24"/>
      <c r="K2220" s="30"/>
      <c r="L2220" s="31" t="s">
        <v>89</v>
      </c>
      <c r="M2220" s="32"/>
      <c r="N2220" s="33">
        <v>3</v>
      </c>
      <c r="O2220" s="34">
        <v>14</v>
      </c>
      <c r="P2220" s="35">
        <v>4.84</v>
      </c>
      <c r="Q2220" s="36"/>
      <c r="R2220" s="36"/>
      <c r="S2220" s="37"/>
      <c r="T2220" s="28"/>
      <c r="U2220" s="36"/>
      <c r="V2220" s="36"/>
      <c r="W2220" s="36">
        <f>(W2217*4.84/100)</f>
        <v>64212.352599999998</v>
      </c>
      <c r="X2220" s="28">
        <v>0</v>
      </c>
      <c r="Y2220" s="28">
        <f>(W2220-X2220)</f>
        <v>64212.352599999998</v>
      </c>
      <c r="Z2220" s="49">
        <v>3.0000000000000001E-3</v>
      </c>
    </row>
    <row r="2221" spans="1:26" s="29" customFormat="1" ht="90.75" customHeight="1" x14ac:dyDescent="0.25">
      <c r="A2221" s="20">
        <v>1288</v>
      </c>
      <c r="B2221" s="20" t="s">
        <v>0</v>
      </c>
      <c r="C2221" s="20">
        <v>21873</v>
      </c>
      <c r="D2221" s="21">
        <v>0</v>
      </c>
      <c r="E2221" s="21">
        <v>0</v>
      </c>
      <c r="F2221" s="22">
        <v>54</v>
      </c>
      <c r="G2221" s="23" t="s">
        <v>209</v>
      </c>
      <c r="H2221" s="36">
        <f>(D2221*400)+(E2221*100)+F2221</f>
        <v>54</v>
      </c>
      <c r="I2221" s="40">
        <v>200</v>
      </c>
      <c r="J2221" s="65">
        <f>(H2221*I2221)</f>
        <v>10800</v>
      </c>
      <c r="K2221" s="30"/>
      <c r="L2221" s="31"/>
      <c r="M2221" s="32"/>
      <c r="N2221" s="33"/>
      <c r="O2221" s="34"/>
      <c r="P2221" s="35"/>
      <c r="Q2221" s="36"/>
      <c r="R2221" s="36"/>
      <c r="S2221" s="37"/>
      <c r="T2221" s="28"/>
      <c r="U2221" s="36"/>
      <c r="V2221" s="36"/>
      <c r="W2221" s="36"/>
      <c r="X2221" s="28"/>
      <c r="Y2221" s="28"/>
      <c r="Z2221" s="49"/>
    </row>
    <row r="2222" spans="1:26" s="29" customFormat="1" ht="90.75" customHeight="1" x14ac:dyDescent="0.25">
      <c r="A2222" s="20"/>
      <c r="B2222" s="20"/>
      <c r="C2222" s="20"/>
      <c r="D2222" s="21"/>
      <c r="E2222" s="21"/>
      <c r="F2222" s="22"/>
      <c r="G2222" s="23"/>
      <c r="H2222" s="24"/>
      <c r="I2222" s="25"/>
      <c r="J2222" s="24"/>
      <c r="K2222" s="30">
        <v>1</v>
      </c>
      <c r="L2222" s="31" t="s">
        <v>68</v>
      </c>
      <c r="M2222" s="32" t="s">
        <v>13</v>
      </c>
      <c r="N2222" s="33">
        <v>3</v>
      </c>
      <c r="O2222" s="34">
        <v>15.75</v>
      </c>
      <c r="P2222" s="35">
        <v>100</v>
      </c>
      <c r="Q2222" s="36">
        <v>6450</v>
      </c>
      <c r="R2222" s="36">
        <f>(O2222*Q2222)</f>
        <v>101587.5</v>
      </c>
      <c r="S2222" s="37">
        <v>17</v>
      </c>
      <c r="T2222" s="28">
        <f>(R2222*24/100)</f>
        <v>24381</v>
      </c>
      <c r="U2222" s="36">
        <f>(R2222-T2222)</f>
        <v>77206.5</v>
      </c>
      <c r="V2222" s="36">
        <f>(J2221+U2222)</f>
        <v>88006.5</v>
      </c>
      <c r="W2222" s="36">
        <f>(V2222*P2222/100)</f>
        <v>88006.5</v>
      </c>
      <c r="X2222" s="28">
        <v>0</v>
      </c>
      <c r="Y2222" s="28">
        <f>(W2222-X2222)</f>
        <v>88006.5</v>
      </c>
      <c r="Z2222" s="49">
        <v>3.0000000000000001E-3</v>
      </c>
    </row>
    <row r="2223" spans="1:26" s="29" customFormat="1" ht="90.75" customHeight="1" x14ac:dyDescent="0.25">
      <c r="A2223" s="20">
        <v>1289</v>
      </c>
      <c r="B2223" s="20" t="s">
        <v>0</v>
      </c>
      <c r="C2223" s="20">
        <v>10560</v>
      </c>
      <c r="D2223" s="21">
        <v>0</v>
      </c>
      <c r="E2223" s="21">
        <v>1</v>
      </c>
      <c r="F2223" s="22">
        <v>62</v>
      </c>
      <c r="G2223" s="23" t="s">
        <v>211</v>
      </c>
      <c r="H2223" s="24">
        <f>(D2223*400)+(E2223*100)+F2223</f>
        <v>162</v>
      </c>
      <c r="I2223" s="25" t="s">
        <v>75</v>
      </c>
      <c r="J2223" s="24">
        <f>(H2223*I2223)</f>
        <v>101250</v>
      </c>
      <c r="K2223" s="20"/>
      <c r="L2223" s="20"/>
      <c r="M2223" s="20"/>
      <c r="N2223" s="20"/>
      <c r="O2223" s="24"/>
      <c r="P2223" s="24"/>
      <c r="Q2223" s="25"/>
      <c r="R2223" s="24"/>
      <c r="S2223" s="20"/>
      <c r="T2223" s="27"/>
      <c r="U2223" s="20"/>
      <c r="V2223" s="20"/>
      <c r="W2223" s="26"/>
      <c r="X2223" s="27"/>
      <c r="Y2223" s="20"/>
      <c r="Z2223" s="20"/>
    </row>
    <row r="2224" spans="1:26" s="29" customFormat="1" ht="90.75" customHeight="1" x14ac:dyDescent="0.25">
      <c r="A2224" s="20"/>
      <c r="B2224" s="20"/>
      <c r="C2224" s="20"/>
      <c r="D2224" s="21"/>
      <c r="E2224" s="21"/>
      <c r="F2224" s="22"/>
      <c r="G2224" s="23"/>
      <c r="H2224" s="90">
        <v>155.19999999999999</v>
      </c>
      <c r="I2224" s="83">
        <v>625</v>
      </c>
      <c r="J2224" s="90">
        <f>(H2224*I2224)</f>
        <v>97000</v>
      </c>
      <c r="K2224" s="32"/>
      <c r="L2224" s="32"/>
      <c r="M2224" s="32"/>
      <c r="N2224" s="33"/>
      <c r="O2224" s="90"/>
      <c r="P2224" s="82"/>
      <c r="Q2224" s="90"/>
      <c r="R2224" s="90"/>
      <c r="S2224" s="116"/>
      <c r="T2224" s="88"/>
      <c r="U2224" s="117"/>
      <c r="V2224" s="88"/>
      <c r="W2224" s="88"/>
      <c r="X2224" s="88"/>
      <c r="Y2224" s="89"/>
      <c r="Z2224" s="47"/>
    </row>
    <row r="2225" spans="1:26" s="29" customFormat="1" ht="90.75" customHeight="1" x14ac:dyDescent="0.25">
      <c r="A2225" s="20"/>
      <c r="B2225" s="20"/>
      <c r="C2225" s="20"/>
      <c r="D2225" s="21"/>
      <c r="E2225" s="21"/>
      <c r="F2225" s="22"/>
      <c r="G2225" s="23"/>
      <c r="H2225" s="90"/>
      <c r="I2225" s="83"/>
      <c r="J2225" s="90"/>
      <c r="K2225" s="32">
        <v>1</v>
      </c>
      <c r="L2225" s="32" t="s">
        <v>215</v>
      </c>
      <c r="M2225" s="32" t="s">
        <v>52</v>
      </c>
      <c r="N2225" s="116">
        <v>2</v>
      </c>
      <c r="O2225" s="90">
        <v>230</v>
      </c>
      <c r="P2225" s="82">
        <v>100</v>
      </c>
      <c r="Q2225" s="90">
        <v>6450</v>
      </c>
      <c r="R2225" s="90">
        <f>(O2225*Q2225)</f>
        <v>1483500</v>
      </c>
      <c r="S2225" s="116">
        <v>27</v>
      </c>
      <c r="T2225" s="88">
        <f>(R2225*85/100)</f>
        <v>1260975</v>
      </c>
      <c r="U2225" s="117">
        <f>(R2225-T2225)</f>
        <v>222525</v>
      </c>
      <c r="V2225" s="88"/>
      <c r="W2225" s="88"/>
      <c r="X2225" s="88"/>
      <c r="Y2225" s="89"/>
      <c r="Z2225" s="47"/>
    </row>
    <row r="2226" spans="1:26" s="29" customFormat="1" ht="90.75" customHeight="1" x14ac:dyDescent="0.25">
      <c r="A2226" s="20"/>
      <c r="B2226" s="20"/>
      <c r="C2226" s="20"/>
      <c r="D2226" s="21"/>
      <c r="E2226" s="21"/>
      <c r="F2226" s="22"/>
      <c r="G2226" s="23"/>
      <c r="H2226" s="90"/>
      <c r="I2226" s="83"/>
      <c r="J2226" s="90"/>
      <c r="K2226" s="32">
        <v>2</v>
      </c>
      <c r="L2226" s="32" t="s">
        <v>31</v>
      </c>
      <c r="M2226" s="32"/>
      <c r="N2226" s="116">
        <v>2</v>
      </c>
      <c r="O2226" s="90">
        <v>108</v>
      </c>
      <c r="P2226" s="82">
        <v>100</v>
      </c>
      <c r="Q2226" s="90">
        <v>2550</v>
      </c>
      <c r="R2226" s="90">
        <f>(O2226*Q2226)</f>
        <v>275400</v>
      </c>
      <c r="S2226" s="116">
        <v>27</v>
      </c>
      <c r="T2226" s="88">
        <f>(R2226*44/100)</f>
        <v>121176</v>
      </c>
      <c r="U2226" s="117">
        <f>(R2226-T2226)</f>
        <v>154224</v>
      </c>
      <c r="V2226" s="88"/>
      <c r="W2226" s="88"/>
      <c r="X2226" s="88"/>
      <c r="Y2226" s="89"/>
      <c r="Z2226" s="47"/>
    </row>
    <row r="2227" spans="1:26" s="29" customFormat="1" ht="90.75" customHeight="1" x14ac:dyDescent="0.25">
      <c r="A2227" s="20"/>
      <c r="B2227" s="20"/>
      <c r="C2227" s="20"/>
      <c r="D2227" s="21"/>
      <c r="E2227" s="21"/>
      <c r="F2227" s="22"/>
      <c r="G2227" s="23"/>
      <c r="H2227" s="90"/>
      <c r="I2227" s="83"/>
      <c r="J2227" s="90"/>
      <c r="K2227" s="32"/>
      <c r="L2227" s="32"/>
      <c r="M2227" s="32"/>
      <c r="N2227" s="116"/>
      <c r="O2227" s="90"/>
      <c r="P2227" s="82"/>
      <c r="Q2227" s="90"/>
      <c r="R2227" s="90"/>
      <c r="S2227" s="116"/>
      <c r="T2227" s="88"/>
      <c r="U2227" s="117">
        <f>(U2225+U2226)</f>
        <v>376749</v>
      </c>
      <c r="V2227" s="88">
        <f>(J2224+U2227)</f>
        <v>473749</v>
      </c>
      <c r="W2227" s="88">
        <f>(V2227*100/100)</f>
        <v>473749</v>
      </c>
      <c r="X2227" s="88">
        <v>10000000</v>
      </c>
      <c r="Y2227" s="89">
        <v>0</v>
      </c>
      <c r="Z2227" s="47">
        <v>2.0000000000000001E-4</v>
      </c>
    </row>
    <row r="2228" spans="1:26" s="29" customFormat="1" ht="90.75" customHeight="1" x14ac:dyDescent="0.25">
      <c r="A2228" s="20"/>
      <c r="B2228" s="20"/>
      <c r="C2228" s="20"/>
      <c r="D2228" s="21"/>
      <c r="E2228" s="21"/>
      <c r="F2228" s="22"/>
      <c r="G2228" s="23"/>
      <c r="H2228" s="90">
        <f>(O2228*0.25)</f>
        <v>6.8</v>
      </c>
      <c r="I2228" s="83">
        <v>625</v>
      </c>
      <c r="J2228" s="90">
        <f>(H2228*I2228)</f>
        <v>4250</v>
      </c>
      <c r="K2228" s="32">
        <v>3</v>
      </c>
      <c r="L2228" s="32" t="s">
        <v>215</v>
      </c>
      <c r="M2228" s="32" t="s">
        <v>13</v>
      </c>
      <c r="N2228" s="116">
        <v>3</v>
      </c>
      <c r="O2228" s="90">
        <v>27.2</v>
      </c>
      <c r="P2228" s="82">
        <v>100</v>
      </c>
      <c r="Q2228" s="90">
        <v>6450</v>
      </c>
      <c r="R2228" s="90">
        <f>(O2228*Q2228)</f>
        <v>175440</v>
      </c>
      <c r="S2228" s="116">
        <v>5</v>
      </c>
      <c r="T2228" s="88">
        <f>(R2228*5/100)</f>
        <v>8772</v>
      </c>
      <c r="U2228" s="117">
        <f>(R2228-T2228)</f>
        <v>166668</v>
      </c>
      <c r="V2228" s="88">
        <f>(J2228+U2228)</f>
        <v>170918</v>
      </c>
      <c r="W2228" s="88">
        <f>(V2228*100/100)</f>
        <v>170918</v>
      </c>
      <c r="X2228" s="88">
        <v>0</v>
      </c>
      <c r="Y2228" s="89">
        <f>(W2228-X2228)</f>
        <v>170918</v>
      </c>
      <c r="Z2228" s="49">
        <v>3.0000000000000001E-3</v>
      </c>
    </row>
    <row r="2229" spans="1:26" s="29" customFormat="1" ht="90.75" customHeight="1" x14ac:dyDescent="0.25">
      <c r="A2229" s="20">
        <v>1290</v>
      </c>
      <c r="B2229" s="20" t="s">
        <v>0</v>
      </c>
      <c r="C2229" s="20">
        <v>9247</v>
      </c>
      <c r="D2229" s="21">
        <v>0</v>
      </c>
      <c r="E2229" s="21">
        <v>0</v>
      </c>
      <c r="F2229" s="22">
        <v>66</v>
      </c>
      <c r="G2229" s="23" t="s">
        <v>211</v>
      </c>
      <c r="H2229" s="24">
        <f>(D2229*400)+(E2229*100)+F2229</f>
        <v>66</v>
      </c>
      <c r="I2229" s="25" t="s">
        <v>75</v>
      </c>
      <c r="J2229" s="24">
        <f>(H2229*I2229)</f>
        <v>41250</v>
      </c>
      <c r="K2229" s="30">
        <v>1</v>
      </c>
      <c r="L2229" s="31" t="s">
        <v>215</v>
      </c>
      <c r="M2229" s="32" t="s">
        <v>52</v>
      </c>
      <c r="N2229" s="33">
        <v>2</v>
      </c>
      <c r="O2229" s="34">
        <v>102</v>
      </c>
      <c r="P2229" s="35">
        <v>100</v>
      </c>
      <c r="Q2229" s="36">
        <v>6450</v>
      </c>
      <c r="R2229" s="36">
        <f>(O2229*Q2229)</f>
        <v>657900</v>
      </c>
      <c r="S2229" s="37">
        <v>37</v>
      </c>
      <c r="T2229" s="28">
        <f>(R2229*85/100)</f>
        <v>559215</v>
      </c>
      <c r="U2229" s="36">
        <f>(R2229-T2229)</f>
        <v>98685</v>
      </c>
      <c r="V2229" s="36">
        <f>(J2229+U2229)</f>
        <v>139935</v>
      </c>
      <c r="W2229" s="36">
        <f>(V2229*100/100)</f>
        <v>139935</v>
      </c>
      <c r="X2229" s="28">
        <v>50000000</v>
      </c>
      <c r="Y2229" s="28"/>
      <c r="Z2229" s="20"/>
    </row>
    <row r="2230" spans="1:26" s="29" customFormat="1" ht="90.75" customHeight="1" x14ac:dyDescent="0.25">
      <c r="A2230" s="20"/>
      <c r="B2230" s="20"/>
      <c r="C2230" s="20"/>
      <c r="D2230" s="21"/>
      <c r="E2230" s="21"/>
      <c r="F2230" s="22"/>
      <c r="G2230" s="23"/>
      <c r="H2230" s="24"/>
      <c r="I2230" s="25"/>
      <c r="J2230" s="24"/>
      <c r="K2230" s="30"/>
      <c r="L2230" s="31"/>
      <c r="M2230" s="32" t="s">
        <v>59</v>
      </c>
      <c r="N2230" s="33"/>
      <c r="O2230" s="34">
        <v>51</v>
      </c>
      <c r="P2230" s="35">
        <v>50</v>
      </c>
      <c r="Q2230" s="36"/>
      <c r="R2230" s="36"/>
      <c r="S2230" s="37"/>
      <c r="T2230" s="28"/>
      <c r="U2230" s="36"/>
      <c r="V2230" s="36"/>
      <c r="W2230" s="36">
        <f>(W2229*50/100)</f>
        <v>69967.5</v>
      </c>
      <c r="X2230" s="28"/>
      <c r="Y2230" s="28"/>
      <c r="Z2230" s="20"/>
    </row>
    <row r="2231" spans="1:26" s="29" customFormat="1" ht="90.75" customHeight="1" x14ac:dyDescent="0.25">
      <c r="A2231" s="20"/>
      <c r="B2231" s="20"/>
      <c r="C2231" s="20"/>
      <c r="D2231" s="21"/>
      <c r="E2231" s="21"/>
      <c r="F2231" s="22"/>
      <c r="G2231" s="23"/>
      <c r="H2231" s="24"/>
      <c r="I2231" s="25"/>
      <c r="J2231" s="24"/>
      <c r="K2231" s="30"/>
      <c r="L2231" s="31"/>
      <c r="M2231" s="32" t="s">
        <v>60</v>
      </c>
      <c r="N2231" s="33"/>
      <c r="O2231" s="34">
        <v>51</v>
      </c>
      <c r="P2231" s="35">
        <v>50</v>
      </c>
      <c r="Q2231" s="36"/>
      <c r="R2231" s="36"/>
      <c r="S2231" s="37"/>
      <c r="T2231" s="28"/>
      <c r="U2231" s="36"/>
      <c r="V2231" s="36"/>
      <c r="W2231" s="36">
        <f>(W2229*50/100)</f>
        <v>69967.5</v>
      </c>
      <c r="X2231" s="28"/>
      <c r="Y2231" s="28"/>
      <c r="Z2231" s="20"/>
    </row>
    <row r="2232" spans="1:26" s="29" customFormat="1" ht="90.75" customHeight="1" x14ac:dyDescent="0.25">
      <c r="A2232" s="20"/>
      <c r="B2232" s="20"/>
      <c r="C2232" s="20"/>
      <c r="D2232" s="21"/>
      <c r="E2232" s="21"/>
      <c r="F2232" s="22"/>
      <c r="G2232" s="23"/>
      <c r="H2232" s="24"/>
      <c r="I2232" s="25"/>
      <c r="J2232" s="24"/>
      <c r="K2232" s="30">
        <v>2</v>
      </c>
      <c r="L2232" s="31" t="s">
        <v>43</v>
      </c>
      <c r="M2232" s="32" t="s">
        <v>13</v>
      </c>
      <c r="N2232" s="33">
        <v>3</v>
      </c>
      <c r="O2232" s="34">
        <v>20</v>
      </c>
      <c r="P2232" s="35">
        <v>100</v>
      </c>
      <c r="Q2232" s="36">
        <v>7700</v>
      </c>
      <c r="R2232" s="36">
        <f>(O2232*Q2232)</f>
        <v>154000</v>
      </c>
      <c r="S2232" s="37">
        <v>37</v>
      </c>
      <c r="T2232" s="28">
        <f>(R2232*64/100)</f>
        <v>98560</v>
      </c>
      <c r="U2232" s="36">
        <f>(R2232-T2232)</f>
        <v>55440</v>
      </c>
      <c r="V2232" s="36">
        <f>(J2229+U2232)</f>
        <v>96690</v>
      </c>
      <c r="W2232" s="36">
        <f>(V2232*P2232/100)</f>
        <v>96690</v>
      </c>
      <c r="X2232" s="28">
        <v>0</v>
      </c>
      <c r="Y2232" s="28">
        <f>(W2232-X2232)</f>
        <v>96690</v>
      </c>
      <c r="Z2232" s="49">
        <v>3.0000000000000001E-3</v>
      </c>
    </row>
    <row r="2233" spans="1:26" s="29" customFormat="1" ht="90.75" customHeight="1" x14ac:dyDescent="0.25">
      <c r="A2233" s="20">
        <v>1291</v>
      </c>
      <c r="B2233" s="20" t="s">
        <v>0</v>
      </c>
      <c r="C2233" s="20">
        <v>10700</v>
      </c>
      <c r="D2233" s="21">
        <v>0</v>
      </c>
      <c r="E2233" s="21">
        <v>1</v>
      </c>
      <c r="F2233" s="22">
        <v>57</v>
      </c>
      <c r="G2233" s="23" t="s">
        <v>211</v>
      </c>
      <c r="H2233" s="24">
        <f>(D2233*400)+(E2233*100)+F2233</f>
        <v>157</v>
      </c>
      <c r="I2233" s="25" t="s">
        <v>80</v>
      </c>
      <c r="J2233" s="24">
        <f>(H2233*I2233)</f>
        <v>90275</v>
      </c>
      <c r="K2233" s="20"/>
      <c r="L2233" s="20" t="s">
        <v>2</v>
      </c>
      <c r="M2233" s="20" t="s">
        <v>2</v>
      </c>
      <c r="N2233" s="20"/>
      <c r="O2233" s="24"/>
      <c r="P2233" s="24"/>
      <c r="Q2233" s="25"/>
      <c r="R2233" s="24"/>
      <c r="S2233" s="20" t="s">
        <v>2</v>
      </c>
      <c r="T2233" s="27"/>
      <c r="U2233" s="20"/>
      <c r="V2233" s="20"/>
      <c r="W2233" s="26"/>
      <c r="X2233" s="27"/>
      <c r="Y2233" s="20"/>
      <c r="Z2233" s="20"/>
    </row>
    <row r="2234" spans="1:26" s="29" customFormat="1" ht="90.75" customHeight="1" x14ac:dyDescent="0.25">
      <c r="A2234" s="20"/>
      <c r="B2234" s="20"/>
      <c r="C2234" s="20"/>
      <c r="D2234" s="21"/>
      <c r="E2234" s="21"/>
      <c r="F2234" s="22"/>
      <c r="G2234" s="23"/>
      <c r="H2234" s="24"/>
      <c r="I2234" s="25"/>
      <c r="J2234" s="24"/>
      <c r="K2234" s="30">
        <v>1</v>
      </c>
      <c r="L2234" s="31" t="s">
        <v>215</v>
      </c>
      <c r="M2234" s="32" t="s">
        <v>40</v>
      </c>
      <c r="N2234" s="33"/>
      <c r="O2234" s="34">
        <v>166</v>
      </c>
      <c r="P2234" s="35">
        <v>100</v>
      </c>
      <c r="Q2234" s="36">
        <v>6450</v>
      </c>
      <c r="R2234" s="36">
        <f>(O2234*Q2234)</f>
        <v>1070700</v>
      </c>
      <c r="S2234" s="37">
        <v>62</v>
      </c>
      <c r="T2234" s="28">
        <f>(R2234*93/100)</f>
        <v>995751</v>
      </c>
      <c r="U2234" s="36">
        <f>(R2234-T2234)</f>
        <v>74949</v>
      </c>
      <c r="V2234" s="36">
        <f>(J2233+U2234)</f>
        <v>165224</v>
      </c>
      <c r="W2234" s="36">
        <f>(V2234*100/100)</f>
        <v>165224</v>
      </c>
      <c r="X2234" s="28"/>
      <c r="Y2234" s="28"/>
      <c r="Z2234" s="20"/>
    </row>
    <row r="2235" spans="1:26" s="29" customFormat="1" ht="90.75" customHeight="1" x14ac:dyDescent="0.25">
      <c r="A2235" s="20"/>
      <c r="B2235" s="20"/>
      <c r="C2235" s="20"/>
      <c r="D2235" s="21"/>
      <c r="E2235" s="21"/>
      <c r="F2235" s="22"/>
      <c r="G2235" s="23"/>
      <c r="H2235" s="24"/>
      <c r="I2235" s="25"/>
      <c r="J2235" s="24"/>
      <c r="K2235" s="30"/>
      <c r="L2235" s="31"/>
      <c r="M2235" s="32"/>
      <c r="N2235" s="33">
        <v>2</v>
      </c>
      <c r="O2235" s="34">
        <v>124</v>
      </c>
      <c r="P2235" s="35">
        <v>74.7</v>
      </c>
      <c r="Q2235" s="36"/>
      <c r="R2235" s="36"/>
      <c r="S2235" s="37"/>
      <c r="T2235" s="28"/>
      <c r="U2235" s="36"/>
      <c r="V2235" s="36"/>
      <c r="W2235" s="36">
        <f>(W2234*74.7/100)</f>
        <v>123422.32800000001</v>
      </c>
      <c r="X2235" s="28">
        <v>50000000</v>
      </c>
      <c r="Y2235" s="28">
        <v>0</v>
      </c>
      <c r="Z2235" s="20"/>
    </row>
    <row r="2236" spans="1:26" s="29" customFormat="1" ht="90.75" customHeight="1" x14ac:dyDescent="0.25">
      <c r="A2236" s="20"/>
      <c r="B2236" s="20"/>
      <c r="C2236" s="20"/>
      <c r="D2236" s="21"/>
      <c r="E2236" s="21"/>
      <c r="F2236" s="22"/>
      <c r="G2236" s="23"/>
      <c r="H2236" s="24"/>
      <c r="I2236" s="25"/>
      <c r="J2236" s="24"/>
      <c r="K2236" s="30"/>
      <c r="L2236" s="31" t="s">
        <v>61</v>
      </c>
      <c r="M2236" s="32"/>
      <c r="N2236" s="33">
        <v>3</v>
      </c>
      <c r="O2236" s="34">
        <v>42</v>
      </c>
      <c r="P2236" s="35">
        <v>25.3</v>
      </c>
      <c r="Q2236" s="36"/>
      <c r="R2236" s="36"/>
      <c r="S2236" s="37"/>
      <c r="T2236" s="28"/>
      <c r="U2236" s="36"/>
      <c r="V2236" s="36"/>
      <c r="W2236" s="36">
        <f>(W2234*25.3/100)</f>
        <v>41801.671999999999</v>
      </c>
      <c r="X2236" s="28">
        <v>0</v>
      </c>
      <c r="Y2236" s="28">
        <f>(W2236-X2236)</f>
        <v>41801.671999999999</v>
      </c>
      <c r="Z2236" s="49">
        <v>3.0000000000000001E-3</v>
      </c>
    </row>
    <row r="2237" spans="1:26" s="29" customFormat="1" ht="90.75" customHeight="1" x14ac:dyDescent="0.25">
      <c r="A2237" s="20">
        <v>1292</v>
      </c>
      <c r="B2237" s="20" t="s">
        <v>0</v>
      </c>
      <c r="C2237" s="20">
        <v>10397</v>
      </c>
      <c r="D2237" s="21">
        <v>0</v>
      </c>
      <c r="E2237" s="21">
        <v>2</v>
      </c>
      <c r="F2237" s="22">
        <v>69</v>
      </c>
      <c r="G2237" s="23" t="s">
        <v>211</v>
      </c>
      <c r="H2237" s="24">
        <f>(D2237*400)+(E2237*100)+F2237</f>
        <v>269</v>
      </c>
      <c r="I2237" s="25" t="s">
        <v>75</v>
      </c>
      <c r="J2237" s="24">
        <f t="shared" ref="J2237:J2242" si="372">(H2237*I2237)</f>
        <v>168125</v>
      </c>
      <c r="K2237" s="20"/>
      <c r="L2237" s="20" t="s">
        <v>2</v>
      </c>
      <c r="M2237" s="20" t="s">
        <v>2</v>
      </c>
      <c r="N2237" s="20"/>
      <c r="O2237" s="24"/>
      <c r="P2237" s="24"/>
      <c r="Q2237" s="25"/>
      <c r="R2237" s="24"/>
      <c r="S2237" s="20" t="s">
        <v>2</v>
      </c>
      <c r="T2237" s="27"/>
      <c r="U2237" s="20"/>
      <c r="V2237" s="20"/>
      <c r="W2237" s="26"/>
      <c r="X2237" s="27"/>
      <c r="Y2237" s="20"/>
      <c r="Z2237" s="20"/>
    </row>
    <row r="2238" spans="1:26" s="29" customFormat="1" ht="90.75" customHeight="1" x14ac:dyDescent="0.25">
      <c r="A2238" s="20"/>
      <c r="B2238" s="20"/>
      <c r="C2238" s="20"/>
      <c r="D2238" s="21"/>
      <c r="E2238" s="21"/>
      <c r="F2238" s="22"/>
      <c r="G2238" s="23"/>
      <c r="H2238" s="36">
        <v>150.79</v>
      </c>
      <c r="I2238" s="40">
        <v>625</v>
      </c>
      <c r="J2238" s="28">
        <f t="shared" si="372"/>
        <v>94243.75</v>
      </c>
      <c r="K2238" s="37">
        <v>1</v>
      </c>
      <c r="L2238" s="31" t="s">
        <v>215</v>
      </c>
      <c r="M2238" s="32" t="s">
        <v>52</v>
      </c>
      <c r="N2238" s="33">
        <v>2</v>
      </c>
      <c r="O2238" s="34">
        <v>227</v>
      </c>
      <c r="P2238" s="35">
        <v>100</v>
      </c>
      <c r="Q2238" s="36">
        <v>6450</v>
      </c>
      <c r="R2238" s="36">
        <f>(O2238*Q2238)</f>
        <v>1464150</v>
      </c>
      <c r="S2238" s="37">
        <v>30</v>
      </c>
      <c r="T2238" s="28">
        <f>(R2238*85/100)</f>
        <v>1244527.5</v>
      </c>
      <c r="U2238" s="36">
        <f>(R2238-T2238)</f>
        <v>219622.5</v>
      </c>
      <c r="V2238" s="36">
        <f>(J2238+U2238)</f>
        <v>313866.25</v>
      </c>
      <c r="W2238" s="36">
        <f>(V2238*100/100)</f>
        <v>313866.25</v>
      </c>
      <c r="X2238" s="28">
        <v>10000000</v>
      </c>
      <c r="Y2238" s="28">
        <v>0</v>
      </c>
      <c r="Z2238" s="49">
        <v>2.0000000000000001E-4</v>
      </c>
    </row>
    <row r="2239" spans="1:26" s="29" customFormat="1" ht="90.75" customHeight="1" x14ac:dyDescent="0.25">
      <c r="A2239" s="20"/>
      <c r="B2239" s="20"/>
      <c r="C2239" s="20"/>
      <c r="D2239" s="21"/>
      <c r="E2239" s="21"/>
      <c r="F2239" s="22"/>
      <c r="G2239" s="23"/>
      <c r="H2239" s="36">
        <v>100</v>
      </c>
      <c r="I2239" s="40">
        <v>625</v>
      </c>
      <c r="J2239" s="28">
        <f t="shared" si="372"/>
        <v>62500</v>
      </c>
      <c r="K2239" s="37">
        <v>2</v>
      </c>
      <c r="L2239" s="31" t="s">
        <v>215</v>
      </c>
      <c r="M2239" s="32" t="s">
        <v>52</v>
      </c>
      <c r="N2239" s="33">
        <v>2</v>
      </c>
      <c r="O2239" s="34">
        <v>61.75</v>
      </c>
      <c r="P2239" s="35">
        <v>100</v>
      </c>
      <c r="Q2239" s="36">
        <v>6450</v>
      </c>
      <c r="R2239" s="36">
        <f>(O2239*Q2239)</f>
        <v>398287.5</v>
      </c>
      <c r="S2239" s="37">
        <v>26</v>
      </c>
      <c r="T2239" s="28">
        <f>(R2239*85/100)</f>
        <v>338544.375</v>
      </c>
      <c r="U2239" s="36">
        <f>(R2239-T2239)</f>
        <v>59743.125</v>
      </c>
      <c r="V2239" s="36">
        <f>(J2239+U2239)</f>
        <v>122243.125</v>
      </c>
      <c r="W2239" s="36">
        <f t="shared" ref="W2239:W2242" si="373">(V2239*100/100)</f>
        <v>122243.125</v>
      </c>
      <c r="X2239" s="28">
        <v>10000000</v>
      </c>
      <c r="Y2239" s="28">
        <v>0</v>
      </c>
      <c r="Z2239" s="49">
        <v>2.0000000000000001E-4</v>
      </c>
    </row>
    <row r="2240" spans="1:26" s="29" customFormat="1" ht="90.75" customHeight="1" x14ac:dyDescent="0.25">
      <c r="A2240" s="20"/>
      <c r="B2240" s="20" t="s">
        <v>0</v>
      </c>
      <c r="C2240" s="20">
        <v>10397</v>
      </c>
      <c r="D2240" s="21"/>
      <c r="E2240" s="21"/>
      <c r="F2240" s="22"/>
      <c r="G2240" s="23"/>
      <c r="H2240" s="36">
        <v>12</v>
      </c>
      <c r="I2240" s="40">
        <v>625</v>
      </c>
      <c r="J2240" s="28">
        <f t="shared" si="372"/>
        <v>7500</v>
      </c>
      <c r="K2240" s="37">
        <v>3</v>
      </c>
      <c r="L2240" s="31" t="s">
        <v>31</v>
      </c>
      <c r="M2240" s="32" t="s">
        <v>40</v>
      </c>
      <c r="N2240" s="33">
        <v>3</v>
      </c>
      <c r="O2240" s="34">
        <v>48</v>
      </c>
      <c r="P2240" s="35">
        <v>100</v>
      </c>
      <c r="Q2240" s="36">
        <v>5550</v>
      </c>
      <c r="R2240" s="36">
        <f>(O2240*Q2240)</f>
        <v>266400</v>
      </c>
      <c r="S2240" s="37">
        <v>12</v>
      </c>
      <c r="T2240" s="28">
        <f>(R2240*50/100)</f>
        <v>133200</v>
      </c>
      <c r="U2240" s="36">
        <f>(J2240+T2240)</f>
        <v>140700</v>
      </c>
      <c r="V2240" s="36">
        <f>(J2240+U2240)</f>
        <v>148200</v>
      </c>
      <c r="W2240" s="36">
        <f t="shared" si="373"/>
        <v>148200</v>
      </c>
      <c r="X2240" s="28">
        <v>0</v>
      </c>
      <c r="Y2240" s="28">
        <f>(W2240-X2240)</f>
        <v>148200</v>
      </c>
      <c r="Z2240" s="49">
        <v>3.0000000000000001E-3</v>
      </c>
    </row>
    <row r="2241" spans="1:26" s="29" customFormat="1" ht="90.75" customHeight="1" x14ac:dyDescent="0.25">
      <c r="A2241" s="20">
        <v>1293</v>
      </c>
      <c r="B2241" s="20" t="s">
        <v>0</v>
      </c>
      <c r="C2241" s="20">
        <v>9240</v>
      </c>
      <c r="D2241" s="21">
        <v>0</v>
      </c>
      <c r="E2241" s="21">
        <v>0</v>
      </c>
      <c r="F2241" s="22">
        <v>92</v>
      </c>
      <c r="G2241" s="23" t="s">
        <v>209</v>
      </c>
      <c r="H2241" s="24">
        <f>(D2241*400)+(E2241*100)+F2241</f>
        <v>92</v>
      </c>
      <c r="I2241" s="40" t="s">
        <v>32</v>
      </c>
      <c r="J2241" s="65">
        <f t="shared" si="372"/>
        <v>18400</v>
      </c>
      <c r="K2241" s="37">
        <v>1</v>
      </c>
      <c r="L2241" s="20" t="s">
        <v>98</v>
      </c>
      <c r="M2241" s="37"/>
      <c r="N2241" s="30">
        <v>3</v>
      </c>
      <c r="O2241" s="77">
        <v>139.5</v>
      </c>
      <c r="P2241" s="35">
        <v>100</v>
      </c>
      <c r="Q2241" s="77">
        <v>5500</v>
      </c>
      <c r="R2241" s="77">
        <f>(O2241*Q2241)</f>
        <v>767250</v>
      </c>
      <c r="S2241" s="37">
        <v>22</v>
      </c>
      <c r="T2241" s="28">
        <f>(R2241*34/100)</f>
        <v>260865</v>
      </c>
      <c r="U2241" s="77">
        <f>(R2241-T2241)</f>
        <v>506385</v>
      </c>
      <c r="V2241" s="77">
        <f>(J2241+U2241)</f>
        <v>524785</v>
      </c>
      <c r="W2241" s="36">
        <f t="shared" si="373"/>
        <v>524785</v>
      </c>
      <c r="X2241" s="28">
        <v>0</v>
      </c>
      <c r="Y2241" s="28">
        <f>(W2241-X2241)</f>
        <v>524785</v>
      </c>
      <c r="Z2241" s="49">
        <v>3.0000000000000001E-3</v>
      </c>
    </row>
    <row r="2242" spans="1:26" s="29" customFormat="1" ht="90.75" customHeight="1" x14ac:dyDescent="0.25">
      <c r="A2242" s="20">
        <v>1294</v>
      </c>
      <c r="B2242" s="20" t="s">
        <v>0</v>
      </c>
      <c r="C2242" s="20">
        <v>14901</v>
      </c>
      <c r="D2242" s="21">
        <v>0</v>
      </c>
      <c r="E2242" s="21">
        <v>2</v>
      </c>
      <c r="F2242" s="22">
        <v>53</v>
      </c>
      <c r="G2242" s="23" t="s">
        <v>211</v>
      </c>
      <c r="H2242" s="24">
        <f>(D2242*400)+(E2242*100)+F2242</f>
        <v>253</v>
      </c>
      <c r="I2242" s="25" t="s">
        <v>75</v>
      </c>
      <c r="J2242" s="24">
        <f t="shared" si="372"/>
        <v>158125</v>
      </c>
      <c r="K2242" s="20">
        <v>1</v>
      </c>
      <c r="L2242" s="20" t="s">
        <v>16</v>
      </c>
      <c r="M2242" s="20" t="s">
        <v>51</v>
      </c>
      <c r="N2242" s="20">
        <v>2</v>
      </c>
      <c r="O2242" s="24">
        <v>240</v>
      </c>
      <c r="P2242" s="24">
        <v>100</v>
      </c>
      <c r="Q2242" s="25">
        <v>6450</v>
      </c>
      <c r="R2242" s="24">
        <f>(O2242*Q2242)</f>
        <v>1548000</v>
      </c>
      <c r="S2242" s="20">
        <v>10</v>
      </c>
      <c r="T2242" s="28">
        <f>(R2242*10/100)</f>
        <v>154800</v>
      </c>
      <c r="U2242" s="27">
        <f>(R2242-T2242)</f>
        <v>1393200</v>
      </c>
      <c r="V2242" s="27">
        <f>(J2242+U2242)</f>
        <v>1551325</v>
      </c>
      <c r="W2242" s="36">
        <f t="shared" si="373"/>
        <v>1551325</v>
      </c>
      <c r="X2242" s="27"/>
      <c r="Y2242" s="20"/>
      <c r="Z2242" s="20"/>
    </row>
    <row r="2243" spans="1:26" s="29" customFormat="1" ht="90.75" customHeight="1" x14ac:dyDescent="0.25">
      <c r="A2243" s="20"/>
      <c r="B2243" s="20"/>
      <c r="C2243" s="20"/>
      <c r="D2243" s="21"/>
      <c r="E2243" s="21"/>
      <c r="F2243" s="22"/>
      <c r="G2243" s="23"/>
      <c r="H2243" s="24"/>
      <c r="I2243" s="25"/>
      <c r="J2243" s="24"/>
      <c r="K2243" s="20"/>
      <c r="L2243" s="20" t="s">
        <v>56</v>
      </c>
      <c r="M2243" s="20"/>
      <c r="N2243" s="20"/>
      <c r="O2243" s="24">
        <v>96</v>
      </c>
      <c r="P2243" s="24">
        <v>40</v>
      </c>
      <c r="Q2243" s="25"/>
      <c r="R2243" s="24"/>
      <c r="S2243" s="20"/>
      <c r="T2243" s="27"/>
      <c r="U2243" s="20"/>
      <c r="V2243" s="20"/>
      <c r="W2243" s="26">
        <f>(W2242*40/100)</f>
        <v>620530</v>
      </c>
      <c r="X2243" s="24">
        <v>10000000</v>
      </c>
      <c r="Y2243" s="20"/>
      <c r="Z2243" s="20"/>
    </row>
    <row r="2244" spans="1:26" s="29" customFormat="1" ht="90.75" customHeight="1" x14ac:dyDescent="0.25">
      <c r="A2244" s="20"/>
      <c r="B2244" s="20"/>
      <c r="C2244" s="20"/>
      <c r="D2244" s="21"/>
      <c r="E2244" s="21"/>
      <c r="F2244" s="22"/>
      <c r="G2244" s="23"/>
      <c r="H2244" s="24"/>
      <c r="I2244" s="25"/>
      <c r="J2244" s="24"/>
      <c r="K2244" s="20"/>
      <c r="L2244" s="20" t="s">
        <v>36</v>
      </c>
      <c r="M2244" s="20"/>
      <c r="N2244" s="20">
        <v>3</v>
      </c>
      <c r="O2244" s="24">
        <v>144</v>
      </c>
      <c r="P2244" s="24">
        <v>60</v>
      </c>
      <c r="Q2244" s="25"/>
      <c r="R2244" s="24"/>
      <c r="S2244" s="20"/>
      <c r="T2244" s="27"/>
      <c r="U2244" s="20"/>
      <c r="V2244" s="20"/>
      <c r="W2244" s="26">
        <f>(W2242*60/100)</f>
        <v>930795</v>
      </c>
      <c r="X2244" s="28">
        <v>0</v>
      </c>
      <c r="Y2244" s="80">
        <f>(W2244-X2244)</f>
        <v>930795</v>
      </c>
      <c r="Z2244" s="49">
        <v>3.0000000000000001E-3</v>
      </c>
    </row>
    <row r="2245" spans="1:26" s="29" customFormat="1" ht="90.75" customHeight="1" x14ac:dyDescent="0.25">
      <c r="A2245" s="20">
        <v>1295</v>
      </c>
      <c r="B2245" s="20" t="s">
        <v>0</v>
      </c>
      <c r="C2245" s="20">
        <v>11496</v>
      </c>
      <c r="D2245" s="21">
        <v>0</v>
      </c>
      <c r="E2245" s="21">
        <v>1</v>
      </c>
      <c r="F2245" s="22">
        <v>10</v>
      </c>
      <c r="G2245" s="23" t="s">
        <v>211</v>
      </c>
      <c r="H2245" s="24">
        <f>(D2245*400)+(E2245*100)+F2245</f>
        <v>110</v>
      </c>
      <c r="I2245" s="25" t="s">
        <v>32</v>
      </c>
      <c r="J2245" s="24">
        <f>(H2245*I2245)</f>
        <v>22000</v>
      </c>
      <c r="K2245" s="20"/>
      <c r="L2245" s="20"/>
      <c r="M2245" s="20"/>
      <c r="N2245" s="20"/>
      <c r="O2245" s="24"/>
      <c r="P2245" s="24"/>
      <c r="Q2245" s="25"/>
      <c r="R2245" s="24"/>
      <c r="S2245" s="20"/>
      <c r="T2245" s="27"/>
      <c r="U2245" s="20"/>
      <c r="V2245" s="20"/>
      <c r="W2245" s="26"/>
      <c r="X2245" s="27"/>
      <c r="Y2245" s="20"/>
      <c r="Z2245" s="20"/>
    </row>
    <row r="2246" spans="1:26" s="29" customFormat="1" ht="90.75" customHeight="1" x14ac:dyDescent="0.25">
      <c r="A2246" s="20"/>
      <c r="B2246" s="20"/>
      <c r="C2246" s="20"/>
      <c r="D2246" s="21"/>
      <c r="E2246" s="21"/>
      <c r="F2246" s="22"/>
      <c r="G2246" s="23"/>
      <c r="H2246" s="24">
        <v>86</v>
      </c>
      <c r="I2246" s="25" t="s">
        <v>32</v>
      </c>
      <c r="J2246" s="24">
        <f>(H2246*I2246)</f>
        <v>17200</v>
      </c>
      <c r="K2246" s="20">
        <v>1</v>
      </c>
      <c r="L2246" s="20" t="s">
        <v>16</v>
      </c>
      <c r="M2246" s="20" t="s">
        <v>13</v>
      </c>
      <c r="N2246" s="20">
        <v>2</v>
      </c>
      <c r="O2246" s="24">
        <v>80</v>
      </c>
      <c r="P2246" s="24">
        <v>100</v>
      </c>
      <c r="Q2246" s="25">
        <v>6450</v>
      </c>
      <c r="R2246" s="36">
        <f>(O2246*Q2246)</f>
        <v>516000</v>
      </c>
      <c r="S2246" s="20">
        <v>2</v>
      </c>
      <c r="T2246" s="27">
        <f>(R2246*2/100)</f>
        <v>10320</v>
      </c>
      <c r="U2246" s="80">
        <f>(R2246-T2246)</f>
        <v>505680</v>
      </c>
      <c r="V2246" s="20"/>
      <c r="W2246" s="26"/>
      <c r="X2246" s="27"/>
      <c r="Y2246" s="20"/>
      <c r="Z2246" s="20"/>
    </row>
    <row r="2247" spans="1:26" s="29" customFormat="1" ht="90.75" customHeight="1" x14ac:dyDescent="0.25">
      <c r="A2247" s="20"/>
      <c r="B2247" s="20"/>
      <c r="C2247" s="20"/>
      <c r="D2247" s="21"/>
      <c r="E2247" s="21"/>
      <c r="F2247" s="22"/>
      <c r="G2247" s="23"/>
      <c r="H2247" s="24"/>
      <c r="I2247" s="25"/>
      <c r="J2247" s="24"/>
      <c r="K2247" s="20">
        <v>2</v>
      </c>
      <c r="L2247" s="20" t="s">
        <v>31</v>
      </c>
      <c r="M2247" s="20" t="s">
        <v>51</v>
      </c>
      <c r="N2247" s="20">
        <v>2</v>
      </c>
      <c r="O2247" s="24">
        <v>72</v>
      </c>
      <c r="P2247" s="24">
        <v>100</v>
      </c>
      <c r="Q2247" s="25">
        <v>2550</v>
      </c>
      <c r="R2247" s="36">
        <f>(O2247*Q2247)</f>
        <v>183600</v>
      </c>
      <c r="S2247" s="20">
        <v>2</v>
      </c>
      <c r="T2247" s="27">
        <f>(R2247*2/100)</f>
        <v>3672</v>
      </c>
      <c r="U2247" s="80">
        <f>(R2247-T2247)</f>
        <v>179928</v>
      </c>
      <c r="V2247" s="20"/>
      <c r="W2247" s="26"/>
      <c r="X2247" s="27"/>
      <c r="Y2247" s="20"/>
      <c r="Z2247" s="20"/>
    </row>
    <row r="2248" spans="1:26" s="29" customFormat="1" ht="90.75" customHeight="1" x14ac:dyDescent="0.25">
      <c r="A2248" s="20"/>
      <c r="B2248" s="20"/>
      <c r="C2248" s="20"/>
      <c r="D2248" s="21"/>
      <c r="E2248" s="21"/>
      <c r="F2248" s="22"/>
      <c r="G2248" s="23"/>
      <c r="H2248" s="24"/>
      <c r="I2248" s="25"/>
      <c r="J2248" s="24"/>
      <c r="K2248" s="20"/>
      <c r="L2248" s="20"/>
      <c r="M2248" s="20"/>
      <c r="N2248" s="20"/>
      <c r="O2248" s="24"/>
      <c r="P2248" s="24"/>
      <c r="Q2248" s="25"/>
      <c r="R2248" s="36"/>
      <c r="S2248" s="20"/>
      <c r="T2248" s="27"/>
      <c r="U2248" s="80">
        <f>SUM(U2246:U2247)</f>
        <v>685608</v>
      </c>
      <c r="V2248" s="80">
        <f>(J2246+U2248)</f>
        <v>702808</v>
      </c>
      <c r="W2248" s="26">
        <f>(V2248*100/100)</f>
        <v>702808</v>
      </c>
      <c r="X2248" s="24">
        <v>50000000</v>
      </c>
      <c r="Y2248" s="20"/>
      <c r="Z2248" s="20"/>
    </row>
    <row r="2249" spans="1:26" s="29" customFormat="1" ht="90.75" customHeight="1" x14ac:dyDescent="0.25">
      <c r="A2249" s="20"/>
      <c r="B2249" s="20"/>
      <c r="C2249" s="20"/>
      <c r="D2249" s="21"/>
      <c r="E2249" s="21"/>
      <c r="F2249" s="22"/>
      <c r="G2249" s="23"/>
      <c r="H2249" s="24">
        <v>24</v>
      </c>
      <c r="I2249" s="25" t="s">
        <v>32</v>
      </c>
      <c r="J2249" s="24">
        <f>(H2249*I2249)</f>
        <v>4800</v>
      </c>
      <c r="K2249" s="20">
        <v>3</v>
      </c>
      <c r="L2249" s="20" t="s">
        <v>15</v>
      </c>
      <c r="M2249" s="20" t="s">
        <v>51</v>
      </c>
      <c r="N2249" s="20"/>
      <c r="O2249" s="24">
        <v>96</v>
      </c>
      <c r="P2249" s="24">
        <v>100</v>
      </c>
      <c r="Q2249" s="25">
        <v>5950</v>
      </c>
      <c r="R2249" s="36">
        <f>(O2249*Q2249)</f>
        <v>571200</v>
      </c>
      <c r="S2249" s="20">
        <v>10</v>
      </c>
      <c r="T2249" s="27">
        <f>(R2249*10/100)</f>
        <v>57120</v>
      </c>
      <c r="U2249" s="80">
        <f>(R2249-T2249)</f>
        <v>514080</v>
      </c>
      <c r="V2249" s="80">
        <f>(J2249+U2249)</f>
        <v>518880</v>
      </c>
      <c r="W2249" s="36">
        <f>(V2249*P2249/100)</f>
        <v>518880</v>
      </c>
      <c r="X2249" s="28">
        <v>0</v>
      </c>
      <c r="Y2249" s="28">
        <f>(W2249-X2249)</f>
        <v>518880</v>
      </c>
      <c r="Z2249" s="49">
        <v>3.0000000000000001E-3</v>
      </c>
    </row>
    <row r="2250" spans="1:26" s="29" customFormat="1" ht="90.75" customHeight="1" x14ac:dyDescent="0.25">
      <c r="A2250" s="20">
        <v>1296</v>
      </c>
      <c r="B2250" s="20" t="s">
        <v>0</v>
      </c>
      <c r="C2250" s="20">
        <v>20615</v>
      </c>
      <c r="D2250" s="21">
        <v>0</v>
      </c>
      <c r="E2250" s="21">
        <v>0</v>
      </c>
      <c r="F2250" s="22">
        <v>49</v>
      </c>
      <c r="G2250" s="23" t="s">
        <v>211</v>
      </c>
      <c r="H2250" s="24">
        <f>(D2250*400)+(E2250*100)+F2250</f>
        <v>49</v>
      </c>
      <c r="I2250" s="25" t="s">
        <v>75</v>
      </c>
      <c r="J2250" s="24">
        <f>(H2250*I2250)</f>
        <v>30625</v>
      </c>
      <c r="K2250" s="20">
        <v>1</v>
      </c>
      <c r="L2250" s="20" t="s">
        <v>16</v>
      </c>
      <c r="M2250" s="20" t="s">
        <v>13</v>
      </c>
      <c r="N2250" s="20">
        <v>5</v>
      </c>
      <c r="O2250" s="24">
        <v>123</v>
      </c>
      <c r="P2250" s="24">
        <v>100</v>
      </c>
      <c r="Q2250" s="25">
        <v>6450</v>
      </c>
      <c r="R2250" s="36">
        <f>(O2250*Q2250)</f>
        <v>793350</v>
      </c>
      <c r="S2250" s="20">
        <v>9</v>
      </c>
      <c r="T2250" s="27">
        <f>(R2250*9/100)</f>
        <v>71401.5</v>
      </c>
      <c r="U2250" s="80">
        <f>(R2250-T2250)</f>
        <v>721948.5</v>
      </c>
      <c r="V2250" s="80">
        <f>(J2250+U2250)</f>
        <v>752573.5</v>
      </c>
      <c r="W2250" s="36">
        <f>(V2250*P2250/100)</f>
        <v>752573.5</v>
      </c>
      <c r="X2250" s="27"/>
      <c r="Y2250" s="20"/>
      <c r="Z2250" s="20"/>
    </row>
    <row r="2251" spans="1:26" s="29" customFormat="1" ht="90.75" customHeight="1" x14ac:dyDescent="0.25">
      <c r="A2251" s="20"/>
      <c r="B2251" s="20"/>
      <c r="C2251" s="20"/>
      <c r="D2251" s="21"/>
      <c r="E2251" s="21"/>
      <c r="F2251" s="22"/>
      <c r="G2251" s="23"/>
      <c r="H2251" s="24"/>
      <c r="I2251" s="25"/>
      <c r="J2251" s="24"/>
      <c r="K2251" s="20"/>
      <c r="L2251" s="20" t="s">
        <v>56</v>
      </c>
      <c r="M2251" s="20"/>
      <c r="N2251" s="20"/>
      <c r="O2251" s="24">
        <v>99</v>
      </c>
      <c r="P2251" s="24">
        <v>80.489999999999995</v>
      </c>
      <c r="Q2251" s="25"/>
      <c r="R2251" s="36"/>
      <c r="S2251" s="20"/>
      <c r="T2251" s="27"/>
      <c r="U2251" s="80"/>
      <c r="V2251" s="80"/>
      <c r="W2251" s="26">
        <f>(W2250*80.49/100)</f>
        <v>605746.41014999989</v>
      </c>
      <c r="X2251" s="24">
        <v>50000000</v>
      </c>
      <c r="Y2251" s="20"/>
      <c r="Z2251" s="20"/>
    </row>
    <row r="2252" spans="1:26" s="29" customFormat="1" ht="90.75" customHeight="1" x14ac:dyDescent="0.25">
      <c r="A2252" s="20"/>
      <c r="B2252" s="20"/>
      <c r="C2252" s="20"/>
      <c r="D2252" s="21"/>
      <c r="E2252" s="21"/>
      <c r="F2252" s="22"/>
      <c r="G2252" s="23"/>
      <c r="H2252" s="24"/>
      <c r="I2252" s="25"/>
      <c r="J2252" s="24"/>
      <c r="K2252" s="20">
        <v>2</v>
      </c>
      <c r="L2252" s="20" t="s">
        <v>36</v>
      </c>
      <c r="M2252" s="20"/>
      <c r="N2252" s="20"/>
      <c r="O2252" s="24">
        <v>24</v>
      </c>
      <c r="P2252" s="24">
        <v>19.510000000000002</v>
      </c>
      <c r="Q2252" s="25"/>
      <c r="R2252" s="36"/>
      <c r="S2252" s="20"/>
      <c r="T2252" s="27"/>
      <c r="U2252" s="80"/>
      <c r="V2252" s="80">
        <f>(J2252+U2252)</f>
        <v>0</v>
      </c>
      <c r="W2252" s="26">
        <f>(W2250*19.51/100)</f>
        <v>146827.08985000002</v>
      </c>
      <c r="X2252" s="28">
        <v>0</v>
      </c>
      <c r="Y2252" s="28">
        <f>(W2252-X2252)</f>
        <v>146827.08985000002</v>
      </c>
      <c r="Z2252" s="49">
        <v>3.0000000000000001E-3</v>
      </c>
    </row>
    <row r="2253" spans="1:26" s="29" customFormat="1" ht="90.75" customHeight="1" x14ac:dyDescent="0.25">
      <c r="A2253" s="20">
        <v>1297</v>
      </c>
      <c r="B2253" s="20" t="s">
        <v>0</v>
      </c>
      <c r="C2253" s="20">
        <v>8083</v>
      </c>
      <c r="D2253" s="21">
        <v>0</v>
      </c>
      <c r="E2253" s="21">
        <v>1</v>
      </c>
      <c r="F2253" s="22">
        <v>29</v>
      </c>
      <c r="G2253" s="23" t="s">
        <v>211</v>
      </c>
      <c r="H2253" s="24">
        <f>(D2253*400)+(E2253*100)+F2253</f>
        <v>129</v>
      </c>
      <c r="I2253" s="25" t="s">
        <v>75</v>
      </c>
      <c r="J2253" s="24">
        <f>(H2253*I2253)</f>
        <v>80625</v>
      </c>
      <c r="K2253" s="30">
        <v>1</v>
      </c>
      <c r="L2253" s="31" t="s">
        <v>215</v>
      </c>
      <c r="M2253" s="32" t="s">
        <v>52</v>
      </c>
      <c r="N2253" s="33">
        <v>5</v>
      </c>
      <c r="O2253" s="34">
        <v>252</v>
      </c>
      <c r="P2253" s="35">
        <v>100</v>
      </c>
      <c r="Q2253" s="36">
        <v>6450</v>
      </c>
      <c r="R2253" s="36">
        <f>(O2253*Q2253)</f>
        <v>1625400</v>
      </c>
      <c r="S2253" s="37">
        <v>42</v>
      </c>
      <c r="T2253" s="28">
        <f>(R2253*85/100)</f>
        <v>1381590</v>
      </c>
      <c r="U2253" s="36">
        <f>(R2253-T2253)</f>
        <v>243810</v>
      </c>
      <c r="V2253" s="36">
        <f>(J2253+U2253)</f>
        <v>324435</v>
      </c>
      <c r="W2253" s="36">
        <f>(V2253*P2253/100)</f>
        <v>324435</v>
      </c>
      <c r="X2253" s="28"/>
      <c r="Y2253" s="28"/>
      <c r="Z2253" s="20"/>
    </row>
    <row r="2254" spans="1:26" s="29" customFormat="1" ht="90.75" customHeight="1" x14ac:dyDescent="0.25">
      <c r="A2254" s="20"/>
      <c r="B2254" s="20"/>
      <c r="C2254" s="20"/>
      <c r="D2254" s="21"/>
      <c r="E2254" s="21"/>
      <c r="F2254" s="22"/>
      <c r="G2254" s="23"/>
      <c r="H2254" s="24"/>
      <c r="I2254" s="25"/>
      <c r="J2254" s="24"/>
      <c r="K2254" s="30"/>
      <c r="L2254" s="31" t="s">
        <v>56</v>
      </c>
      <c r="M2254" s="32"/>
      <c r="N2254" s="33">
        <v>2</v>
      </c>
      <c r="O2254" s="34">
        <v>192</v>
      </c>
      <c r="P2254" s="35">
        <v>76.19</v>
      </c>
      <c r="Q2254" s="36"/>
      <c r="R2254" s="36"/>
      <c r="S2254" s="37"/>
      <c r="T2254" s="28"/>
      <c r="U2254" s="36"/>
      <c r="V2254" s="36"/>
      <c r="W2254" s="36">
        <f>(W2253*76.19/100)</f>
        <v>247187.02649999998</v>
      </c>
      <c r="X2254" s="28">
        <v>50000000</v>
      </c>
      <c r="Y2254" s="28">
        <v>0</v>
      </c>
      <c r="Z2254" s="49">
        <v>2.0000000000000001E-4</v>
      </c>
    </row>
    <row r="2255" spans="1:26" s="29" customFormat="1" ht="90.75" customHeight="1" x14ac:dyDescent="0.25">
      <c r="A2255" s="20"/>
      <c r="B2255" s="20"/>
      <c r="C2255" s="20"/>
      <c r="D2255" s="21"/>
      <c r="E2255" s="21"/>
      <c r="F2255" s="22"/>
      <c r="G2255" s="23"/>
      <c r="H2255" s="24"/>
      <c r="I2255" s="25"/>
      <c r="J2255" s="24"/>
      <c r="K2255" s="30"/>
      <c r="L2255" s="31" t="s">
        <v>61</v>
      </c>
      <c r="M2255" s="32"/>
      <c r="N2255" s="33">
        <v>3</v>
      </c>
      <c r="O2255" s="34">
        <v>60</v>
      </c>
      <c r="P2255" s="35">
        <v>23.81</v>
      </c>
      <c r="Q2255" s="36"/>
      <c r="R2255" s="36"/>
      <c r="S2255" s="37"/>
      <c r="T2255" s="28"/>
      <c r="U2255" s="36"/>
      <c r="V2255" s="36"/>
      <c r="W2255" s="36">
        <f>(W2253*23.81/100)</f>
        <v>77247.973499999993</v>
      </c>
      <c r="X2255" s="28">
        <v>0</v>
      </c>
      <c r="Y2255" s="28">
        <f>(W2255-X2255)</f>
        <v>77247.973499999993</v>
      </c>
      <c r="Z2255" s="49">
        <v>3.0000000000000001E-3</v>
      </c>
    </row>
    <row r="2256" spans="1:26" s="29" customFormat="1" ht="90.75" customHeight="1" x14ac:dyDescent="0.25">
      <c r="A2256" s="20">
        <v>1298</v>
      </c>
      <c r="B2256" s="20" t="s">
        <v>0</v>
      </c>
      <c r="C2256" s="20">
        <v>4930</v>
      </c>
      <c r="D2256" s="21">
        <v>0</v>
      </c>
      <c r="E2256" s="21">
        <v>1</v>
      </c>
      <c r="F2256" s="22">
        <v>34</v>
      </c>
      <c r="G2256" s="23" t="s">
        <v>56</v>
      </c>
      <c r="H2256" s="36">
        <f>(D2256*400)+(E2256*100)+F2256</f>
        <v>134</v>
      </c>
      <c r="I2256" s="40">
        <v>650</v>
      </c>
      <c r="J2256" s="65">
        <f>(H2256*I2256)</f>
        <v>87100</v>
      </c>
      <c r="K2256" s="37">
        <v>1</v>
      </c>
      <c r="L2256" s="37" t="s">
        <v>38</v>
      </c>
      <c r="M2256" s="37" t="s">
        <v>40</v>
      </c>
      <c r="N2256" s="30"/>
      <c r="O2256" s="77">
        <v>72</v>
      </c>
      <c r="P2256" s="35">
        <v>100</v>
      </c>
      <c r="Q2256" s="77">
        <v>6550</v>
      </c>
      <c r="R2256" s="77">
        <f>(O2256*Q2256)</f>
        <v>471600</v>
      </c>
      <c r="S2256" s="37">
        <v>61</v>
      </c>
      <c r="T2256" s="28">
        <f>(R2256*93/100)</f>
        <v>438588</v>
      </c>
      <c r="U2256" s="77">
        <f>(R2256-T2256)</f>
        <v>33012</v>
      </c>
      <c r="V2256" s="77">
        <f>(J2256+U2256)</f>
        <v>120112</v>
      </c>
      <c r="W2256" s="77">
        <f>(V2256*100/100)</f>
        <v>120112</v>
      </c>
      <c r="X2256" s="28">
        <v>0</v>
      </c>
      <c r="Y2256" s="28">
        <f>(W2256-X2256)</f>
        <v>120112</v>
      </c>
      <c r="Z2256" s="49">
        <v>3.0000000000000001E-3</v>
      </c>
    </row>
    <row r="2257" spans="1:26" s="29" customFormat="1" ht="90.75" customHeight="1" x14ac:dyDescent="0.25">
      <c r="A2257" s="20">
        <v>1299</v>
      </c>
      <c r="B2257" s="20" t="s">
        <v>0</v>
      </c>
      <c r="C2257" s="20">
        <v>5162</v>
      </c>
      <c r="D2257" s="21">
        <v>0</v>
      </c>
      <c r="E2257" s="21">
        <v>0</v>
      </c>
      <c r="F2257" s="22">
        <v>77</v>
      </c>
      <c r="G2257" s="23" t="s">
        <v>209</v>
      </c>
      <c r="H2257" s="24">
        <f>(D2257*400)+(E2257*100)+F2257</f>
        <v>77</v>
      </c>
      <c r="I2257" s="25" t="s">
        <v>26</v>
      </c>
      <c r="J2257" s="24">
        <f>(H2257*I2257)</f>
        <v>88550</v>
      </c>
      <c r="K2257" s="20">
        <v>1</v>
      </c>
      <c r="L2257" s="20" t="s">
        <v>36</v>
      </c>
      <c r="M2257" s="20" t="s">
        <v>13</v>
      </c>
      <c r="N2257" s="20">
        <v>3</v>
      </c>
      <c r="O2257" s="24">
        <v>127.6</v>
      </c>
      <c r="P2257" s="24">
        <v>100</v>
      </c>
      <c r="Q2257" s="25">
        <v>5550</v>
      </c>
      <c r="R2257" s="77">
        <f>(O2257*Q2257)</f>
        <v>708180</v>
      </c>
      <c r="S2257" s="20">
        <v>17</v>
      </c>
      <c r="T2257" s="28">
        <f>(R2257*24/100)</f>
        <v>169963.2</v>
      </c>
      <c r="U2257" s="77">
        <f>(R2257-T2257)</f>
        <v>538216.80000000005</v>
      </c>
      <c r="V2257" s="20"/>
      <c r="W2257" s="26"/>
      <c r="X2257" s="27"/>
      <c r="Y2257" s="20"/>
      <c r="Z2257" s="20"/>
    </row>
    <row r="2258" spans="1:26" s="29" customFormat="1" ht="90.75" customHeight="1" x14ac:dyDescent="0.25">
      <c r="A2258" s="20"/>
      <c r="B2258" s="20"/>
      <c r="C2258" s="20"/>
      <c r="D2258" s="21"/>
      <c r="E2258" s="21"/>
      <c r="F2258" s="22"/>
      <c r="G2258" s="23"/>
      <c r="H2258" s="24"/>
      <c r="I2258" s="25"/>
      <c r="J2258" s="24"/>
      <c r="K2258" s="20">
        <v>2</v>
      </c>
      <c r="L2258" s="20" t="s">
        <v>36</v>
      </c>
      <c r="M2258" s="20" t="s">
        <v>30</v>
      </c>
      <c r="N2258" s="20">
        <v>3</v>
      </c>
      <c r="O2258" s="24">
        <v>93.6</v>
      </c>
      <c r="P2258" s="24">
        <v>100</v>
      </c>
      <c r="Q2258" s="25">
        <v>5550</v>
      </c>
      <c r="R2258" s="77">
        <f>(O2258*Q2258)</f>
        <v>519479.99999999994</v>
      </c>
      <c r="S2258" s="20">
        <v>17</v>
      </c>
      <c r="T2258" s="28">
        <f>(R2258*24/100)</f>
        <v>124675.19999999998</v>
      </c>
      <c r="U2258" s="77">
        <f>(R2258-T2258)</f>
        <v>394804.79999999993</v>
      </c>
      <c r="V2258" s="20"/>
      <c r="W2258" s="26"/>
      <c r="X2258" s="27"/>
      <c r="Y2258" s="20"/>
      <c r="Z2258" s="20"/>
    </row>
    <row r="2259" spans="1:26" s="29" customFormat="1" ht="90.75" customHeight="1" x14ac:dyDescent="0.25">
      <c r="A2259" s="20"/>
      <c r="B2259" s="20"/>
      <c r="C2259" s="20"/>
      <c r="D2259" s="21"/>
      <c r="E2259" s="21"/>
      <c r="F2259" s="22"/>
      <c r="G2259" s="23"/>
      <c r="H2259" s="24"/>
      <c r="I2259" s="25"/>
      <c r="J2259" s="24"/>
      <c r="K2259" s="20"/>
      <c r="L2259" s="20"/>
      <c r="M2259" s="20"/>
      <c r="N2259" s="20"/>
      <c r="O2259" s="24"/>
      <c r="P2259" s="24"/>
      <c r="Q2259" s="25"/>
      <c r="R2259" s="77"/>
      <c r="S2259" s="20"/>
      <c r="T2259" s="28"/>
      <c r="U2259" s="80">
        <f>SUM(U2257:U2258)</f>
        <v>933021.6</v>
      </c>
      <c r="V2259" s="80">
        <f>(J2257+U2259)</f>
        <v>1021571.6</v>
      </c>
      <c r="W2259" s="26">
        <f>(V2259*100/100)</f>
        <v>1021571.6</v>
      </c>
      <c r="X2259" s="28">
        <v>0</v>
      </c>
      <c r="Y2259" s="28">
        <f>(W2259-X2259)</f>
        <v>1021571.6</v>
      </c>
      <c r="Z2259" s="49">
        <v>3.0000000000000001E-3</v>
      </c>
    </row>
    <row r="2260" spans="1:26" s="29" customFormat="1" ht="90.75" customHeight="1" x14ac:dyDescent="0.25">
      <c r="A2260" s="20">
        <v>1300</v>
      </c>
      <c r="B2260" s="20" t="s">
        <v>0</v>
      </c>
      <c r="C2260" s="20">
        <v>4363</v>
      </c>
      <c r="D2260" s="21">
        <v>3</v>
      </c>
      <c r="E2260" s="21">
        <v>2</v>
      </c>
      <c r="F2260" s="22">
        <v>80</v>
      </c>
      <c r="G2260" s="23" t="s">
        <v>209</v>
      </c>
      <c r="H2260" s="24">
        <f>(D2260*400)+(E2260*100)+F2260</f>
        <v>1480</v>
      </c>
      <c r="I2260" s="25" t="s">
        <v>66</v>
      </c>
      <c r="J2260" s="24">
        <f>(H2260*I2260)</f>
        <v>1406000</v>
      </c>
      <c r="K2260" s="20"/>
      <c r="L2260" s="20"/>
      <c r="M2260" s="20"/>
      <c r="N2260" s="20"/>
      <c r="O2260" s="24"/>
      <c r="P2260" s="24"/>
      <c r="Q2260" s="25"/>
      <c r="R2260" s="24"/>
      <c r="S2260" s="20" t="s">
        <v>2</v>
      </c>
      <c r="T2260" s="27"/>
      <c r="U2260" s="20"/>
      <c r="V2260" s="20"/>
      <c r="W2260" s="26"/>
      <c r="X2260" s="27"/>
      <c r="Y2260" s="20"/>
      <c r="Z2260" s="20"/>
    </row>
    <row r="2261" spans="1:26" s="29" customFormat="1" ht="90.75" customHeight="1" x14ac:dyDescent="0.25">
      <c r="A2261" s="20"/>
      <c r="B2261" s="20"/>
      <c r="C2261" s="20"/>
      <c r="D2261" s="21"/>
      <c r="E2261" s="21"/>
      <c r="F2261" s="22"/>
      <c r="G2261" s="23"/>
      <c r="H2261" s="24">
        <v>69.27</v>
      </c>
      <c r="I2261" s="25" t="s">
        <v>66</v>
      </c>
      <c r="J2261" s="24">
        <f>(H2261*I2261)</f>
        <v>65806.5</v>
      </c>
      <c r="K2261" s="20">
        <v>12</v>
      </c>
      <c r="L2261" s="20" t="s">
        <v>41</v>
      </c>
      <c r="M2261" s="20" t="s">
        <v>13</v>
      </c>
      <c r="N2261" s="20">
        <v>3</v>
      </c>
      <c r="O2261" s="24">
        <v>170</v>
      </c>
      <c r="P2261" s="24">
        <v>100</v>
      </c>
      <c r="Q2261" s="25">
        <v>6400</v>
      </c>
      <c r="R2261" s="77">
        <f>(O2261*Q2261)</f>
        <v>1088000</v>
      </c>
      <c r="S2261" s="20">
        <v>6</v>
      </c>
      <c r="T2261" s="28">
        <f>(R2261*6/100)</f>
        <v>65280</v>
      </c>
      <c r="U2261" s="80">
        <f>(R2261-T2261)</f>
        <v>1022720</v>
      </c>
      <c r="V2261" s="20"/>
      <c r="W2261" s="26"/>
      <c r="X2261" s="27"/>
      <c r="Y2261" s="20"/>
      <c r="Z2261" s="20"/>
    </row>
    <row r="2262" spans="1:26" s="29" customFormat="1" ht="90.75" customHeight="1" x14ac:dyDescent="0.25">
      <c r="A2262" s="20"/>
      <c r="B2262" s="20"/>
      <c r="C2262" s="20"/>
      <c r="D2262" s="21"/>
      <c r="E2262" s="21"/>
      <c r="F2262" s="22"/>
      <c r="G2262" s="23"/>
      <c r="H2262" s="24"/>
      <c r="I2262" s="25"/>
      <c r="J2262" s="24"/>
      <c r="K2262" s="20">
        <v>13</v>
      </c>
      <c r="L2262" s="20" t="s">
        <v>17</v>
      </c>
      <c r="M2262" s="20" t="s">
        <v>82</v>
      </c>
      <c r="N2262" s="20">
        <v>3</v>
      </c>
      <c r="O2262" s="24">
        <v>70</v>
      </c>
      <c r="P2262" s="24">
        <v>100</v>
      </c>
      <c r="Q2262" s="25">
        <v>5900</v>
      </c>
      <c r="R2262" s="77">
        <f>(O2262*Q2262)</f>
        <v>413000</v>
      </c>
      <c r="S2262" s="20">
        <v>6</v>
      </c>
      <c r="T2262" s="28">
        <f>(R2262*6/100)</f>
        <v>24780</v>
      </c>
      <c r="U2262" s="80">
        <f>(R2262-T2262)</f>
        <v>388220</v>
      </c>
      <c r="V2262" s="20"/>
      <c r="W2262" s="26"/>
      <c r="X2262" s="27"/>
      <c r="Y2262" s="20"/>
      <c r="Z2262" s="20"/>
    </row>
    <row r="2263" spans="1:26" s="29" customFormat="1" ht="90.75" customHeight="1" x14ac:dyDescent="0.25">
      <c r="A2263" s="20"/>
      <c r="B2263" s="20"/>
      <c r="C2263" s="20"/>
      <c r="D2263" s="21"/>
      <c r="E2263" s="21"/>
      <c r="F2263" s="22"/>
      <c r="G2263" s="23"/>
      <c r="H2263" s="24"/>
      <c r="I2263" s="25"/>
      <c r="J2263" s="24"/>
      <c r="K2263" s="20">
        <v>14</v>
      </c>
      <c r="L2263" s="20" t="s">
        <v>31</v>
      </c>
      <c r="M2263" s="20"/>
      <c r="N2263" s="20">
        <v>3</v>
      </c>
      <c r="O2263" s="24">
        <v>37.1</v>
      </c>
      <c r="P2263" s="24">
        <v>100</v>
      </c>
      <c r="Q2263" s="25">
        <v>2550</v>
      </c>
      <c r="R2263" s="77">
        <f>(O2263*Q2263)</f>
        <v>94605</v>
      </c>
      <c r="S2263" s="20">
        <v>6</v>
      </c>
      <c r="T2263" s="28">
        <f>(R2263*6/100)</f>
        <v>5676.3</v>
      </c>
      <c r="U2263" s="80">
        <f>(R2263-T2263)</f>
        <v>88928.7</v>
      </c>
      <c r="V2263" s="20"/>
      <c r="W2263" s="26"/>
      <c r="X2263" s="27"/>
      <c r="Y2263" s="20"/>
      <c r="Z2263" s="20"/>
    </row>
    <row r="2264" spans="1:26" s="29" customFormat="1" ht="90.75" customHeight="1" x14ac:dyDescent="0.25">
      <c r="A2264" s="20"/>
      <c r="B2264" s="20"/>
      <c r="C2264" s="20"/>
      <c r="D2264" s="21"/>
      <c r="E2264" s="21"/>
      <c r="F2264" s="22"/>
      <c r="G2264" s="23"/>
      <c r="H2264" s="24"/>
      <c r="I2264" s="25"/>
      <c r="J2264" s="24"/>
      <c r="K2264" s="20"/>
      <c r="L2264" s="20"/>
      <c r="M2264" s="20"/>
      <c r="N2264" s="20"/>
      <c r="O2264" s="24"/>
      <c r="P2264" s="24"/>
      <c r="Q2264" s="25"/>
      <c r="R2264" s="24"/>
      <c r="S2264" s="20"/>
      <c r="T2264" s="27"/>
      <c r="U2264" s="27">
        <f>SUM(U2261:U2263)</f>
        <v>1499868.7</v>
      </c>
      <c r="V2264" s="27">
        <f>(J2261+U2264)</f>
        <v>1565675.2</v>
      </c>
      <c r="W2264" s="26">
        <f>(V2264*100/100)</f>
        <v>1565675.2</v>
      </c>
      <c r="X2264" s="28">
        <v>0</v>
      </c>
      <c r="Y2264" s="28">
        <f>(W2264-X2264)</f>
        <v>1565675.2</v>
      </c>
      <c r="Z2264" s="49">
        <v>3.0000000000000001E-3</v>
      </c>
    </row>
    <row r="2265" spans="1:26" s="29" customFormat="1" ht="90.75" customHeight="1" x14ac:dyDescent="0.25">
      <c r="A2265" s="20">
        <v>1301</v>
      </c>
      <c r="B2265" s="20" t="s">
        <v>0</v>
      </c>
      <c r="C2265" s="20">
        <v>47139</v>
      </c>
      <c r="D2265" s="21">
        <v>0</v>
      </c>
      <c r="E2265" s="21">
        <v>2</v>
      </c>
      <c r="F2265" s="22">
        <v>0</v>
      </c>
      <c r="G2265" s="23" t="s">
        <v>211</v>
      </c>
      <c r="H2265" s="24">
        <f>(D2265*400)+(E2265*100)+F2265</f>
        <v>200</v>
      </c>
      <c r="I2265" s="25" t="s">
        <v>75</v>
      </c>
      <c r="J2265" s="24">
        <f>(H2265*I2265)</f>
        <v>125000</v>
      </c>
      <c r="K2265" s="20"/>
      <c r="L2265" s="20" t="s">
        <v>2</v>
      </c>
      <c r="M2265" s="20" t="s">
        <v>2</v>
      </c>
      <c r="N2265" s="20"/>
      <c r="O2265" s="24"/>
      <c r="P2265" s="24"/>
      <c r="Q2265" s="25"/>
      <c r="R2265" s="24"/>
      <c r="S2265" s="20" t="s">
        <v>2</v>
      </c>
      <c r="T2265" s="27"/>
      <c r="U2265" s="20"/>
      <c r="V2265" s="20"/>
      <c r="W2265" s="26"/>
      <c r="X2265" s="27"/>
      <c r="Y2265" s="20"/>
      <c r="Z2265" s="20"/>
    </row>
    <row r="2266" spans="1:26" s="29" customFormat="1" ht="90.75" customHeight="1" x14ac:dyDescent="0.25">
      <c r="A2266" s="20"/>
      <c r="B2266" s="20"/>
      <c r="C2266" s="20"/>
      <c r="D2266" s="21"/>
      <c r="E2266" s="21"/>
      <c r="F2266" s="22"/>
      <c r="G2266" s="23"/>
      <c r="H2266" s="24"/>
      <c r="I2266" s="25"/>
      <c r="J2266" s="24"/>
      <c r="K2266" s="30">
        <v>1</v>
      </c>
      <c r="L2266" s="31" t="s">
        <v>215</v>
      </c>
      <c r="M2266" s="32" t="s">
        <v>13</v>
      </c>
      <c r="N2266" s="33"/>
      <c r="O2266" s="34">
        <v>156</v>
      </c>
      <c r="P2266" s="35">
        <v>100</v>
      </c>
      <c r="Q2266" s="36">
        <v>6450</v>
      </c>
      <c r="R2266" s="36">
        <f>(O2266*Q2266)</f>
        <v>1006200</v>
      </c>
      <c r="S2266" s="37">
        <v>32</v>
      </c>
      <c r="T2266" s="28">
        <f>(R2266*54/100)</f>
        <v>543348</v>
      </c>
      <c r="U2266" s="36">
        <f>(R2266-T2266)</f>
        <v>462852</v>
      </c>
      <c r="V2266" s="36">
        <f>(J2266+U2266)</f>
        <v>462852</v>
      </c>
      <c r="W2266" s="36">
        <f>(V2266*100/100)</f>
        <v>462852</v>
      </c>
      <c r="X2266" s="28"/>
      <c r="Y2266" s="28"/>
      <c r="Z2266" s="20"/>
    </row>
    <row r="2267" spans="1:26" s="29" customFormat="1" ht="90.75" customHeight="1" x14ac:dyDescent="0.25">
      <c r="A2267" s="20"/>
      <c r="B2267" s="20"/>
      <c r="C2267" s="20"/>
      <c r="D2267" s="21"/>
      <c r="E2267" s="21"/>
      <c r="F2267" s="22"/>
      <c r="G2267" s="23"/>
      <c r="H2267" s="24"/>
      <c r="I2267" s="25"/>
      <c r="J2267" s="24"/>
      <c r="K2267" s="30"/>
      <c r="L2267" s="31"/>
      <c r="M2267" s="32"/>
      <c r="N2267" s="33">
        <v>2</v>
      </c>
      <c r="O2267" s="34">
        <v>144</v>
      </c>
      <c r="P2267" s="35">
        <v>92.31</v>
      </c>
      <c r="Q2267" s="36"/>
      <c r="R2267" s="36"/>
      <c r="S2267" s="37"/>
      <c r="T2267" s="28"/>
      <c r="U2267" s="36"/>
      <c r="V2267" s="36"/>
      <c r="W2267" s="36">
        <f>(W2266*92.31/100)</f>
        <v>427258.68120000005</v>
      </c>
      <c r="X2267" s="28">
        <v>50000000</v>
      </c>
      <c r="Y2267" s="28">
        <v>0</v>
      </c>
      <c r="Z2267" s="49">
        <v>2.0000000000000001E-4</v>
      </c>
    </row>
    <row r="2268" spans="1:26" s="29" customFormat="1" ht="90.75" customHeight="1" x14ac:dyDescent="0.25">
      <c r="A2268" s="20"/>
      <c r="B2268" s="20"/>
      <c r="C2268" s="20"/>
      <c r="D2268" s="21"/>
      <c r="E2268" s="21"/>
      <c r="F2268" s="22"/>
      <c r="G2268" s="23"/>
      <c r="H2268" s="24"/>
      <c r="I2268" s="25"/>
      <c r="J2268" s="24"/>
      <c r="K2268" s="30"/>
      <c r="L2268" s="31" t="s">
        <v>90</v>
      </c>
      <c r="M2268" s="32"/>
      <c r="N2268" s="33">
        <v>3</v>
      </c>
      <c r="O2268" s="34">
        <v>12</v>
      </c>
      <c r="P2268" s="35">
        <v>7.69</v>
      </c>
      <c r="Q2268" s="36"/>
      <c r="R2268" s="36"/>
      <c r="S2268" s="37"/>
      <c r="T2268" s="28"/>
      <c r="U2268" s="36"/>
      <c r="V2268" s="36"/>
      <c r="W2268" s="36">
        <f>(W2266*7.69/100)</f>
        <v>35593.318800000001</v>
      </c>
      <c r="X2268" s="28">
        <v>0</v>
      </c>
      <c r="Y2268" s="28">
        <f>(W2268-X2268)</f>
        <v>35593.318800000001</v>
      </c>
      <c r="Z2268" s="49">
        <v>3.0000000000000001E-3</v>
      </c>
    </row>
    <row r="2269" spans="1:26" s="29" customFormat="1" ht="90.75" customHeight="1" x14ac:dyDescent="0.25">
      <c r="A2269" s="20">
        <v>1302</v>
      </c>
      <c r="B2269" s="20" t="s">
        <v>0</v>
      </c>
      <c r="C2269" s="20">
        <v>30854</v>
      </c>
      <c r="D2269" s="21">
        <v>1</v>
      </c>
      <c r="E2269" s="21">
        <v>0</v>
      </c>
      <c r="F2269" s="22">
        <v>74</v>
      </c>
      <c r="G2269" s="23" t="s">
        <v>211</v>
      </c>
      <c r="H2269" s="24">
        <f t="shared" ref="H2269" si="374">(D2269*400)+(E2269*100)+F2269</f>
        <v>474</v>
      </c>
      <c r="I2269" s="25" t="s">
        <v>67</v>
      </c>
      <c r="J2269" s="24">
        <f t="shared" ref="J2269:J2272" si="375">(H2269*I2269)</f>
        <v>497700</v>
      </c>
      <c r="K2269" s="30"/>
      <c r="L2269" s="31"/>
      <c r="M2269" s="32"/>
      <c r="N2269" s="33"/>
      <c r="O2269" s="34"/>
      <c r="P2269" s="35"/>
      <c r="Q2269" s="36"/>
      <c r="R2269" s="36"/>
      <c r="S2269" s="37"/>
      <c r="T2269" s="28"/>
      <c r="U2269" s="36"/>
      <c r="V2269" s="36"/>
      <c r="W2269" s="36"/>
      <c r="X2269" s="28"/>
      <c r="Y2269" s="28"/>
      <c r="Z2269" s="49"/>
    </row>
    <row r="2270" spans="1:26" s="29" customFormat="1" ht="90.75" customHeight="1" x14ac:dyDescent="0.25">
      <c r="A2270" s="20"/>
      <c r="B2270" s="20"/>
      <c r="C2270" s="20"/>
      <c r="D2270" s="21"/>
      <c r="E2270" s="21"/>
      <c r="F2270" s="22"/>
      <c r="G2270" s="23"/>
      <c r="H2270" s="63">
        <v>409.48</v>
      </c>
      <c r="I2270" s="64">
        <v>1050</v>
      </c>
      <c r="J2270" s="27">
        <f t="shared" si="375"/>
        <v>429954</v>
      </c>
      <c r="K2270" s="20">
        <v>1</v>
      </c>
      <c r="L2270" s="20" t="s">
        <v>43</v>
      </c>
      <c r="M2270" s="20" t="s">
        <v>13</v>
      </c>
      <c r="N2270" s="20">
        <v>2</v>
      </c>
      <c r="O2270" s="20">
        <v>754.8</v>
      </c>
      <c r="P2270" s="52">
        <v>100</v>
      </c>
      <c r="Q2270" s="63">
        <v>7700</v>
      </c>
      <c r="R2270" s="63">
        <f>(O2270*Q2270)</f>
        <v>5811960</v>
      </c>
      <c r="S2270" s="20">
        <v>5</v>
      </c>
      <c r="T2270" s="28">
        <f>(R2270*5/100)</f>
        <v>290598</v>
      </c>
      <c r="U2270" s="77">
        <f>(R2270-T2270)</f>
        <v>5521362</v>
      </c>
      <c r="V2270" s="77">
        <f>(J2270+U2270)</f>
        <v>5951316</v>
      </c>
      <c r="W2270" s="77">
        <f>(V2270*100/100)</f>
        <v>5951316</v>
      </c>
      <c r="X2270" s="28">
        <v>0</v>
      </c>
      <c r="Y2270" s="28">
        <f>(W2270-X2270)</f>
        <v>5951316</v>
      </c>
      <c r="Z2270" s="49">
        <v>2.0000000000000001E-4</v>
      </c>
    </row>
    <row r="2271" spans="1:26" s="29" customFormat="1" ht="90.75" customHeight="1" x14ac:dyDescent="0.25">
      <c r="A2271" s="20"/>
      <c r="B2271" s="20"/>
      <c r="C2271" s="20"/>
      <c r="D2271" s="21"/>
      <c r="E2271" s="21"/>
      <c r="F2271" s="22"/>
      <c r="G2271" s="23"/>
      <c r="H2271" s="63">
        <v>64.52</v>
      </c>
      <c r="I2271" s="64">
        <v>1050</v>
      </c>
      <c r="J2271" s="27">
        <f t="shared" si="375"/>
        <v>67746</v>
      </c>
      <c r="K2271" s="20">
        <v>2</v>
      </c>
      <c r="L2271" s="20" t="s">
        <v>28</v>
      </c>
      <c r="M2271" s="20"/>
      <c r="N2271" s="20">
        <v>3</v>
      </c>
      <c r="O2271" s="20">
        <v>258.10000000000002</v>
      </c>
      <c r="P2271" s="52">
        <v>100</v>
      </c>
      <c r="Q2271" s="63">
        <v>5500</v>
      </c>
      <c r="R2271" s="63">
        <f>(O2271*Q2271)</f>
        <v>1419550.0000000002</v>
      </c>
      <c r="S2271" s="20">
        <v>5</v>
      </c>
      <c r="T2271" s="28">
        <f>(R2271*5/100)</f>
        <v>70977.500000000015</v>
      </c>
      <c r="U2271" s="77">
        <f>(R2271-T2271)</f>
        <v>1348572.5000000002</v>
      </c>
      <c r="V2271" s="77">
        <f>(J2271+U2271)</f>
        <v>1416318.5000000002</v>
      </c>
      <c r="W2271" s="77">
        <f>(V2271*100/100)</f>
        <v>1416318.5000000002</v>
      </c>
      <c r="X2271" s="28">
        <v>0</v>
      </c>
      <c r="Y2271" s="28">
        <f>(W2271-X2271)</f>
        <v>1416318.5000000002</v>
      </c>
      <c r="Z2271" s="49">
        <v>3.0000000000000001E-3</v>
      </c>
    </row>
    <row r="2272" spans="1:26" s="29" customFormat="1" ht="90.75" customHeight="1" x14ac:dyDescent="0.25">
      <c r="A2272" s="20">
        <v>1303</v>
      </c>
      <c r="B2272" s="20" t="s">
        <v>0</v>
      </c>
      <c r="C2272" s="20">
        <v>23121</v>
      </c>
      <c r="D2272" s="21">
        <v>0</v>
      </c>
      <c r="E2272" s="21">
        <v>1</v>
      </c>
      <c r="F2272" s="22">
        <v>81</v>
      </c>
      <c r="G2272" s="23" t="s">
        <v>211</v>
      </c>
      <c r="H2272" s="24">
        <f t="shared" ref="H2272" si="376">(D2272*400)+(E2272*100)+F2272</f>
        <v>181</v>
      </c>
      <c r="I2272" s="25" t="s">
        <v>75</v>
      </c>
      <c r="J2272" s="24">
        <f t="shared" si="375"/>
        <v>113125</v>
      </c>
      <c r="K2272" s="20"/>
      <c r="L2272" s="20" t="s">
        <v>2</v>
      </c>
      <c r="M2272" s="20" t="s">
        <v>2</v>
      </c>
      <c r="N2272" s="20"/>
      <c r="O2272" s="24"/>
      <c r="P2272" s="24"/>
      <c r="Q2272" s="25"/>
      <c r="R2272" s="24"/>
      <c r="S2272" s="20" t="s">
        <v>2</v>
      </c>
      <c r="T2272" s="27"/>
      <c r="U2272" s="20"/>
      <c r="V2272" s="20"/>
      <c r="W2272" s="26"/>
      <c r="X2272" s="27"/>
      <c r="Y2272" s="20"/>
      <c r="Z2272" s="20"/>
    </row>
    <row r="2273" spans="1:26" s="29" customFormat="1" ht="90.75" customHeight="1" x14ac:dyDescent="0.25">
      <c r="A2273" s="20"/>
      <c r="B2273" s="20"/>
      <c r="C2273" s="20"/>
      <c r="D2273" s="21"/>
      <c r="E2273" s="21"/>
      <c r="F2273" s="22"/>
      <c r="G2273" s="23"/>
      <c r="H2273" s="36">
        <v>170.5</v>
      </c>
      <c r="I2273" s="40">
        <v>625</v>
      </c>
      <c r="J2273" s="28">
        <f>(H2273*I2273)</f>
        <v>106562.5</v>
      </c>
      <c r="K2273" s="30"/>
      <c r="L2273" s="31"/>
      <c r="M2273" s="32"/>
      <c r="N2273" s="33"/>
      <c r="O2273" s="34"/>
      <c r="P2273" s="35"/>
      <c r="Q2273" s="36"/>
      <c r="R2273" s="36"/>
      <c r="S2273" s="37"/>
      <c r="T2273" s="28"/>
      <c r="U2273" s="36"/>
      <c r="V2273" s="36"/>
      <c r="W2273" s="36"/>
      <c r="X2273" s="28"/>
      <c r="Y2273" s="28"/>
      <c r="Z2273" s="20"/>
    </row>
    <row r="2274" spans="1:26" s="29" customFormat="1" ht="90.75" customHeight="1" x14ac:dyDescent="0.25">
      <c r="A2274" s="20"/>
      <c r="B2274" s="20"/>
      <c r="C2274" s="20"/>
      <c r="D2274" s="21"/>
      <c r="E2274" s="21"/>
      <c r="F2274" s="22"/>
      <c r="G2274" s="23"/>
      <c r="H2274" s="36"/>
      <c r="I2274" s="40"/>
      <c r="J2274" s="28"/>
      <c r="K2274" s="30">
        <v>1</v>
      </c>
      <c r="L2274" s="31" t="s">
        <v>43</v>
      </c>
      <c r="M2274" s="32" t="s">
        <v>13</v>
      </c>
      <c r="N2274" s="33">
        <v>2</v>
      </c>
      <c r="O2274" s="34">
        <v>92</v>
      </c>
      <c r="P2274" s="35">
        <v>100</v>
      </c>
      <c r="Q2274" s="36">
        <v>7700</v>
      </c>
      <c r="R2274" s="36">
        <f>(O2274*Q2274)</f>
        <v>708400</v>
      </c>
      <c r="S2274" s="37">
        <v>22</v>
      </c>
      <c r="T2274" s="28">
        <f>(R2274*34/100)</f>
        <v>240856</v>
      </c>
      <c r="U2274" s="36">
        <f>(R2274-T2274)</f>
        <v>467544</v>
      </c>
      <c r="V2274" s="36"/>
      <c r="W2274" s="36"/>
      <c r="X2274" s="28"/>
      <c r="Y2274" s="28"/>
      <c r="Z2274" s="20"/>
    </row>
    <row r="2275" spans="1:26" s="29" customFormat="1" ht="90.75" customHeight="1" x14ac:dyDescent="0.25">
      <c r="A2275" s="20"/>
      <c r="B2275" s="20"/>
      <c r="C2275" s="20"/>
      <c r="D2275" s="21"/>
      <c r="E2275" s="21"/>
      <c r="F2275" s="22"/>
      <c r="G2275" s="23"/>
      <c r="H2275" s="36"/>
      <c r="I2275" s="40"/>
      <c r="J2275" s="28"/>
      <c r="K2275" s="30">
        <v>2</v>
      </c>
      <c r="L2275" s="31" t="s">
        <v>215</v>
      </c>
      <c r="M2275" s="32" t="s">
        <v>13</v>
      </c>
      <c r="N2275" s="33">
        <v>2</v>
      </c>
      <c r="O2275" s="34">
        <v>69</v>
      </c>
      <c r="P2275" s="35">
        <v>100</v>
      </c>
      <c r="Q2275" s="36">
        <v>6450</v>
      </c>
      <c r="R2275" s="36">
        <f>(O2275*Q2275)</f>
        <v>445050</v>
      </c>
      <c r="S2275" s="37">
        <v>22</v>
      </c>
      <c r="T2275" s="28">
        <f>(R2275*34/100)</f>
        <v>151317</v>
      </c>
      <c r="U2275" s="36">
        <f>(R2275-T2275)</f>
        <v>293733</v>
      </c>
      <c r="V2275" s="36"/>
      <c r="W2275" s="36"/>
      <c r="X2275" s="28"/>
      <c r="Y2275" s="28"/>
      <c r="Z2275" s="20"/>
    </row>
    <row r="2276" spans="1:26" s="29" customFormat="1" ht="90.75" customHeight="1" x14ac:dyDescent="0.25">
      <c r="A2276" s="20"/>
      <c r="B2276" s="20"/>
      <c r="C2276" s="20"/>
      <c r="D2276" s="21"/>
      <c r="E2276" s="21"/>
      <c r="F2276" s="22"/>
      <c r="G2276" s="23"/>
      <c r="H2276" s="36"/>
      <c r="I2276" s="40"/>
      <c r="J2276" s="28"/>
      <c r="K2276" s="30"/>
      <c r="L2276" s="31"/>
      <c r="M2276" s="32"/>
      <c r="N2276" s="33"/>
      <c r="O2276" s="34"/>
      <c r="P2276" s="35"/>
      <c r="Q2276" s="36"/>
      <c r="R2276" s="36"/>
      <c r="S2276" s="37"/>
      <c r="T2276" s="28"/>
      <c r="U2276" s="36">
        <f>(U2274+U2275)</f>
        <v>761277</v>
      </c>
      <c r="V2276" s="36">
        <f>(J2276+U2276)</f>
        <v>761277</v>
      </c>
      <c r="W2276" s="36">
        <f>(V2276*100/100)</f>
        <v>761277</v>
      </c>
      <c r="X2276" s="28">
        <v>0</v>
      </c>
      <c r="Y2276" s="28">
        <f>(W2276-X2276)</f>
        <v>761277</v>
      </c>
      <c r="Z2276" s="49">
        <v>2.0000000000000001E-4</v>
      </c>
    </row>
    <row r="2277" spans="1:26" s="29" customFormat="1" ht="90.75" customHeight="1" x14ac:dyDescent="0.25">
      <c r="A2277" s="20"/>
      <c r="B2277" s="20"/>
      <c r="C2277" s="20"/>
      <c r="D2277" s="21"/>
      <c r="E2277" s="21"/>
      <c r="F2277" s="22"/>
      <c r="G2277" s="23"/>
      <c r="H2277" s="36">
        <v>10.5</v>
      </c>
      <c r="I2277" s="40">
        <v>625</v>
      </c>
      <c r="J2277" s="28">
        <f>(H2277*I2277)</f>
        <v>6562.5</v>
      </c>
      <c r="K2277" s="30">
        <v>3</v>
      </c>
      <c r="L2277" s="31" t="s">
        <v>36</v>
      </c>
      <c r="M2277" s="32" t="s">
        <v>13</v>
      </c>
      <c r="N2277" s="33">
        <v>3</v>
      </c>
      <c r="O2277" s="34">
        <v>42</v>
      </c>
      <c r="P2277" s="35">
        <v>100</v>
      </c>
      <c r="Q2277" s="36">
        <v>5550</v>
      </c>
      <c r="R2277" s="36">
        <f>(O2277*Q2277)</f>
        <v>233100</v>
      </c>
      <c r="S2277" s="37">
        <v>22</v>
      </c>
      <c r="T2277" s="28">
        <f>(R2277*34/100)</f>
        <v>79254</v>
      </c>
      <c r="U2277" s="36">
        <f>(R2277-T2277)</f>
        <v>153846</v>
      </c>
      <c r="V2277" s="36">
        <f>(J2277+U2277)</f>
        <v>160408.5</v>
      </c>
      <c r="W2277" s="36">
        <f>(V2277*100/100)</f>
        <v>160408.5</v>
      </c>
      <c r="X2277" s="28">
        <v>0</v>
      </c>
      <c r="Y2277" s="28">
        <f>(W2277-X2277)</f>
        <v>160408.5</v>
      </c>
      <c r="Z2277" s="49">
        <v>3.0000000000000001E-3</v>
      </c>
    </row>
    <row r="2278" spans="1:26" s="29" customFormat="1" ht="90.75" customHeight="1" x14ac:dyDescent="0.25">
      <c r="A2278" s="20">
        <v>1304</v>
      </c>
      <c r="B2278" s="20" t="s">
        <v>0</v>
      </c>
      <c r="C2278" s="20">
        <v>15727</v>
      </c>
      <c r="D2278" s="21">
        <v>0</v>
      </c>
      <c r="E2278" s="21">
        <v>0</v>
      </c>
      <c r="F2278" s="22">
        <v>63</v>
      </c>
      <c r="G2278" s="23" t="s">
        <v>211</v>
      </c>
      <c r="H2278" s="36">
        <v>10.5</v>
      </c>
      <c r="I2278" s="40">
        <v>625</v>
      </c>
      <c r="J2278" s="28">
        <f>(H2278*I2278)</f>
        <v>6562.5</v>
      </c>
      <c r="K2278" s="37">
        <v>1</v>
      </c>
      <c r="L2278" s="31" t="s">
        <v>215</v>
      </c>
      <c r="M2278" s="32" t="s">
        <v>13</v>
      </c>
      <c r="N2278" s="33">
        <v>5</v>
      </c>
      <c r="O2278" s="34">
        <v>196</v>
      </c>
      <c r="P2278" s="35">
        <v>100</v>
      </c>
      <c r="Q2278" s="36">
        <v>6450</v>
      </c>
      <c r="R2278" s="36">
        <f>(O2278*Q2278)</f>
        <v>1264200</v>
      </c>
      <c r="S2278" s="37">
        <v>22</v>
      </c>
      <c r="T2278" s="28">
        <f>(R2278*34/100)</f>
        <v>429828</v>
      </c>
      <c r="U2278" s="36">
        <f>(R2278-T2278)</f>
        <v>834372</v>
      </c>
      <c r="V2278" s="36">
        <f>(J2278+U2278)</f>
        <v>840934.5</v>
      </c>
      <c r="W2278" s="36">
        <f>(V2278*100/100)</f>
        <v>840934.5</v>
      </c>
      <c r="X2278" s="28"/>
      <c r="Y2278" s="28"/>
      <c r="Z2278" s="20"/>
    </row>
    <row r="2279" spans="1:26" s="29" customFormat="1" ht="90.75" customHeight="1" x14ac:dyDescent="0.25">
      <c r="A2279" s="20"/>
      <c r="B2279" s="20"/>
      <c r="C2279" s="20"/>
      <c r="D2279" s="21"/>
      <c r="E2279" s="21"/>
      <c r="F2279" s="22"/>
      <c r="G2279" s="23"/>
      <c r="H2279" s="24"/>
      <c r="I2279" s="25"/>
      <c r="J2279" s="24"/>
      <c r="K2279" s="37"/>
      <c r="L2279" s="31"/>
      <c r="M2279" s="32"/>
      <c r="N2279" s="33">
        <v>2</v>
      </c>
      <c r="O2279" s="34">
        <v>151</v>
      </c>
      <c r="P2279" s="35">
        <v>77.040000000000006</v>
      </c>
      <c r="Q2279" s="36"/>
      <c r="R2279" s="36"/>
      <c r="S2279" s="37"/>
      <c r="T2279" s="28"/>
      <c r="U2279" s="36"/>
      <c r="V2279" s="36"/>
      <c r="W2279" s="36">
        <f>(W2278*77.04/100)</f>
        <v>647855.9388</v>
      </c>
      <c r="X2279" s="28">
        <v>50000000</v>
      </c>
      <c r="Y2279" s="28"/>
      <c r="Z2279" s="20"/>
    </row>
    <row r="2280" spans="1:26" s="29" customFormat="1" ht="90.75" customHeight="1" x14ac:dyDescent="0.25">
      <c r="A2280" s="20"/>
      <c r="B2280" s="20"/>
      <c r="C2280" s="20"/>
      <c r="D2280" s="21"/>
      <c r="E2280" s="21"/>
      <c r="F2280" s="22"/>
      <c r="G2280" s="23"/>
      <c r="H2280" s="24"/>
      <c r="I2280" s="25"/>
      <c r="J2280" s="24"/>
      <c r="K2280" s="37"/>
      <c r="L2280" s="31"/>
      <c r="M2280" s="32"/>
      <c r="N2280" s="33">
        <v>3</v>
      </c>
      <c r="O2280" s="34">
        <v>45</v>
      </c>
      <c r="P2280" s="35">
        <v>22.96</v>
      </c>
      <c r="Q2280" s="36"/>
      <c r="R2280" s="36"/>
      <c r="S2280" s="37"/>
      <c r="T2280" s="28"/>
      <c r="U2280" s="36"/>
      <c r="V2280" s="36"/>
      <c r="W2280" s="36">
        <f>(W2278*22.96/100)</f>
        <v>193078.5612</v>
      </c>
      <c r="X2280" s="28">
        <v>0</v>
      </c>
      <c r="Y2280" s="28">
        <f>(W2280-X2280)</f>
        <v>193078.5612</v>
      </c>
      <c r="Z2280" s="49">
        <v>3.0000000000000001E-3</v>
      </c>
    </row>
    <row r="2281" spans="1:26" s="29" customFormat="1" ht="90.75" customHeight="1" x14ac:dyDescent="0.25">
      <c r="A2281" s="20">
        <v>1305</v>
      </c>
      <c r="B2281" s="20" t="s">
        <v>0</v>
      </c>
      <c r="C2281" s="20">
        <v>15728</v>
      </c>
      <c r="D2281" s="21">
        <v>0</v>
      </c>
      <c r="E2281" s="21">
        <v>0</v>
      </c>
      <c r="F2281" s="22">
        <v>42</v>
      </c>
      <c r="G2281" s="23" t="s">
        <v>209</v>
      </c>
      <c r="H2281" s="36">
        <f t="shared" ref="H2281:H2283" si="377">(D2281*400)+(E2281*100)+F2281</f>
        <v>42</v>
      </c>
      <c r="I2281" s="40">
        <v>200</v>
      </c>
      <c r="J2281" s="65">
        <f t="shared" ref="J2281:J2283" si="378">(H2281*I2281)</f>
        <v>8400</v>
      </c>
      <c r="K2281" s="37">
        <v>1</v>
      </c>
      <c r="L2281" s="20" t="s">
        <v>29</v>
      </c>
      <c r="M2281" s="37" t="s">
        <v>13</v>
      </c>
      <c r="N2281" s="30">
        <v>3</v>
      </c>
      <c r="O2281" s="77">
        <v>148</v>
      </c>
      <c r="P2281" s="35">
        <v>100</v>
      </c>
      <c r="Q2281" s="77">
        <v>5550</v>
      </c>
      <c r="R2281" s="77">
        <f>(O2281*Q2281)</f>
        <v>821400</v>
      </c>
      <c r="S2281" s="37">
        <v>37</v>
      </c>
      <c r="T2281" s="28">
        <f>(R2281*64/100)</f>
        <v>525696</v>
      </c>
      <c r="U2281" s="77">
        <f>(R2281-T2281)</f>
        <v>295704</v>
      </c>
      <c r="V2281" s="77">
        <f t="shared" ref="V2281" si="379">(J2281+U2281)</f>
        <v>304104</v>
      </c>
      <c r="W2281" s="77">
        <f>(V2281*100/100)</f>
        <v>304104</v>
      </c>
      <c r="X2281" s="28">
        <v>0</v>
      </c>
      <c r="Y2281" s="28">
        <f>(W2281-X2281)</f>
        <v>304104</v>
      </c>
      <c r="Z2281" s="49">
        <v>3.0000000000000001E-3</v>
      </c>
    </row>
    <row r="2282" spans="1:26" s="29" customFormat="1" ht="90.75" customHeight="1" x14ac:dyDescent="0.25">
      <c r="A2282" s="20">
        <v>1306</v>
      </c>
      <c r="B2282" s="20" t="s">
        <v>0</v>
      </c>
      <c r="C2282" s="20">
        <v>8079</v>
      </c>
      <c r="D2282" s="21">
        <v>0</v>
      </c>
      <c r="E2282" s="21">
        <v>0</v>
      </c>
      <c r="F2282" s="22">
        <v>64</v>
      </c>
      <c r="G2282" s="23" t="s">
        <v>56</v>
      </c>
      <c r="H2282" s="36">
        <f t="shared" si="377"/>
        <v>64</v>
      </c>
      <c r="I2282" s="40" t="s">
        <v>75</v>
      </c>
      <c r="J2282" s="65">
        <f t="shared" si="378"/>
        <v>40000</v>
      </c>
      <c r="K2282" s="30">
        <v>1</v>
      </c>
      <c r="L2282" s="20" t="s">
        <v>215</v>
      </c>
      <c r="M2282" s="35" t="s">
        <v>100</v>
      </c>
      <c r="N2282" s="30">
        <v>2</v>
      </c>
      <c r="O2282" s="36">
        <v>250</v>
      </c>
      <c r="P2282" s="86">
        <v>100</v>
      </c>
      <c r="Q2282" s="40">
        <v>6450</v>
      </c>
      <c r="R2282" s="84">
        <f>(O2282*P2282)</f>
        <v>25000</v>
      </c>
      <c r="S2282" s="84">
        <v>41</v>
      </c>
      <c r="T2282" s="28">
        <f>(R2282*85/100)</f>
        <v>21250</v>
      </c>
      <c r="U2282" s="36">
        <f>(R2282-T2282)</f>
        <v>3750</v>
      </c>
      <c r="V2282" s="36">
        <f>(J2282+U2282)</f>
        <v>43750</v>
      </c>
      <c r="W2282" s="77">
        <f>(V2282*100/100)</f>
        <v>43750</v>
      </c>
      <c r="X2282" s="28">
        <v>50000000</v>
      </c>
      <c r="Y2282" s="24">
        <v>0</v>
      </c>
      <c r="Z2282" s="49">
        <v>2.0000000000000001E-4</v>
      </c>
    </row>
    <row r="2283" spans="1:26" s="29" customFormat="1" ht="90.75" customHeight="1" x14ac:dyDescent="0.25">
      <c r="A2283" s="20">
        <v>1307</v>
      </c>
      <c r="B2283" s="20" t="s">
        <v>0</v>
      </c>
      <c r="C2283" s="20">
        <v>10178</v>
      </c>
      <c r="D2283" s="21">
        <v>0</v>
      </c>
      <c r="E2283" s="21">
        <v>1</v>
      </c>
      <c r="F2283" s="22">
        <v>26</v>
      </c>
      <c r="G2283" s="23" t="s">
        <v>211</v>
      </c>
      <c r="H2283" s="36">
        <f t="shared" si="377"/>
        <v>126</v>
      </c>
      <c r="I2283" s="40" t="s">
        <v>75</v>
      </c>
      <c r="J2283" s="65">
        <f t="shared" si="378"/>
        <v>78750</v>
      </c>
      <c r="K2283" s="20"/>
      <c r="L2283" s="20"/>
      <c r="M2283" s="20"/>
      <c r="N2283" s="20"/>
      <c r="O2283" s="24"/>
      <c r="P2283" s="24"/>
      <c r="Q2283" s="25"/>
      <c r="R2283" s="24"/>
      <c r="S2283" s="20"/>
      <c r="T2283" s="27"/>
      <c r="U2283" s="20"/>
      <c r="V2283" s="20"/>
      <c r="W2283" s="26"/>
      <c r="X2283" s="27"/>
      <c r="Y2283" s="20"/>
      <c r="Z2283" s="20"/>
    </row>
    <row r="2284" spans="1:26" s="29" customFormat="1" ht="90.75" customHeight="1" x14ac:dyDescent="0.25">
      <c r="A2284" s="20"/>
      <c r="B2284" s="20"/>
      <c r="C2284" s="20"/>
      <c r="D2284" s="21"/>
      <c r="E2284" s="21"/>
      <c r="F2284" s="22"/>
      <c r="G2284" s="23"/>
      <c r="H2284" s="36">
        <v>110.25</v>
      </c>
      <c r="I2284" s="40">
        <v>625</v>
      </c>
      <c r="J2284" s="28">
        <f>(H2284*I2284)</f>
        <v>68906.25</v>
      </c>
      <c r="K2284" s="30"/>
      <c r="L2284" s="31"/>
      <c r="M2284" s="32"/>
      <c r="N2284" s="33"/>
      <c r="O2284" s="34"/>
      <c r="P2284" s="35"/>
      <c r="Q2284" s="36"/>
      <c r="R2284" s="36"/>
      <c r="S2284" s="37"/>
      <c r="T2284" s="28"/>
      <c r="U2284" s="36"/>
      <c r="V2284" s="36"/>
      <c r="W2284" s="36"/>
      <c r="X2284" s="28"/>
      <c r="Y2284" s="28"/>
      <c r="Z2284" s="20"/>
    </row>
    <row r="2285" spans="1:26" s="29" customFormat="1" ht="90.75" customHeight="1" x14ac:dyDescent="0.25">
      <c r="A2285" s="20"/>
      <c r="B2285" s="20"/>
      <c r="C2285" s="20"/>
      <c r="D2285" s="21"/>
      <c r="E2285" s="21"/>
      <c r="F2285" s="22"/>
      <c r="G2285" s="23"/>
      <c r="H2285" s="36"/>
      <c r="I2285" s="40"/>
      <c r="J2285" s="28"/>
      <c r="K2285" s="30">
        <v>1</v>
      </c>
      <c r="L2285" s="31" t="s">
        <v>215</v>
      </c>
      <c r="M2285" s="32" t="s">
        <v>13</v>
      </c>
      <c r="N2285" s="33">
        <v>2</v>
      </c>
      <c r="O2285" s="34">
        <v>115.5</v>
      </c>
      <c r="P2285" s="35">
        <v>100</v>
      </c>
      <c r="Q2285" s="36">
        <v>6450</v>
      </c>
      <c r="R2285" s="36">
        <f>(O2285*Q2285)</f>
        <v>744975</v>
      </c>
      <c r="S2285" s="37">
        <v>27</v>
      </c>
      <c r="T2285" s="28">
        <f>(R2285*44/100)</f>
        <v>327789</v>
      </c>
      <c r="U2285" s="36">
        <f>(R2285-T2285)</f>
        <v>417186</v>
      </c>
      <c r="V2285" s="36"/>
      <c r="W2285" s="36"/>
      <c r="X2285" s="28"/>
      <c r="Y2285" s="28"/>
      <c r="Z2285" s="20"/>
    </row>
    <row r="2286" spans="1:26" s="29" customFormat="1" ht="90.75" customHeight="1" x14ac:dyDescent="0.25">
      <c r="A2286" s="20"/>
      <c r="B2286" s="20"/>
      <c r="C2286" s="20"/>
      <c r="D2286" s="21"/>
      <c r="E2286" s="21"/>
      <c r="F2286" s="22"/>
      <c r="G2286" s="23"/>
      <c r="H2286" s="36"/>
      <c r="I2286" s="40"/>
      <c r="J2286" s="28"/>
      <c r="K2286" s="30">
        <v>2</v>
      </c>
      <c r="L2286" s="31" t="s">
        <v>36</v>
      </c>
      <c r="M2286" s="32" t="s">
        <v>13</v>
      </c>
      <c r="N2286" s="33"/>
      <c r="O2286" s="34">
        <v>60</v>
      </c>
      <c r="P2286" s="35">
        <v>100</v>
      </c>
      <c r="Q2286" s="36">
        <v>5550</v>
      </c>
      <c r="R2286" s="36">
        <f>(O2286*Q2286)</f>
        <v>333000</v>
      </c>
      <c r="S2286" s="37">
        <v>27</v>
      </c>
      <c r="T2286" s="28">
        <f t="shared" ref="T2286:T2287" si="380">(R2286*44/100)</f>
        <v>146520</v>
      </c>
      <c r="U2286" s="36">
        <f>(R2286-T2286)</f>
        <v>186480</v>
      </c>
      <c r="V2286" s="36"/>
      <c r="W2286" s="36"/>
      <c r="X2286" s="28"/>
      <c r="Y2286" s="28"/>
      <c r="Z2286" s="20"/>
    </row>
    <row r="2287" spans="1:26" s="29" customFormat="1" ht="90.75" customHeight="1" x14ac:dyDescent="0.25">
      <c r="A2287" s="20"/>
      <c r="B2287" s="20"/>
      <c r="C2287" s="20"/>
      <c r="D2287" s="21"/>
      <c r="E2287" s="21"/>
      <c r="F2287" s="22"/>
      <c r="G2287" s="23"/>
      <c r="H2287" s="36"/>
      <c r="I2287" s="40"/>
      <c r="J2287" s="28"/>
      <c r="K2287" s="30">
        <v>3</v>
      </c>
      <c r="L2287" s="31" t="s">
        <v>31</v>
      </c>
      <c r="M2287" s="32"/>
      <c r="N2287" s="33"/>
      <c r="O2287" s="34">
        <v>52.5</v>
      </c>
      <c r="P2287" s="35">
        <v>100</v>
      </c>
      <c r="Q2287" s="36">
        <v>2550</v>
      </c>
      <c r="R2287" s="36">
        <f>(O2287*Q2287)</f>
        <v>133875</v>
      </c>
      <c r="S2287" s="37">
        <v>27</v>
      </c>
      <c r="T2287" s="28">
        <f t="shared" si="380"/>
        <v>58905</v>
      </c>
      <c r="U2287" s="36">
        <f>(R2287-T2287)</f>
        <v>74970</v>
      </c>
      <c r="V2287" s="36"/>
      <c r="W2287" s="36"/>
      <c r="X2287" s="28"/>
      <c r="Y2287" s="28"/>
      <c r="Z2287" s="20"/>
    </row>
    <row r="2288" spans="1:26" s="29" customFormat="1" ht="90.75" customHeight="1" x14ac:dyDescent="0.25">
      <c r="A2288" s="20"/>
      <c r="B2288" s="20"/>
      <c r="C2288" s="20"/>
      <c r="D2288" s="21"/>
      <c r="E2288" s="21"/>
      <c r="F2288" s="22"/>
      <c r="G2288" s="23"/>
      <c r="H2288" s="36"/>
      <c r="I2288" s="40"/>
      <c r="J2288" s="28"/>
      <c r="K2288" s="30"/>
      <c r="L2288" s="31"/>
      <c r="M2288" s="32"/>
      <c r="N2288" s="33"/>
      <c r="O2288" s="34"/>
      <c r="P2288" s="35"/>
      <c r="Q2288" s="36"/>
      <c r="R2288" s="36"/>
      <c r="S2288" s="37"/>
      <c r="T2288" s="28"/>
      <c r="U2288" s="36">
        <f>(U2285+U2286+U2287)</f>
        <v>678636</v>
      </c>
      <c r="V2288" s="36">
        <f>(J2284+U2288)</f>
        <v>747542.25</v>
      </c>
      <c r="W2288" s="36">
        <f>(V2288*100/100)</f>
        <v>747542.25</v>
      </c>
      <c r="X2288" s="28">
        <v>50000000</v>
      </c>
      <c r="Y2288" s="28">
        <v>0</v>
      </c>
      <c r="Z2288" s="49">
        <v>2.0000000000000001E-4</v>
      </c>
    </row>
    <row r="2289" spans="1:26" s="29" customFormat="1" ht="90.75" customHeight="1" x14ac:dyDescent="0.25">
      <c r="A2289" s="20"/>
      <c r="B2289" s="20"/>
      <c r="C2289" s="20"/>
      <c r="D2289" s="21"/>
      <c r="E2289" s="21"/>
      <c r="F2289" s="22"/>
      <c r="G2289" s="23"/>
      <c r="H2289" s="36">
        <v>15.75</v>
      </c>
      <c r="I2289" s="40">
        <v>625</v>
      </c>
      <c r="J2289" s="28">
        <f>(H2289*I2289)</f>
        <v>9843.75</v>
      </c>
      <c r="K2289" s="30">
        <v>4</v>
      </c>
      <c r="L2289" s="31" t="s">
        <v>36</v>
      </c>
      <c r="M2289" s="32"/>
      <c r="N2289" s="33"/>
      <c r="O2289" s="34">
        <v>63</v>
      </c>
      <c r="P2289" s="35">
        <v>100</v>
      </c>
      <c r="Q2289" s="36">
        <v>5550</v>
      </c>
      <c r="R2289" s="36">
        <f>(O2289*Q2289)</f>
        <v>349650</v>
      </c>
      <c r="S2289" s="37">
        <v>27</v>
      </c>
      <c r="T2289" s="28">
        <f t="shared" ref="T2289:T2292" si="381">(R2289*44/100)</f>
        <v>153846</v>
      </c>
      <c r="U2289" s="36">
        <f>(R2289-T2289)</f>
        <v>195804</v>
      </c>
      <c r="V2289" s="36">
        <f>(J2289+U2289)</f>
        <v>205647.75</v>
      </c>
      <c r="W2289" s="36">
        <f>(V2289*P2289/100)</f>
        <v>205647.75</v>
      </c>
      <c r="X2289" s="28">
        <v>0</v>
      </c>
      <c r="Y2289" s="28">
        <f>(W2289-X2289)</f>
        <v>205647.75</v>
      </c>
      <c r="Z2289" s="49">
        <v>3.0000000000000001E-3</v>
      </c>
    </row>
    <row r="2290" spans="1:26" s="29" customFormat="1" ht="90.75" customHeight="1" x14ac:dyDescent="0.25">
      <c r="A2290" s="20">
        <v>1308</v>
      </c>
      <c r="B2290" s="20" t="s">
        <v>0</v>
      </c>
      <c r="C2290" s="20">
        <v>8016</v>
      </c>
      <c r="D2290" s="21">
        <v>0</v>
      </c>
      <c r="E2290" s="21">
        <v>1</v>
      </c>
      <c r="F2290" s="22">
        <v>21</v>
      </c>
      <c r="G2290" s="23" t="s">
        <v>211</v>
      </c>
      <c r="H2290" s="36">
        <f t="shared" ref="H2290" si="382">(D2290*400)+(E2290*100)+F2290</f>
        <v>121</v>
      </c>
      <c r="I2290" s="25" t="s">
        <v>75</v>
      </c>
      <c r="J2290" s="65">
        <f t="shared" ref="J2290:J2298" si="383">(H2290*I2290)</f>
        <v>75625</v>
      </c>
      <c r="K2290" s="20"/>
      <c r="L2290" s="20"/>
      <c r="M2290" s="20"/>
      <c r="N2290" s="20"/>
      <c r="O2290" s="24"/>
      <c r="P2290" s="24"/>
      <c r="Q2290" s="25"/>
      <c r="R2290" s="24"/>
      <c r="S2290" s="20"/>
      <c r="T2290" s="27"/>
      <c r="U2290" s="20"/>
      <c r="V2290" s="20"/>
      <c r="W2290" s="26"/>
      <c r="X2290" s="27"/>
      <c r="Y2290" s="20"/>
      <c r="Z2290" s="20"/>
    </row>
    <row r="2291" spans="1:26" s="29" customFormat="1" ht="90.75" customHeight="1" x14ac:dyDescent="0.25">
      <c r="A2291" s="20"/>
      <c r="B2291" s="20"/>
      <c r="C2291" s="20"/>
      <c r="D2291" s="21"/>
      <c r="E2291" s="21"/>
      <c r="F2291" s="22"/>
      <c r="G2291" s="23" t="s">
        <v>56</v>
      </c>
      <c r="H2291" s="36">
        <v>90.38</v>
      </c>
      <c r="I2291" s="40">
        <v>625</v>
      </c>
      <c r="J2291" s="28">
        <f t="shared" si="383"/>
        <v>56487.5</v>
      </c>
      <c r="K2291" s="37">
        <v>1</v>
      </c>
      <c r="L2291" s="31" t="s">
        <v>215</v>
      </c>
      <c r="M2291" s="32" t="s">
        <v>52</v>
      </c>
      <c r="N2291" s="33">
        <v>2</v>
      </c>
      <c r="O2291" s="34">
        <v>79.8</v>
      </c>
      <c r="P2291" s="35">
        <v>100</v>
      </c>
      <c r="Q2291" s="36">
        <v>6450</v>
      </c>
      <c r="R2291" s="36">
        <f>(O2291*Q2291)</f>
        <v>514710</v>
      </c>
      <c r="S2291" s="37">
        <v>27</v>
      </c>
      <c r="T2291" s="28">
        <f t="shared" si="381"/>
        <v>226472.4</v>
      </c>
      <c r="U2291" s="36">
        <f>(R2291-T2291)</f>
        <v>288237.59999999998</v>
      </c>
      <c r="V2291" s="36">
        <f>(J2291+U2291)</f>
        <v>344725.1</v>
      </c>
      <c r="W2291" s="36">
        <f>(V2291*100/100)</f>
        <v>344725.1</v>
      </c>
      <c r="X2291" s="28">
        <v>50000000</v>
      </c>
      <c r="Y2291" s="28">
        <v>0</v>
      </c>
      <c r="Z2291" s="49">
        <v>2.0000000000000001E-4</v>
      </c>
    </row>
    <row r="2292" spans="1:26" s="29" customFormat="1" ht="90.75" customHeight="1" x14ac:dyDescent="0.25">
      <c r="A2292" s="20"/>
      <c r="B2292" s="20"/>
      <c r="C2292" s="20"/>
      <c r="D2292" s="21"/>
      <c r="E2292" s="21"/>
      <c r="F2292" s="22"/>
      <c r="G2292" s="23"/>
      <c r="H2292" s="36">
        <v>21.37</v>
      </c>
      <c r="I2292" s="40">
        <v>625</v>
      </c>
      <c r="J2292" s="28">
        <f t="shared" si="383"/>
        <v>13356.25</v>
      </c>
      <c r="K2292" s="37">
        <v>2</v>
      </c>
      <c r="L2292" s="31" t="s">
        <v>31</v>
      </c>
      <c r="M2292" s="32"/>
      <c r="N2292" s="33">
        <v>2</v>
      </c>
      <c r="O2292" s="34">
        <v>85.5</v>
      </c>
      <c r="P2292" s="35">
        <v>100</v>
      </c>
      <c r="Q2292" s="36">
        <v>2550</v>
      </c>
      <c r="R2292" s="36">
        <f>(O2292*Q2292)</f>
        <v>218025</v>
      </c>
      <c r="S2292" s="37">
        <v>27</v>
      </c>
      <c r="T2292" s="28">
        <f t="shared" si="381"/>
        <v>95931</v>
      </c>
      <c r="U2292" s="36">
        <f>(R2292-T2292)</f>
        <v>122094</v>
      </c>
      <c r="V2292" s="36">
        <f>(J2292+U2292)</f>
        <v>135450.25</v>
      </c>
      <c r="W2292" s="36">
        <f>(V2292*100/100)</f>
        <v>135450.25</v>
      </c>
      <c r="X2292" s="28"/>
      <c r="Y2292" s="28"/>
      <c r="Z2292" s="20"/>
    </row>
    <row r="2293" spans="1:26" s="29" customFormat="1" ht="90.75" customHeight="1" x14ac:dyDescent="0.25">
      <c r="A2293" s="20"/>
      <c r="B2293" s="20"/>
      <c r="C2293" s="20"/>
      <c r="D2293" s="21"/>
      <c r="E2293" s="21"/>
      <c r="F2293" s="22"/>
      <c r="G2293" s="23" t="s">
        <v>209</v>
      </c>
      <c r="H2293" s="36">
        <v>12.25</v>
      </c>
      <c r="I2293" s="40">
        <v>625</v>
      </c>
      <c r="J2293" s="28">
        <f t="shared" si="383"/>
        <v>7656.25</v>
      </c>
      <c r="K2293" s="37">
        <v>3</v>
      </c>
      <c r="L2293" s="31" t="s">
        <v>222</v>
      </c>
      <c r="M2293" s="32"/>
      <c r="N2293" s="33">
        <v>3</v>
      </c>
      <c r="O2293" s="34">
        <v>49</v>
      </c>
      <c r="P2293" s="35">
        <v>100</v>
      </c>
      <c r="Q2293" s="36">
        <v>2550</v>
      </c>
      <c r="R2293" s="36">
        <f>(O2293*Q2293)</f>
        <v>124950</v>
      </c>
      <c r="S2293" s="37">
        <v>7</v>
      </c>
      <c r="T2293" s="28">
        <f>(R2293*7/100)</f>
        <v>8746.5</v>
      </c>
      <c r="U2293" s="36">
        <f>(R2293-T2293)</f>
        <v>116203.5</v>
      </c>
      <c r="V2293" s="36">
        <f>(J2293+U2293)</f>
        <v>123859.75</v>
      </c>
      <c r="W2293" s="36">
        <f>(V2293*100/100)</f>
        <v>123859.75</v>
      </c>
      <c r="X2293" s="28">
        <v>0</v>
      </c>
      <c r="Y2293" s="28">
        <f>(W2293-X2293)</f>
        <v>123859.75</v>
      </c>
      <c r="Z2293" s="49">
        <v>3.0000000000000001E-3</v>
      </c>
    </row>
    <row r="2294" spans="1:26" s="29" customFormat="1" ht="90.75" customHeight="1" x14ac:dyDescent="0.25">
      <c r="A2294" s="20">
        <v>1309</v>
      </c>
      <c r="B2294" s="20" t="s">
        <v>0</v>
      </c>
      <c r="C2294" s="20">
        <v>9199</v>
      </c>
      <c r="D2294" s="21">
        <v>0</v>
      </c>
      <c r="E2294" s="21">
        <v>0</v>
      </c>
      <c r="F2294" s="22">
        <v>52</v>
      </c>
      <c r="G2294" s="23" t="s">
        <v>211</v>
      </c>
      <c r="H2294" s="36">
        <f t="shared" ref="H2294" si="384">(D2294*400)+(E2294*100)+F2294</f>
        <v>52</v>
      </c>
      <c r="I2294" s="40" t="s">
        <v>75</v>
      </c>
      <c r="J2294" s="65">
        <f t="shared" si="383"/>
        <v>32500</v>
      </c>
      <c r="K2294" s="33"/>
      <c r="L2294" s="31"/>
      <c r="M2294" s="112"/>
      <c r="N2294" s="30"/>
      <c r="O2294" s="90"/>
      <c r="P2294" s="82"/>
      <c r="Q2294" s="83"/>
      <c r="R2294" s="33"/>
      <c r="S2294" s="33"/>
      <c r="T2294" s="89"/>
      <c r="U2294" s="33"/>
      <c r="V2294" s="90"/>
      <c r="W2294" s="90"/>
      <c r="X2294" s="89"/>
      <c r="Y2294" s="48"/>
      <c r="Z2294" s="53"/>
    </row>
    <row r="2295" spans="1:26" s="29" customFormat="1" ht="90.75" customHeight="1" x14ac:dyDescent="0.25">
      <c r="A2295" s="20"/>
      <c r="B2295" s="20"/>
      <c r="C2295" s="20"/>
      <c r="D2295" s="21"/>
      <c r="E2295" s="21"/>
      <c r="F2295" s="22"/>
      <c r="G2295" s="23"/>
      <c r="H2295" s="36">
        <v>41.85</v>
      </c>
      <c r="I2295" s="40">
        <v>625</v>
      </c>
      <c r="J2295" s="28">
        <f t="shared" si="383"/>
        <v>26156.25</v>
      </c>
      <c r="K2295" s="30">
        <v>1</v>
      </c>
      <c r="L2295" s="31" t="s">
        <v>215</v>
      </c>
      <c r="M2295" s="32" t="s">
        <v>13</v>
      </c>
      <c r="N2295" s="33"/>
      <c r="O2295" s="34">
        <v>121.5</v>
      </c>
      <c r="P2295" s="35">
        <v>100</v>
      </c>
      <c r="Q2295" s="36">
        <v>6450</v>
      </c>
      <c r="R2295" s="36">
        <f>(O2295*Q2295)</f>
        <v>783675</v>
      </c>
      <c r="S2295" s="37">
        <v>7</v>
      </c>
      <c r="T2295" s="28">
        <f t="shared" ref="T2295:T2296" si="385">(R2295*7/100)</f>
        <v>54857.25</v>
      </c>
      <c r="U2295" s="36">
        <f>(R2295-T2295)</f>
        <v>728817.75</v>
      </c>
      <c r="V2295" s="36">
        <f>(J2295+U2295)</f>
        <v>754974</v>
      </c>
      <c r="W2295" s="36">
        <f>(V2295*P2295/100)</f>
        <v>754974</v>
      </c>
      <c r="X2295" s="28">
        <v>50000000</v>
      </c>
      <c r="Y2295" s="28">
        <v>0</v>
      </c>
      <c r="Z2295" s="49">
        <v>2.0000000000000001E-4</v>
      </c>
    </row>
    <row r="2296" spans="1:26" s="29" customFormat="1" ht="90.75" customHeight="1" x14ac:dyDescent="0.25">
      <c r="A2296" s="20"/>
      <c r="B2296" s="20"/>
      <c r="C2296" s="20"/>
      <c r="D2296" s="21"/>
      <c r="E2296" s="21"/>
      <c r="F2296" s="22"/>
      <c r="G2296" s="23"/>
      <c r="H2296" s="36">
        <v>10.15</v>
      </c>
      <c r="I2296" s="40">
        <v>625</v>
      </c>
      <c r="J2296" s="28">
        <f t="shared" si="383"/>
        <v>6343.75</v>
      </c>
      <c r="K2296" s="30">
        <v>2</v>
      </c>
      <c r="L2296" s="31" t="s">
        <v>31</v>
      </c>
      <c r="M2296" s="32"/>
      <c r="N2296" s="33">
        <v>3</v>
      </c>
      <c r="O2296" s="34">
        <v>40.6</v>
      </c>
      <c r="P2296" s="35">
        <v>100</v>
      </c>
      <c r="Q2296" s="36">
        <v>2550</v>
      </c>
      <c r="R2296" s="36">
        <f>(O2296*Q2296)</f>
        <v>103530</v>
      </c>
      <c r="S2296" s="37">
        <v>7</v>
      </c>
      <c r="T2296" s="28">
        <f t="shared" si="385"/>
        <v>7247.1</v>
      </c>
      <c r="U2296" s="36">
        <f>(R2296-T2296)</f>
        <v>96282.9</v>
      </c>
      <c r="V2296" s="36">
        <f>(J2296+U2296)</f>
        <v>102626.65</v>
      </c>
      <c r="W2296" s="36">
        <f>(V2296*P2296/100)</f>
        <v>102626.65</v>
      </c>
      <c r="X2296" s="28">
        <v>0</v>
      </c>
      <c r="Y2296" s="28">
        <f>(W2296-X2296)</f>
        <v>102626.65</v>
      </c>
      <c r="Z2296" s="49">
        <v>3.0000000000000001E-3</v>
      </c>
    </row>
    <row r="2297" spans="1:26" s="29" customFormat="1" ht="90.75" customHeight="1" x14ac:dyDescent="0.25">
      <c r="A2297" s="20">
        <v>1310</v>
      </c>
      <c r="B2297" s="20" t="s">
        <v>0</v>
      </c>
      <c r="C2297" s="20">
        <v>8021</v>
      </c>
      <c r="D2297" s="21">
        <v>0</v>
      </c>
      <c r="E2297" s="21">
        <v>2</v>
      </c>
      <c r="F2297" s="22">
        <v>11</v>
      </c>
      <c r="G2297" s="23" t="s">
        <v>211</v>
      </c>
      <c r="H2297" s="36">
        <f t="shared" ref="H2297" si="386">(D2297*400)+(E2297*100)+F2297</f>
        <v>211</v>
      </c>
      <c r="I2297" s="25" t="s">
        <v>80</v>
      </c>
      <c r="J2297" s="65">
        <f t="shared" si="383"/>
        <v>121325</v>
      </c>
      <c r="K2297" s="20"/>
      <c r="L2297" s="20"/>
      <c r="M2297" s="20"/>
      <c r="N2297" s="20"/>
      <c r="O2297" s="24"/>
      <c r="P2297" s="24"/>
      <c r="Q2297" s="25"/>
      <c r="R2297" s="24"/>
      <c r="S2297" s="20"/>
      <c r="T2297" s="27"/>
      <c r="U2297" s="20"/>
      <c r="V2297" s="20"/>
      <c r="W2297" s="26"/>
      <c r="X2297" s="27"/>
      <c r="Y2297" s="20"/>
      <c r="Z2297" s="20"/>
    </row>
    <row r="2298" spans="1:26" s="29" customFormat="1" ht="90.75" customHeight="1" x14ac:dyDescent="0.25">
      <c r="A2298" s="20"/>
      <c r="B2298" s="20"/>
      <c r="C2298" s="20"/>
      <c r="D2298" s="21"/>
      <c r="E2298" s="21"/>
      <c r="F2298" s="22"/>
      <c r="G2298" s="23"/>
      <c r="H2298" s="24">
        <v>12.37</v>
      </c>
      <c r="I2298" s="25" t="s">
        <v>80</v>
      </c>
      <c r="J2298" s="65">
        <f t="shared" si="383"/>
        <v>7112.75</v>
      </c>
      <c r="K2298" s="37">
        <v>1</v>
      </c>
      <c r="L2298" s="20" t="s">
        <v>215</v>
      </c>
      <c r="M2298" s="37" t="s">
        <v>13</v>
      </c>
      <c r="N2298" s="30">
        <v>2</v>
      </c>
      <c r="O2298" s="77">
        <v>49.5</v>
      </c>
      <c r="P2298" s="35">
        <v>100</v>
      </c>
      <c r="Q2298" s="40">
        <v>6450</v>
      </c>
      <c r="R2298" s="77">
        <f>(O2298*Q2298)</f>
        <v>319275</v>
      </c>
      <c r="S2298" s="37">
        <v>31</v>
      </c>
      <c r="T2298" s="28">
        <f>(R2298*52/100)</f>
        <v>166023</v>
      </c>
      <c r="U2298" s="77">
        <f>(R2298-T2298)</f>
        <v>153252</v>
      </c>
      <c r="V2298" s="77">
        <f>(J2298+U2298)</f>
        <v>160364.75</v>
      </c>
      <c r="W2298" s="77">
        <f>(V2298*100/100)</f>
        <v>160364.75</v>
      </c>
      <c r="X2298" s="28"/>
      <c r="Y2298" s="28"/>
      <c r="Z2298" s="20"/>
    </row>
    <row r="2299" spans="1:26" s="29" customFormat="1" ht="90.75" customHeight="1" x14ac:dyDescent="0.25">
      <c r="A2299" s="20"/>
      <c r="B2299" s="20"/>
      <c r="C2299" s="20"/>
      <c r="D2299" s="21"/>
      <c r="E2299" s="21"/>
      <c r="F2299" s="22"/>
      <c r="G2299" s="23"/>
      <c r="H2299" s="24"/>
      <c r="I2299" s="25"/>
      <c r="J2299" s="24"/>
      <c r="K2299" s="37"/>
      <c r="L2299" s="20"/>
      <c r="M2299" s="37"/>
      <c r="N2299" s="30"/>
      <c r="O2299" s="77">
        <v>36</v>
      </c>
      <c r="P2299" s="35">
        <v>72.73</v>
      </c>
      <c r="Q2299" s="40"/>
      <c r="R2299" s="77"/>
      <c r="S2299" s="37"/>
      <c r="T2299" s="28"/>
      <c r="U2299" s="77"/>
      <c r="V2299" s="77"/>
      <c r="W2299" s="77">
        <f>(W2298*72.73/100)</f>
        <v>116633.28267499999</v>
      </c>
      <c r="X2299" s="28">
        <v>10000000</v>
      </c>
      <c r="Y2299" s="28">
        <v>0</v>
      </c>
      <c r="Z2299" s="49">
        <v>2.0000000000000001E-4</v>
      </c>
    </row>
    <row r="2300" spans="1:26" s="29" customFormat="1" ht="90.75" customHeight="1" x14ac:dyDescent="0.25">
      <c r="A2300" s="20"/>
      <c r="B2300" s="20"/>
      <c r="C2300" s="20"/>
      <c r="D2300" s="21"/>
      <c r="E2300" s="21"/>
      <c r="F2300" s="22"/>
      <c r="G2300" s="23"/>
      <c r="H2300" s="24"/>
      <c r="I2300" s="25"/>
      <c r="J2300" s="24"/>
      <c r="K2300" s="37"/>
      <c r="L2300" s="20"/>
      <c r="M2300" s="37"/>
      <c r="N2300" s="30">
        <v>3</v>
      </c>
      <c r="O2300" s="77">
        <v>13.5</v>
      </c>
      <c r="P2300" s="35">
        <v>27.27</v>
      </c>
      <c r="Q2300" s="40"/>
      <c r="R2300" s="77"/>
      <c r="S2300" s="37"/>
      <c r="T2300" s="28"/>
      <c r="U2300" s="77"/>
      <c r="V2300" s="77"/>
      <c r="W2300" s="77">
        <f>(W2298*27.27/100)</f>
        <v>43731.467324999998</v>
      </c>
      <c r="X2300" s="28">
        <v>0</v>
      </c>
      <c r="Y2300" s="28">
        <f>(W2300-X2300)</f>
        <v>43731.467324999998</v>
      </c>
      <c r="Z2300" s="49">
        <v>3.0000000000000001E-3</v>
      </c>
    </row>
    <row r="2301" spans="1:26" s="29" customFormat="1" ht="90.75" customHeight="1" x14ac:dyDescent="0.25">
      <c r="A2301" s="20">
        <v>1311</v>
      </c>
      <c r="B2301" s="20" t="s">
        <v>0</v>
      </c>
      <c r="C2301" s="20">
        <v>10464</v>
      </c>
      <c r="D2301" s="21">
        <v>0</v>
      </c>
      <c r="E2301" s="21">
        <v>1</v>
      </c>
      <c r="F2301" s="22">
        <v>54</v>
      </c>
      <c r="G2301" s="23" t="s">
        <v>211</v>
      </c>
      <c r="H2301" s="36">
        <f t="shared" ref="H2301" si="387">(D2301*400)+(E2301*100)+F2301</f>
        <v>154</v>
      </c>
      <c r="I2301" s="40" t="s">
        <v>53</v>
      </c>
      <c r="J2301" s="65">
        <f t="shared" ref="J2301" si="388">(H2301*I2301)</f>
        <v>69300</v>
      </c>
      <c r="K2301" s="37">
        <v>1</v>
      </c>
      <c r="L2301" s="20" t="s">
        <v>215</v>
      </c>
      <c r="M2301" s="37" t="s">
        <v>24</v>
      </c>
      <c r="N2301" s="30">
        <v>2</v>
      </c>
      <c r="O2301" s="77">
        <v>241.5</v>
      </c>
      <c r="P2301" s="35">
        <v>100</v>
      </c>
      <c r="Q2301" s="40">
        <v>6450</v>
      </c>
      <c r="R2301" s="77">
        <f>(O2301*Q2301)</f>
        <v>1557675</v>
      </c>
      <c r="S2301" s="37">
        <v>5</v>
      </c>
      <c r="T2301" s="28">
        <f>(R2301*5/100)</f>
        <v>77883.75</v>
      </c>
      <c r="U2301" s="77">
        <f>(R2301-T2301)</f>
        <v>1479791.25</v>
      </c>
      <c r="V2301" s="77">
        <f>(J2301+U2301)</f>
        <v>1549091.25</v>
      </c>
      <c r="W2301" s="77">
        <f>(V2301*100/100)</f>
        <v>1549091.25</v>
      </c>
      <c r="X2301" s="28"/>
      <c r="Y2301" s="28"/>
      <c r="Z2301" s="20"/>
    </row>
    <row r="2302" spans="1:26" s="29" customFormat="1" ht="90.75" customHeight="1" x14ac:dyDescent="0.25">
      <c r="A2302" s="20"/>
      <c r="B2302" s="20"/>
      <c r="C2302" s="20"/>
      <c r="D2302" s="21"/>
      <c r="E2302" s="21"/>
      <c r="F2302" s="22"/>
      <c r="G2302" s="23"/>
      <c r="H2302" s="36"/>
      <c r="I2302" s="44"/>
      <c r="J2302" s="65"/>
      <c r="K2302" s="37"/>
      <c r="L2302" s="20"/>
      <c r="M2302" s="37" t="s">
        <v>103</v>
      </c>
      <c r="N2302" s="30"/>
      <c r="O2302" s="77">
        <v>120.75</v>
      </c>
      <c r="P2302" s="35">
        <v>50</v>
      </c>
      <c r="Q2302" s="40"/>
      <c r="R2302" s="77"/>
      <c r="S2302" s="37"/>
      <c r="T2302" s="28"/>
      <c r="U2302" s="77"/>
      <c r="V2302" s="77"/>
      <c r="W2302" s="77">
        <f>(W2301*50/100)</f>
        <v>774545.625</v>
      </c>
      <c r="X2302" s="28">
        <v>50000000</v>
      </c>
      <c r="Y2302" s="28">
        <v>0</v>
      </c>
      <c r="Z2302" s="49">
        <v>2.0000000000000001E-4</v>
      </c>
    </row>
    <row r="2303" spans="1:26" s="29" customFormat="1" ht="90.75" customHeight="1" x14ac:dyDescent="0.25">
      <c r="A2303" s="20"/>
      <c r="B2303" s="20"/>
      <c r="C2303" s="20"/>
      <c r="D2303" s="21"/>
      <c r="E2303" s="21"/>
      <c r="F2303" s="22"/>
      <c r="G2303" s="23"/>
      <c r="H2303" s="36"/>
      <c r="I2303" s="44"/>
      <c r="J2303" s="65"/>
      <c r="K2303" s="37"/>
      <c r="L2303" s="20"/>
      <c r="M2303" s="37" t="s">
        <v>104</v>
      </c>
      <c r="N2303" s="30"/>
      <c r="O2303" s="77">
        <v>106.75</v>
      </c>
      <c r="P2303" s="35">
        <v>44.2</v>
      </c>
      <c r="Q2303" s="40"/>
      <c r="R2303" s="77"/>
      <c r="S2303" s="37"/>
      <c r="T2303" s="28"/>
      <c r="U2303" s="77"/>
      <c r="V2303" s="77"/>
      <c r="W2303" s="77">
        <f>(W2301*44.2/100)</f>
        <v>684698.33250000002</v>
      </c>
      <c r="X2303" s="28"/>
      <c r="Y2303" s="28"/>
      <c r="Z2303" s="20"/>
    </row>
    <row r="2304" spans="1:26" s="29" customFormat="1" ht="90.75" customHeight="1" x14ac:dyDescent="0.25">
      <c r="A2304" s="20"/>
      <c r="B2304" s="20"/>
      <c r="C2304" s="20"/>
      <c r="D2304" s="21"/>
      <c r="E2304" s="21"/>
      <c r="F2304" s="22"/>
      <c r="G2304" s="23"/>
      <c r="H2304" s="36"/>
      <c r="I2304" s="44"/>
      <c r="J2304" s="65"/>
      <c r="K2304" s="37"/>
      <c r="L2304" s="20" t="s">
        <v>89</v>
      </c>
      <c r="M2304" s="37"/>
      <c r="N2304" s="30">
        <v>3</v>
      </c>
      <c r="O2304" s="77">
        <v>14</v>
      </c>
      <c r="P2304" s="35">
        <v>5.8</v>
      </c>
      <c r="Q2304" s="40"/>
      <c r="R2304" s="77"/>
      <c r="S2304" s="37"/>
      <c r="T2304" s="28"/>
      <c r="U2304" s="77"/>
      <c r="V2304" s="77"/>
      <c r="W2304" s="77">
        <f>(W2301*5.8/100)</f>
        <v>89847.292499999996</v>
      </c>
      <c r="X2304" s="28">
        <v>0</v>
      </c>
      <c r="Y2304" s="28">
        <f>(W2304-X2304)</f>
        <v>89847.292499999996</v>
      </c>
      <c r="Z2304" s="49">
        <v>3.0000000000000001E-3</v>
      </c>
    </row>
    <row r="2305" spans="1:26" s="29" customFormat="1" ht="90.75" customHeight="1" x14ac:dyDescent="0.25">
      <c r="A2305" s="20">
        <v>1312</v>
      </c>
      <c r="B2305" s="20" t="s">
        <v>0</v>
      </c>
      <c r="C2305" s="20">
        <v>10087</v>
      </c>
      <c r="D2305" s="21">
        <v>0</v>
      </c>
      <c r="E2305" s="21">
        <v>0</v>
      </c>
      <c r="F2305" s="22">
        <v>13</v>
      </c>
      <c r="G2305" s="23" t="s">
        <v>209</v>
      </c>
      <c r="H2305" s="36">
        <f t="shared" ref="H2305" si="389">(D2305*400)+(E2305*100)+F2305</f>
        <v>13</v>
      </c>
      <c r="I2305" s="40" t="s">
        <v>75</v>
      </c>
      <c r="J2305" s="65">
        <f t="shared" ref="J2305" si="390">(H2305*I2305)</f>
        <v>8125</v>
      </c>
      <c r="K2305" s="30"/>
      <c r="L2305" s="20"/>
      <c r="M2305" s="35"/>
      <c r="N2305" s="30"/>
      <c r="O2305" s="36"/>
      <c r="P2305" s="86"/>
      <c r="Q2305" s="40"/>
      <c r="R2305" s="84"/>
      <c r="S2305" s="84"/>
      <c r="T2305" s="28"/>
      <c r="U2305" s="84"/>
      <c r="V2305" s="36"/>
      <c r="W2305" s="36"/>
      <c r="X2305" s="28"/>
      <c r="Y2305" s="26"/>
      <c r="Z2305" s="49"/>
    </row>
    <row r="2306" spans="1:26" s="29" customFormat="1" ht="90.75" customHeight="1" x14ac:dyDescent="0.25">
      <c r="A2306" s="20"/>
      <c r="B2306" s="20"/>
      <c r="C2306" s="20"/>
      <c r="D2306" s="21"/>
      <c r="E2306" s="21"/>
      <c r="F2306" s="22"/>
      <c r="G2306" s="23"/>
      <c r="H2306" s="36"/>
      <c r="I2306" s="44"/>
      <c r="J2306" s="65"/>
      <c r="K2306" s="31">
        <v>1</v>
      </c>
      <c r="L2306" s="31" t="s">
        <v>31</v>
      </c>
      <c r="M2306" s="32" t="s">
        <v>13</v>
      </c>
      <c r="N2306" s="33">
        <v>3</v>
      </c>
      <c r="O2306" s="90">
        <v>3</v>
      </c>
      <c r="P2306" s="118" t="s">
        <v>256</v>
      </c>
      <c r="Q2306" s="36">
        <v>2550</v>
      </c>
      <c r="R2306" s="36">
        <f>(O2306*Q2306)</f>
        <v>7650</v>
      </c>
      <c r="S2306" s="37">
        <v>32</v>
      </c>
      <c r="T2306" s="28">
        <f>(R2306*54/100)</f>
        <v>4131</v>
      </c>
      <c r="U2306" s="36">
        <f>(R2306-T2306)</f>
        <v>3519</v>
      </c>
      <c r="V2306" s="36">
        <f>(J2305+U2306)</f>
        <v>11644</v>
      </c>
      <c r="W2306" s="36">
        <f>(V2306*100/100)</f>
        <v>11644</v>
      </c>
      <c r="X2306" s="28">
        <v>0</v>
      </c>
      <c r="Y2306" s="28">
        <f>(W2306-X2306)</f>
        <v>11644</v>
      </c>
      <c r="Z2306" s="49">
        <v>3.0000000000000001E-3</v>
      </c>
    </row>
    <row r="2307" spans="1:26" s="29" customFormat="1" ht="90.75" customHeight="1" x14ac:dyDescent="0.25">
      <c r="A2307" s="20">
        <v>1313</v>
      </c>
      <c r="B2307" s="20" t="s">
        <v>0</v>
      </c>
      <c r="C2307" s="20">
        <v>22726</v>
      </c>
      <c r="D2307" s="21">
        <v>0</v>
      </c>
      <c r="E2307" s="21">
        <v>1</v>
      </c>
      <c r="F2307" s="22">
        <v>71</v>
      </c>
      <c r="G2307" s="23" t="s">
        <v>211</v>
      </c>
      <c r="H2307" s="36">
        <f>(D2307*400)+(E2307*100)+F2307</f>
        <v>171</v>
      </c>
      <c r="I2307" s="40" t="s">
        <v>75</v>
      </c>
      <c r="J2307" s="65">
        <f>(H2307*I2307)</f>
        <v>106875</v>
      </c>
      <c r="K2307" s="33"/>
      <c r="L2307" s="31"/>
      <c r="M2307" s="112"/>
      <c r="N2307" s="30"/>
      <c r="O2307" s="90"/>
      <c r="P2307" s="86"/>
      <c r="Q2307" s="40"/>
      <c r="R2307" s="116"/>
      <c r="S2307" s="116"/>
      <c r="T2307" s="88"/>
      <c r="U2307" s="116"/>
      <c r="V2307" s="90"/>
      <c r="W2307" s="90"/>
      <c r="X2307" s="88"/>
      <c r="Y2307" s="90"/>
      <c r="Z2307" s="49"/>
    </row>
    <row r="2308" spans="1:26" s="29" customFormat="1" ht="90.75" customHeight="1" x14ac:dyDescent="0.25">
      <c r="A2308" s="20"/>
      <c r="B2308" s="20"/>
      <c r="C2308" s="20"/>
      <c r="D2308" s="21"/>
      <c r="E2308" s="21"/>
      <c r="F2308" s="22"/>
      <c r="G2308" s="23"/>
      <c r="H2308" s="36"/>
      <c r="I2308" s="40"/>
      <c r="J2308" s="65"/>
      <c r="K2308" s="33">
        <v>1</v>
      </c>
      <c r="L2308" s="31" t="s">
        <v>98</v>
      </c>
      <c r="M2308" s="112" t="s">
        <v>13</v>
      </c>
      <c r="N2308" s="30">
        <v>3</v>
      </c>
      <c r="O2308" s="90">
        <v>40</v>
      </c>
      <c r="P2308" s="86">
        <v>100</v>
      </c>
      <c r="Q2308" s="40">
        <v>2550</v>
      </c>
      <c r="R2308" s="90">
        <f>(O2308*Q2308)</f>
        <v>102000</v>
      </c>
      <c r="S2308" s="116">
        <v>6</v>
      </c>
      <c r="T2308" s="88">
        <f>(R2308*6/100)</f>
        <v>6120</v>
      </c>
      <c r="U2308" s="90">
        <f>(R2308-T2308)</f>
        <v>95880</v>
      </c>
      <c r="V2308" s="90"/>
      <c r="W2308" s="90"/>
      <c r="X2308" s="88"/>
      <c r="Y2308" s="90"/>
      <c r="Z2308" s="49"/>
    </row>
    <row r="2309" spans="1:26" s="29" customFormat="1" ht="90.75" customHeight="1" x14ac:dyDescent="0.25">
      <c r="A2309" s="20"/>
      <c r="B2309" s="20"/>
      <c r="C2309" s="20"/>
      <c r="D2309" s="21"/>
      <c r="E2309" s="21"/>
      <c r="F2309" s="22"/>
      <c r="G2309" s="23"/>
      <c r="H2309" s="36"/>
      <c r="I2309" s="40"/>
      <c r="J2309" s="65"/>
      <c r="K2309" s="33">
        <v>2</v>
      </c>
      <c r="L2309" s="31" t="s">
        <v>88</v>
      </c>
      <c r="M2309" s="112" t="s">
        <v>13</v>
      </c>
      <c r="N2309" s="30"/>
      <c r="O2309" s="90">
        <v>12</v>
      </c>
      <c r="P2309" s="86">
        <v>100</v>
      </c>
      <c r="Q2309" s="40">
        <v>2550</v>
      </c>
      <c r="R2309" s="90">
        <f>(O2309*Q2309)</f>
        <v>30600</v>
      </c>
      <c r="S2309" s="116">
        <v>2</v>
      </c>
      <c r="T2309" s="88">
        <f>(R2309*2/100)</f>
        <v>612</v>
      </c>
      <c r="U2309" s="90">
        <f>(R2309-T2309)</f>
        <v>29988</v>
      </c>
      <c r="V2309" s="90"/>
      <c r="W2309" s="90"/>
      <c r="X2309" s="88"/>
      <c r="Y2309" s="90"/>
      <c r="Z2309" s="49"/>
    </row>
    <row r="2310" spans="1:26" s="29" customFormat="1" ht="90.75" customHeight="1" x14ac:dyDescent="0.25">
      <c r="A2310" s="20"/>
      <c r="B2310" s="20"/>
      <c r="C2310" s="20"/>
      <c r="D2310" s="21"/>
      <c r="E2310" s="21"/>
      <c r="F2310" s="22"/>
      <c r="G2310" s="23"/>
      <c r="H2310" s="36"/>
      <c r="I2310" s="25"/>
      <c r="J2310" s="65"/>
      <c r="K2310" s="33"/>
      <c r="L2310" s="31"/>
      <c r="M2310" s="112"/>
      <c r="N2310" s="30"/>
      <c r="O2310" s="90"/>
      <c r="P2310" s="86"/>
      <c r="Q2310" s="40"/>
      <c r="R2310" s="116"/>
      <c r="S2310" s="116"/>
      <c r="T2310" s="88"/>
      <c r="U2310" s="90">
        <f>SUM(U2308:U2309)</f>
        <v>125868</v>
      </c>
      <c r="V2310" s="90">
        <f>(J2307+U2310)</f>
        <v>232743</v>
      </c>
      <c r="W2310" s="90">
        <f>(V2310*100/100)</f>
        <v>232743</v>
      </c>
      <c r="X2310" s="88">
        <v>0</v>
      </c>
      <c r="Y2310" s="90">
        <f>(W2310-X2310)</f>
        <v>232743</v>
      </c>
      <c r="Z2310" s="49">
        <v>3.0000000000000001E-3</v>
      </c>
    </row>
    <row r="2311" spans="1:26" s="29" customFormat="1" ht="90.75" customHeight="1" x14ac:dyDescent="0.25">
      <c r="A2311" s="20">
        <v>1314</v>
      </c>
      <c r="B2311" s="20" t="s">
        <v>0</v>
      </c>
      <c r="C2311" s="20">
        <v>10706</v>
      </c>
      <c r="D2311" s="21">
        <v>0</v>
      </c>
      <c r="E2311" s="21">
        <v>0</v>
      </c>
      <c r="F2311" s="22">
        <v>71</v>
      </c>
      <c r="G2311" s="23" t="s">
        <v>211</v>
      </c>
      <c r="H2311" s="36">
        <f>(D2311*400)+(E2311*100)+F2311</f>
        <v>71</v>
      </c>
      <c r="I2311" s="40" t="s">
        <v>75</v>
      </c>
      <c r="J2311" s="65">
        <f>(H2311*I2311)</f>
        <v>44375</v>
      </c>
      <c r="K2311" s="20"/>
      <c r="L2311" s="20"/>
      <c r="M2311" s="20"/>
      <c r="N2311" s="20"/>
      <c r="O2311" s="24"/>
      <c r="P2311" s="24"/>
      <c r="Q2311" s="25"/>
      <c r="R2311" s="24"/>
      <c r="S2311" s="20"/>
      <c r="T2311" s="27"/>
      <c r="U2311" s="20"/>
      <c r="V2311" s="20"/>
      <c r="W2311" s="26"/>
      <c r="X2311" s="27"/>
      <c r="Y2311" s="20"/>
      <c r="Z2311" s="20"/>
    </row>
    <row r="2312" spans="1:26" s="29" customFormat="1" ht="90.75" customHeight="1" x14ac:dyDescent="0.25">
      <c r="A2312" s="20"/>
      <c r="B2312" s="20"/>
      <c r="C2312" s="20"/>
      <c r="D2312" s="21"/>
      <c r="E2312" s="21"/>
      <c r="F2312" s="22"/>
      <c r="G2312" s="23"/>
      <c r="H2312" s="36">
        <v>67.06</v>
      </c>
      <c r="I2312" s="40">
        <v>625</v>
      </c>
      <c r="J2312" s="28">
        <f t="shared" ref="J2312:J2317" si="391">(H2312*I2312)</f>
        <v>41912.5</v>
      </c>
      <c r="K2312" s="30">
        <v>1</v>
      </c>
      <c r="L2312" s="31" t="s">
        <v>215</v>
      </c>
      <c r="M2312" s="32" t="s">
        <v>13</v>
      </c>
      <c r="N2312" s="33">
        <v>2</v>
      </c>
      <c r="O2312" s="90">
        <v>66</v>
      </c>
      <c r="P2312" s="35">
        <v>100</v>
      </c>
      <c r="Q2312" s="36">
        <v>6450</v>
      </c>
      <c r="R2312" s="36">
        <f>(O2312*Q2312)</f>
        <v>425700</v>
      </c>
      <c r="S2312" s="37">
        <v>19</v>
      </c>
      <c r="T2312" s="28">
        <f>(R2312*28/100)</f>
        <v>119196</v>
      </c>
      <c r="U2312" s="36">
        <f>(R2312-T2312)</f>
        <v>306504</v>
      </c>
      <c r="V2312" s="36"/>
      <c r="W2312" s="36"/>
      <c r="X2312" s="28"/>
      <c r="Y2312" s="28"/>
      <c r="Z2312" s="20"/>
    </row>
    <row r="2313" spans="1:26" s="29" customFormat="1" ht="90.75" customHeight="1" x14ac:dyDescent="0.25">
      <c r="A2313" s="20"/>
      <c r="B2313" s="20"/>
      <c r="C2313" s="20"/>
      <c r="D2313" s="21"/>
      <c r="E2313" s="21"/>
      <c r="F2313" s="22"/>
      <c r="G2313" s="23"/>
      <c r="H2313" s="36"/>
      <c r="I2313" s="40"/>
      <c r="J2313" s="28"/>
      <c r="K2313" s="30">
        <v>2</v>
      </c>
      <c r="L2313" s="31" t="s">
        <v>31</v>
      </c>
      <c r="M2313" s="32"/>
      <c r="N2313" s="33">
        <v>3</v>
      </c>
      <c r="O2313" s="90">
        <v>15.75</v>
      </c>
      <c r="P2313" s="35">
        <v>100</v>
      </c>
      <c r="Q2313" s="36">
        <v>2550</v>
      </c>
      <c r="R2313" s="36">
        <f>(O2313*Q2313)</f>
        <v>40162.5</v>
      </c>
      <c r="S2313" s="37">
        <v>12</v>
      </c>
      <c r="T2313" s="28">
        <f>(R2313*14/100)</f>
        <v>5622.75</v>
      </c>
      <c r="U2313" s="36">
        <f>(R2313-T2313)</f>
        <v>34539.75</v>
      </c>
      <c r="V2313" s="36"/>
      <c r="W2313" s="36"/>
      <c r="X2313" s="28"/>
      <c r="Y2313" s="28"/>
      <c r="Z2313" s="20"/>
    </row>
    <row r="2314" spans="1:26" s="29" customFormat="1" ht="90.75" customHeight="1" x14ac:dyDescent="0.25">
      <c r="A2314" s="20"/>
      <c r="B2314" s="20"/>
      <c r="C2314" s="20"/>
      <c r="D2314" s="21"/>
      <c r="E2314" s="21"/>
      <c r="F2314" s="22"/>
      <c r="G2314" s="23"/>
      <c r="H2314" s="36"/>
      <c r="I2314" s="40"/>
      <c r="J2314" s="28"/>
      <c r="K2314" s="30"/>
      <c r="L2314" s="31"/>
      <c r="M2314" s="32"/>
      <c r="N2314" s="33"/>
      <c r="O2314" s="90"/>
      <c r="P2314" s="35"/>
      <c r="Q2314" s="36"/>
      <c r="R2314" s="36"/>
      <c r="S2314" s="37"/>
      <c r="T2314" s="28"/>
      <c r="U2314" s="36">
        <f>SUM(U2312:U2313)</f>
        <v>341043.75</v>
      </c>
      <c r="V2314" s="36">
        <f>(J2312+U2314)</f>
        <v>382956.25</v>
      </c>
      <c r="W2314" s="36">
        <f>(V2314*100/100)</f>
        <v>382956.25</v>
      </c>
      <c r="X2314" s="28">
        <v>50000000</v>
      </c>
      <c r="Y2314" s="28">
        <v>0</v>
      </c>
      <c r="Z2314" s="49">
        <v>2.0000000000000001E-4</v>
      </c>
    </row>
    <row r="2315" spans="1:26" s="29" customFormat="1" ht="90.75" customHeight="1" x14ac:dyDescent="0.25">
      <c r="A2315" s="20"/>
      <c r="B2315" s="20"/>
      <c r="C2315" s="20"/>
      <c r="D2315" s="21"/>
      <c r="E2315" s="21"/>
      <c r="F2315" s="22"/>
      <c r="G2315" s="23"/>
      <c r="H2315" s="36">
        <v>3.94</v>
      </c>
      <c r="I2315" s="40">
        <v>625</v>
      </c>
      <c r="J2315" s="28">
        <f t="shared" si="391"/>
        <v>2462.5</v>
      </c>
      <c r="K2315" s="30">
        <v>3</v>
      </c>
      <c r="L2315" s="31" t="s">
        <v>215</v>
      </c>
      <c r="M2315" s="32" t="s">
        <v>13</v>
      </c>
      <c r="N2315" s="33">
        <v>3</v>
      </c>
      <c r="O2315" s="90">
        <v>15.75</v>
      </c>
      <c r="P2315" s="35">
        <v>100</v>
      </c>
      <c r="Q2315" s="36">
        <v>6450</v>
      </c>
      <c r="R2315" s="36">
        <f t="shared" ref="R2315" si="392">(O2315*Q2315)</f>
        <v>101587.5</v>
      </c>
      <c r="S2315" s="37">
        <v>12</v>
      </c>
      <c r="T2315" s="28">
        <f>(R2315*14/100)</f>
        <v>14222.25</v>
      </c>
      <c r="U2315" s="36">
        <f t="shared" ref="U2315" si="393">(R2315-T2315)</f>
        <v>87365.25</v>
      </c>
      <c r="V2315" s="36">
        <f>(J2315+U2315)</f>
        <v>89827.75</v>
      </c>
      <c r="W2315" s="36">
        <f>(V2315*P2315/100)</f>
        <v>89827.75</v>
      </c>
      <c r="X2315" s="28">
        <v>0</v>
      </c>
      <c r="Y2315" s="28">
        <f>(W2315-X2315)</f>
        <v>89827.75</v>
      </c>
      <c r="Z2315" s="49">
        <v>3.0000000000000001E-3</v>
      </c>
    </row>
    <row r="2316" spans="1:26" s="29" customFormat="1" ht="90.75" customHeight="1" x14ac:dyDescent="0.25">
      <c r="A2316" s="20">
        <v>1315</v>
      </c>
      <c r="B2316" s="20" t="s">
        <v>0</v>
      </c>
      <c r="C2316" s="20">
        <v>9234</v>
      </c>
      <c r="D2316" s="21">
        <v>0</v>
      </c>
      <c r="E2316" s="21">
        <v>0</v>
      </c>
      <c r="F2316" s="22">
        <v>67</v>
      </c>
      <c r="G2316" s="23" t="s">
        <v>209</v>
      </c>
      <c r="H2316" s="36">
        <f t="shared" ref="H2316:H2317" si="394">(D2316*400)+(E2316*100)+F2316</f>
        <v>67</v>
      </c>
      <c r="I2316" s="40" t="s">
        <v>75</v>
      </c>
      <c r="J2316" s="65">
        <f t="shared" si="391"/>
        <v>41875</v>
      </c>
      <c r="K2316" s="33">
        <v>1</v>
      </c>
      <c r="L2316" s="31" t="s">
        <v>36</v>
      </c>
      <c r="M2316" s="112" t="s">
        <v>13</v>
      </c>
      <c r="N2316" s="30">
        <v>2</v>
      </c>
      <c r="O2316" s="90">
        <v>96</v>
      </c>
      <c r="P2316" s="86">
        <v>100</v>
      </c>
      <c r="Q2316" s="83">
        <v>5550</v>
      </c>
      <c r="R2316" s="90">
        <f>(O2316*Q2316)</f>
        <v>532800</v>
      </c>
      <c r="S2316" s="33">
        <v>31</v>
      </c>
      <c r="T2316" s="88">
        <f>(R2316*54/100)</f>
        <v>287712</v>
      </c>
      <c r="U2316" s="90">
        <f>(R2316-T2316)</f>
        <v>245088</v>
      </c>
      <c r="V2316" s="90">
        <f>(J2316+U2316)</f>
        <v>286963</v>
      </c>
      <c r="W2316" s="90">
        <f>(V2316*100/100)</f>
        <v>286963</v>
      </c>
      <c r="X2316" s="89">
        <v>0</v>
      </c>
      <c r="Y2316" s="48">
        <f>(W2316-X2316)</f>
        <v>286963</v>
      </c>
      <c r="Z2316" s="49">
        <v>3.0000000000000001E-3</v>
      </c>
    </row>
    <row r="2317" spans="1:26" s="29" customFormat="1" ht="90.75" customHeight="1" x14ac:dyDescent="0.25">
      <c r="A2317" s="20">
        <v>1316</v>
      </c>
      <c r="B2317" s="20" t="s">
        <v>0</v>
      </c>
      <c r="C2317" s="20">
        <v>9178</v>
      </c>
      <c r="D2317" s="21">
        <v>0</v>
      </c>
      <c r="E2317" s="21">
        <v>1</v>
      </c>
      <c r="F2317" s="22">
        <v>61</v>
      </c>
      <c r="G2317" s="23" t="s">
        <v>211</v>
      </c>
      <c r="H2317" s="36">
        <f t="shared" si="394"/>
        <v>161</v>
      </c>
      <c r="I2317" s="40" t="s">
        <v>53</v>
      </c>
      <c r="J2317" s="65">
        <f t="shared" si="391"/>
        <v>72450</v>
      </c>
      <c r="K2317" s="30"/>
      <c r="L2317" s="20"/>
      <c r="M2317" s="35"/>
      <c r="N2317" s="30"/>
      <c r="O2317" s="36"/>
      <c r="P2317" s="86"/>
      <c r="Q2317" s="40"/>
      <c r="R2317" s="84"/>
      <c r="S2317" s="84"/>
      <c r="T2317" s="28"/>
      <c r="U2317" s="84"/>
      <c r="V2317" s="36"/>
      <c r="W2317" s="36"/>
      <c r="X2317" s="28"/>
      <c r="Y2317" s="26"/>
      <c r="Z2317" s="53"/>
    </row>
    <row r="2318" spans="1:26" s="29" customFormat="1" ht="90.75" customHeight="1" x14ac:dyDescent="0.25">
      <c r="A2318" s="20"/>
      <c r="B2318" s="20"/>
      <c r="C2318" s="20"/>
      <c r="D2318" s="21"/>
      <c r="E2318" s="21"/>
      <c r="F2318" s="22"/>
      <c r="G2318" s="23"/>
      <c r="H2318" s="36">
        <v>117.44</v>
      </c>
      <c r="I2318" s="40">
        <v>450</v>
      </c>
      <c r="J2318" s="28">
        <f>(H2318*I2318)</f>
        <v>52848</v>
      </c>
      <c r="K2318" s="30"/>
      <c r="L2318" s="31"/>
      <c r="M2318" s="32"/>
      <c r="N2318" s="33"/>
      <c r="O2318" s="34"/>
      <c r="P2318" s="35"/>
      <c r="Q2318" s="36"/>
      <c r="R2318" s="36"/>
      <c r="S2318" s="37"/>
      <c r="T2318" s="28"/>
      <c r="U2318" s="36"/>
      <c r="V2318" s="36"/>
      <c r="W2318" s="36"/>
      <c r="X2318" s="28"/>
      <c r="Y2318" s="28"/>
      <c r="Z2318" s="49"/>
    </row>
    <row r="2319" spans="1:26" s="29" customFormat="1" ht="90.75" customHeight="1" x14ac:dyDescent="0.25">
      <c r="A2319" s="20"/>
      <c r="B2319" s="20"/>
      <c r="C2319" s="20"/>
      <c r="D2319" s="21"/>
      <c r="E2319" s="21"/>
      <c r="F2319" s="22"/>
      <c r="G2319" s="23"/>
      <c r="H2319" s="36"/>
      <c r="I2319" s="40"/>
      <c r="J2319" s="28"/>
      <c r="K2319" s="30">
        <v>1</v>
      </c>
      <c r="L2319" s="31" t="s">
        <v>215</v>
      </c>
      <c r="M2319" s="32" t="s">
        <v>40</v>
      </c>
      <c r="N2319" s="33">
        <v>2</v>
      </c>
      <c r="O2319" s="34">
        <v>162</v>
      </c>
      <c r="P2319" s="35">
        <v>100</v>
      </c>
      <c r="Q2319" s="36">
        <v>6450</v>
      </c>
      <c r="R2319" s="36">
        <f>(O2319*Q2319)</f>
        <v>1044900</v>
      </c>
      <c r="S2319" s="37">
        <v>42</v>
      </c>
      <c r="T2319" s="28">
        <f>(R2319*93/100)</f>
        <v>971757</v>
      </c>
      <c r="U2319" s="36">
        <f>(R2319-T2319)</f>
        <v>73143</v>
      </c>
      <c r="V2319" s="36"/>
      <c r="W2319" s="36"/>
      <c r="X2319" s="28"/>
      <c r="Y2319" s="28"/>
      <c r="Z2319" s="20"/>
    </row>
    <row r="2320" spans="1:26" s="29" customFormat="1" ht="90.75" customHeight="1" x14ac:dyDescent="0.25">
      <c r="A2320" s="20"/>
      <c r="B2320" s="20"/>
      <c r="C2320" s="20"/>
      <c r="D2320" s="21"/>
      <c r="E2320" s="21"/>
      <c r="F2320" s="22"/>
      <c r="G2320" s="23"/>
      <c r="H2320" s="36"/>
      <c r="I2320" s="40"/>
      <c r="J2320" s="28"/>
      <c r="K2320" s="30">
        <v>2</v>
      </c>
      <c r="L2320" s="31" t="s">
        <v>31</v>
      </c>
      <c r="M2320" s="32"/>
      <c r="N2320" s="33">
        <v>2</v>
      </c>
      <c r="O2320" s="34">
        <v>78.75</v>
      </c>
      <c r="P2320" s="35">
        <v>100</v>
      </c>
      <c r="Q2320" s="36">
        <v>2550</v>
      </c>
      <c r="R2320" s="36">
        <f>(O2320*Q2320)</f>
        <v>200812.5</v>
      </c>
      <c r="S2320" s="37">
        <v>7</v>
      </c>
      <c r="T2320" s="28">
        <f>(R2320*7/100)</f>
        <v>14056.875</v>
      </c>
      <c r="U2320" s="36">
        <f>(R2320-T2320)</f>
        <v>186755.625</v>
      </c>
      <c r="V2320" s="36"/>
      <c r="W2320" s="36"/>
      <c r="X2320" s="28"/>
      <c r="Y2320" s="28"/>
      <c r="Z2320" s="20"/>
    </row>
    <row r="2321" spans="1:26" s="29" customFormat="1" ht="90.75" customHeight="1" x14ac:dyDescent="0.25">
      <c r="A2321" s="20"/>
      <c r="B2321" s="20"/>
      <c r="C2321" s="20"/>
      <c r="D2321" s="21"/>
      <c r="E2321" s="21"/>
      <c r="F2321" s="22"/>
      <c r="G2321" s="23"/>
      <c r="H2321" s="36"/>
      <c r="I2321" s="40"/>
      <c r="J2321" s="28"/>
      <c r="K2321" s="30"/>
      <c r="L2321" s="31"/>
      <c r="M2321" s="32"/>
      <c r="N2321" s="33"/>
      <c r="O2321" s="34"/>
      <c r="P2321" s="35"/>
      <c r="Q2321" s="36"/>
      <c r="R2321" s="36"/>
      <c r="S2321" s="37"/>
      <c r="T2321" s="28"/>
      <c r="U2321" s="36">
        <f>SUM(U2319:U2320)</f>
        <v>259898.625</v>
      </c>
      <c r="V2321" s="36">
        <f>(U2321+J2318)</f>
        <v>312746.625</v>
      </c>
      <c r="W2321" s="36">
        <f>(V2321*100/100)</f>
        <v>312746.625</v>
      </c>
      <c r="X2321" s="28">
        <v>50000000</v>
      </c>
      <c r="Y2321" s="28">
        <v>0</v>
      </c>
      <c r="Z2321" s="49">
        <v>2.0000000000000001E-4</v>
      </c>
    </row>
    <row r="2322" spans="1:26" s="29" customFormat="1" ht="90.75" customHeight="1" x14ac:dyDescent="0.25">
      <c r="A2322" s="20"/>
      <c r="B2322" s="20"/>
      <c r="C2322" s="20"/>
      <c r="D2322" s="21"/>
      <c r="E2322" s="21"/>
      <c r="F2322" s="22"/>
      <c r="G2322" s="23"/>
      <c r="H2322" s="36">
        <v>3.75</v>
      </c>
      <c r="I2322" s="40">
        <v>450</v>
      </c>
      <c r="J2322" s="28">
        <f>(H2322*I2322)</f>
        <v>1687.5</v>
      </c>
      <c r="K2322" s="30">
        <v>3</v>
      </c>
      <c r="L2322" s="31" t="s">
        <v>215</v>
      </c>
      <c r="M2322" s="32"/>
      <c r="N2322" s="33">
        <v>3</v>
      </c>
      <c r="O2322" s="34">
        <v>15</v>
      </c>
      <c r="P2322" s="35">
        <v>100</v>
      </c>
      <c r="Q2322" s="36">
        <v>6450</v>
      </c>
      <c r="R2322" s="36">
        <f>(O2322*Q2322)</f>
        <v>96750</v>
      </c>
      <c r="S2322" s="37">
        <v>17</v>
      </c>
      <c r="T2322" s="28">
        <f>(R2322*24/100)</f>
        <v>23220</v>
      </c>
      <c r="U2322" s="36">
        <f>(R2322-T2322)</f>
        <v>73530</v>
      </c>
      <c r="V2322" s="36">
        <f>(J2322+U2322)</f>
        <v>75217.5</v>
      </c>
      <c r="W2322" s="36">
        <f>(V2322*100/100)</f>
        <v>75217.5</v>
      </c>
      <c r="X2322" s="28">
        <v>0</v>
      </c>
      <c r="Y2322" s="28">
        <f>(W2322-X2322)</f>
        <v>75217.5</v>
      </c>
      <c r="Z2322" s="49">
        <v>3.0000000000000001E-3</v>
      </c>
    </row>
    <row r="2323" spans="1:26" s="29" customFormat="1" ht="90.75" customHeight="1" x14ac:dyDescent="0.25">
      <c r="A2323" s="20"/>
      <c r="B2323" s="20"/>
      <c r="C2323" s="20"/>
      <c r="D2323" s="21"/>
      <c r="E2323" s="21"/>
      <c r="F2323" s="22"/>
      <c r="G2323" s="23"/>
      <c r="H2323" s="36">
        <v>26.06</v>
      </c>
      <c r="I2323" s="40">
        <v>450</v>
      </c>
      <c r="J2323" s="28">
        <f>(H2323*I2323)</f>
        <v>11727</v>
      </c>
      <c r="K2323" s="30"/>
      <c r="L2323" s="31"/>
      <c r="M2323" s="32"/>
      <c r="N2323" s="33"/>
      <c r="O2323" s="34"/>
      <c r="P2323" s="35"/>
      <c r="Q2323" s="36"/>
      <c r="R2323" s="36"/>
      <c r="S2323" s="37"/>
      <c r="T2323" s="28"/>
      <c r="U2323" s="36">
        <f>SUM(U2324:U2326)</f>
        <v>415086.75</v>
      </c>
      <c r="V2323" s="36">
        <f>(J2323+U2323)</f>
        <v>426813.75</v>
      </c>
      <c r="W2323" s="36">
        <f>(V2323*100/100)</f>
        <v>426813.75</v>
      </c>
      <c r="X2323" s="28">
        <v>10000000</v>
      </c>
      <c r="Y2323" s="28">
        <v>0</v>
      </c>
      <c r="Z2323" s="49">
        <v>2.0000000000000001E-4</v>
      </c>
    </row>
    <row r="2324" spans="1:26" s="29" customFormat="1" ht="90.75" customHeight="1" x14ac:dyDescent="0.25">
      <c r="A2324" s="20"/>
      <c r="B2324" s="20"/>
      <c r="C2324" s="20"/>
      <c r="D2324" s="21"/>
      <c r="E2324" s="21"/>
      <c r="F2324" s="22"/>
      <c r="G2324" s="23"/>
      <c r="H2324" s="36"/>
      <c r="I2324" s="40"/>
      <c r="J2324" s="28"/>
      <c r="K2324" s="30">
        <v>4</v>
      </c>
      <c r="L2324" s="31" t="s">
        <v>31</v>
      </c>
      <c r="M2324" s="32"/>
      <c r="N2324" s="33">
        <v>2</v>
      </c>
      <c r="O2324" s="34">
        <v>32</v>
      </c>
      <c r="P2324" s="35">
        <v>100</v>
      </c>
      <c r="Q2324" s="36">
        <v>2550</v>
      </c>
      <c r="R2324" s="36">
        <f>(O2324*Q2324)</f>
        <v>81600</v>
      </c>
      <c r="S2324" s="37">
        <v>32</v>
      </c>
      <c r="T2324" s="28">
        <f>(R2324*54/100)</f>
        <v>44064</v>
      </c>
      <c r="U2324" s="36">
        <f>(R2324-T2324)</f>
        <v>37536</v>
      </c>
      <c r="V2324" s="36"/>
      <c r="W2324" s="36"/>
      <c r="X2324" s="28"/>
      <c r="Y2324" s="28"/>
      <c r="Z2324" s="20"/>
    </row>
    <row r="2325" spans="1:26" s="29" customFormat="1" ht="90.75" customHeight="1" x14ac:dyDescent="0.25">
      <c r="A2325" s="20"/>
      <c r="B2325" s="20"/>
      <c r="C2325" s="20"/>
      <c r="D2325" s="21"/>
      <c r="E2325" s="21"/>
      <c r="F2325" s="22"/>
      <c r="G2325" s="23"/>
      <c r="H2325" s="36"/>
      <c r="I2325" s="40"/>
      <c r="J2325" s="28"/>
      <c r="K2325" s="30">
        <v>5</v>
      </c>
      <c r="L2325" s="31" t="s">
        <v>105</v>
      </c>
      <c r="M2325" s="32" t="s">
        <v>13</v>
      </c>
      <c r="N2325" s="33">
        <v>2</v>
      </c>
      <c r="O2325" s="34">
        <v>72.25</v>
      </c>
      <c r="P2325" s="35">
        <v>100</v>
      </c>
      <c r="Q2325" s="36">
        <v>6450</v>
      </c>
      <c r="R2325" s="36">
        <f>(O2325*Q2325)</f>
        <v>466012.5</v>
      </c>
      <c r="S2325" s="37">
        <v>32</v>
      </c>
      <c r="T2325" s="28">
        <f t="shared" ref="T2325:T2326" si="395">(R2325*54/100)</f>
        <v>251646.75</v>
      </c>
      <c r="U2325" s="36">
        <f>(R2325-T2325)</f>
        <v>214365.75</v>
      </c>
      <c r="V2325" s="36"/>
      <c r="W2325" s="36"/>
      <c r="X2325" s="28"/>
      <c r="Y2325" s="28"/>
      <c r="Z2325" s="20"/>
    </row>
    <row r="2326" spans="1:26" s="29" customFormat="1" ht="90.75" customHeight="1" x14ac:dyDescent="0.25">
      <c r="A2326" s="20"/>
      <c r="B2326" s="20"/>
      <c r="C2326" s="20"/>
      <c r="D2326" s="21"/>
      <c r="E2326" s="21"/>
      <c r="F2326" s="22"/>
      <c r="G2326" s="23"/>
      <c r="H2326" s="36">
        <v>13.75</v>
      </c>
      <c r="I2326" s="40">
        <v>450</v>
      </c>
      <c r="J2326" s="28">
        <f>(H2326*I2326)</f>
        <v>6187.5</v>
      </c>
      <c r="K2326" s="30">
        <v>6</v>
      </c>
      <c r="L2326" s="31" t="s">
        <v>105</v>
      </c>
      <c r="M2326" s="32" t="s">
        <v>13</v>
      </c>
      <c r="N2326" s="33">
        <v>2</v>
      </c>
      <c r="O2326" s="34">
        <v>55</v>
      </c>
      <c r="P2326" s="35">
        <v>100</v>
      </c>
      <c r="Q2326" s="36">
        <v>6450</v>
      </c>
      <c r="R2326" s="36">
        <f>(O2326*Q2326)</f>
        <v>354750</v>
      </c>
      <c r="S2326" s="37">
        <v>32</v>
      </c>
      <c r="T2326" s="28">
        <f t="shared" si="395"/>
        <v>191565</v>
      </c>
      <c r="U2326" s="36">
        <f>(R2326-T2326)</f>
        <v>163185</v>
      </c>
      <c r="V2326" s="36">
        <f>(J2326+U2326)</f>
        <v>169372.5</v>
      </c>
      <c r="W2326" s="36">
        <f>(V2326*100/100)</f>
        <v>169372.5</v>
      </c>
      <c r="X2326" s="28">
        <v>10000000</v>
      </c>
      <c r="Y2326" s="28">
        <v>0</v>
      </c>
      <c r="Z2326" s="49">
        <v>2.0000000000000001E-4</v>
      </c>
    </row>
    <row r="2327" spans="1:26" s="29" customFormat="1" ht="90.75" customHeight="1" x14ac:dyDescent="0.25">
      <c r="A2327" s="20">
        <v>1317</v>
      </c>
      <c r="B2327" s="20" t="s">
        <v>0</v>
      </c>
      <c r="C2327" s="20">
        <v>9181</v>
      </c>
      <c r="D2327" s="21">
        <v>0</v>
      </c>
      <c r="E2327" s="21">
        <v>0</v>
      </c>
      <c r="F2327" s="22">
        <v>35</v>
      </c>
      <c r="G2327" s="23" t="s">
        <v>209</v>
      </c>
      <c r="H2327" s="36">
        <f>(D2327*400)+(E2327*100)+F2327</f>
        <v>35</v>
      </c>
      <c r="I2327" s="40">
        <v>625</v>
      </c>
      <c r="J2327" s="28">
        <f t="shared" ref="J2327:J2329" si="396">(H2327*I2327)</f>
        <v>21875</v>
      </c>
      <c r="K2327" s="37">
        <v>1</v>
      </c>
      <c r="L2327" s="20" t="s">
        <v>215</v>
      </c>
      <c r="M2327" s="37" t="s">
        <v>13</v>
      </c>
      <c r="N2327" s="30">
        <v>3</v>
      </c>
      <c r="O2327" s="77">
        <v>13</v>
      </c>
      <c r="P2327" s="35">
        <v>100</v>
      </c>
      <c r="Q2327" s="40">
        <v>6450</v>
      </c>
      <c r="R2327" s="77">
        <f>(O2327*Q2327)</f>
        <v>83850</v>
      </c>
      <c r="S2327" s="37">
        <v>32</v>
      </c>
      <c r="T2327" s="28">
        <f>(R2327*54/100)</f>
        <v>45279</v>
      </c>
      <c r="U2327" s="77">
        <f>(R2327-T2327)</f>
        <v>38571</v>
      </c>
      <c r="V2327" s="77">
        <f>(J2327+U2327)</f>
        <v>60446</v>
      </c>
      <c r="W2327" s="77">
        <f>((V2327*100/100))</f>
        <v>60446</v>
      </c>
      <c r="X2327" s="28">
        <v>0</v>
      </c>
      <c r="Y2327" s="28">
        <f>(W2327-X2327)</f>
        <v>60446</v>
      </c>
      <c r="Z2327" s="49">
        <v>3.0000000000000001E-3</v>
      </c>
    </row>
    <row r="2328" spans="1:26" s="29" customFormat="1" ht="90.75" customHeight="1" x14ac:dyDescent="0.25">
      <c r="A2328" s="20">
        <v>1318</v>
      </c>
      <c r="B2328" s="20" t="s">
        <v>0</v>
      </c>
      <c r="C2328" s="20">
        <v>41199</v>
      </c>
      <c r="D2328" s="21">
        <v>0</v>
      </c>
      <c r="E2328" s="21">
        <v>0</v>
      </c>
      <c r="F2328" s="22">
        <v>23</v>
      </c>
      <c r="G2328" s="23" t="s">
        <v>211</v>
      </c>
      <c r="H2328" s="36">
        <f>(D2328*400)+(E2328*100)+F2328</f>
        <v>23</v>
      </c>
      <c r="I2328" s="40">
        <v>625</v>
      </c>
      <c r="J2328" s="28">
        <f t="shared" si="396"/>
        <v>14375</v>
      </c>
      <c r="K2328" s="20"/>
      <c r="L2328" s="20"/>
      <c r="M2328" s="20"/>
      <c r="N2328" s="20"/>
      <c r="O2328" s="24"/>
      <c r="P2328" s="24"/>
      <c r="Q2328" s="25"/>
      <c r="R2328" s="24"/>
      <c r="S2328" s="20"/>
      <c r="T2328" s="27"/>
      <c r="U2328" s="20"/>
      <c r="V2328" s="20"/>
      <c r="W2328" s="26"/>
      <c r="X2328" s="27"/>
      <c r="Y2328" s="20"/>
      <c r="Z2328" s="20"/>
    </row>
    <row r="2329" spans="1:26" s="29" customFormat="1" ht="90.75" customHeight="1" x14ac:dyDescent="0.25">
      <c r="A2329" s="20"/>
      <c r="B2329" s="20"/>
      <c r="C2329" s="20"/>
      <c r="D2329" s="21"/>
      <c r="E2329" s="21"/>
      <c r="F2329" s="22"/>
      <c r="G2329" s="23"/>
      <c r="H2329" s="77">
        <v>18</v>
      </c>
      <c r="I2329" s="40">
        <v>625</v>
      </c>
      <c r="J2329" s="28">
        <f t="shared" si="396"/>
        <v>11250</v>
      </c>
      <c r="K2329" s="20">
        <v>1</v>
      </c>
      <c r="L2329" s="20" t="s">
        <v>16</v>
      </c>
      <c r="M2329" s="20" t="s">
        <v>13</v>
      </c>
      <c r="N2329" s="20">
        <v>2</v>
      </c>
      <c r="O2329" s="24">
        <v>71.91</v>
      </c>
      <c r="P2329" s="35">
        <v>100</v>
      </c>
      <c r="Q2329" s="40">
        <v>6450</v>
      </c>
      <c r="R2329" s="77">
        <f>(O2329*Q2329)</f>
        <v>463819.5</v>
      </c>
      <c r="S2329" s="20">
        <v>15</v>
      </c>
      <c r="T2329" s="28">
        <f>(R2329*20/100)</f>
        <v>92763.9</v>
      </c>
      <c r="U2329" s="77">
        <f>(R2329-T2329)</f>
        <v>371055.6</v>
      </c>
      <c r="V2329" s="80">
        <f>(J2329+U2329)</f>
        <v>382305.6</v>
      </c>
      <c r="W2329" s="77">
        <f>((V2329*100/100))</f>
        <v>382305.6</v>
      </c>
      <c r="X2329" s="27"/>
      <c r="Y2329" s="20"/>
      <c r="Z2329" s="20"/>
    </row>
    <row r="2330" spans="1:26" s="29" customFormat="1" ht="90.75" customHeight="1" x14ac:dyDescent="0.25">
      <c r="A2330" s="20"/>
      <c r="B2330" s="20"/>
      <c r="C2330" s="20"/>
      <c r="D2330" s="21"/>
      <c r="E2330" s="21"/>
      <c r="F2330" s="22"/>
      <c r="G2330" s="23"/>
      <c r="H2330" s="77"/>
      <c r="I2330" s="40"/>
      <c r="J2330" s="28"/>
      <c r="K2330" s="20"/>
      <c r="L2330" s="20" t="s">
        <v>56</v>
      </c>
      <c r="M2330" s="20"/>
      <c r="N2330" s="20"/>
      <c r="O2330" s="27">
        <v>48.96</v>
      </c>
      <c r="P2330" s="35">
        <v>68.09</v>
      </c>
      <c r="Q2330" s="40"/>
      <c r="R2330" s="77"/>
      <c r="S2330" s="20"/>
      <c r="T2330" s="28"/>
      <c r="U2330" s="20"/>
      <c r="V2330" s="20"/>
      <c r="W2330" s="26">
        <f>(W2329*68.09/100)</f>
        <v>260311.88304000002</v>
      </c>
      <c r="X2330" s="28">
        <v>10000000</v>
      </c>
      <c r="Y2330" s="28">
        <v>0</v>
      </c>
      <c r="Z2330" s="49">
        <v>2.0000000000000001E-4</v>
      </c>
    </row>
    <row r="2331" spans="1:26" s="29" customFormat="1" ht="90.75" customHeight="1" x14ac:dyDescent="0.25">
      <c r="A2331" s="20"/>
      <c r="B2331" s="20"/>
      <c r="C2331" s="20"/>
      <c r="D2331" s="21"/>
      <c r="E2331" s="21"/>
      <c r="F2331" s="22"/>
      <c r="G2331" s="23"/>
      <c r="H2331" s="24"/>
      <c r="I2331" s="25"/>
      <c r="J2331" s="24"/>
      <c r="K2331" s="20"/>
      <c r="L2331" s="20" t="s">
        <v>36</v>
      </c>
      <c r="M2331" s="20"/>
      <c r="N2331" s="20">
        <v>3</v>
      </c>
      <c r="O2331" s="24">
        <v>22.95</v>
      </c>
      <c r="P2331" s="24">
        <v>31.91</v>
      </c>
      <c r="Q2331" s="25"/>
      <c r="R2331" s="24"/>
      <c r="S2331" s="20"/>
      <c r="T2331" s="27"/>
      <c r="U2331" s="20"/>
      <c r="V2331" s="20"/>
      <c r="W2331" s="26">
        <f>((W2329*31.91/100))</f>
        <v>121993.71695999999</v>
      </c>
      <c r="X2331" s="28">
        <v>0</v>
      </c>
      <c r="Y2331" s="28">
        <f>(W2331-X2331)</f>
        <v>121993.71695999999</v>
      </c>
      <c r="Z2331" s="49">
        <v>3.0000000000000001E-3</v>
      </c>
    </row>
    <row r="2332" spans="1:26" s="29" customFormat="1" ht="90.75" customHeight="1" x14ac:dyDescent="0.25">
      <c r="A2332" s="20">
        <v>1319</v>
      </c>
      <c r="B2332" s="20" t="s">
        <v>0</v>
      </c>
      <c r="C2332" s="20">
        <v>37196</v>
      </c>
      <c r="D2332" s="21">
        <v>0</v>
      </c>
      <c r="E2332" s="21">
        <v>0</v>
      </c>
      <c r="F2332" s="22">
        <v>62</v>
      </c>
      <c r="G2332" s="23" t="s">
        <v>211</v>
      </c>
      <c r="H2332" s="36">
        <f>(D2332*400)+(E2332*100)+F2332</f>
        <v>62</v>
      </c>
      <c r="I2332" s="40">
        <v>625</v>
      </c>
      <c r="J2332" s="28">
        <f t="shared" ref="J2332" si="397">(H2332*I2332)</f>
        <v>38750</v>
      </c>
      <c r="K2332" s="20">
        <v>1</v>
      </c>
      <c r="L2332" s="20" t="s">
        <v>16</v>
      </c>
      <c r="M2332" s="20" t="s">
        <v>52</v>
      </c>
      <c r="N2332" s="20">
        <v>2</v>
      </c>
      <c r="O2332" s="24">
        <v>127.8</v>
      </c>
      <c r="P2332" s="24">
        <v>100</v>
      </c>
      <c r="Q2332" s="40">
        <v>6450</v>
      </c>
      <c r="R2332" s="77">
        <f>(O2332*Q2332)</f>
        <v>824310</v>
      </c>
      <c r="S2332" s="20">
        <v>50</v>
      </c>
      <c r="T2332" s="28">
        <f>(R2332*85/100)</f>
        <v>700663.5</v>
      </c>
      <c r="U2332" s="77">
        <f>(R2332-T2332)</f>
        <v>123646.5</v>
      </c>
      <c r="V2332" s="80">
        <f>(J2332+U2332)</f>
        <v>162396.5</v>
      </c>
      <c r="W2332" s="77">
        <f>((V2332*100/100))</f>
        <v>162396.5</v>
      </c>
      <c r="X2332" s="27"/>
      <c r="Y2332" s="20"/>
      <c r="Z2332" s="20"/>
    </row>
    <row r="2333" spans="1:26" s="29" customFormat="1" ht="90.75" customHeight="1" x14ac:dyDescent="0.25">
      <c r="A2333" s="20"/>
      <c r="B2333" s="20"/>
      <c r="C2333" s="20"/>
      <c r="D2333" s="21"/>
      <c r="E2333" s="21"/>
      <c r="F2333" s="22"/>
      <c r="G2333" s="23"/>
      <c r="H2333" s="77"/>
      <c r="I2333" s="40"/>
      <c r="J2333" s="28"/>
      <c r="K2333" s="20"/>
      <c r="L2333" s="20" t="s">
        <v>56</v>
      </c>
      <c r="M2333" s="20"/>
      <c r="N2333" s="20"/>
      <c r="O2333" s="24">
        <v>95.12</v>
      </c>
      <c r="P2333" s="24">
        <v>74.430000000000007</v>
      </c>
      <c r="Q2333" s="40"/>
      <c r="R2333" s="77"/>
      <c r="S2333" s="20"/>
      <c r="T2333" s="28"/>
      <c r="U2333" s="77"/>
      <c r="V2333" s="80"/>
      <c r="W2333" s="26">
        <f>(W2332*74.43/100)</f>
        <v>120871.71495000001</v>
      </c>
      <c r="X2333" s="28">
        <v>10000000</v>
      </c>
      <c r="Y2333" s="28">
        <v>0</v>
      </c>
      <c r="Z2333" s="49">
        <v>2.0000000000000001E-4</v>
      </c>
    </row>
    <row r="2334" spans="1:26" s="29" customFormat="1" ht="90.75" customHeight="1" x14ac:dyDescent="0.25">
      <c r="A2334" s="20"/>
      <c r="B2334" s="20"/>
      <c r="C2334" s="20"/>
      <c r="D2334" s="21"/>
      <c r="E2334" s="21"/>
      <c r="F2334" s="22"/>
      <c r="G2334" s="23"/>
      <c r="H2334" s="24"/>
      <c r="I2334" s="25"/>
      <c r="J2334" s="24"/>
      <c r="K2334" s="20"/>
      <c r="L2334" s="20" t="s">
        <v>29</v>
      </c>
      <c r="M2334" s="20"/>
      <c r="N2334" s="20"/>
      <c r="O2334" s="24">
        <v>32.68</v>
      </c>
      <c r="P2334" s="24">
        <v>25.57</v>
      </c>
      <c r="Q2334" s="25"/>
      <c r="R2334" s="24"/>
      <c r="S2334" s="20"/>
      <c r="T2334" s="27"/>
      <c r="U2334" s="20"/>
      <c r="V2334" s="20"/>
      <c r="W2334" s="26">
        <f>(W2332*25.57/100)</f>
        <v>41524.785049999999</v>
      </c>
      <c r="X2334" s="28">
        <v>0</v>
      </c>
      <c r="Y2334" s="28">
        <f>(W2334-X2334)</f>
        <v>41524.785049999999</v>
      </c>
      <c r="Z2334" s="49">
        <v>3.0000000000000001E-3</v>
      </c>
    </row>
    <row r="2335" spans="1:26" s="29" customFormat="1" ht="90.75" customHeight="1" x14ac:dyDescent="0.25">
      <c r="A2335" s="20">
        <v>1320</v>
      </c>
      <c r="B2335" s="20" t="s">
        <v>0</v>
      </c>
      <c r="C2335" s="20">
        <v>24483</v>
      </c>
      <c r="D2335" s="21">
        <v>0</v>
      </c>
      <c r="E2335" s="21">
        <v>1</v>
      </c>
      <c r="F2335" s="22">
        <v>0</v>
      </c>
      <c r="G2335" s="23" t="s">
        <v>211</v>
      </c>
      <c r="H2335" s="36">
        <f>(D2335*400)+(E2335*100)+F2335</f>
        <v>100</v>
      </c>
      <c r="I2335" s="40">
        <v>625</v>
      </c>
      <c r="J2335" s="28">
        <f>(H2335*I2335)</f>
        <v>62500</v>
      </c>
      <c r="K2335" s="30"/>
      <c r="L2335" s="31"/>
      <c r="M2335" s="32"/>
      <c r="N2335" s="33"/>
      <c r="O2335" s="34"/>
      <c r="P2335" s="35"/>
      <c r="Q2335" s="36"/>
      <c r="R2335" s="36"/>
      <c r="S2335" s="37"/>
      <c r="T2335" s="28"/>
      <c r="U2335" s="36"/>
      <c r="V2335" s="36"/>
      <c r="W2335" s="36"/>
      <c r="X2335" s="28"/>
      <c r="Y2335" s="28"/>
      <c r="Z2335" s="20"/>
    </row>
    <row r="2336" spans="1:26" s="29" customFormat="1" ht="90.75" customHeight="1" x14ac:dyDescent="0.25">
      <c r="A2336" s="20"/>
      <c r="B2336" s="20"/>
      <c r="C2336" s="20"/>
      <c r="D2336" s="21"/>
      <c r="E2336" s="21"/>
      <c r="F2336" s="22"/>
      <c r="G2336" s="23"/>
      <c r="H2336" s="36">
        <v>96.76</v>
      </c>
      <c r="I2336" s="40">
        <v>625</v>
      </c>
      <c r="J2336" s="28">
        <f>(H2336*I2336)</f>
        <v>60475</v>
      </c>
      <c r="K2336" s="30">
        <v>1</v>
      </c>
      <c r="L2336" s="31" t="s">
        <v>215</v>
      </c>
      <c r="M2336" s="32" t="s">
        <v>13</v>
      </c>
      <c r="N2336" s="33">
        <v>2</v>
      </c>
      <c r="O2336" s="34">
        <v>103.4</v>
      </c>
      <c r="P2336" s="35">
        <v>100</v>
      </c>
      <c r="Q2336" s="36">
        <v>6450</v>
      </c>
      <c r="R2336" s="36">
        <f>(O2336*Q2336)</f>
        <v>666930</v>
      </c>
      <c r="S2336" s="37">
        <v>22</v>
      </c>
      <c r="T2336" s="28">
        <f>(R2336*34/100)</f>
        <v>226756.2</v>
      </c>
      <c r="U2336" s="36">
        <f>(R2336-T2336)</f>
        <v>440173.8</v>
      </c>
      <c r="V2336" s="36"/>
      <c r="W2336" s="36"/>
      <c r="X2336" s="28"/>
      <c r="Y2336" s="28"/>
      <c r="Z2336" s="20"/>
    </row>
    <row r="2337" spans="1:26" s="29" customFormat="1" ht="90.75" customHeight="1" x14ac:dyDescent="0.25">
      <c r="A2337" s="20"/>
      <c r="B2337" s="20"/>
      <c r="C2337" s="20"/>
      <c r="D2337" s="21"/>
      <c r="E2337" s="21"/>
      <c r="F2337" s="22"/>
      <c r="G2337" s="23"/>
      <c r="H2337" s="36"/>
      <c r="I2337" s="40"/>
      <c r="J2337" s="28"/>
      <c r="K2337" s="30">
        <v>2</v>
      </c>
      <c r="L2337" s="31" t="s">
        <v>31</v>
      </c>
      <c r="M2337" s="32"/>
      <c r="N2337" s="33">
        <v>2</v>
      </c>
      <c r="O2337" s="34">
        <v>25</v>
      </c>
      <c r="P2337" s="35">
        <v>100</v>
      </c>
      <c r="Q2337" s="36">
        <v>2550</v>
      </c>
      <c r="R2337" s="36">
        <f>(O2337*Q2337)</f>
        <v>63750</v>
      </c>
      <c r="S2337" s="37">
        <v>22</v>
      </c>
      <c r="T2337" s="28">
        <f>(R2337*34/100)</f>
        <v>21675</v>
      </c>
      <c r="U2337" s="36">
        <f>(R2337-T2337)</f>
        <v>42075</v>
      </c>
      <c r="V2337" s="36"/>
      <c r="W2337" s="36"/>
      <c r="X2337" s="28"/>
      <c r="Y2337" s="28"/>
      <c r="Z2337" s="20"/>
    </row>
    <row r="2338" spans="1:26" s="29" customFormat="1" ht="90.75" customHeight="1" x14ac:dyDescent="0.25">
      <c r="A2338" s="20"/>
      <c r="B2338" s="20"/>
      <c r="C2338" s="20"/>
      <c r="D2338" s="21"/>
      <c r="E2338" s="21"/>
      <c r="F2338" s="22"/>
      <c r="G2338" s="23"/>
      <c r="H2338" s="36"/>
      <c r="I2338" s="40"/>
      <c r="J2338" s="28"/>
      <c r="K2338" s="30"/>
      <c r="L2338" s="31"/>
      <c r="M2338" s="32"/>
      <c r="N2338" s="33"/>
      <c r="O2338" s="34"/>
      <c r="P2338" s="35"/>
      <c r="Q2338" s="36"/>
      <c r="R2338" s="36"/>
      <c r="S2338" s="37"/>
      <c r="T2338" s="28"/>
      <c r="U2338" s="36">
        <f>(U2336+U2337)</f>
        <v>482248.8</v>
      </c>
      <c r="V2338" s="36">
        <f>(J2335+U2338)</f>
        <v>544748.80000000005</v>
      </c>
      <c r="W2338" s="36">
        <f>(V2338*100/100)</f>
        <v>544748.80000000005</v>
      </c>
      <c r="X2338" s="28">
        <v>5000000</v>
      </c>
      <c r="Y2338" s="28">
        <v>0</v>
      </c>
      <c r="Z2338" s="49">
        <v>2.0000000000000001E-4</v>
      </c>
    </row>
    <row r="2339" spans="1:26" s="29" customFormat="1" ht="90.75" customHeight="1" x14ac:dyDescent="0.25">
      <c r="A2339" s="20"/>
      <c r="B2339" s="20"/>
      <c r="C2339" s="20"/>
      <c r="D2339" s="21"/>
      <c r="E2339" s="21"/>
      <c r="F2339" s="22"/>
      <c r="G2339" s="23"/>
      <c r="H2339" s="36">
        <v>3.24</v>
      </c>
      <c r="I2339" s="40">
        <v>625</v>
      </c>
      <c r="J2339" s="28">
        <f>(H2339*I2339)</f>
        <v>2025.0000000000002</v>
      </c>
      <c r="K2339" s="30">
        <v>3</v>
      </c>
      <c r="L2339" s="31" t="s">
        <v>215</v>
      </c>
      <c r="M2339" s="32" t="s">
        <v>13</v>
      </c>
      <c r="N2339" s="33">
        <v>3</v>
      </c>
      <c r="O2339" s="34">
        <v>12.96</v>
      </c>
      <c r="P2339" s="35">
        <v>100</v>
      </c>
      <c r="Q2339" s="36">
        <v>6450</v>
      </c>
      <c r="R2339" s="36">
        <f>(O2339*Q2339)</f>
        <v>83592</v>
      </c>
      <c r="S2339" s="37">
        <v>22</v>
      </c>
      <c r="T2339" s="28">
        <f>(R2339*34/100)</f>
        <v>28421.279999999999</v>
      </c>
      <c r="U2339" s="36">
        <f>(R2339-T2339)</f>
        <v>55170.720000000001</v>
      </c>
      <c r="V2339" s="36">
        <f>(J2339+U2339)</f>
        <v>57195.72</v>
      </c>
      <c r="W2339" s="36">
        <f>(V2339*100/100)</f>
        <v>57195.72</v>
      </c>
      <c r="X2339" s="28">
        <v>0</v>
      </c>
      <c r="Y2339" s="28">
        <f>(W2339-X2339)</f>
        <v>57195.72</v>
      </c>
      <c r="Z2339" s="49">
        <v>3.0000000000000001E-3</v>
      </c>
    </row>
    <row r="2340" spans="1:26" s="29" customFormat="1" ht="90.75" customHeight="1" x14ac:dyDescent="0.25">
      <c r="A2340" s="20">
        <v>1321</v>
      </c>
      <c r="B2340" s="20" t="s">
        <v>0</v>
      </c>
      <c r="C2340" s="20">
        <v>8060</v>
      </c>
      <c r="D2340" s="21">
        <v>0</v>
      </c>
      <c r="E2340" s="21">
        <v>1</v>
      </c>
      <c r="F2340" s="22">
        <v>63</v>
      </c>
      <c r="G2340" s="23" t="s">
        <v>211</v>
      </c>
      <c r="H2340" s="36">
        <f>(D2340*400)+(E2340*100)+F2340</f>
        <v>163</v>
      </c>
      <c r="I2340" s="40">
        <v>625</v>
      </c>
      <c r="J2340" s="28">
        <f>(H2340*I2340)</f>
        <v>101875</v>
      </c>
      <c r="K2340" s="20"/>
      <c r="L2340" s="20" t="s">
        <v>2</v>
      </c>
      <c r="M2340" s="20" t="s">
        <v>2</v>
      </c>
      <c r="N2340" s="20"/>
      <c r="O2340" s="24"/>
      <c r="P2340" s="24"/>
      <c r="Q2340" s="25"/>
      <c r="R2340" s="24"/>
      <c r="S2340" s="20"/>
      <c r="T2340" s="27"/>
      <c r="U2340" s="20"/>
      <c r="V2340" s="20"/>
      <c r="W2340" s="26"/>
      <c r="X2340" s="27"/>
      <c r="Y2340" s="20"/>
      <c r="Z2340" s="20"/>
    </row>
    <row r="2341" spans="1:26" s="29" customFormat="1" ht="90.75" customHeight="1" x14ac:dyDescent="0.25">
      <c r="A2341" s="20"/>
      <c r="B2341" s="20"/>
      <c r="C2341" s="20"/>
      <c r="D2341" s="21"/>
      <c r="E2341" s="21"/>
      <c r="F2341" s="22"/>
      <c r="G2341" s="23" t="s">
        <v>209</v>
      </c>
      <c r="H2341" s="24">
        <v>12</v>
      </c>
      <c r="I2341" s="40">
        <v>625</v>
      </c>
      <c r="J2341" s="28">
        <f>(H2341*I2341)</f>
        <v>7500</v>
      </c>
      <c r="K2341" s="20">
        <v>1</v>
      </c>
      <c r="L2341" s="20" t="s">
        <v>31</v>
      </c>
      <c r="M2341" s="20" t="s">
        <v>13</v>
      </c>
      <c r="N2341" s="20">
        <v>3</v>
      </c>
      <c r="O2341" s="24">
        <v>48</v>
      </c>
      <c r="P2341" s="24">
        <v>100</v>
      </c>
      <c r="Q2341" s="25">
        <v>2550</v>
      </c>
      <c r="R2341" s="36">
        <f>(O2341*Q2341)</f>
        <v>122400</v>
      </c>
      <c r="S2341" s="20">
        <v>1</v>
      </c>
      <c r="T2341" s="28">
        <f>(R2341*1/100)</f>
        <v>1224</v>
      </c>
      <c r="U2341" s="36">
        <f>(R2341-T2341)</f>
        <v>121176</v>
      </c>
      <c r="V2341" s="36">
        <f>(J2341+U2341)</f>
        <v>128676</v>
      </c>
      <c r="W2341" s="36">
        <f>(V2341*100/100)</f>
        <v>128676</v>
      </c>
      <c r="X2341" s="28">
        <v>0</v>
      </c>
      <c r="Y2341" s="28">
        <f>(W2341-X2341)</f>
        <v>128676</v>
      </c>
      <c r="Z2341" s="49">
        <v>3.0000000000000001E-3</v>
      </c>
    </row>
    <row r="2342" spans="1:26" s="29" customFormat="1" ht="90.75" customHeight="1" x14ac:dyDescent="0.25">
      <c r="A2342" s="20">
        <v>1322</v>
      </c>
      <c r="B2342" s="20" t="s">
        <v>0</v>
      </c>
      <c r="C2342" s="20">
        <v>8064</v>
      </c>
      <c r="D2342" s="21">
        <v>0</v>
      </c>
      <c r="E2342" s="21">
        <v>0</v>
      </c>
      <c r="F2342" s="22">
        <v>77</v>
      </c>
      <c r="G2342" s="23" t="s">
        <v>211</v>
      </c>
      <c r="H2342" s="36">
        <f>(D2342*400)+(E2342*100)+F2342</f>
        <v>77</v>
      </c>
      <c r="I2342" s="40">
        <v>625</v>
      </c>
      <c r="J2342" s="28">
        <f>(H2342*I2342)</f>
        <v>48125</v>
      </c>
      <c r="K2342" s="20"/>
      <c r="L2342" s="20"/>
      <c r="M2342" s="20"/>
      <c r="N2342" s="20"/>
      <c r="O2342" s="24"/>
      <c r="P2342" s="24"/>
      <c r="Q2342" s="36"/>
      <c r="R2342" s="36"/>
      <c r="S2342" s="20"/>
      <c r="T2342" s="28"/>
      <c r="U2342" s="36"/>
      <c r="V2342" s="20"/>
      <c r="W2342" s="26"/>
      <c r="X2342" s="27"/>
      <c r="Y2342" s="20"/>
      <c r="Z2342" s="20"/>
    </row>
    <row r="2343" spans="1:26" s="29" customFormat="1" ht="90.75" customHeight="1" x14ac:dyDescent="0.25">
      <c r="A2343" s="20"/>
      <c r="B2343" s="20"/>
      <c r="C2343" s="20"/>
      <c r="D2343" s="21"/>
      <c r="E2343" s="21"/>
      <c r="F2343" s="22"/>
      <c r="G2343" s="23"/>
      <c r="H2343" s="24">
        <v>59.74</v>
      </c>
      <c r="I2343" s="40">
        <v>625</v>
      </c>
      <c r="J2343" s="28">
        <f>(H2343*I2343)</f>
        <v>37337.5</v>
      </c>
      <c r="K2343" s="20">
        <v>1</v>
      </c>
      <c r="L2343" s="20" t="s">
        <v>16</v>
      </c>
      <c r="M2343" s="20" t="s">
        <v>52</v>
      </c>
      <c r="N2343" s="20">
        <v>2</v>
      </c>
      <c r="O2343" s="24">
        <v>126</v>
      </c>
      <c r="P2343" s="24">
        <v>100</v>
      </c>
      <c r="Q2343" s="36">
        <v>6450</v>
      </c>
      <c r="R2343" s="36">
        <f>(O2343*Q2343)</f>
        <v>812700</v>
      </c>
      <c r="S2343" s="20">
        <v>20</v>
      </c>
      <c r="T2343" s="28">
        <f>(R2343*75/100)</f>
        <v>609525</v>
      </c>
      <c r="U2343" s="36">
        <f t="shared" ref="U2343:U2346" si="398">(R2343-T2343)</f>
        <v>203175</v>
      </c>
      <c r="V2343" s="80">
        <f>(J2343+U2343)</f>
        <v>240512.5</v>
      </c>
      <c r="W2343" s="36">
        <f>(V2343*100/100)</f>
        <v>240512.5</v>
      </c>
      <c r="X2343" s="27"/>
      <c r="Y2343" s="20"/>
      <c r="Z2343" s="20"/>
    </row>
    <row r="2344" spans="1:26" s="29" customFormat="1" ht="90.75" customHeight="1" x14ac:dyDescent="0.25">
      <c r="A2344" s="20"/>
      <c r="B2344" s="20"/>
      <c r="C2344" s="20"/>
      <c r="D2344" s="21"/>
      <c r="E2344" s="21"/>
      <c r="F2344" s="22"/>
      <c r="G2344" s="23"/>
      <c r="H2344" s="24"/>
      <c r="I2344" s="25"/>
      <c r="J2344" s="24"/>
      <c r="K2344" s="20"/>
      <c r="L2344" s="20" t="s">
        <v>56</v>
      </c>
      <c r="M2344" s="20"/>
      <c r="N2344" s="20"/>
      <c r="O2344" s="24">
        <v>77.25</v>
      </c>
      <c r="P2344" s="24">
        <v>61.31</v>
      </c>
      <c r="Q2344" s="36"/>
      <c r="R2344" s="36"/>
      <c r="S2344" s="20"/>
      <c r="T2344" s="28"/>
      <c r="U2344" s="36"/>
      <c r="V2344" s="20"/>
      <c r="W2344" s="26">
        <f>(W2343*61.31/100)</f>
        <v>147458.21375</v>
      </c>
      <c r="X2344" s="27"/>
      <c r="Y2344" s="20"/>
      <c r="Z2344" s="20"/>
    </row>
    <row r="2345" spans="1:26" s="29" customFormat="1" ht="90.75" customHeight="1" x14ac:dyDescent="0.25">
      <c r="A2345" s="20"/>
      <c r="B2345" s="20"/>
      <c r="C2345" s="20"/>
      <c r="D2345" s="21"/>
      <c r="E2345" s="21"/>
      <c r="F2345" s="22"/>
      <c r="G2345" s="23"/>
      <c r="H2345" s="24"/>
      <c r="I2345" s="40"/>
      <c r="J2345" s="28"/>
      <c r="K2345" s="20"/>
      <c r="L2345" s="20" t="s">
        <v>36</v>
      </c>
      <c r="M2345" s="20" t="s">
        <v>13</v>
      </c>
      <c r="N2345" s="20">
        <v>3</v>
      </c>
      <c r="O2345" s="24">
        <v>48.75</v>
      </c>
      <c r="P2345" s="24">
        <v>38.69</v>
      </c>
      <c r="Q2345" s="36"/>
      <c r="R2345" s="36"/>
      <c r="S2345" s="20"/>
      <c r="T2345" s="28"/>
      <c r="U2345" s="36"/>
      <c r="V2345" s="36"/>
      <c r="W2345" s="36">
        <f>(W2343*38.69/100)</f>
        <v>93054.286250000005</v>
      </c>
      <c r="X2345" s="28">
        <v>0</v>
      </c>
      <c r="Y2345" s="28">
        <f>(W2345-X2345)</f>
        <v>93054.286250000005</v>
      </c>
      <c r="Z2345" s="49">
        <v>3.0000000000000001E-3</v>
      </c>
    </row>
    <row r="2346" spans="1:26" s="29" customFormat="1" ht="90.75" customHeight="1" x14ac:dyDescent="0.25">
      <c r="A2346" s="20"/>
      <c r="B2346" s="20"/>
      <c r="C2346" s="20"/>
      <c r="D2346" s="21"/>
      <c r="E2346" s="21"/>
      <c r="F2346" s="22"/>
      <c r="G2346" s="23"/>
      <c r="H2346" s="24">
        <v>17.260000000000002</v>
      </c>
      <c r="I2346" s="40">
        <v>625</v>
      </c>
      <c r="J2346" s="28">
        <f>(H2346*I2346)</f>
        <v>10787.500000000002</v>
      </c>
      <c r="K2346" s="20"/>
      <c r="L2346" s="20" t="s">
        <v>31</v>
      </c>
      <c r="M2346" s="20"/>
      <c r="N2346" s="20">
        <v>2</v>
      </c>
      <c r="O2346" s="24">
        <v>68.900000000000006</v>
      </c>
      <c r="P2346" s="24">
        <v>100</v>
      </c>
      <c r="Q2346" s="25">
        <v>2550</v>
      </c>
      <c r="R2346" s="36">
        <f t="shared" ref="R2346" si="399">(O2346*Q2346)</f>
        <v>175695</v>
      </c>
      <c r="S2346" s="20">
        <v>20</v>
      </c>
      <c r="T2346" s="28">
        <f t="shared" ref="T2346" si="400">(R2346*75/100)</f>
        <v>131771.25</v>
      </c>
      <c r="U2346" s="36">
        <f t="shared" si="398"/>
        <v>43923.75</v>
      </c>
      <c r="V2346" s="80">
        <f>(J2346+U2346)</f>
        <v>54711.25</v>
      </c>
      <c r="W2346" s="26">
        <f>(V2346*100/100)</f>
        <v>54711.25</v>
      </c>
      <c r="X2346" s="28">
        <v>10000000</v>
      </c>
      <c r="Y2346" s="28">
        <v>0</v>
      </c>
      <c r="Z2346" s="49">
        <v>2.0000000000000001E-4</v>
      </c>
    </row>
    <row r="2347" spans="1:26" s="29" customFormat="1" ht="90.75" customHeight="1" x14ac:dyDescent="0.25">
      <c r="A2347" s="20">
        <v>1323</v>
      </c>
      <c r="B2347" s="20" t="s">
        <v>0</v>
      </c>
      <c r="C2347" s="20">
        <v>6616</v>
      </c>
      <c r="D2347" s="21">
        <v>0</v>
      </c>
      <c r="E2347" s="21">
        <v>2</v>
      </c>
      <c r="F2347" s="22">
        <v>2</v>
      </c>
      <c r="G2347" s="23" t="s">
        <v>211</v>
      </c>
      <c r="H2347" s="36">
        <f t="shared" ref="H2347" si="401">(D2347*400)+(E2347*100)+F2347</f>
        <v>202</v>
      </c>
      <c r="I2347" s="40" t="s">
        <v>75</v>
      </c>
      <c r="J2347" s="65">
        <f t="shared" ref="J2347:J2364" si="402">(H2347*I2347)</f>
        <v>126250</v>
      </c>
      <c r="K2347" s="33"/>
      <c r="L2347" s="31"/>
      <c r="M2347" s="112"/>
      <c r="N2347" s="30"/>
      <c r="O2347" s="90"/>
      <c r="P2347" s="82"/>
      <c r="Q2347" s="83"/>
      <c r="R2347" s="33"/>
      <c r="S2347" s="33"/>
      <c r="T2347" s="89"/>
      <c r="U2347" s="33"/>
      <c r="V2347" s="90"/>
      <c r="W2347" s="90"/>
      <c r="X2347" s="89"/>
      <c r="Y2347" s="48"/>
      <c r="Z2347" s="53"/>
    </row>
    <row r="2348" spans="1:26" s="29" customFormat="1" ht="90.75" customHeight="1" x14ac:dyDescent="0.25">
      <c r="A2348" s="20"/>
      <c r="B2348" s="20"/>
      <c r="C2348" s="20"/>
      <c r="D2348" s="21"/>
      <c r="E2348" s="21"/>
      <c r="F2348" s="22"/>
      <c r="G2348" s="23"/>
      <c r="H2348" s="77">
        <v>196.3</v>
      </c>
      <c r="I2348" s="40">
        <v>625</v>
      </c>
      <c r="J2348" s="28">
        <f t="shared" si="402"/>
        <v>122687.5</v>
      </c>
      <c r="K2348" s="37">
        <v>1</v>
      </c>
      <c r="L2348" s="20" t="s">
        <v>215</v>
      </c>
      <c r="M2348" s="37" t="s">
        <v>13</v>
      </c>
      <c r="N2348" s="30">
        <v>2</v>
      </c>
      <c r="O2348" s="77">
        <v>204.7</v>
      </c>
      <c r="P2348" s="86">
        <v>100</v>
      </c>
      <c r="Q2348" s="77">
        <v>6450</v>
      </c>
      <c r="R2348" s="77">
        <f>(O2348*Q2348)</f>
        <v>1320315</v>
      </c>
      <c r="S2348" s="37">
        <v>32</v>
      </c>
      <c r="T2348" s="65">
        <f>(R2348*54/100)</f>
        <v>712970.1</v>
      </c>
      <c r="U2348" s="80">
        <f>(R2348-T2348)</f>
        <v>607344.9</v>
      </c>
      <c r="V2348" s="63">
        <f>(J2348+U2348)</f>
        <v>730032.4</v>
      </c>
      <c r="W2348" s="77">
        <f>(V2348*100/100)</f>
        <v>730032.4</v>
      </c>
      <c r="X2348" s="28">
        <v>10000000</v>
      </c>
      <c r="Y2348" s="28">
        <v>0</v>
      </c>
      <c r="Z2348" s="49">
        <v>2.0000000000000001E-4</v>
      </c>
    </row>
    <row r="2349" spans="1:26" s="29" customFormat="1" ht="90.75" customHeight="1" x14ac:dyDescent="0.25">
      <c r="A2349" s="20"/>
      <c r="B2349" s="20"/>
      <c r="C2349" s="20"/>
      <c r="D2349" s="21"/>
      <c r="E2349" s="21"/>
      <c r="F2349" s="22"/>
      <c r="G2349" s="23"/>
      <c r="H2349" s="77">
        <v>5.7</v>
      </c>
      <c r="I2349" s="40">
        <v>625</v>
      </c>
      <c r="J2349" s="28">
        <f t="shared" si="402"/>
        <v>3562.5</v>
      </c>
      <c r="K2349" s="37">
        <v>2</v>
      </c>
      <c r="L2349" s="20" t="s">
        <v>29</v>
      </c>
      <c r="M2349" s="37" t="s">
        <v>13</v>
      </c>
      <c r="N2349" s="30">
        <v>3</v>
      </c>
      <c r="O2349" s="77">
        <v>22.8</v>
      </c>
      <c r="P2349" s="86">
        <v>100</v>
      </c>
      <c r="Q2349" s="77">
        <v>5550</v>
      </c>
      <c r="R2349" s="77">
        <f>(O2349*Q2349)</f>
        <v>126540</v>
      </c>
      <c r="S2349" s="37">
        <v>12</v>
      </c>
      <c r="T2349" s="65">
        <f>(R2349*14/100)</f>
        <v>17715.599999999999</v>
      </c>
      <c r="U2349" s="80">
        <f>(R2349-T2349)</f>
        <v>108824.4</v>
      </c>
      <c r="V2349" s="63">
        <f>(J2349+U2349)</f>
        <v>112386.9</v>
      </c>
      <c r="W2349" s="77">
        <f>(V2349*100/100)</f>
        <v>112386.9</v>
      </c>
      <c r="X2349" s="28">
        <v>0</v>
      </c>
      <c r="Y2349" s="28">
        <f>(W2349-X2349)</f>
        <v>112386.9</v>
      </c>
      <c r="Z2349" s="49">
        <v>3.0000000000000001E-3</v>
      </c>
    </row>
    <row r="2350" spans="1:26" s="29" customFormat="1" ht="90.75" customHeight="1" x14ac:dyDescent="0.25">
      <c r="A2350" s="20">
        <v>1324</v>
      </c>
      <c r="B2350" s="20" t="s">
        <v>0</v>
      </c>
      <c r="C2350" s="20">
        <v>36747</v>
      </c>
      <c r="D2350" s="21">
        <v>0</v>
      </c>
      <c r="E2350" s="21">
        <v>1</v>
      </c>
      <c r="F2350" s="22">
        <v>45</v>
      </c>
      <c r="G2350" s="23" t="s">
        <v>211</v>
      </c>
      <c r="H2350" s="36">
        <f t="shared" ref="H2350" si="403">(D2350*400)+(E2350*100)+F2350</f>
        <v>145</v>
      </c>
      <c r="I2350" s="25" t="s">
        <v>75</v>
      </c>
      <c r="J2350" s="65">
        <f t="shared" si="402"/>
        <v>90625</v>
      </c>
      <c r="K2350" s="20"/>
      <c r="L2350" s="20"/>
      <c r="M2350" s="20"/>
      <c r="N2350" s="20"/>
      <c r="O2350" s="24"/>
      <c r="P2350" s="24"/>
      <c r="Q2350" s="25"/>
      <c r="R2350" s="24"/>
      <c r="S2350" s="20" t="s">
        <v>2</v>
      </c>
      <c r="T2350" s="27"/>
      <c r="U2350" s="20"/>
      <c r="V2350" s="20"/>
      <c r="W2350" s="26"/>
      <c r="X2350" s="27"/>
      <c r="Y2350" s="20"/>
      <c r="Z2350" s="20"/>
    </row>
    <row r="2351" spans="1:26" s="29" customFormat="1" ht="90.75" customHeight="1" x14ac:dyDescent="0.25">
      <c r="A2351" s="20"/>
      <c r="B2351" s="20"/>
      <c r="C2351" s="20"/>
      <c r="D2351" s="21"/>
      <c r="E2351" s="21"/>
      <c r="F2351" s="22"/>
      <c r="G2351" s="23"/>
      <c r="H2351" s="24">
        <v>16.5</v>
      </c>
      <c r="I2351" s="25" t="s">
        <v>75</v>
      </c>
      <c r="J2351" s="65">
        <f t="shared" si="402"/>
        <v>10312.5</v>
      </c>
      <c r="K2351" s="20">
        <v>1</v>
      </c>
      <c r="L2351" s="20" t="s">
        <v>291</v>
      </c>
      <c r="M2351" s="20"/>
      <c r="N2351" s="20">
        <v>3</v>
      </c>
      <c r="O2351" s="24">
        <v>66</v>
      </c>
      <c r="P2351" s="24">
        <v>100</v>
      </c>
      <c r="Q2351" s="25">
        <v>2550</v>
      </c>
      <c r="R2351" s="77">
        <f>(O2351*Q2351)</f>
        <v>168300</v>
      </c>
      <c r="S2351" s="20">
        <v>5</v>
      </c>
      <c r="T2351" s="65">
        <f>(R2351*15/100)</f>
        <v>25245</v>
      </c>
      <c r="U2351" s="80">
        <f>(R2351-T2351)</f>
        <v>143055</v>
      </c>
      <c r="V2351" s="80">
        <f>(J2351+U2351)</f>
        <v>153367.5</v>
      </c>
      <c r="W2351" s="77">
        <f>(V2351*100/100)</f>
        <v>153367.5</v>
      </c>
      <c r="X2351" s="28">
        <v>0</v>
      </c>
      <c r="Y2351" s="28">
        <f>(W2351-X2351)</f>
        <v>153367.5</v>
      </c>
      <c r="Z2351" s="49">
        <v>3.0000000000000001E-3</v>
      </c>
    </row>
    <row r="2352" spans="1:26" s="29" customFormat="1" ht="90.75" customHeight="1" x14ac:dyDescent="0.25">
      <c r="A2352" s="20">
        <v>1325</v>
      </c>
      <c r="B2352" s="20" t="s">
        <v>0</v>
      </c>
      <c r="C2352" s="20">
        <v>10191</v>
      </c>
      <c r="D2352" s="21">
        <v>0</v>
      </c>
      <c r="E2352" s="21">
        <v>3</v>
      </c>
      <c r="F2352" s="22">
        <v>78</v>
      </c>
      <c r="G2352" s="23" t="s">
        <v>211</v>
      </c>
      <c r="H2352" s="36">
        <f t="shared" ref="H2352" si="404">(D2352*400)+(E2352*100)+F2352</f>
        <v>378</v>
      </c>
      <c r="I2352" s="25" t="s">
        <v>80</v>
      </c>
      <c r="J2352" s="65">
        <f t="shared" si="402"/>
        <v>217350</v>
      </c>
      <c r="K2352" s="20">
        <v>1</v>
      </c>
      <c r="L2352" s="20" t="s">
        <v>16</v>
      </c>
      <c r="M2352" s="20" t="s">
        <v>13</v>
      </c>
      <c r="N2352" s="20">
        <v>5</v>
      </c>
      <c r="O2352" s="24">
        <v>300</v>
      </c>
      <c r="P2352" s="24">
        <v>100</v>
      </c>
      <c r="Q2352" s="25">
        <v>6450</v>
      </c>
      <c r="R2352" s="77">
        <f>(O2352*Q2352)</f>
        <v>1935000</v>
      </c>
      <c r="S2352" s="20">
        <v>2</v>
      </c>
      <c r="T2352" s="24">
        <f>(R2352*2/100)</f>
        <v>38700</v>
      </c>
      <c r="U2352" s="80">
        <f>(R2352-T2352)</f>
        <v>1896300</v>
      </c>
      <c r="V2352" s="27">
        <f>(J2352+U2352)</f>
        <v>2113650</v>
      </c>
      <c r="W2352" s="77">
        <f>(V2352*100/100)</f>
        <v>2113650</v>
      </c>
      <c r="X2352" s="27"/>
      <c r="Y2352" s="20"/>
      <c r="Z2352" s="20"/>
    </row>
    <row r="2353" spans="1:26" s="29" customFormat="1" ht="90.75" customHeight="1" x14ac:dyDescent="0.25">
      <c r="A2353" s="20"/>
      <c r="B2353" s="20"/>
      <c r="C2353" s="20"/>
      <c r="D2353" s="21"/>
      <c r="E2353" s="21"/>
      <c r="F2353" s="22"/>
      <c r="G2353" s="23"/>
      <c r="H2353" s="24"/>
      <c r="I2353" s="25"/>
      <c r="J2353" s="65"/>
      <c r="K2353" s="20"/>
      <c r="L2353" s="20" t="s">
        <v>109</v>
      </c>
      <c r="M2353" s="20"/>
      <c r="N2353" s="20"/>
      <c r="O2353" s="24">
        <v>284</v>
      </c>
      <c r="P2353" s="24">
        <f>(O2353*100/300)</f>
        <v>94.666666666666671</v>
      </c>
      <c r="Q2353" s="25"/>
      <c r="R2353" s="24"/>
      <c r="S2353" s="20"/>
      <c r="T2353" s="27"/>
      <c r="U2353" s="20"/>
      <c r="V2353" s="20"/>
      <c r="W2353" s="26">
        <f>(W2352*94.67/100)</f>
        <v>2000992.4550000001</v>
      </c>
      <c r="X2353" s="24">
        <v>50000000</v>
      </c>
      <c r="Y2353" s="20"/>
      <c r="Z2353" s="20"/>
    </row>
    <row r="2354" spans="1:26" s="29" customFormat="1" ht="90.75" customHeight="1" x14ac:dyDescent="0.25">
      <c r="A2354" s="20"/>
      <c r="B2354" s="20"/>
      <c r="C2354" s="20"/>
      <c r="D2354" s="21"/>
      <c r="E2354" s="21"/>
      <c r="F2354" s="22"/>
      <c r="G2354" s="23"/>
      <c r="H2354" s="24"/>
      <c r="I2354" s="25"/>
      <c r="J2354" s="65"/>
      <c r="K2354" s="20"/>
      <c r="L2354" s="20" t="s">
        <v>295</v>
      </c>
      <c r="M2354" s="20"/>
      <c r="N2354" s="20"/>
      <c r="O2354" s="24">
        <v>16</v>
      </c>
      <c r="P2354" s="24">
        <f>(O2354*100/300)</f>
        <v>5.333333333333333</v>
      </c>
      <c r="Q2354" s="25"/>
      <c r="R2354" s="24"/>
      <c r="S2354" s="20"/>
      <c r="T2354" s="27"/>
      <c r="U2354" s="20"/>
      <c r="V2354" s="20"/>
      <c r="W2354" s="26">
        <f>(W2352*5.33/100)</f>
        <v>112657.545</v>
      </c>
      <c r="X2354" s="27">
        <v>0</v>
      </c>
      <c r="Y2354" s="28">
        <f>(W2354-X2354)</f>
        <v>112657.545</v>
      </c>
      <c r="Z2354" s="49">
        <v>3.0000000000000001E-3</v>
      </c>
    </row>
    <row r="2355" spans="1:26" s="29" customFormat="1" ht="90.75" customHeight="1" x14ac:dyDescent="0.25">
      <c r="A2355" s="20">
        <v>1326</v>
      </c>
      <c r="B2355" s="20" t="s">
        <v>0</v>
      </c>
      <c r="C2355" s="20">
        <v>41732</v>
      </c>
      <c r="D2355" s="21">
        <v>0</v>
      </c>
      <c r="E2355" s="21">
        <v>1</v>
      </c>
      <c r="F2355" s="22">
        <v>35</v>
      </c>
      <c r="G2355" s="23" t="s">
        <v>211</v>
      </c>
      <c r="H2355" s="36">
        <f t="shared" ref="H2355" si="405">(D2355*400)+(E2355*100)+F2355</f>
        <v>135</v>
      </c>
      <c r="I2355" s="25" t="s">
        <v>75</v>
      </c>
      <c r="J2355" s="65">
        <f t="shared" si="402"/>
        <v>84375</v>
      </c>
      <c r="K2355" s="20"/>
      <c r="L2355" s="20"/>
      <c r="M2355" s="20"/>
      <c r="N2355" s="20"/>
      <c r="O2355" s="24"/>
      <c r="P2355" s="24"/>
      <c r="Q2355" s="25"/>
      <c r="R2355" s="24"/>
      <c r="S2355" s="20"/>
      <c r="T2355" s="27"/>
      <c r="U2355" s="20"/>
      <c r="V2355" s="20"/>
      <c r="W2355" s="26"/>
      <c r="X2355" s="27"/>
      <c r="Y2355" s="20"/>
      <c r="Z2355" s="20"/>
    </row>
    <row r="2356" spans="1:26" s="29" customFormat="1" ht="90.75" customHeight="1" x14ac:dyDescent="0.25">
      <c r="A2356" s="20"/>
      <c r="B2356" s="20"/>
      <c r="C2356" s="20"/>
      <c r="D2356" s="21"/>
      <c r="E2356" s="21"/>
      <c r="F2356" s="22"/>
      <c r="G2356" s="23"/>
      <c r="H2356" s="36">
        <v>123</v>
      </c>
      <c r="I2356" s="25" t="s">
        <v>75</v>
      </c>
      <c r="J2356" s="65">
        <f t="shared" si="402"/>
        <v>76875</v>
      </c>
      <c r="K2356" s="20">
        <v>1</v>
      </c>
      <c r="L2356" s="20" t="s">
        <v>16</v>
      </c>
      <c r="M2356" s="20" t="s">
        <v>13</v>
      </c>
      <c r="N2356" s="20"/>
      <c r="O2356" s="24">
        <v>144</v>
      </c>
      <c r="P2356" s="24">
        <v>100</v>
      </c>
      <c r="Q2356" s="25">
        <v>6450</v>
      </c>
      <c r="R2356" s="77">
        <f t="shared" ref="R2356:R2357" si="406">(O2356*Q2356)</f>
        <v>928800</v>
      </c>
      <c r="S2356" s="20">
        <v>10</v>
      </c>
      <c r="T2356" s="65">
        <f>(R2356*10/100)</f>
        <v>92880</v>
      </c>
      <c r="U2356" s="80">
        <f t="shared" ref="U2356:U2357" si="407">(R2356-T2356)</f>
        <v>835920</v>
      </c>
      <c r="V2356" s="20"/>
      <c r="W2356" s="26"/>
      <c r="X2356" s="27"/>
      <c r="Y2356" s="20"/>
      <c r="Z2356" s="20"/>
    </row>
    <row r="2357" spans="1:26" s="29" customFormat="1" ht="90.75" customHeight="1" x14ac:dyDescent="0.25">
      <c r="A2357" s="20"/>
      <c r="B2357" s="20"/>
      <c r="C2357" s="20"/>
      <c r="D2357" s="21"/>
      <c r="E2357" s="21"/>
      <c r="F2357" s="22"/>
      <c r="G2357" s="23"/>
      <c r="H2357" s="24"/>
      <c r="I2357" s="25"/>
      <c r="J2357" s="65"/>
      <c r="K2357" s="20"/>
      <c r="L2357" s="20" t="s">
        <v>31</v>
      </c>
      <c r="M2357" s="20"/>
      <c r="N2357" s="20"/>
      <c r="O2357" s="24">
        <v>64</v>
      </c>
      <c r="P2357" s="24">
        <v>100</v>
      </c>
      <c r="Q2357" s="25">
        <v>2550</v>
      </c>
      <c r="R2357" s="77">
        <f t="shared" si="406"/>
        <v>163200</v>
      </c>
      <c r="S2357" s="20">
        <v>3</v>
      </c>
      <c r="T2357" s="65">
        <f t="shared" ref="T2357" si="408">(R2357*9/100)</f>
        <v>14688</v>
      </c>
      <c r="U2357" s="80">
        <f t="shared" si="407"/>
        <v>148512</v>
      </c>
      <c r="V2357" s="20"/>
      <c r="W2357" s="26"/>
      <c r="X2357" s="27"/>
      <c r="Y2357" s="20"/>
      <c r="Z2357" s="20"/>
    </row>
    <row r="2358" spans="1:26" s="29" customFormat="1" ht="90.75" customHeight="1" x14ac:dyDescent="0.25">
      <c r="A2358" s="20"/>
      <c r="B2358" s="20"/>
      <c r="C2358" s="20"/>
      <c r="D2358" s="21"/>
      <c r="E2358" s="21"/>
      <c r="F2358" s="22"/>
      <c r="G2358" s="23"/>
      <c r="H2358" s="24"/>
      <c r="I2358" s="25"/>
      <c r="J2358" s="65"/>
      <c r="K2358" s="20"/>
      <c r="L2358" s="20"/>
      <c r="M2358" s="20"/>
      <c r="N2358" s="20"/>
      <c r="O2358" s="24"/>
      <c r="P2358" s="24"/>
      <c r="Q2358" s="25"/>
      <c r="R2358" s="24"/>
      <c r="S2358" s="20"/>
      <c r="T2358" s="27"/>
      <c r="U2358" s="80">
        <f>SUM(U2356:U2357)</f>
        <v>984432</v>
      </c>
      <c r="V2358" s="80">
        <f>(J2356+U2358)</f>
        <v>1061307</v>
      </c>
      <c r="W2358" s="26">
        <f>(V2358*100/100)</f>
        <v>1061307</v>
      </c>
      <c r="X2358" s="24">
        <v>50000000</v>
      </c>
      <c r="Y2358" s="28">
        <v>0</v>
      </c>
      <c r="Z2358" s="49">
        <v>2.0000000000000001E-4</v>
      </c>
    </row>
    <row r="2359" spans="1:26" s="29" customFormat="1" ht="90.75" customHeight="1" x14ac:dyDescent="0.25">
      <c r="A2359" s="20"/>
      <c r="B2359" s="20"/>
      <c r="C2359" s="20"/>
      <c r="D2359" s="21"/>
      <c r="E2359" s="21"/>
      <c r="F2359" s="22"/>
      <c r="G2359" s="23"/>
      <c r="H2359" s="24">
        <v>12</v>
      </c>
      <c r="I2359" s="25">
        <v>625</v>
      </c>
      <c r="J2359" s="65">
        <f t="shared" si="402"/>
        <v>7500</v>
      </c>
      <c r="K2359" s="20">
        <v>2</v>
      </c>
      <c r="L2359" s="20" t="s">
        <v>212</v>
      </c>
      <c r="M2359" s="20"/>
      <c r="N2359" s="20"/>
      <c r="O2359" s="24">
        <v>48</v>
      </c>
      <c r="P2359" s="24">
        <v>100</v>
      </c>
      <c r="Q2359" s="25">
        <v>2550</v>
      </c>
      <c r="R2359" s="77">
        <f>(O2359*Q2359)</f>
        <v>122400</v>
      </c>
      <c r="S2359" s="20">
        <v>3</v>
      </c>
      <c r="T2359" s="65">
        <f>(R2359*9/100)</f>
        <v>11016</v>
      </c>
      <c r="U2359" s="80">
        <f>(R2359-T2359)</f>
        <v>111384</v>
      </c>
      <c r="V2359" s="80">
        <f>(J2359+U2359)</f>
        <v>118884</v>
      </c>
      <c r="W2359" s="77">
        <f>(V2359*100/100)</f>
        <v>118884</v>
      </c>
      <c r="X2359" s="28">
        <v>0</v>
      </c>
      <c r="Y2359" s="28">
        <f>(W2359-X2359)</f>
        <v>118884</v>
      </c>
      <c r="Z2359" s="49">
        <v>3.0000000000000001E-3</v>
      </c>
    </row>
    <row r="2360" spans="1:26" s="29" customFormat="1" ht="90.75" customHeight="1" x14ac:dyDescent="0.25">
      <c r="A2360" s="20">
        <v>1327</v>
      </c>
      <c r="B2360" s="20" t="s">
        <v>0</v>
      </c>
      <c r="C2360" s="20">
        <v>48522</v>
      </c>
      <c r="D2360" s="21">
        <v>3</v>
      </c>
      <c r="E2360" s="21">
        <v>3</v>
      </c>
      <c r="F2360" s="22">
        <v>42</v>
      </c>
      <c r="G2360" s="23" t="s">
        <v>211</v>
      </c>
      <c r="H2360" s="36">
        <f t="shared" ref="H2360" si="409">(D2360*400)+(E2360*100)+F2360</f>
        <v>1542</v>
      </c>
      <c r="I2360" s="25" t="s">
        <v>32</v>
      </c>
      <c r="J2360" s="65">
        <f t="shared" si="402"/>
        <v>308400</v>
      </c>
      <c r="K2360" s="20"/>
      <c r="L2360" s="20"/>
      <c r="M2360" s="20"/>
      <c r="N2360" s="20"/>
      <c r="O2360" s="24"/>
      <c r="P2360" s="24"/>
      <c r="Q2360" s="25"/>
      <c r="R2360" s="24"/>
      <c r="S2360" s="20"/>
      <c r="T2360" s="27"/>
      <c r="U2360" s="20"/>
      <c r="V2360" s="20"/>
      <c r="W2360" s="26"/>
      <c r="X2360" s="27"/>
      <c r="Y2360" s="20"/>
      <c r="Z2360" s="20"/>
    </row>
    <row r="2361" spans="1:26" s="29" customFormat="1" ht="90.75" customHeight="1" x14ac:dyDescent="0.25">
      <c r="A2361" s="20"/>
      <c r="B2361" s="20"/>
      <c r="C2361" s="20"/>
      <c r="D2361" s="21"/>
      <c r="E2361" s="21"/>
      <c r="F2361" s="22"/>
      <c r="G2361" s="23"/>
      <c r="H2361" s="36">
        <v>30</v>
      </c>
      <c r="I2361" s="25" t="s">
        <v>32</v>
      </c>
      <c r="J2361" s="65">
        <f t="shared" si="402"/>
        <v>6000</v>
      </c>
      <c r="K2361" s="20">
        <v>1</v>
      </c>
      <c r="L2361" s="20" t="s">
        <v>16</v>
      </c>
      <c r="M2361" s="20" t="s">
        <v>13</v>
      </c>
      <c r="N2361" s="20"/>
      <c r="O2361" s="24">
        <v>120</v>
      </c>
      <c r="P2361" s="24">
        <v>100</v>
      </c>
      <c r="Q2361" s="25">
        <v>6450</v>
      </c>
      <c r="R2361" s="77">
        <f t="shared" ref="R2361:R2363" si="410">(O2361*Q2361)</f>
        <v>774000</v>
      </c>
      <c r="S2361" s="20">
        <v>2</v>
      </c>
      <c r="T2361" s="65">
        <f>(R2361*2/100)</f>
        <v>15480</v>
      </c>
      <c r="U2361" s="80">
        <f t="shared" ref="U2361:U2363" si="411">(R2361-T2361)</f>
        <v>758520</v>
      </c>
      <c r="V2361" s="80">
        <f>(J2361+U2361)</f>
        <v>764520</v>
      </c>
      <c r="W2361" s="26">
        <f>(V2361*100/100)</f>
        <v>764520</v>
      </c>
      <c r="X2361" s="24">
        <v>10000000</v>
      </c>
      <c r="Y2361" s="28">
        <v>0</v>
      </c>
      <c r="Z2361" s="49">
        <v>2.0000000000000001E-4</v>
      </c>
    </row>
    <row r="2362" spans="1:26" s="29" customFormat="1" ht="90.75" customHeight="1" x14ac:dyDescent="0.25">
      <c r="A2362" s="20"/>
      <c r="B2362" s="20"/>
      <c r="C2362" s="20"/>
      <c r="D2362" s="21"/>
      <c r="E2362" s="21"/>
      <c r="F2362" s="22"/>
      <c r="G2362" s="23"/>
      <c r="H2362" s="24">
        <v>9</v>
      </c>
      <c r="I2362" s="25" t="s">
        <v>32</v>
      </c>
      <c r="J2362" s="65">
        <f t="shared" si="402"/>
        <v>1800</v>
      </c>
      <c r="K2362" s="20">
        <v>2</v>
      </c>
      <c r="L2362" s="20" t="s">
        <v>16</v>
      </c>
      <c r="M2362" s="20" t="s">
        <v>13</v>
      </c>
      <c r="N2362" s="20"/>
      <c r="O2362" s="24">
        <v>36</v>
      </c>
      <c r="P2362" s="24">
        <v>100</v>
      </c>
      <c r="Q2362" s="25">
        <v>6150</v>
      </c>
      <c r="R2362" s="77">
        <f t="shared" si="410"/>
        <v>221400</v>
      </c>
      <c r="S2362" s="20">
        <v>1</v>
      </c>
      <c r="T2362" s="65">
        <f>(R2362*1/100)</f>
        <v>2214</v>
      </c>
      <c r="U2362" s="80">
        <f t="shared" si="411"/>
        <v>219186</v>
      </c>
      <c r="V2362" s="80">
        <f>(J2362+U2362)</f>
        <v>220986</v>
      </c>
      <c r="W2362" s="26">
        <f>(V2362*100/100)</f>
        <v>220986</v>
      </c>
      <c r="X2362" s="24">
        <v>50000000</v>
      </c>
      <c r="Y2362" s="28">
        <v>0</v>
      </c>
      <c r="Z2362" s="49">
        <v>2.0000000000000001E-4</v>
      </c>
    </row>
    <row r="2363" spans="1:26" s="29" customFormat="1" ht="90.75" customHeight="1" x14ac:dyDescent="0.25">
      <c r="A2363" s="20"/>
      <c r="B2363" s="20"/>
      <c r="C2363" s="20"/>
      <c r="D2363" s="21"/>
      <c r="E2363" s="21"/>
      <c r="F2363" s="22"/>
      <c r="G2363" s="23"/>
      <c r="H2363" s="24">
        <v>6</v>
      </c>
      <c r="I2363" s="25" t="s">
        <v>32</v>
      </c>
      <c r="J2363" s="65">
        <f t="shared" si="402"/>
        <v>1200</v>
      </c>
      <c r="K2363" s="20">
        <v>3</v>
      </c>
      <c r="L2363" s="20" t="s">
        <v>57</v>
      </c>
      <c r="M2363" s="20" t="s">
        <v>13</v>
      </c>
      <c r="N2363" s="20"/>
      <c r="O2363" s="24">
        <v>24</v>
      </c>
      <c r="P2363" s="24">
        <v>100</v>
      </c>
      <c r="Q2363" s="25">
        <v>5550</v>
      </c>
      <c r="R2363" s="77">
        <f t="shared" si="410"/>
        <v>133200</v>
      </c>
      <c r="S2363" s="20">
        <v>1</v>
      </c>
      <c r="T2363" s="65">
        <f>(R2363*1/100)</f>
        <v>1332</v>
      </c>
      <c r="U2363" s="80">
        <f t="shared" si="411"/>
        <v>131868</v>
      </c>
      <c r="V2363" s="80">
        <f>(J2363+U2363)</f>
        <v>133068</v>
      </c>
      <c r="W2363" s="26">
        <f>(V2363*100/100)</f>
        <v>133068</v>
      </c>
      <c r="X2363" s="28">
        <v>0</v>
      </c>
      <c r="Y2363" s="28">
        <f>(W2363-X2363)</f>
        <v>133068</v>
      </c>
      <c r="Z2363" s="49">
        <v>3.0000000000000001E-3</v>
      </c>
    </row>
    <row r="2364" spans="1:26" s="29" customFormat="1" ht="90.75" customHeight="1" x14ac:dyDescent="0.25">
      <c r="A2364" s="20">
        <v>1328</v>
      </c>
      <c r="B2364" s="20" t="s">
        <v>0</v>
      </c>
      <c r="C2364" s="20">
        <v>29786</v>
      </c>
      <c r="D2364" s="21">
        <v>1</v>
      </c>
      <c r="E2364" s="21">
        <v>3</v>
      </c>
      <c r="F2364" s="22">
        <v>44</v>
      </c>
      <c r="G2364" s="23" t="s">
        <v>211</v>
      </c>
      <c r="H2364" s="36">
        <f t="shared" ref="H2364" si="412">(D2364*400)+(E2364*100)+F2364</f>
        <v>744</v>
      </c>
      <c r="I2364" s="25" t="s">
        <v>62</v>
      </c>
      <c r="J2364" s="65">
        <f t="shared" si="402"/>
        <v>372000</v>
      </c>
      <c r="K2364" s="20"/>
      <c r="L2364" s="20"/>
      <c r="M2364" s="20"/>
      <c r="N2364" s="20"/>
      <c r="O2364" s="24"/>
      <c r="P2364" s="24"/>
      <c r="Q2364" s="25"/>
      <c r="R2364" s="24"/>
      <c r="S2364" s="20"/>
      <c r="T2364" s="27"/>
      <c r="U2364" s="20"/>
      <c r="V2364" s="20"/>
      <c r="W2364" s="26"/>
      <c r="X2364" s="27"/>
      <c r="Y2364" s="20"/>
      <c r="Z2364" s="20"/>
    </row>
    <row r="2365" spans="1:26" s="29" customFormat="1" ht="90.75" customHeight="1" x14ac:dyDescent="0.25">
      <c r="A2365" s="20"/>
      <c r="B2365" s="20"/>
      <c r="C2365" s="20"/>
      <c r="D2365" s="21"/>
      <c r="E2365" s="21"/>
      <c r="F2365" s="22"/>
      <c r="G2365" s="23"/>
      <c r="H2365" s="24"/>
      <c r="I2365" s="25"/>
      <c r="J2365" s="24"/>
      <c r="K2365" s="20">
        <v>1</v>
      </c>
      <c r="L2365" s="20" t="s">
        <v>16</v>
      </c>
      <c r="M2365" s="20" t="s">
        <v>106</v>
      </c>
      <c r="N2365" s="20">
        <v>5</v>
      </c>
      <c r="O2365" s="24">
        <v>63</v>
      </c>
      <c r="P2365" s="24">
        <v>100</v>
      </c>
      <c r="Q2365" s="36">
        <v>6450</v>
      </c>
      <c r="R2365" s="36">
        <f>(O2365*Q2365)</f>
        <v>406350</v>
      </c>
      <c r="S2365" s="37">
        <v>3</v>
      </c>
      <c r="T2365" s="28">
        <f>(R2365*3/100)</f>
        <v>12190.5</v>
      </c>
      <c r="U2365" s="36">
        <f>(R2365-T2365)</f>
        <v>394159.5</v>
      </c>
      <c r="V2365" s="36">
        <f>(J2365+U2365)</f>
        <v>394159.5</v>
      </c>
      <c r="W2365" s="36">
        <f>(V2365*100/100)</f>
        <v>394159.5</v>
      </c>
      <c r="X2365" s="28">
        <v>1000000</v>
      </c>
      <c r="Y2365" s="28">
        <v>0</v>
      </c>
      <c r="Z2365" s="49">
        <v>2.0000000000000001E-4</v>
      </c>
    </row>
    <row r="2366" spans="1:26" s="29" customFormat="1" ht="90.75" customHeight="1" x14ac:dyDescent="0.25">
      <c r="A2366" s="20"/>
      <c r="B2366" s="20"/>
      <c r="C2366" s="20"/>
      <c r="D2366" s="21"/>
      <c r="E2366" s="21"/>
      <c r="F2366" s="22"/>
      <c r="G2366" s="23"/>
      <c r="H2366" s="24"/>
      <c r="I2366" s="25"/>
      <c r="J2366" s="24"/>
      <c r="K2366" s="20"/>
      <c r="L2366" s="20" t="s">
        <v>98</v>
      </c>
      <c r="M2366" s="20"/>
      <c r="N2366" s="20"/>
      <c r="O2366" s="24">
        <v>90</v>
      </c>
      <c r="P2366" s="24">
        <v>100</v>
      </c>
      <c r="Q2366" s="36">
        <v>5500</v>
      </c>
      <c r="R2366" s="36">
        <f>(O2366*Q2366)</f>
        <v>495000</v>
      </c>
      <c r="S2366" s="37">
        <v>3</v>
      </c>
      <c r="T2366" s="28">
        <f>(R2366*3/100)</f>
        <v>14850</v>
      </c>
      <c r="U2366" s="36">
        <f>(R2366-T2366)</f>
        <v>480150</v>
      </c>
      <c r="V2366" s="36">
        <f>(J2366+U2366)</f>
        <v>480150</v>
      </c>
      <c r="W2366" s="36">
        <f>(V2366*100/100)</f>
        <v>480150</v>
      </c>
      <c r="X2366" s="28">
        <v>0</v>
      </c>
      <c r="Y2366" s="28">
        <f>(W2366-X2366)</f>
        <v>480150</v>
      </c>
      <c r="Z2366" s="49">
        <v>3.0000000000000001E-3</v>
      </c>
    </row>
    <row r="2367" spans="1:26" s="29" customFormat="1" ht="90.75" customHeight="1" x14ac:dyDescent="0.25">
      <c r="A2367" s="20">
        <v>1329</v>
      </c>
      <c r="B2367" s="20" t="s">
        <v>0</v>
      </c>
      <c r="C2367" s="20">
        <v>4806</v>
      </c>
      <c r="D2367" s="21">
        <v>9</v>
      </c>
      <c r="E2367" s="21">
        <v>1</v>
      </c>
      <c r="F2367" s="22">
        <v>96</v>
      </c>
      <c r="G2367" s="23" t="s">
        <v>211</v>
      </c>
      <c r="H2367" s="36">
        <f t="shared" ref="H2367" si="413">(D2367*400)+(E2367*100)+F2367</f>
        <v>3796</v>
      </c>
      <c r="I2367" s="25" t="s">
        <v>21</v>
      </c>
      <c r="J2367" s="65">
        <f t="shared" ref="J2367:J2370" si="414">(H2367*I2367)</f>
        <v>2657200</v>
      </c>
      <c r="K2367" s="20"/>
      <c r="L2367" s="20" t="s">
        <v>2</v>
      </c>
      <c r="M2367" s="20" t="s">
        <v>2</v>
      </c>
      <c r="N2367" s="20"/>
      <c r="O2367" s="24"/>
      <c r="P2367" s="24"/>
      <c r="Q2367" s="25"/>
      <c r="R2367" s="24"/>
      <c r="S2367" s="20"/>
      <c r="T2367" s="27"/>
      <c r="U2367" s="20"/>
      <c r="V2367" s="20"/>
      <c r="W2367" s="26"/>
      <c r="X2367" s="27"/>
      <c r="Y2367" s="20"/>
      <c r="Z2367" s="20"/>
    </row>
    <row r="2368" spans="1:26" s="29" customFormat="1" ht="90.75" customHeight="1" x14ac:dyDescent="0.25">
      <c r="A2368" s="20"/>
      <c r="B2368" s="20"/>
      <c r="C2368" s="20"/>
      <c r="D2368" s="21"/>
      <c r="E2368" s="21"/>
      <c r="F2368" s="22"/>
      <c r="G2368" s="23"/>
      <c r="H2368" s="36">
        <v>1780</v>
      </c>
      <c r="I2368" s="40">
        <v>1500</v>
      </c>
      <c r="J2368" s="28">
        <f t="shared" si="414"/>
        <v>2670000</v>
      </c>
      <c r="K2368" s="30">
        <v>1</v>
      </c>
      <c r="L2368" s="31" t="s">
        <v>215</v>
      </c>
      <c r="M2368" s="32" t="s">
        <v>40</v>
      </c>
      <c r="N2368" s="33">
        <v>2</v>
      </c>
      <c r="O2368" s="34">
        <v>566.4</v>
      </c>
      <c r="P2368" s="35">
        <v>100</v>
      </c>
      <c r="Q2368" s="36">
        <v>6450</v>
      </c>
      <c r="R2368" s="36">
        <f>(O2368*Q2368)</f>
        <v>3653280</v>
      </c>
      <c r="S2368" s="37">
        <v>37</v>
      </c>
      <c r="T2368" s="28">
        <f>(R2368*64/100)</f>
        <v>2338099.2000000002</v>
      </c>
      <c r="U2368" s="36">
        <f>(R2368-T2368)</f>
        <v>1315180.7999999998</v>
      </c>
      <c r="V2368" s="36">
        <f>(J2368+U2368)</f>
        <v>3985180.8</v>
      </c>
      <c r="W2368" s="36">
        <f>(V2368*P2368/100)</f>
        <v>3985180.8</v>
      </c>
      <c r="X2368" s="28">
        <v>50000000</v>
      </c>
      <c r="Y2368" s="28">
        <v>0</v>
      </c>
      <c r="Z2368" s="49">
        <v>2.0000000000000001E-4</v>
      </c>
    </row>
    <row r="2369" spans="1:26" s="29" customFormat="1" ht="90.75" customHeight="1" x14ac:dyDescent="0.25">
      <c r="A2369" s="20"/>
      <c r="B2369" s="20"/>
      <c r="C2369" s="20"/>
      <c r="D2369" s="21"/>
      <c r="E2369" s="21"/>
      <c r="F2369" s="22"/>
      <c r="G2369" s="23"/>
      <c r="H2369" s="36">
        <v>16</v>
      </c>
      <c r="I2369" s="40">
        <v>1500</v>
      </c>
      <c r="J2369" s="28">
        <f t="shared" si="414"/>
        <v>24000</v>
      </c>
      <c r="K2369" s="30">
        <v>2</v>
      </c>
      <c r="L2369" s="31" t="s">
        <v>36</v>
      </c>
      <c r="M2369" s="32" t="s">
        <v>13</v>
      </c>
      <c r="N2369" s="33">
        <v>3</v>
      </c>
      <c r="O2369" s="34">
        <v>64</v>
      </c>
      <c r="P2369" s="35">
        <v>100</v>
      </c>
      <c r="Q2369" s="36">
        <v>5550</v>
      </c>
      <c r="R2369" s="36">
        <f>(O2369*Q2369)</f>
        <v>355200</v>
      </c>
      <c r="S2369" s="37">
        <v>37</v>
      </c>
      <c r="T2369" s="28">
        <f>(R2369*64/100)</f>
        <v>227328</v>
      </c>
      <c r="U2369" s="36">
        <f>(R2369-T2369)</f>
        <v>127872</v>
      </c>
      <c r="V2369" s="36">
        <f>(J2369+U2369)</f>
        <v>151872</v>
      </c>
      <c r="W2369" s="36">
        <f>(V2369*P2369/100)</f>
        <v>151872</v>
      </c>
      <c r="X2369" s="28">
        <v>0</v>
      </c>
      <c r="Y2369" s="28">
        <f>(W2369-X2369)</f>
        <v>151872</v>
      </c>
      <c r="Z2369" s="49">
        <v>3.0000000000000001E-3</v>
      </c>
    </row>
    <row r="2370" spans="1:26" s="29" customFormat="1" ht="90.75" customHeight="1" x14ac:dyDescent="0.25">
      <c r="A2370" s="20"/>
      <c r="B2370" s="20"/>
      <c r="C2370" s="20"/>
      <c r="D2370" s="21"/>
      <c r="E2370" s="21"/>
      <c r="F2370" s="22"/>
      <c r="G2370" s="23"/>
      <c r="H2370" s="36">
        <v>2000</v>
      </c>
      <c r="I2370" s="40">
        <v>1500</v>
      </c>
      <c r="J2370" s="28">
        <f t="shared" si="414"/>
        <v>3000000</v>
      </c>
      <c r="K2370" s="33"/>
      <c r="L2370" s="31"/>
      <c r="M2370" s="112"/>
      <c r="N2370" s="30"/>
      <c r="O2370" s="90"/>
      <c r="P2370" s="82"/>
      <c r="Q2370" s="83"/>
      <c r="R2370" s="33"/>
      <c r="S2370" s="33"/>
      <c r="T2370" s="89"/>
      <c r="U2370" s="33"/>
      <c r="V2370" s="90">
        <f>(J2370+U2370)</f>
        <v>3000000</v>
      </c>
      <c r="W2370" s="90">
        <f>(V2370*100/100)</f>
        <v>3000000</v>
      </c>
      <c r="X2370" s="89">
        <v>0</v>
      </c>
      <c r="Y2370" s="28">
        <v>0</v>
      </c>
      <c r="Z2370" s="49">
        <v>1E-4</v>
      </c>
    </row>
    <row r="2371" spans="1:26" s="29" customFormat="1" ht="90.75" customHeight="1" x14ac:dyDescent="0.25">
      <c r="A2371" s="20">
        <v>1330</v>
      </c>
      <c r="B2371" s="20" t="s">
        <v>0</v>
      </c>
      <c r="C2371" s="20">
        <v>4612</v>
      </c>
      <c r="D2371" s="21">
        <v>0</v>
      </c>
      <c r="E2371" s="21">
        <v>2</v>
      </c>
      <c r="F2371" s="22">
        <v>0</v>
      </c>
      <c r="G2371" s="23" t="s">
        <v>211</v>
      </c>
      <c r="H2371" s="36">
        <f t="shared" ref="H2371" si="415">(D2371*400)+(E2371*100)+F2371</f>
        <v>200</v>
      </c>
      <c r="I2371" s="25" t="s">
        <v>26</v>
      </c>
      <c r="J2371" s="28">
        <f t="shared" ref="J2371:J2372" si="416">(H2371*I2371)</f>
        <v>230000</v>
      </c>
      <c r="K2371" s="20"/>
      <c r="L2371" s="20"/>
      <c r="M2371" s="20"/>
      <c r="N2371" s="20"/>
      <c r="O2371" s="24"/>
      <c r="P2371" s="35"/>
      <c r="Q2371" s="25"/>
      <c r="R2371" s="36"/>
      <c r="S2371" s="20"/>
      <c r="T2371" s="27"/>
      <c r="U2371" s="20"/>
      <c r="V2371" s="20"/>
      <c r="W2371" s="26"/>
      <c r="X2371" s="27"/>
      <c r="Y2371" s="20"/>
      <c r="Z2371" s="20"/>
    </row>
    <row r="2372" spans="1:26" s="29" customFormat="1" ht="90.75" customHeight="1" x14ac:dyDescent="0.25">
      <c r="A2372" s="20"/>
      <c r="B2372" s="20"/>
      <c r="C2372" s="20"/>
      <c r="D2372" s="21"/>
      <c r="E2372" s="21"/>
      <c r="F2372" s="22"/>
      <c r="G2372" s="23"/>
      <c r="H2372" s="36">
        <v>191.95</v>
      </c>
      <c r="I2372" s="40">
        <v>1150</v>
      </c>
      <c r="J2372" s="28">
        <f t="shared" si="416"/>
        <v>220742.5</v>
      </c>
      <c r="K2372" s="30">
        <v>1</v>
      </c>
      <c r="L2372" s="31" t="s">
        <v>43</v>
      </c>
      <c r="M2372" s="32" t="s">
        <v>13</v>
      </c>
      <c r="N2372" s="33">
        <v>2</v>
      </c>
      <c r="O2372" s="90">
        <v>560</v>
      </c>
      <c r="P2372" s="35">
        <v>100</v>
      </c>
      <c r="Q2372" s="36">
        <v>7700</v>
      </c>
      <c r="R2372" s="36">
        <f>(O2372*Q2372)</f>
        <v>4312000</v>
      </c>
      <c r="S2372" s="37">
        <v>22</v>
      </c>
      <c r="T2372" s="28">
        <f>(R2372*34/100)</f>
        <v>1466080</v>
      </c>
      <c r="U2372" s="36">
        <f>(R2372-T2372)</f>
        <v>2845920</v>
      </c>
      <c r="V2372" s="36">
        <f>(J2372+U2372)</f>
        <v>3066662.5</v>
      </c>
      <c r="W2372" s="36">
        <f>(V2372*100/100)</f>
        <v>3066662.5</v>
      </c>
      <c r="X2372" s="28"/>
      <c r="Y2372" s="28"/>
      <c r="Z2372" s="20"/>
    </row>
    <row r="2373" spans="1:26" s="29" customFormat="1" ht="90.75" customHeight="1" x14ac:dyDescent="0.25">
      <c r="A2373" s="20"/>
      <c r="B2373" s="20"/>
      <c r="C2373" s="20"/>
      <c r="D2373" s="21"/>
      <c r="E2373" s="21"/>
      <c r="F2373" s="22"/>
      <c r="G2373" s="23"/>
      <c r="H2373" s="36"/>
      <c r="I2373" s="40"/>
      <c r="J2373" s="28"/>
      <c r="K2373" s="30"/>
      <c r="L2373" s="31"/>
      <c r="M2373" s="32"/>
      <c r="N2373" s="116"/>
      <c r="O2373" s="90">
        <v>224</v>
      </c>
      <c r="P2373" s="35">
        <v>40</v>
      </c>
      <c r="Q2373" s="36"/>
      <c r="R2373" s="36"/>
      <c r="S2373" s="37"/>
      <c r="T2373" s="28"/>
      <c r="U2373" s="36"/>
      <c r="V2373" s="36"/>
      <c r="W2373" s="36">
        <f>(W2372*40/100)</f>
        <v>1226665</v>
      </c>
      <c r="X2373" s="28">
        <v>50000000</v>
      </c>
      <c r="Y2373" s="28">
        <v>0</v>
      </c>
      <c r="Z2373" s="49">
        <v>2.0000000000000001E-4</v>
      </c>
    </row>
    <row r="2374" spans="1:26" s="29" customFormat="1" ht="90.75" customHeight="1" x14ac:dyDescent="0.25">
      <c r="A2374" s="20"/>
      <c r="B2374" s="20"/>
      <c r="C2374" s="20"/>
      <c r="D2374" s="21"/>
      <c r="E2374" s="21"/>
      <c r="F2374" s="22"/>
      <c r="G2374" s="23"/>
      <c r="H2374" s="36"/>
      <c r="I2374" s="40"/>
      <c r="J2374" s="28"/>
      <c r="K2374" s="30"/>
      <c r="L2374" s="31"/>
      <c r="M2374" s="32"/>
      <c r="N2374" s="116"/>
      <c r="O2374" s="90">
        <v>336</v>
      </c>
      <c r="P2374" s="35">
        <v>60</v>
      </c>
      <c r="Q2374" s="36"/>
      <c r="R2374" s="36"/>
      <c r="S2374" s="37"/>
      <c r="T2374" s="28"/>
      <c r="U2374" s="36"/>
      <c r="V2374" s="36"/>
      <c r="W2374" s="36">
        <f>(W2372*60/100)</f>
        <v>1839997.5</v>
      </c>
      <c r="X2374" s="28">
        <v>0</v>
      </c>
      <c r="Y2374" s="28">
        <f t="shared" ref="Y2374" si="417">(W2374-X2374)</f>
        <v>1839997.5</v>
      </c>
      <c r="Z2374" s="49">
        <v>2.0000000000000001E-4</v>
      </c>
    </row>
    <row r="2375" spans="1:26" s="29" customFormat="1" ht="90.75" customHeight="1" x14ac:dyDescent="0.25">
      <c r="A2375" s="20"/>
      <c r="B2375" s="20"/>
      <c r="C2375" s="20"/>
      <c r="D2375" s="21"/>
      <c r="E2375" s="21"/>
      <c r="F2375" s="22"/>
      <c r="G2375" s="23"/>
      <c r="H2375" s="36">
        <v>8.0500000000000007</v>
      </c>
      <c r="I2375" s="40">
        <v>1150</v>
      </c>
      <c r="J2375" s="28">
        <f t="shared" ref="J2375" si="418">(H2375*I2375)</f>
        <v>9257.5</v>
      </c>
      <c r="K2375" s="30">
        <v>2</v>
      </c>
      <c r="L2375" s="31" t="s">
        <v>31</v>
      </c>
      <c r="M2375" s="32"/>
      <c r="N2375" s="33">
        <v>3</v>
      </c>
      <c r="O2375" s="90">
        <v>32.200000000000003</v>
      </c>
      <c r="P2375" s="35">
        <v>100</v>
      </c>
      <c r="Q2375" s="36">
        <v>2550</v>
      </c>
      <c r="R2375" s="36">
        <f>(O2375*Q2375)</f>
        <v>82110</v>
      </c>
      <c r="S2375" s="37">
        <v>22</v>
      </c>
      <c r="T2375" s="28">
        <f>(R2375*34/100)</f>
        <v>27917.4</v>
      </c>
      <c r="U2375" s="36">
        <f>(R2375-T2375)</f>
        <v>54192.6</v>
      </c>
      <c r="V2375" s="36">
        <f>(J2375+U2375)</f>
        <v>63450.1</v>
      </c>
      <c r="W2375" s="36">
        <f t="shared" ref="W2375" si="419">(V2375*100/100)</f>
        <v>63450.1</v>
      </c>
      <c r="X2375" s="28">
        <v>50000000</v>
      </c>
      <c r="Y2375" s="28">
        <v>0</v>
      </c>
      <c r="Z2375" s="49">
        <v>2.0000000000000001E-4</v>
      </c>
    </row>
    <row r="2376" spans="1:26" s="29" customFormat="1" ht="90.75" customHeight="1" x14ac:dyDescent="0.25">
      <c r="A2376" s="20">
        <v>1331</v>
      </c>
      <c r="B2376" s="20" t="s">
        <v>0</v>
      </c>
      <c r="C2376" s="20">
        <v>4610</v>
      </c>
      <c r="D2376" s="21">
        <v>0</v>
      </c>
      <c r="E2376" s="21">
        <v>1</v>
      </c>
      <c r="F2376" s="22">
        <v>87</v>
      </c>
      <c r="G2376" s="23" t="s">
        <v>211</v>
      </c>
      <c r="H2376" s="36">
        <f>(D2376*400)+(E2376*100)+F2376</f>
        <v>187</v>
      </c>
      <c r="I2376" s="40" t="s">
        <v>26</v>
      </c>
      <c r="J2376" s="65">
        <f>(H2376*I2376)</f>
        <v>215050</v>
      </c>
      <c r="K2376" s="33"/>
      <c r="L2376" s="31"/>
      <c r="M2376" s="112"/>
      <c r="N2376" s="30"/>
      <c r="O2376" s="90"/>
      <c r="P2376" s="82"/>
      <c r="Q2376" s="83"/>
      <c r="R2376" s="33"/>
      <c r="S2376" s="33"/>
      <c r="T2376" s="89"/>
      <c r="U2376" s="33"/>
      <c r="V2376" s="90"/>
      <c r="W2376" s="90"/>
      <c r="X2376" s="89"/>
      <c r="Y2376" s="48"/>
      <c r="Z2376" s="53"/>
    </row>
    <row r="2377" spans="1:26" s="29" customFormat="1" ht="90.75" customHeight="1" x14ac:dyDescent="0.25">
      <c r="A2377" s="20"/>
      <c r="B2377" s="20"/>
      <c r="C2377" s="20"/>
      <c r="D2377" s="21"/>
      <c r="E2377" s="21"/>
      <c r="F2377" s="22"/>
      <c r="G2377" s="41" t="s">
        <v>56</v>
      </c>
      <c r="H2377" s="36">
        <v>177</v>
      </c>
      <c r="I2377" s="40">
        <v>1150</v>
      </c>
      <c r="J2377" s="28">
        <f t="shared" ref="J2377:J2379" si="420">(H2377*I2377)</f>
        <v>203550</v>
      </c>
      <c r="K2377" s="30">
        <v>1</v>
      </c>
      <c r="L2377" s="31" t="s">
        <v>215</v>
      </c>
      <c r="M2377" s="32" t="s">
        <v>101</v>
      </c>
      <c r="N2377" s="33">
        <v>2</v>
      </c>
      <c r="O2377" s="34">
        <v>144</v>
      </c>
      <c r="P2377" s="35">
        <v>100</v>
      </c>
      <c r="Q2377" s="36">
        <v>6450</v>
      </c>
      <c r="R2377" s="36">
        <f>(O2377*Q2377)</f>
        <v>928800</v>
      </c>
      <c r="S2377" s="37">
        <v>32</v>
      </c>
      <c r="T2377" s="28">
        <f>(R2377*85/100)</f>
        <v>789480</v>
      </c>
      <c r="U2377" s="36">
        <f>(R2377-T2377)</f>
        <v>139320</v>
      </c>
      <c r="V2377" s="36">
        <f>(J2377+U2377)</f>
        <v>342870</v>
      </c>
      <c r="W2377" s="36">
        <f>(V2377*100/100)</f>
        <v>342870</v>
      </c>
      <c r="X2377" s="28">
        <v>50000000</v>
      </c>
      <c r="Y2377" s="28">
        <v>0</v>
      </c>
      <c r="Z2377" s="49">
        <v>2.0000000000000001E-4</v>
      </c>
    </row>
    <row r="2378" spans="1:26" s="29" customFormat="1" ht="90.75" customHeight="1" x14ac:dyDescent="0.25">
      <c r="A2378" s="20"/>
      <c r="B2378" s="20"/>
      <c r="C2378" s="20"/>
      <c r="D2378" s="21"/>
      <c r="E2378" s="21"/>
      <c r="F2378" s="22"/>
      <c r="G2378" s="51" t="s">
        <v>209</v>
      </c>
      <c r="H2378" s="36">
        <v>10</v>
      </c>
      <c r="I2378" s="40">
        <v>1150</v>
      </c>
      <c r="J2378" s="28">
        <f t="shared" si="420"/>
        <v>11500</v>
      </c>
      <c r="K2378" s="30">
        <v>2</v>
      </c>
      <c r="L2378" s="31" t="s">
        <v>29</v>
      </c>
      <c r="M2378" s="32"/>
      <c r="N2378" s="33">
        <v>3</v>
      </c>
      <c r="O2378" s="34">
        <v>40</v>
      </c>
      <c r="P2378" s="35">
        <v>100</v>
      </c>
      <c r="Q2378" s="36">
        <v>5550</v>
      </c>
      <c r="R2378" s="36">
        <f>(O2378*Q2378)</f>
        <v>222000</v>
      </c>
      <c r="S2378" s="37">
        <v>7</v>
      </c>
      <c r="T2378" s="28">
        <f>(R2378*7/100)</f>
        <v>15540</v>
      </c>
      <c r="U2378" s="36">
        <f>(R2378-T2378)</f>
        <v>206460</v>
      </c>
      <c r="V2378" s="36">
        <f>(J2378+U2378)</f>
        <v>217960</v>
      </c>
      <c r="W2378" s="36">
        <f>(V2378*100/100)</f>
        <v>217960</v>
      </c>
      <c r="X2378" s="28">
        <v>0</v>
      </c>
      <c r="Y2378" s="28">
        <f>(W2378-X2378)</f>
        <v>217960</v>
      </c>
      <c r="Z2378" s="49">
        <v>3.0000000000000001E-3</v>
      </c>
    </row>
    <row r="2379" spans="1:26" s="29" customFormat="1" ht="90.75" customHeight="1" x14ac:dyDescent="0.25">
      <c r="A2379" s="20">
        <v>1332</v>
      </c>
      <c r="B2379" s="20" t="s">
        <v>0</v>
      </c>
      <c r="C2379" s="20">
        <v>5643</v>
      </c>
      <c r="D2379" s="21">
        <v>0</v>
      </c>
      <c r="E2379" s="21">
        <v>1</v>
      </c>
      <c r="F2379" s="22">
        <v>97</v>
      </c>
      <c r="G2379" s="23" t="s">
        <v>211</v>
      </c>
      <c r="H2379" s="36">
        <f t="shared" ref="H2379" si="421">(D2379*400)+(E2379*100)+F2379</f>
        <v>197</v>
      </c>
      <c r="I2379" s="25" t="s">
        <v>26</v>
      </c>
      <c r="J2379" s="28">
        <f t="shared" si="420"/>
        <v>226550</v>
      </c>
      <c r="K2379" s="20"/>
      <c r="L2379" s="20"/>
      <c r="M2379" s="20"/>
      <c r="N2379" s="20"/>
      <c r="O2379" s="24"/>
      <c r="P2379" s="24"/>
      <c r="Q2379" s="25"/>
      <c r="R2379" s="24"/>
      <c r="S2379" s="20"/>
      <c r="T2379" s="27"/>
      <c r="U2379" s="20"/>
      <c r="V2379" s="20"/>
      <c r="W2379" s="26"/>
      <c r="X2379" s="27"/>
      <c r="Y2379" s="20"/>
      <c r="Z2379" s="20"/>
    </row>
    <row r="2380" spans="1:26" s="29" customFormat="1" ht="90.75" customHeight="1" x14ac:dyDescent="0.25">
      <c r="A2380" s="20"/>
      <c r="B2380" s="20"/>
      <c r="C2380" s="20"/>
      <c r="D2380" s="21"/>
      <c r="E2380" s="21"/>
      <c r="F2380" s="22"/>
      <c r="G2380" s="23"/>
      <c r="H2380" s="36"/>
      <c r="I2380" s="25"/>
      <c r="J2380" s="28"/>
      <c r="K2380" s="20">
        <v>1</v>
      </c>
      <c r="L2380" s="20" t="s">
        <v>16</v>
      </c>
      <c r="M2380" s="20" t="s">
        <v>54</v>
      </c>
      <c r="N2380" s="20">
        <v>2</v>
      </c>
      <c r="O2380" s="24">
        <v>128</v>
      </c>
      <c r="P2380" s="24">
        <v>100</v>
      </c>
      <c r="Q2380" s="25">
        <v>6450</v>
      </c>
      <c r="R2380" s="36">
        <f t="shared" ref="R2380:R2381" si="422">(O2380*Q2380)</f>
        <v>825600</v>
      </c>
      <c r="S2380" s="20">
        <v>37</v>
      </c>
      <c r="T2380" s="28">
        <f>(R2380*85/100)</f>
        <v>701760</v>
      </c>
      <c r="U2380" s="36">
        <f t="shared" ref="U2380:U2381" si="423">(R2380-T2380)</f>
        <v>123840</v>
      </c>
      <c r="V2380" s="20"/>
      <c r="W2380" s="26"/>
      <c r="X2380" s="27"/>
      <c r="Y2380" s="20"/>
      <c r="Z2380" s="20"/>
    </row>
    <row r="2381" spans="1:26" s="29" customFormat="1" ht="90.75" customHeight="1" x14ac:dyDescent="0.25">
      <c r="A2381" s="20"/>
      <c r="B2381" s="20"/>
      <c r="C2381" s="20"/>
      <c r="D2381" s="21"/>
      <c r="E2381" s="21"/>
      <c r="F2381" s="22"/>
      <c r="G2381" s="23"/>
      <c r="H2381" s="36"/>
      <c r="I2381" s="25"/>
      <c r="J2381" s="28"/>
      <c r="K2381" s="20">
        <v>2</v>
      </c>
      <c r="L2381" s="20" t="s">
        <v>31</v>
      </c>
      <c r="M2381" s="20" t="s">
        <v>13</v>
      </c>
      <c r="N2381" s="20"/>
      <c r="O2381" s="24">
        <v>32</v>
      </c>
      <c r="P2381" s="24">
        <v>100</v>
      </c>
      <c r="Q2381" s="25">
        <v>2550</v>
      </c>
      <c r="R2381" s="36">
        <f t="shared" si="422"/>
        <v>81600</v>
      </c>
      <c r="S2381" s="20">
        <v>37</v>
      </c>
      <c r="T2381" s="28">
        <f>(R2381*85/100)</f>
        <v>69360</v>
      </c>
      <c r="U2381" s="36">
        <f t="shared" si="423"/>
        <v>12240</v>
      </c>
      <c r="V2381" s="20"/>
      <c r="W2381" s="26"/>
      <c r="X2381" s="27"/>
      <c r="Y2381" s="20"/>
      <c r="Z2381" s="20"/>
    </row>
    <row r="2382" spans="1:26" s="29" customFormat="1" ht="90.75" customHeight="1" x14ac:dyDescent="0.25">
      <c r="A2382" s="20"/>
      <c r="B2382" s="20"/>
      <c r="C2382" s="20"/>
      <c r="D2382" s="21"/>
      <c r="E2382" s="21"/>
      <c r="F2382" s="22"/>
      <c r="G2382" s="23"/>
      <c r="H2382" s="36"/>
      <c r="I2382" s="25"/>
      <c r="J2382" s="28"/>
      <c r="K2382" s="20"/>
      <c r="L2382" s="20"/>
      <c r="M2382" s="20"/>
      <c r="N2382" s="20"/>
      <c r="O2382" s="24"/>
      <c r="P2382" s="24"/>
      <c r="Q2382" s="25"/>
      <c r="R2382" s="24"/>
      <c r="S2382" s="20"/>
      <c r="T2382" s="27"/>
      <c r="U2382" s="78">
        <f>SUM(U2380:U2381)</f>
        <v>136080</v>
      </c>
      <c r="V2382" s="80">
        <f>(J2379+U2382)</f>
        <v>362630</v>
      </c>
      <c r="W2382" s="26">
        <f>(V2382*100/100)</f>
        <v>362630</v>
      </c>
      <c r="X2382" s="24">
        <v>50000000</v>
      </c>
      <c r="Y2382" s="28">
        <v>0</v>
      </c>
      <c r="Z2382" s="49">
        <v>2.0000000000000001E-4</v>
      </c>
    </row>
    <row r="2383" spans="1:26" s="29" customFormat="1" ht="90.75" customHeight="1" x14ac:dyDescent="0.25">
      <c r="A2383" s="20"/>
      <c r="B2383" s="20"/>
      <c r="C2383" s="20"/>
      <c r="D2383" s="21"/>
      <c r="E2383" s="21"/>
      <c r="F2383" s="22"/>
      <c r="G2383" s="23"/>
      <c r="H2383" s="24">
        <v>5.12</v>
      </c>
      <c r="I2383" s="25">
        <v>1150</v>
      </c>
      <c r="J2383" s="28">
        <f t="shared" ref="J2383:J2389" si="424">(H2383*I2383)</f>
        <v>5888</v>
      </c>
      <c r="K2383" s="20">
        <v>3</v>
      </c>
      <c r="L2383" s="20" t="s">
        <v>29</v>
      </c>
      <c r="M2383" s="20" t="s">
        <v>40</v>
      </c>
      <c r="N2383" s="20">
        <v>3</v>
      </c>
      <c r="O2383" s="24">
        <v>20.46</v>
      </c>
      <c r="P2383" s="24">
        <v>100</v>
      </c>
      <c r="Q2383" s="25">
        <v>5550</v>
      </c>
      <c r="R2383" s="36">
        <f>(O2383*Q2383)</f>
        <v>113553</v>
      </c>
      <c r="S2383" s="37">
        <v>1</v>
      </c>
      <c r="T2383" s="28">
        <f>(R2383*1/100)</f>
        <v>1135.53</v>
      </c>
      <c r="U2383" s="36">
        <f>(R2383-T2383)</f>
        <v>112417.47</v>
      </c>
      <c r="V2383" s="36">
        <f>(J2383+U2383)</f>
        <v>118305.47</v>
      </c>
      <c r="W2383" s="36">
        <f>(V2383*100/100)</f>
        <v>118305.47</v>
      </c>
      <c r="X2383" s="28">
        <v>0</v>
      </c>
      <c r="Y2383" s="28">
        <f>(W2383-X2383)</f>
        <v>118305.47</v>
      </c>
      <c r="Z2383" s="49">
        <v>3.0000000000000001E-3</v>
      </c>
    </row>
    <row r="2384" spans="1:26" s="29" customFormat="1" ht="90.75" customHeight="1" x14ac:dyDescent="0.25">
      <c r="A2384" s="20">
        <v>1333</v>
      </c>
      <c r="B2384" s="20" t="s">
        <v>0</v>
      </c>
      <c r="C2384" s="20">
        <v>5112</v>
      </c>
      <c r="D2384" s="21">
        <v>0</v>
      </c>
      <c r="E2384" s="21">
        <v>2</v>
      </c>
      <c r="F2384" s="22">
        <v>2</v>
      </c>
      <c r="G2384" s="23" t="s">
        <v>211</v>
      </c>
      <c r="H2384" s="36">
        <f t="shared" ref="H2384" si="425">(D2384*400)+(E2384*100)+F2384</f>
        <v>202</v>
      </c>
      <c r="I2384" s="25" t="s">
        <v>26</v>
      </c>
      <c r="J2384" s="28">
        <f t="shared" si="424"/>
        <v>232300</v>
      </c>
      <c r="K2384" s="20"/>
      <c r="L2384" s="20"/>
      <c r="M2384" s="20"/>
      <c r="N2384" s="20"/>
      <c r="O2384" s="24"/>
      <c r="P2384" s="24"/>
      <c r="Q2384" s="25"/>
      <c r="R2384" s="24"/>
      <c r="S2384" s="20" t="s">
        <v>2</v>
      </c>
      <c r="T2384" s="27"/>
      <c r="U2384" s="20"/>
      <c r="V2384" s="20"/>
      <c r="W2384" s="26"/>
      <c r="X2384" s="27"/>
      <c r="Y2384" s="20"/>
      <c r="Z2384" s="20"/>
    </row>
    <row r="2385" spans="1:26" s="29" customFormat="1" ht="90.75" customHeight="1" x14ac:dyDescent="0.25">
      <c r="A2385" s="20"/>
      <c r="B2385" s="20"/>
      <c r="C2385" s="20"/>
      <c r="D2385" s="21"/>
      <c r="E2385" s="21"/>
      <c r="F2385" s="22"/>
      <c r="G2385" s="23"/>
      <c r="H2385" s="36">
        <v>183.73</v>
      </c>
      <c r="I2385" s="40">
        <v>1150</v>
      </c>
      <c r="J2385" s="28">
        <f t="shared" si="424"/>
        <v>211289.5</v>
      </c>
      <c r="K2385" s="30">
        <v>1</v>
      </c>
      <c r="L2385" s="31" t="s">
        <v>215</v>
      </c>
      <c r="M2385" s="32" t="s">
        <v>13</v>
      </c>
      <c r="N2385" s="41">
        <v>2</v>
      </c>
      <c r="O2385" s="90">
        <v>90</v>
      </c>
      <c r="P2385" s="35">
        <v>100</v>
      </c>
      <c r="Q2385" s="36">
        <v>6450</v>
      </c>
      <c r="R2385" s="36">
        <f>(O2385*Q2385)</f>
        <v>580500</v>
      </c>
      <c r="S2385" s="37">
        <v>12</v>
      </c>
      <c r="T2385" s="28">
        <f>(R2385*14/100)</f>
        <v>81270</v>
      </c>
      <c r="U2385" s="36">
        <f>(R2385-T2385)</f>
        <v>499230</v>
      </c>
      <c r="V2385" s="36"/>
      <c r="W2385" s="36"/>
      <c r="X2385" s="28"/>
      <c r="Y2385" s="28"/>
      <c r="Z2385" s="49"/>
    </row>
    <row r="2386" spans="1:26" s="29" customFormat="1" ht="90.75" customHeight="1" x14ac:dyDescent="0.25">
      <c r="A2386" s="20"/>
      <c r="B2386" s="20"/>
      <c r="C2386" s="20"/>
      <c r="D2386" s="21"/>
      <c r="E2386" s="21"/>
      <c r="F2386" s="22"/>
      <c r="G2386" s="23"/>
      <c r="H2386" s="36"/>
      <c r="I2386" s="40"/>
      <c r="J2386" s="28"/>
      <c r="K2386" s="30">
        <v>2</v>
      </c>
      <c r="L2386" s="31" t="s">
        <v>31</v>
      </c>
      <c r="M2386" s="32" t="s">
        <v>30</v>
      </c>
      <c r="N2386" s="41">
        <v>2</v>
      </c>
      <c r="O2386" s="90">
        <v>34.4</v>
      </c>
      <c r="P2386" s="35">
        <v>100</v>
      </c>
      <c r="Q2386" s="36">
        <v>2550</v>
      </c>
      <c r="R2386" s="36">
        <f t="shared" ref="R2386:R2389" si="426">(O2386*Q2386)</f>
        <v>87720</v>
      </c>
      <c r="S2386" s="37">
        <v>12</v>
      </c>
      <c r="T2386" s="28">
        <f t="shared" ref="T2386:T2389" si="427">(R2386*14/100)</f>
        <v>12280.8</v>
      </c>
      <c r="U2386" s="36">
        <f t="shared" ref="U2386:U2389" si="428">(R2386-T2386)</f>
        <v>75439.199999999997</v>
      </c>
      <c r="V2386" s="36"/>
      <c r="W2386" s="36"/>
      <c r="X2386" s="28"/>
      <c r="Y2386" s="28"/>
      <c r="Z2386" s="20"/>
    </row>
    <row r="2387" spans="1:26" s="29" customFormat="1" ht="90.75" customHeight="1" x14ac:dyDescent="0.25">
      <c r="A2387" s="20"/>
      <c r="B2387" s="20"/>
      <c r="C2387" s="20"/>
      <c r="D2387" s="21"/>
      <c r="E2387" s="21"/>
      <c r="F2387" s="22"/>
      <c r="G2387" s="23"/>
      <c r="H2387" s="36"/>
      <c r="I2387" s="40"/>
      <c r="J2387" s="28"/>
      <c r="K2387" s="30">
        <v>3</v>
      </c>
      <c r="L2387" s="31" t="s">
        <v>31</v>
      </c>
      <c r="M2387" s="32"/>
      <c r="N2387" s="33">
        <v>3</v>
      </c>
      <c r="O2387" s="90">
        <v>89.32</v>
      </c>
      <c r="P2387" s="35">
        <v>100</v>
      </c>
      <c r="Q2387" s="36">
        <v>2550</v>
      </c>
      <c r="R2387" s="36">
        <f>(O2387*Q2387)</f>
        <v>227765.99999999997</v>
      </c>
      <c r="S2387" s="37">
        <v>12</v>
      </c>
      <c r="T2387" s="28">
        <f t="shared" si="427"/>
        <v>31887.239999999994</v>
      </c>
      <c r="U2387" s="36">
        <f>(R2387-T2387)</f>
        <v>195878.75999999998</v>
      </c>
      <c r="V2387" s="36"/>
      <c r="W2387" s="36"/>
      <c r="X2387" s="28"/>
      <c r="Y2387" s="28"/>
      <c r="Z2387" s="20"/>
    </row>
    <row r="2388" spans="1:26" s="29" customFormat="1" ht="90.75" customHeight="1" x14ac:dyDescent="0.25">
      <c r="A2388" s="20"/>
      <c r="B2388" s="20"/>
      <c r="C2388" s="20"/>
      <c r="D2388" s="21"/>
      <c r="E2388" s="21"/>
      <c r="F2388" s="22"/>
      <c r="G2388" s="23"/>
      <c r="H2388" s="36"/>
      <c r="I2388" s="40"/>
      <c r="J2388" s="28"/>
      <c r="K2388" s="30"/>
      <c r="L2388" s="31"/>
      <c r="M2388" s="32"/>
      <c r="N2388" s="33"/>
      <c r="O2388" s="90"/>
      <c r="P2388" s="35"/>
      <c r="Q2388" s="36"/>
      <c r="R2388" s="36"/>
      <c r="S2388" s="37"/>
      <c r="T2388" s="28"/>
      <c r="U2388" s="36">
        <f>SUM(U2385:U2387)</f>
        <v>770547.96</v>
      </c>
      <c r="V2388" s="36">
        <f>(J2385+U2388)</f>
        <v>981837.46</v>
      </c>
      <c r="W2388" s="36">
        <f>(V2388*100/100)</f>
        <v>981837.46</v>
      </c>
      <c r="X2388" s="28">
        <v>50000000</v>
      </c>
      <c r="Y2388" s="28">
        <v>0</v>
      </c>
      <c r="Z2388" s="49">
        <v>2.0000000000000001E-4</v>
      </c>
    </row>
    <row r="2389" spans="1:26" s="29" customFormat="1" ht="90.75" customHeight="1" x14ac:dyDescent="0.25">
      <c r="A2389" s="20"/>
      <c r="B2389" s="20"/>
      <c r="C2389" s="20"/>
      <c r="D2389" s="21"/>
      <c r="E2389" s="21"/>
      <c r="F2389" s="22"/>
      <c r="G2389" s="23"/>
      <c r="H2389" s="36">
        <v>18.27</v>
      </c>
      <c r="I2389" s="40">
        <v>1150</v>
      </c>
      <c r="J2389" s="28">
        <f t="shared" si="424"/>
        <v>21010.5</v>
      </c>
      <c r="K2389" s="30">
        <v>4</v>
      </c>
      <c r="L2389" s="31" t="s">
        <v>36</v>
      </c>
      <c r="M2389" s="32"/>
      <c r="N2389" s="33">
        <v>3</v>
      </c>
      <c r="O2389" s="90">
        <v>73.08</v>
      </c>
      <c r="P2389" s="35">
        <v>100</v>
      </c>
      <c r="Q2389" s="36">
        <v>5550</v>
      </c>
      <c r="R2389" s="36">
        <f t="shared" si="426"/>
        <v>405594</v>
      </c>
      <c r="S2389" s="37">
        <v>12</v>
      </c>
      <c r="T2389" s="28">
        <f t="shared" si="427"/>
        <v>56783.16</v>
      </c>
      <c r="U2389" s="36">
        <f t="shared" si="428"/>
        <v>348810.83999999997</v>
      </c>
      <c r="V2389" s="36">
        <f t="shared" ref="V2389" si="429">(J2389+U2389)</f>
        <v>369821.33999999997</v>
      </c>
      <c r="W2389" s="36">
        <f t="shared" ref="W2389" si="430">(V2389*P2389/100)</f>
        <v>369821.34</v>
      </c>
      <c r="X2389" s="28">
        <v>0</v>
      </c>
      <c r="Y2389" s="28">
        <f t="shared" ref="Y2389" si="431">(W2389-X2389)</f>
        <v>369821.34</v>
      </c>
      <c r="Z2389" s="49">
        <v>3.0000000000000001E-3</v>
      </c>
    </row>
    <row r="2390" spans="1:26" s="29" customFormat="1" ht="90.75" customHeight="1" x14ac:dyDescent="0.25">
      <c r="A2390" s="20">
        <v>1334</v>
      </c>
      <c r="B2390" s="20" t="s">
        <v>0</v>
      </c>
      <c r="C2390" s="20">
        <v>20492</v>
      </c>
      <c r="D2390" s="21">
        <v>1</v>
      </c>
      <c r="E2390" s="21">
        <v>0</v>
      </c>
      <c r="F2390" s="22">
        <v>11</v>
      </c>
      <c r="G2390" s="23" t="s">
        <v>211</v>
      </c>
      <c r="H2390" s="36">
        <f t="shared" ref="H2390" si="432">(D2390*400)+(E2390*100)+F2390</f>
        <v>411</v>
      </c>
      <c r="I2390" s="40">
        <v>400</v>
      </c>
      <c r="J2390" s="28">
        <f>(H2390*I2390)</f>
        <v>164400</v>
      </c>
      <c r="K2390" s="37"/>
      <c r="L2390" s="31"/>
      <c r="M2390" s="32"/>
      <c r="N2390" s="33"/>
      <c r="O2390" s="34"/>
      <c r="P2390" s="35"/>
      <c r="Q2390" s="36"/>
      <c r="R2390" s="36"/>
      <c r="S2390" s="37"/>
      <c r="T2390" s="28"/>
      <c r="U2390" s="36"/>
      <c r="V2390" s="36"/>
      <c r="W2390" s="36"/>
      <c r="X2390" s="28"/>
      <c r="Y2390" s="28"/>
      <c r="Z2390" s="20"/>
    </row>
    <row r="2391" spans="1:26" s="29" customFormat="1" ht="90.75" customHeight="1" x14ac:dyDescent="0.25">
      <c r="A2391" s="20"/>
      <c r="B2391" s="20"/>
      <c r="C2391" s="20"/>
      <c r="D2391" s="21"/>
      <c r="E2391" s="21"/>
      <c r="F2391" s="22"/>
      <c r="G2391" s="23"/>
      <c r="H2391" s="36">
        <v>338.85</v>
      </c>
      <c r="I2391" s="40">
        <v>400</v>
      </c>
      <c r="J2391" s="28">
        <f>(H2391*I2391)</f>
        <v>135540</v>
      </c>
      <c r="K2391" s="37">
        <v>1</v>
      </c>
      <c r="L2391" s="31" t="s">
        <v>215</v>
      </c>
      <c r="M2391" s="32" t="s">
        <v>52</v>
      </c>
      <c r="N2391" s="33">
        <v>2</v>
      </c>
      <c r="O2391" s="90">
        <v>196.36</v>
      </c>
      <c r="P2391" s="82">
        <v>100</v>
      </c>
      <c r="Q2391" s="90">
        <v>6450</v>
      </c>
      <c r="R2391" s="36">
        <f>(O2391*Q2391)</f>
        <v>1266522</v>
      </c>
      <c r="S2391" s="32">
        <v>42</v>
      </c>
      <c r="T2391" s="28">
        <f>(R2391*85/100)</f>
        <v>1076543.7</v>
      </c>
      <c r="U2391" s="36">
        <f>(R2391-T2391)</f>
        <v>189978.30000000005</v>
      </c>
      <c r="V2391" s="36"/>
      <c r="W2391" s="36"/>
      <c r="X2391" s="28"/>
      <c r="Y2391" s="28"/>
      <c r="Z2391" s="20"/>
    </row>
    <row r="2392" spans="1:26" s="29" customFormat="1" ht="90.75" customHeight="1" x14ac:dyDescent="0.25">
      <c r="A2392" s="20"/>
      <c r="B2392" s="20"/>
      <c r="C2392" s="20"/>
      <c r="D2392" s="21"/>
      <c r="E2392" s="21"/>
      <c r="F2392" s="22"/>
      <c r="G2392" s="23"/>
      <c r="H2392" s="36"/>
      <c r="I2392" s="40"/>
      <c r="J2392" s="28"/>
      <c r="K2392" s="37">
        <v>2</v>
      </c>
      <c r="L2392" s="31" t="s">
        <v>31</v>
      </c>
      <c r="M2392" s="32" t="s">
        <v>30</v>
      </c>
      <c r="N2392" s="33">
        <v>2</v>
      </c>
      <c r="O2392" s="90">
        <v>40</v>
      </c>
      <c r="P2392" s="82">
        <v>100</v>
      </c>
      <c r="Q2392" s="90">
        <v>2550</v>
      </c>
      <c r="R2392" s="36">
        <f>(O2392*Q2392)</f>
        <v>102000</v>
      </c>
      <c r="S2392" s="32">
        <v>3</v>
      </c>
      <c r="T2392" s="28">
        <f>(R2392*3/100)</f>
        <v>3060</v>
      </c>
      <c r="U2392" s="36">
        <f>(R2392-T2392)</f>
        <v>98940</v>
      </c>
      <c r="V2392" s="36"/>
      <c r="W2392" s="36"/>
      <c r="X2392" s="28"/>
      <c r="Y2392" s="28"/>
      <c r="Z2392" s="20"/>
    </row>
    <row r="2393" spans="1:26" s="29" customFormat="1" ht="90.75" customHeight="1" x14ac:dyDescent="0.25">
      <c r="A2393" s="20"/>
      <c r="B2393" s="20"/>
      <c r="C2393" s="20"/>
      <c r="D2393" s="21"/>
      <c r="E2393" s="21"/>
      <c r="F2393" s="22"/>
      <c r="G2393" s="23"/>
      <c r="H2393" s="36"/>
      <c r="I2393" s="40"/>
      <c r="J2393" s="28"/>
      <c r="K2393" s="37">
        <v>3</v>
      </c>
      <c r="L2393" s="31" t="s">
        <v>215</v>
      </c>
      <c r="M2393" s="32" t="s">
        <v>107</v>
      </c>
      <c r="N2393" s="33">
        <v>2</v>
      </c>
      <c r="O2393" s="90">
        <v>81</v>
      </c>
      <c r="P2393" s="82">
        <v>100</v>
      </c>
      <c r="Q2393" s="90">
        <v>6450</v>
      </c>
      <c r="R2393" s="36">
        <f>(O2393*Q2393)</f>
        <v>522450</v>
      </c>
      <c r="S2393" s="32">
        <v>42</v>
      </c>
      <c r="T2393" s="28">
        <f>(R2393*93/100)</f>
        <v>485878.5</v>
      </c>
      <c r="U2393" s="36">
        <f>(R2393-T2393)</f>
        <v>36571.5</v>
      </c>
      <c r="V2393" s="36"/>
      <c r="W2393" s="36"/>
      <c r="X2393" s="28"/>
      <c r="Y2393" s="28"/>
      <c r="Z2393" s="20"/>
    </row>
    <row r="2394" spans="1:26" s="29" customFormat="1" ht="90.75" customHeight="1" x14ac:dyDescent="0.25">
      <c r="A2394" s="20"/>
      <c r="B2394" s="20"/>
      <c r="C2394" s="20"/>
      <c r="D2394" s="21"/>
      <c r="E2394" s="21"/>
      <c r="F2394" s="22"/>
      <c r="G2394" s="23"/>
      <c r="H2394" s="36"/>
      <c r="I2394" s="40"/>
      <c r="J2394" s="28"/>
      <c r="K2394" s="37">
        <v>4</v>
      </c>
      <c r="L2394" s="31" t="s">
        <v>31</v>
      </c>
      <c r="M2394" s="32" t="s">
        <v>30</v>
      </c>
      <c r="N2394" s="33">
        <v>2</v>
      </c>
      <c r="O2394" s="90">
        <v>55.9</v>
      </c>
      <c r="P2394" s="82">
        <v>100</v>
      </c>
      <c r="Q2394" s="90">
        <v>2550</v>
      </c>
      <c r="R2394" s="36">
        <f>(O2394*Q2394)</f>
        <v>142545</v>
      </c>
      <c r="S2394" s="32">
        <v>3</v>
      </c>
      <c r="T2394" s="28">
        <f>(R2394*3/100)</f>
        <v>4276.3500000000004</v>
      </c>
      <c r="U2394" s="36">
        <f>(R2394-T2394)</f>
        <v>138268.65</v>
      </c>
      <c r="V2394" s="36"/>
      <c r="W2394" s="36"/>
      <c r="X2394" s="28"/>
      <c r="Y2394" s="28"/>
      <c r="Z2394" s="20"/>
    </row>
    <row r="2395" spans="1:26" s="29" customFormat="1" ht="90.75" customHeight="1" x14ac:dyDescent="0.25">
      <c r="A2395" s="20"/>
      <c r="B2395" s="20"/>
      <c r="C2395" s="20"/>
      <c r="D2395" s="21"/>
      <c r="E2395" s="21"/>
      <c r="F2395" s="22"/>
      <c r="G2395" s="23"/>
      <c r="H2395" s="36">
        <f>(O2395*0.25)</f>
        <v>72.152500000000003</v>
      </c>
      <c r="I2395" s="40">
        <v>400</v>
      </c>
      <c r="J2395" s="28">
        <f>(H2395*I2395)</f>
        <v>28861</v>
      </c>
      <c r="K2395" s="37">
        <v>5</v>
      </c>
      <c r="L2395" s="31" t="s">
        <v>43</v>
      </c>
      <c r="M2395" s="32" t="s">
        <v>13</v>
      </c>
      <c r="N2395" s="33">
        <v>2</v>
      </c>
      <c r="O2395" s="34">
        <v>288.61</v>
      </c>
      <c r="P2395" s="82">
        <v>100</v>
      </c>
      <c r="Q2395" s="90">
        <v>7700</v>
      </c>
      <c r="R2395" s="36">
        <f>(O2395*Q2395)</f>
        <v>2222297</v>
      </c>
      <c r="S2395" s="32">
        <v>10</v>
      </c>
      <c r="T2395" s="28">
        <f>(R2395*10/100)</f>
        <v>222229.7</v>
      </c>
      <c r="U2395" s="36">
        <f>(R2395-T2395)</f>
        <v>2000067.3</v>
      </c>
      <c r="V2395" s="36">
        <f>(J2395+U2395)</f>
        <v>2028928.3</v>
      </c>
      <c r="W2395" s="36">
        <f>(V2395*100/100)</f>
        <v>2028928.3</v>
      </c>
      <c r="X2395" s="28"/>
      <c r="Y2395" s="28"/>
      <c r="Z2395" s="20"/>
    </row>
    <row r="2396" spans="1:26" s="29" customFormat="1" ht="90.75" customHeight="1" x14ac:dyDescent="0.25">
      <c r="A2396" s="20"/>
      <c r="B2396" s="20"/>
      <c r="C2396" s="20"/>
      <c r="D2396" s="21"/>
      <c r="E2396" s="21"/>
      <c r="F2396" s="22"/>
      <c r="G2396" s="23"/>
      <c r="H2396" s="36"/>
      <c r="I2396" s="40"/>
      <c r="J2396" s="28"/>
      <c r="K2396" s="37"/>
      <c r="L2396" s="31" t="s">
        <v>58</v>
      </c>
      <c r="M2396" s="32"/>
      <c r="N2396" s="33"/>
      <c r="O2396" s="90">
        <v>271.61</v>
      </c>
      <c r="P2396" s="82">
        <v>94.11</v>
      </c>
      <c r="Q2396" s="90"/>
      <c r="R2396" s="36"/>
      <c r="S2396" s="32"/>
      <c r="T2396" s="28"/>
      <c r="U2396" s="36"/>
      <c r="V2396" s="36"/>
      <c r="W2396" s="36">
        <f>(W2395*94.11/10)</f>
        <v>19094244.2313</v>
      </c>
      <c r="X2396" s="28">
        <v>0</v>
      </c>
      <c r="Y2396" s="28">
        <f>(W2396-X2396)</f>
        <v>19094244.2313</v>
      </c>
      <c r="Z2396" s="49">
        <v>2.0000000000000001E-4</v>
      </c>
    </row>
    <row r="2397" spans="1:26" s="29" customFormat="1" ht="90.75" customHeight="1" x14ac:dyDescent="0.25">
      <c r="A2397" s="20"/>
      <c r="B2397" s="20"/>
      <c r="C2397" s="20"/>
      <c r="D2397" s="21"/>
      <c r="E2397" s="21"/>
      <c r="F2397" s="22"/>
      <c r="G2397" s="23"/>
      <c r="H2397" s="36"/>
      <c r="I2397" s="40"/>
      <c r="J2397" s="28"/>
      <c r="K2397" s="37"/>
      <c r="L2397" s="31" t="s">
        <v>61</v>
      </c>
      <c r="M2397" s="32"/>
      <c r="N2397" s="33"/>
      <c r="O2397" s="90">
        <v>17</v>
      </c>
      <c r="P2397" s="82">
        <v>5.89</v>
      </c>
      <c r="Q2397" s="90"/>
      <c r="R2397" s="36"/>
      <c r="S2397" s="32"/>
      <c r="T2397" s="28"/>
      <c r="U2397" s="36"/>
      <c r="V2397" s="36"/>
      <c r="W2397" s="36">
        <f>(W2395*5.89/100)</f>
        <v>119503.87686999999</v>
      </c>
      <c r="X2397" s="28">
        <v>0</v>
      </c>
      <c r="Y2397" s="28">
        <f>(W2397-X2397)</f>
        <v>119503.87686999999</v>
      </c>
      <c r="Z2397" s="49">
        <v>3.0000000000000001E-3</v>
      </c>
    </row>
    <row r="2398" spans="1:26" s="29" customFormat="1" ht="90.75" customHeight="1" x14ac:dyDescent="0.25">
      <c r="A2398" s="20">
        <v>1335</v>
      </c>
      <c r="B2398" s="20" t="s">
        <v>0</v>
      </c>
      <c r="C2398" s="20">
        <v>16441</v>
      </c>
      <c r="D2398" s="21">
        <v>0</v>
      </c>
      <c r="E2398" s="21">
        <v>3</v>
      </c>
      <c r="F2398" s="22">
        <v>87</v>
      </c>
      <c r="G2398" s="23" t="s">
        <v>211</v>
      </c>
      <c r="H2398" s="36">
        <f t="shared" ref="H2398" si="433">(D2398*400)+(E2398*100)+F2398</f>
        <v>387</v>
      </c>
      <c r="I2398" s="25" t="s">
        <v>79</v>
      </c>
      <c r="J2398" s="28">
        <f>(H2398*I2398)</f>
        <v>251550</v>
      </c>
      <c r="K2398" s="30">
        <v>1</v>
      </c>
      <c r="L2398" s="31" t="s">
        <v>215</v>
      </c>
      <c r="M2398" s="32" t="s">
        <v>13</v>
      </c>
      <c r="N2398" s="33">
        <v>5</v>
      </c>
      <c r="O2398" s="34">
        <v>257</v>
      </c>
      <c r="P2398" s="82">
        <v>100</v>
      </c>
      <c r="Q2398" s="90">
        <v>6450</v>
      </c>
      <c r="R2398" s="36">
        <f>(O2398*Q2398)</f>
        <v>1657650</v>
      </c>
      <c r="S2398" s="37">
        <v>32</v>
      </c>
      <c r="T2398" s="28">
        <f>(R2398*54/100)</f>
        <v>895131</v>
      </c>
      <c r="U2398" s="36">
        <f>(R2398-T2398)</f>
        <v>762519</v>
      </c>
      <c r="V2398" s="36">
        <f>(J2398+U2398)</f>
        <v>1014069</v>
      </c>
      <c r="W2398" s="36">
        <f>(V2398*100/100)</f>
        <v>1014069</v>
      </c>
      <c r="X2398" s="28"/>
      <c r="Y2398" s="28"/>
      <c r="Z2398" s="20"/>
    </row>
    <row r="2399" spans="1:26" s="29" customFormat="1" ht="90.75" customHeight="1" x14ac:dyDescent="0.25">
      <c r="A2399" s="20"/>
      <c r="B2399" s="20"/>
      <c r="C2399" s="20"/>
      <c r="D2399" s="21"/>
      <c r="E2399" s="21"/>
      <c r="F2399" s="22"/>
      <c r="G2399" s="23"/>
      <c r="H2399" s="24"/>
      <c r="I2399" s="25"/>
      <c r="J2399" s="24"/>
      <c r="K2399" s="30"/>
      <c r="L2399" s="31" t="s">
        <v>69</v>
      </c>
      <c r="M2399" s="32"/>
      <c r="N2399" s="33">
        <v>2</v>
      </c>
      <c r="O2399" s="34">
        <v>231</v>
      </c>
      <c r="P2399" s="82">
        <v>89.88</v>
      </c>
      <c r="Q2399" s="90"/>
      <c r="R2399" s="36"/>
      <c r="S2399" s="37"/>
      <c r="T2399" s="28"/>
      <c r="U2399" s="36"/>
      <c r="V2399" s="36"/>
      <c r="W2399" s="36">
        <f>(W2398*89.88/100)</f>
        <v>911445.21719999996</v>
      </c>
      <c r="X2399" s="28">
        <v>50000000</v>
      </c>
      <c r="Y2399" s="28">
        <v>0</v>
      </c>
      <c r="Z2399" s="49">
        <v>2.0000000000000001E-4</v>
      </c>
    </row>
    <row r="2400" spans="1:26" s="29" customFormat="1" ht="90.75" customHeight="1" x14ac:dyDescent="0.25">
      <c r="A2400" s="20"/>
      <c r="B2400" s="20"/>
      <c r="C2400" s="20"/>
      <c r="D2400" s="21"/>
      <c r="E2400" s="21"/>
      <c r="F2400" s="22"/>
      <c r="G2400" s="23"/>
      <c r="H2400" s="24"/>
      <c r="I2400" s="25"/>
      <c r="J2400" s="24"/>
      <c r="K2400" s="30"/>
      <c r="L2400" s="31" t="s">
        <v>89</v>
      </c>
      <c r="M2400" s="32"/>
      <c r="N2400" s="33">
        <v>3</v>
      </c>
      <c r="O2400" s="34">
        <v>26</v>
      </c>
      <c r="P2400" s="82">
        <v>10.119999999999999</v>
      </c>
      <c r="Q2400" s="90"/>
      <c r="R2400" s="36"/>
      <c r="S2400" s="37"/>
      <c r="T2400" s="28"/>
      <c r="U2400" s="36"/>
      <c r="V2400" s="36"/>
      <c r="W2400" s="36">
        <f>(W2398*10.12/100)</f>
        <v>102623.78279999999</v>
      </c>
      <c r="X2400" s="28">
        <v>0</v>
      </c>
      <c r="Y2400" s="28">
        <f>(W2400-X2400)</f>
        <v>102623.78279999999</v>
      </c>
      <c r="Z2400" s="49">
        <v>3.0000000000000001E-3</v>
      </c>
    </row>
    <row r="2401" spans="1:26" s="29" customFormat="1" ht="90.75" customHeight="1" x14ac:dyDescent="0.25">
      <c r="A2401" s="20">
        <v>1336</v>
      </c>
      <c r="B2401" s="20" t="s">
        <v>0</v>
      </c>
      <c r="C2401" s="20">
        <v>38153</v>
      </c>
      <c r="D2401" s="21">
        <v>0</v>
      </c>
      <c r="E2401" s="21">
        <v>1</v>
      </c>
      <c r="F2401" s="22">
        <v>67</v>
      </c>
      <c r="G2401" s="23" t="s">
        <v>211</v>
      </c>
      <c r="H2401" s="36">
        <f>(D2401*400)+(E2401*100)+F2401</f>
        <v>167</v>
      </c>
      <c r="I2401" s="40">
        <v>875</v>
      </c>
      <c r="J2401" s="28">
        <f>(H2401*I2401)</f>
        <v>146125</v>
      </c>
      <c r="K2401" s="37"/>
      <c r="L2401" s="31"/>
      <c r="M2401" s="32"/>
      <c r="N2401" s="33"/>
      <c r="O2401" s="82"/>
      <c r="P2401" s="86"/>
      <c r="Q2401" s="36"/>
      <c r="R2401" s="36"/>
      <c r="S2401" s="37"/>
      <c r="T2401" s="28"/>
      <c r="U2401" s="36"/>
      <c r="V2401" s="36"/>
      <c r="W2401" s="36"/>
      <c r="X2401" s="28"/>
      <c r="Y2401" s="28"/>
      <c r="Z2401" s="20"/>
    </row>
    <row r="2402" spans="1:26" s="29" customFormat="1" ht="90.75" customHeight="1" x14ac:dyDescent="0.25">
      <c r="A2402" s="20"/>
      <c r="B2402" s="20"/>
      <c r="C2402" s="20"/>
      <c r="D2402" s="21"/>
      <c r="E2402" s="21"/>
      <c r="F2402" s="22"/>
      <c r="G2402" s="23"/>
      <c r="H2402" s="36"/>
      <c r="I2402" s="40"/>
      <c r="J2402" s="28"/>
      <c r="K2402" s="37">
        <v>1</v>
      </c>
      <c r="L2402" s="31" t="s">
        <v>215</v>
      </c>
      <c r="M2402" s="32" t="s">
        <v>13</v>
      </c>
      <c r="N2402" s="33">
        <v>2</v>
      </c>
      <c r="O2402" s="82">
        <v>77.5</v>
      </c>
      <c r="P2402" s="86">
        <v>100</v>
      </c>
      <c r="Q2402" s="36">
        <v>6450</v>
      </c>
      <c r="R2402" s="36">
        <f>(O2402*Q2402)</f>
        <v>499875</v>
      </c>
      <c r="S2402" s="37">
        <v>22</v>
      </c>
      <c r="T2402" s="28">
        <f>(R2402*34/100)</f>
        <v>169957.5</v>
      </c>
      <c r="U2402" s="36">
        <f>(R2402-T2402)</f>
        <v>329917.5</v>
      </c>
      <c r="V2402" s="36"/>
      <c r="W2402" s="36"/>
      <c r="X2402" s="28"/>
      <c r="Y2402" s="28"/>
      <c r="Z2402" s="20"/>
    </row>
    <row r="2403" spans="1:26" s="29" customFormat="1" ht="90.75" customHeight="1" x14ac:dyDescent="0.25">
      <c r="A2403" s="20"/>
      <c r="B2403" s="20"/>
      <c r="C2403" s="20"/>
      <c r="D2403" s="21"/>
      <c r="E2403" s="21"/>
      <c r="F2403" s="22"/>
      <c r="G2403" s="23"/>
      <c r="H2403" s="36"/>
      <c r="I2403" s="40"/>
      <c r="J2403" s="28"/>
      <c r="K2403" s="37">
        <v>2</v>
      </c>
      <c r="L2403" s="31" t="s">
        <v>31</v>
      </c>
      <c r="M2403" s="32"/>
      <c r="N2403" s="33"/>
      <c r="O2403" s="82">
        <v>28</v>
      </c>
      <c r="P2403" s="86">
        <v>100</v>
      </c>
      <c r="Q2403" s="36">
        <v>2550</v>
      </c>
      <c r="R2403" s="36">
        <f>(O2403*Q2403)</f>
        <v>71400</v>
      </c>
      <c r="S2403" s="37">
        <v>22</v>
      </c>
      <c r="T2403" s="28">
        <f>(R2403*34/100)</f>
        <v>24276</v>
      </c>
      <c r="U2403" s="36">
        <f>(R2403-T2403)</f>
        <v>47124</v>
      </c>
      <c r="V2403" s="36"/>
      <c r="W2403" s="36"/>
      <c r="X2403" s="28"/>
      <c r="Y2403" s="28"/>
      <c r="Z2403" s="20"/>
    </row>
    <row r="2404" spans="1:26" s="29" customFormat="1" ht="90.75" customHeight="1" x14ac:dyDescent="0.25">
      <c r="A2404" s="20"/>
      <c r="B2404" s="20"/>
      <c r="C2404" s="20"/>
      <c r="D2404" s="21"/>
      <c r="E2404" s="21"/>
      <c r="F2404" s="22"/>
      <c r="G2404" s="23"/>
      <c r="H2404" s="36"/>
      <c r="I2404" s="44"/>
      <c r="J2404" s="65"/>
      <c r="K2404" s="33"/>
      <c r="L2404" s="31"/>
      <c r="M2404" s="112"/>
      <c r="N2404" s="30"/>
      <c r="O2404" s="90"/>
      <c r="P2404" s="82"/>
      <c r="Q2404" s="83"/>
      <c r="R2404" s="33"/>
      <c r="S2404" s="33"/>
      <c r="T2404" s="89"/>
      <c r="U2404" s="90">
        <f>(U2402+U2403)</f>
        <v>377041.5</v>
      </c>
      <c r="V2404" s="90">
        <f>(J2401+U2404)</f>
        <v>523166.5</v>
      </c>
      <c r="W2404" s="90">
        <f>(V2404*100/100)</f>
        <v>523166.5</v>
      </c>
      <c r="X2404" s="89">
        <v>0</v>
      </c>
      <c r="Y2404" s="48">
        <f>(W2404-X2404)</f>
        <v>523166.5</v>
      </c>
      <c r="Z2404" s="49">
        <v>2.0000000000000001E-4</v>
      </c>
    </row>
    <row r="2405" spans="1:26" s="29" customFormat="1" ht="90.75" customHeight="1" x14ac:dyDescent="0.25">
      <c r="A2405" s="20"/>
      <c r="B2405" s="20" t="s">
        <v>0</v>
      </c>
      <c r="C2405" s="20">
        <v>38153</v>
      </c>
      <c r="D2405" s="21"/>
      <c r="E2405" s="21"/>
      <c r="F2405" s="22"/>
      <c r="G2405" s="23" t="s">
        <v>209</v>
      </c>
      <c r="H2405" s="24">
        <v>2.25</v>
      </c>
      <c r="I2405" s="25">
        <v>875</v>
      </c>
      <c r="J2405" s="24">
        <f>(H2405*I2405)</f>
        <v>1968.75</v>
      </c>
      <c r="K2405" s="20"/>
      <c r="L2405" s="20"/>
      <c r="M2405" s="20"/>
      <c r="N2405" s="20"/>
      <c r="O2405" s="24"/>
      <c r="P2405" s="24"/>
      <c r="Q2405" s="25"/>
      <c r="R2405" s="24"/>
      <c r="S2405" s="20"/>
      <c r="T2405" s="27"/>
      <c r="U2405" s="20"/>
      <c r="V2405" s="27">
        <f>(J2405+U2405)</f>
        <v>1968.75</v>
      </c>
      <c r="W2405" s="26">
        <f>(V2405*100/100)</f>
        <v>1968.75</v>
      </c>
      <c r="X2405" s="27">
        <v>0</v>
      </c>
      <c r="Y2405" s="78">
        <f>(W2405-X2405)</f>
        <v>1968.75</v>
      </c>
      <c r="Z2405" s="49">
        <v>3.0000000000000001E-3</v>
      </c>
    </row>
    <row r="2406" spans="1:26" s="29" customFormat="1" ht="90.75" customHeight="1" x14ac:dyDescent="0.25">
      <c r="A2406" s="20">
        <v>1337</v>
      </c>
      <c r="B2406" s="20" t="s">
        <v>0</v>
      </c>
      <c r="C2406" s="20">
        <v>44314</v>
      </c>
      <c r="D2406" s="21">
        <v>1</v>
      </c>
      <c r="E2406" s="21">
        <v>0</v>
      </c>
      <c r="F2406" s="22">
        <v>0</v>
      </c>
      <c r="G2406" s="23" t="s">
        <v>211</v>
      </c>
      <c r="H2406" s="36">
        <f t="shared" ref="H2406" si="434">(D2406*400)+(E2406*100)+F2406</f>
        <v>400</v>
      </c>
      <c r="I2406" s="40">
        <v>825</v>
      </c>
      <c r="J2406" s="28">
        <f>(H2406*I2406)</f>
        <v>330000</v>
      </c>
      <c r="K2406" s="37"/>
      <c r="L2406" s="31"/>
      <c r="M2406" s="31"/>
      <c r="N2406" s="41"/>
      <c r="O2406" s="42"/>
      <c r="P2406" s="35"/>
      <c r="Q2406" s="36"/>
      <c r="R2406" s="36"/>
      <c r="S2406" s="37"/>
      <c r="T2406" s="28"/>
      <c r="U2406" s="36"/>
      <c r="V2406" s="36"/>
      <c r="W2406" s="36"/>
      <c r="X2406" s="28"/>
      <c r="Y2406" s="28"/>
      <c r="Z2406" s="20"/>
    </row>
    <row r="2407" spans="1:26" s="29" customFormat="1" ht="90.75" customHeight="1" x14ac:dyDescent="0.25">
      <c r="A2407" s="20"/>
      <c r="B2407" s="20"/>
      <c r="C2407" s="20"/>
      <c r="D2407" s="21"/>
      <c r="E2407" s="21"/>
      <c r="F2407" s="22"/>
      <c r="G2407" s="23"/>
      <c r="H2407" s="36">
        <v>313.87</v>
      </c>
      <c r="I2407" s="40">
        <v>825</v>
      </c>
      <c r="J2407" s="28">
        <f>(H2407*I2407)</f>
        <v>258942.75</v>
      </c>
      <c r="K2407" s="37"/>
      <c r="L2407" s="31"/>
      <c r="M2407" s="31"/>
      <c r="N2407" s="41"/>
      <c r="O2407" s="42"/>
      <c r="P2407" s="35"/>
      <c r="Q2407" s="36"/>
      <c r="R2407" s="36"/>
      <c r="S2407" s="37"/>
      <c r="T2407" s="28"/>
      <c r="U2407" s="36"/>
      <c r="V2407" s="36"/>
      <c r="W2407" s="36"/>
      <c r="X2407" s="28"/>
      <c r="Y2407" s="28"/>
      <c r="Z2407" s="20"/>
    </row>
    <row r="2408" spans="1:26" s="29" customFormat="1" ht="90.75" customHeight="1" x14ac:dyDescent="0.25">
      <c r="A2408" s="20"/>
      <c r="B2408" s="20"/>
      <c r="C2408" s="20"/>
      <c r="D2408" s="21"/>
      <c r="E2408" s="21"/>
      <c r="F2408" s="22"/>
      <c r="G2408" s="23"/>
      <c r="H2408" s="36"/>
      <c r="I2408" s="40"/>
      <c r="J2408" s="28"/>
      <c r="K2408" s="37">
        <v>1</v>
      </c>
      <c r="L2408" s="31" t="s">
        <v>215</v>
      </c>
      <c r="M2408" s="31" t="s">
        <v>13</v>
      </c>
      <c r="N2408" s="41">
        <v>2</v>
      </c>
      <c r="O2408" s="42">
        <v>218.5</v>
      </c>
      <c r="P2408" s="35">
        <v>100</v>
      </c>
      <c r="Q2408" s="36">
        <v>6450</v>
      </c>
      <c r="R2408" s="36">
        <f t="shared" ref="R2408:R2415" si="435">(O2408*Q2408)</f>
        <v>1409325</v>
      </c>
      <c r="S2408" s="37">
        <v>32</v>
      </c>
      <c r="T2408" s="28">
        <f>(R2408*54/100)</f>
        <v>761035.5</v>
      </c>
      <c r="U2408" s="36">
        <f t="shared" ref="U2408:U2415" si="436">(R2408-T2408)</f>
        <v>648289.5</v>
      </c>
      <c r="V2408" s="36"/>
      <c r="W2408" s="36"/>
      <c r="X2408" s="28"/>
      <c r="Y2408" s="28"/>
      <c r="Z2408" s="20"/>
    </row>
    <row r="2409" spans="1:26" s="29" customFormat="1" ht="90.75" customHeight="1" x14ac:dyDescent="0.25">
      <c r="A2409" s="20"/>
      <c r="B2409" s="20"/>
      <c r="C2409" s="20"/>
      <c r="D2409" s="21"/>
      <c r="E2409" s="21"/>
      <c r="F2409" s="22"/>
      <c r="G2409" s="23"/>
      <c r="H2409" s="36"/>
      <c r="I2409" s="40"/>
      <c r="J2409" s="28"/>
      <c r="K2409" s="37"/>
      <c r="L2409" s="31" t="s">
        <v>29</v>
      </c>
      <c r="M2409" s="31" t="s">
        <v>13</v>
      </c>
      <c r="N2409" s="41">
        <v>2</v>
      </c>
      <c r="O2409" s="42">
        <v>7.59</v>
      </c>
      <c r="P2409" s="35">
        <v>100</v>
      </c>
      <c r="Q2409" s="36">
        <v>5550</v>
      </c>
      <c r="R2409" s="36">
        <f t="shared" si="435"/>
        <v>42124.5</v>
      </c>
      <c r="S2409" s="37">
        <v>27</v>
      </c>
      <c r="T2409" s="28">
        <f>(R2409*44/100)</f>
        <v>18534.78</v>
      </c>
      <c r="U2409" s="36">
        <f t="shared" si="436"/>
        <v>23589.72</v>
      </c>
      <c r="V2409" s="36"/>
      <c r="W2409" s="36"/>
      <c r="X2409" s="28"/>
      <c r="Y2409" s="28"/>
      <c r="Z2409" s="20"/>
    </row>
    <row r="2410" spans="1:26" s="29" customFormat="1" ht="90.75" customHeight="1" x14ac:dyDescent="0.25">
      <c r="A2410" s="20"/>
      <c r="B2410" s="20"/>
      <c r="C2410" s="20"/>
      <c r="D2410" s="21"/>
      <c r="E2410" s="21"/>
      <c r="F2410" s="22"/>
      <c r="G2410" s="23"/>
      <c r="H2410" s="36"/>
      <c r="I2410" s="40"/>
      <c r="J2410" s="28"/>
      <c r="K2410" s="37"/>
      <c r="L2410" s="31" t="s">
        <v>29</v>
      </c>
      <c r="M2410" s="31" t="s">
        <v>13</v>
      </c>
      <c r="N2410" s="41">
        <v>2</v>
      </c>
      <c r="O2410" s="42">
        <v>54</v>
      </c>
      <c r="P2410" s="35">
        <v>100</v>
      </c>
      <c r="Q2410" s="36">
        <v>5550</v>
      </c>
      <c r="R2410" s="36">
        <f t="shared" si="435"/>
        <v>299700</v>
      </c>
      <c r="S2410" s="37">
        <v>27</v>
      </c>
      <c r="T2410" s="28">
        <f>(R2410*44/100)</f>
        <v>131868</v>
      </c>
      <c r="U2410" s="36">
        <f t="shared" si="436"/>
        <v>167832</v>
      </c>
      <c r="V2410" s="36"/>
      <c r="W2410" s="36"/>
      <c r="X2410" s="28"/>
      <c r="Y2410" s="28"/>
      <c r="Z2410" s="20"/>
    </row>
    <row r="2411" spans="1:26" s="29" customFormat="1" ht="90.75" customHeight="1" x14ac:dyDescent="0.25">
      <c r="A2411" s="20"/>
      <c r="B2411" s="20"/>
      <c r="C2411" s="20"/>
      <c r="D2411" s="21"/>
      <c r="E2411" s="21"/>
      <c r="F2411" s="22"/>
      <c r="G2411" s="23"/>
      <c r="H2411" s="36"/>
      <c r="I2411" s="40"/>
      <c r="J2411" s="28"/>
      <c r="K2411" s="37"/>
      <c r="L2411" s="31"/>
      <c r="M2411" s="31"/>
      <c r="N2411" s="41"/>
      <c r="O2411" s="42"/>
      <c r="P2411" s="35"/>
      <c r="Q2411" s="36"/>
      <c r="R2411" s="36"/>
      <c r="S2411" s="37"/>
      <c r="T2411" s="28"/>
      <c r="U2411" s="36">
        <f>(U2408+U2409+U2410)</f>
        <v>839711.22</v>
      </c>
      <c r="V2411" s="36">
        <f>(J2407+U2411)</f>
        <v>1098653.97</v>
      </c>
      <c r="W2411" s="36">
        <f>(V2411*100/100)</f>
        <v>1098653.97</v>
      </c>
      <c r="X2411" s="28">
        <v>50000000</v>
      </c>
      <c r="Y2411" s="28">
        <v>0</v>
      </c>
      <c r="Z2411" s="49">
        <v>2.0000000000000001E-4</v>
      </c>
    </row>
    <row r="2412" spans="1:26" s="29" customFormat="1" ht="90.75" customHeight="1" x14ac:dyDescent="0.25">
      <c r="A2412" s="20"/>
      <c r="B2412" s="20"/>
      <c r="C2412" s="20"/>
      <c r="D2412" s="21"/>
      <c r="E2412" s="21"/>
      <c r="F2412" s="22"/>
      <c r="G2412" s="23"/>
      <c r="H2412" s="36">
        <f>(O2412*0.25)</f>
        <v>54</v>
      </c>
      <c r="I2412" s="40">
        <v>825</v>
      </c>
      <c r="J2412" s="28">
        <f t="shared" ref="J2412:J2415" si="437">(H2412*I2412)</f>
        <v>44550</v>
      </c>
      <c r="K2412" s="37">
        <v>2</v>
      </c>
      <c r="L2412" s="31" t="s">
        <v>15</v>
      </c>
      <c r="M2412" s="31" t="s">
        <v>13</v>
      </c>
      <c r="N2412" s="41">
        <v>3</v>
      </c>
      <c r="O2412" s="42">
        <v>216</v>
      </c>
      <c r="P2412" s="35">
        <v>100</v>
      </c>
      <c r="Q2412" s="36">
        <v>5950</v>
      </c>
      <c r="R2412" s="36">
        <f t="shared" si="435"/>
        <v>1285200</v>
      </c>
      <c r="S2412" s="37">
        <v>27</v>
      </c>
      <c r="T2412" s="28">
        <f t="shared" ref="T2412:T2415" si="438">(R2412*44/100)</f>
        <v>565488</v>
      </c>
      <c r="U2412" s="36">
        <f t="shared" si="436"/>
        <v>719712</v>
      </c>
      <c r="V2412" s="36">
        <f>(J2412+U2412)</f>
        <v>764262</v>
      </c>
      <c r="W2412" s="36">
        <f>(V2412*100/100)</f>
        <v>764262</v>
      </c>
      <c r="X2412" s="28">
        <v>0</v>
      </c>
      <c r="Y2412" s="28">
        <f>(W2412-X2412)</f>
        <v>764262</v>
      </c>
      <c r="Z2412" s="49">
        <v>3.0000000000000001E-3</v>
      </c>
    </row>
    <row r="2413" spans="1:26" s="29" customFormat="1" ht="90.75" customHeight="1" x14ac:dyDescent="0.25">
      <c r="A2413" s="20"/>
      <c r="B2413" s="20"/>
      <c r="C2413" s="20"/>
      <c r="D2413" s="21"/>
      <c r="E2413" s="21"/>
      <c r="F2413" s="22"/>
      <c r="G2413" s="23"/>
      <c r="H2413" s="36">
        <f>(O2413*0.25)</f>
        <v>11.5</v>
      </c>
      <c r="I2413" s="40">
        <v>825</v>
      </c>
      <c r="J2413" s="28">
        <f t="shared" si="437"/>
        <v>9487.5</v>
      </c>
      <c r="K2413" s="37">
        <v>3</v>
      </c>
      <c r="L2413" s="31" t="s">
        <v>31</v>
      </c>
      <c r="M2413" s="31"/>
      <c r="N2413" s="41">
        <v>3</v>
      </c>
      <c r="O2413" s="42">
        <v>46</v>
      </c>
      <c r="P2413" s="35">
        <v>100</v>
      </c>
      <c r="Q2413" s="36">
        <v>2550</v>
      </c>
      <c r="R2413" s="36">
        <f t="shared" si="435"/>
        <v>117300</v>
      </c>
      <c r="S2413" s="37">
        <v>27</v>
      </c>
      <c r="T2413" s="28">
        <f t="shared" si="438"/>
        <v>51612</v>
      </c>
      <c r="U2413" s="36">
        <f t="shared" si="436"/>
        <v>65688</v>
      </c>
      <c r="V2413" s="36">
        <f>(J2413+U2413)</f>
        <v>75175.5</v>
      </c>
      <c r="W2413" s="36">
        <f>(V2413*100/100)</f>
        <v>75175.5</v>
      </c>
      <c r="X2413" s="28">
        <v>0</v>
      </c>
      <c r="Y2413" s="28">
        <f>(W2413-X2413)</f>
        <v>75175.5</v>
      </c>
      <c r="Z2413" s="49">
        <v>3.0000000000000001E-3</v>
      </c>
    </row>
    <row r="2414" spans="1:26" s="29" customFormat="1" ht="90.75" customHeight="1" x14ac:dyDescent="0.25">
      <c r="A2414" s="20"/>
      <c r="B2414" s="20"/>
      <c r="C2414" s="20"/>
      <c r="D2414" s="21"/>
      <c r="E2414" s="21"/>
      <c r="F2414" s="22"/>
      <c r="G2414" s="23"/>
      <c r="H2414" s="36">
        <f>(O2414*0.25)</f>
        <v>12.75</v>
      </c>
      <c r="I2414" s="40">
        <v>825</v>
      </c>
      <c r="J2414" s="28">
        <f t="shared" si="437"/>
        <v>10518.75</v>
      </c>
      <c r="K2414" s="37">
        <v>4</v>
      </c>
      <c r="L2414" s="31" t="s">
        <v>29</v>
      </c>
      <c r="M2414" s="31" t="s">
        <v>13</v>
      </c>
      <c r="N2414" s="41">
        <v>3</v>
      </c>
      <c r="O2414" s="42">
        <v>51</v>
      </c>
      <c r="P2414" s="35">
        <v>100</v>
      </c>
      <c r="Q2414" s="36">
        <v>5550</v>
      </c>
      <c r="R2414" s="36">
        <f t="shared" si="435"/>
        <v>283050</v>
      </c>
      <c r="S2414" s="37">
        <v>27</v>
      </c>
      <c r="T2414" s="28">
        <f t="shared" si="438"/>
        <v>124542</v>
      </c>
      <c r="U2414" s="36">
        <f t="shared" si="436"/>
        <v>158508</v>
      </c>
      <c r="V2414" s="36">
        <f>(J2414+U2414)</f>
        <v>169026.75</v>
      </c>
      <c r="W2414" s="36">
        <f>(V2414*100/100)</f>
        <v>169026.75</v>
      </c>
      <c r="X2414" s="28">
        <v>0</v>
      </c>
      <c r="Y2414" s="28">
        <f>(W2414-X2414)</f>
        <v>169026.75</v>
      </c>
      <c r="Z2414" s="49">
        <v>3.0000000000000001E-3</v>
      </c>
    </row>
    <row r="2415" spans="1:26" s="29" customFormat="1" ht="90.75" customHeight="1" x14ac:dyDescent="0.25">
      <c r="A2415" s="20"/>
      <c r="B2415" s="20"/>
      <c r="C2415" s="20"/>
      <c r="D2415" s="21"/>
      <c r="E2415" s="21"/>
      <c r="F2415" s="22"/>
      <c r="G2415" s="23"/>
      <c r="H2415" s="36">
        <f>(O2415*0.25)</f>
        <v>7.875</v>
      </c>
      <c r="I2415" s="40">
        <v>825</v>
      </c>
      <c r="J2415" s="28">
        <f t="shared" si="437"/>
        <v>6496.875</v>
      </c>
      <c r="K2415" s="37">
        <v>5</v>
      </c>
      <c r="L2415" s="31" t="s">
        <v>29</v>
      </c>
      <c r="M2415" s="31" t="s">
        <v>13</v>
      </c>
      <c r="N2415" s="41">
        <v>3</v>
      </c>
      <c r="O2415" s="42">
        <v>31.5</v>
      </c>
      <c r="P2415" s="35">
        <v>100</v>
      </c>
      <c r="Q2415" s="36">
        <v>5550</v>
      </c>
      <c r="R2415" s="36">
        <f t="shared" si="435"/>
        <v>174825</v>
      </c>
      <c r="S2415" s="37">
        <v>27</v>
      </c>
      <c r="T2415" s="28">
        <f t="shared" si="438"/>
        <v>76923</v>
      </c>
      <c r="U2415" s="36">
        <f t="shared" si="436"/>
        <v>97902</v>
      </c>
      <c r="V2415" s="36">
        <f>(J2415+U2415)</f>
        <v>104398.875</v>
      </c>
      <c r="W2415" s="36">
        <f>(V2415*100/100)</f>
        <v>104398.875</v>
      </c>
      <c r="X2415" s="28">
        <v>0</v>
      </c>
      <c r="Y2415" s="28">
        <f>(W2415-X2415)</f>
        <v>104398.875</v>
      </c>
      <c r="Z2415" s="49">
        <v>3.0000000000000001E-3</v>
      </c>
    </row>
    <row r="2416" spans="1:26" s="29" customFormat="1" ht="90.75" customHeight="1" x14ac:dyDescent="0.25">
      <c r="A2416" s="20">
        <v>1338</v>
      </c>
      <c r="B2416" s="20" t="s">
        <v>0</v>
      </c>
      <c r="C2416" s="20">
        <v>17970</v>
      </c>
      <c r="D2416" s="21">
        <v>0</v>
      </c>
      <c r="E2416" s="21">
        <v>0</v>
      </c>
      <c r="F2416" s="22">
        <v>67</v>
      </c>
      <c r="G2416" s="23" t="s">
        <v>211</v>
      </c>
      <c r="H2416" s="36">
        <f t="shared" ref="H2416" si="439">(D2416*400)+(E2416*100)+F2416</f>
        <v>67</v>
      </c>
      <c r="I2416" s="25">
        <v>200</v>
      </c>
      <c r="J2416" s="28">
        <f>(H2416*I2416)</f>
        <v>13400</v>
      </c>
      <c r="K2416" s="20"/>
      <c r="L2416" s="20"/>
      <c r="M2416" s="20"/>
      <c r="N2416" s="20"/>
      <c r="O2416" s="24"/>
      <c r="P2416" s="24"/>
      <c r="Q2416" s="25"/>
      <c r="R2416" s="24"/>
      <c r="S2416" s="20"/>
      <c r="T2416" s="27"/>
      <c r="U2416" s="20"/>
      <c r="V2416" s="20"/>
      <c r="W2416" s="26"/>
      <c r="X2416" s="27"/>
      <c r="Y2416" s="20"/>
      <c r="Z2416" s="20"/>
    </row>
    <row r="2417" spans="1:26" s="29" customFormat="1" ht="90.75" customHeight="1" x14ac:dyDescent="0.25">
      <c r="A2417" s="20"/>
      <c r="B2417" s="20"/>
      <c r="C2417" s="20"/>
      <c r="D2417" s="21"/>
      <c r="E2417" s="21"/>
      <c r="F2417" s="22"/>
      <c r="G2417" s="23"/>
      <c r="H2417" s="36">
        <v>47.87</v>
      </c>
      <c r="I2417" s="40">
        <v>200</v>
      </c>
      <c r="J2417" s="28">
        <f>(H2417*I2417)</f>
        <v>9574</v>
      </c>
      <c r="K2417" s="37"/>
      <c r="L2417" s="31"/>
      <c r="M2417" s="32"/>
      <c r="N2417" s="33"/>
      <c r="O2417" s="82"/>
      <c r="P2417" s="86"/>
      <c r="Q2417" s="36"/>
      <c r="R2417" s="36"/>
      <c r="S2417" s="37"/>
      <c r="T2417" s="28"/>
      <c r="U2417" s="36"/>
      <c r="V2417" s="36"/>
      <c r="W2417" s="36"/>
      <c r="X2417" s="28"/>
      <c r="Y2417" s="28"/>
      <c r="Z2417" s="49"/>
    </row>
    <row r="2418" spans="1:26" s="29" customFormat="1" ht="90.75" customHeight="1" x14ac:dyDescent="0.25">
      <c r="A2418" s="20"/>
      <c r="B2418" s="20"/>
      <c r="C2418" s="20"/>
      <c r="D2418" s="21"/>
      <c r="E2418" s="21"/>
      <c r="F2418" s="22"/>
      <c r="G2418" s="23"/>
      <c r="H2418" s="36"/>
      <c r="I2418" s="40"/>
      <c r="J2418" s="28"/>
      <c r="K2418" s="37">
        <v>1</v>
      </c>
      <c r="L2418" s="31" t="s">
        <v>215</v>
      </c>
      <c r="M2418" s="32" t="s">
        <v>13</v>
      </c>
      <c r="N2418" s="33">
        <v>2</v>
      </c>
      <c r="O2418" s="82">
        <v>252</v>
      </c>
      <c r="P2418" s="86">
        <v>100</v>
      </c>
      <c r="Q2418" s="36">
        <v>6450</v>
      </c>
      <c r="R2418" s="36">
        <f>(O2418*Q2418)</f>
        <v>1625400</v>
      </c>
      <c r="S2418" s="37">
        <v>27</v>
      </c>
      <c r="T2418" s="28">
        <f>(R2418*44/100)</f>
        <v>715176</v>
      </c>
      <c r="U2418" s="36">
        <f>(R2418-T2418)</f>
        <v>910224</v>
      </c>
      <c r="V2418" s="36"/>
      <c r="W2418" s="36"/>
      <c r="X2418" s="28"/>
      <c r="Y2418" s="28"/>
      <c r="Z2418" s="20"/>
    </row>
    <row r="2419" spans="1:26" s="29" customFormat="1" ht="90.75" customHeight="1" x14ac:dyDescent="0.25">
      <c r="A2419" s="20"/>
      <c r="B2419" s="20"/>
      <c r="C2419" s="20"/>
      <c r="D2419" s="21"/>
      <c r="E2419" s="21"/>
      <c r="F2419" s="22"/>
      <c r="G2419" s="23"/>
      <c r="H2419" s="36"/>
      <c r="I2419" s="40"/>
      <c r="J2419" s="28"/>
      <c r="K2419" s="37">
        <v>3</v>
      </c>
      <c r="L2419" s="31" t="s">
        <v>31</v>
      </c>
      <c r="M2419" s="32" t="s">
        <v>46</v>
      </c>
      <c r="N2419" s="33">
        <v>2</v>
      </c>
      <c r="O2419" s="82">
        <v>64</v>
      </c>
      <c r="P2419" s="86">
        <v>100</v>
      </c>
      <c r="Q2419" s="36">
        <v>2550</v>
      </c>
      <c r="R2419" s="36">
        <f t="shared" ref="R2419:R2421" si="440">(O2419*Q2419)</f>
        <v>163200</v>
      </c>
      <c r="S2419" s="37">
        <v>3</v>
      </c>
      <c r="T2419" s="28">
        <f>(R2419*3/100)</f>
        <v>4896</v>
      </c>
      <c r="U2419" s="36">
        <f t="shared" ref="U2419:U2421" si="441">(R2419-T2419)</f>
        <v>158304</v>
      </c>
      <c r="V2419" s="36"/>
      <c r="W2419" s="36"/>
      <c r="X2419" s="28"/>
      <c r="Y2419" s="28"/>
      <c r="Z2419" s="20"/>
    </row>
    <row r="2420" spans="1:26" s="29" customFormat="1" ht="90.75" customHeight="1" x14ac:dyDescent="0.25">
      <c r="A2420" s="20"/>
      <c r="B2420" s="20"/>
      <c r="C2420" s="20"/>
      <c r="D2420" s="21"/>
      <c r="E2420" s="21"/>
      <c r="F2420" s="22"/>
      <c r="G2420" s="23"/>
      <c r="H2420" s="36"/>
      <c r="I2420" s="40"/>
      <c r="J2420" s="28"/>
      <c r="K2420" s="37"/>
      <c r="L2420" s="31"/>
      <c r="M2420" s="32"/>
      <c r="N2420" s="33"/>
      <c r="O2420" s="82"/>
      <c r="P2420" s="86"/>
      <c r="Q2420" s="36"/>
      <c r="R2420" s="36"/>
      <c r="S2420" s="37"/>
      <c r="T2420" s="28"/>
      <c r="U2420" s="36">
        <f>SUM(U2418:U2419)</f>
        <v>1068528</v>
      </c>
      <c r="V2420" s="36">
        <f>(J2417+U2420)</f>
        <v>1078102</v>
      </c>
      <c r="W2420" s="36">
        <f>(V2420*100/100)</f>
        <v>1078102</v>
      </c>
      <c r="X2420" s="28">
        <v>50000000</v>
      </c>
      <c r="Y2420" s="28">
        <v>0</v>
      </c>
      <c r="Z2420" s="49">
        <v>2.0000000000000001E-4</v>
      </c>
    </row>
    <row r="2421" spans="1:26" s="29" customFormat="1" ht="90.75" customHeight="1" x14ac:dyDescent="0.25">
      <c r="A2421" s="20"/>
      <c r="B2421" s="20"/>
      <c r="C2421" s="20"/>
      <c r="D2421" s="21"/>
      <c r="E2421" s="21"/>
      <c r="F2421" s="22"/>
      <c r="G2421" s="23"/>
      <c r="H2421" s="36">
        <f>(O2421*0.25)</f>
        <v>19.125</v>
      </c>
      <c r="I2421" s="40">
        <v>200</v>
      </c>
      <c r="J2421" s="28">
        <f t="shared" ref="J2421" si="442">(H2421*I2421)</f>
        <v>3825</v>
      </c>
      <c r="K2421" s="37">
        <v>2</v>
      </c>
      <c r="L2421" s="31" t="s">
        <v>108</v>
      </c>
      <c r="M2421" s="32"/>
      <c r="N2421" s="33">
        <v>3</v>
      </c>
      <c r="O2421" s="82">
        <v>76.5</v>
      </c>
      <c r="P2421" s="86">
        <v>100</v>
      </c>
      <c r="Q2421" s="36">
        <v>5550</v>
      </c>
      <c r="R2421" s="36">
        <f t="shared" si="440"/>
        <v>424575</v>
      </c>
      <c r="S2421" s="37">
        <v>27</v>
      </c>
      <c r="T2421" s="28">
        <f>(R2421*44/100)</f>
        <v>186813</v>
      </c>
      <c r="U2421" s="36">
        <f t="shared" si="441"/>
        <v>237762</v>
      </c>
      <c r="V2421" s="36">
        <f>(J2421+U2421)</f>
        <v>241587</v>
      </c>
      <c r="W2421" s="36">
        <f>(V2421*100/100)</f>
        <v>241587</v>
      </c>
      <c r="X2421" s="28">
        <v>0</v>
      </c>
      <c r="Y2421" s="28">
        <f>(W2421-X2421)</f>
        <v>241587</v>
      </c>
      <c r="Z2421" s="49">
        <v>3.0000000000000001E-3</v>
      </c>
    </row>
    <row r="2422" spans="1:26" s="29" customFormat="1" ht="90.75" customHeight="1" x14ac:dyDescent="0.25">
      <c r="A2422" s="20">
        <v>1339</v>
      </c>
      <c r="B2422" s="20" t="s">
        <v>0</v>
      </c>
      <c r="C2422" s="20">
        <v>20445</v>
      </c>
      <c r="D2422" s="21">
        <v>0</v>
      </c>
      <c r="E2422" s="21">
        <v>2</v>
      </c>
      <c r="F2422" s="22">
        <v>29</v>
      </c>
      <c r="G2422" s="23" t="s">
        <v>209</v>
      </c>
      <c r="H2422" s="36">
        <f t="shared" ref="H2422" si="443">(D2422*400)+(E2422*100)+F2422</f>
        <v>229</v>
      </c>
      <c r="I2422" s="25" t="s">
        <v>78</v>
      </c>
      <c r="J2422" s="28">
        <f>(H2422*I2422)</f>
        <v>200375</v>
      </c>
      <c r="K2422" s="20"/>
      <c r="L2422" s="20"/>
      <c r="M2422" s="20"/>
      <c r="N2422" s="20"/>
      <c r="O2422" s="24"/>
      <c r="P2422" s="24"/>
      <c r="Q2422" s="25"/>
      <c r="R2422" s="36"/>
      <c r="S2422" s="20"/>
      <c r="T2422" s="28"/>
      <c r="U2422" s="80"/>
      <c r="V2422" s="20"/>
      <c r="W2422" s="26"/>
      <c r="X2422" s="27"/>
      <c r="Y2422" s="20"/>
      <c r="Z2422" s="20"/>
    </row>
    <row r="2423" spans="1:26" s="29" customFormat="1" ht="90.75" customHeight="1" x14ac:dyDescent="0.25">
      <c r="A2423" s="20"/>
      <c r="B2423" s="20"/>
      <c r="C2423" s="20"/>
      <c r="D2423" s="21"/>
      <c r="E2423" s="21"/>
      <c r="F2423" s="22"/>
      <c r="G2423" s="23"/>
      <c r="H2423" s="24">
        <v>214.3</v>
      </c>
      <c r="I2423" s="25" t="s">
        <v>78</v>
      </c>
      <c r="J2423" s="28">
        <f>(H2423*I2423)</f>
        <v>187512.5</v>
      </c>
      <c r="K2423" s="20">
        <v>1</v>
      </c>
      <c r="L2423" s="20" t="s">
        <v>16</v>
      </c>
      <c r="M2423" s="20" t="s">
        <v>13</v>
      </c>
      <c r="N2423" s="20">
        <v>5</v>
      </c>
      <c r="O2423" s="24">
        <v>80</v>
      </c>
      <c r="P2423" s="24">
        <v>100</v>
      </c>
      <c r="Q2423" s="25">
        <v>6450</v>
      </c>
      <c r="R2423" s="36">
        <f>(O2423*Q2423)</f>
        <v>516000</v>
      </c>
      <c r="S2423" s="20">
        <v>7</v>
      </c>
      <c r="T2423" s="28">
        <f>(R2423*7/100)</f>
        <v>36120</v>
      </c>
      <c r="U2423" s="80">
        <f>(R2423-T2423)</f>
        <v>479880</v>
      </c>
      <c r="V2423" s="80">
        <f>(J2423+U2423)</f>
        <v>667392.5</v>
      </c>
      <c r="W2423" s="26">
        <f>(V2423*100/100)</f>
        <v>667392.5</v>
      </c>
      <c r="X2423" s="27"/>
      <c r="Y2423" s="20"/>
      <c r="Z2423" s="20"/>
    </row>
    <row r="2424" spans="1:26" s="29" customFormat="1" ht="90.75" customHeight="1" x14ac:dyDescent="0.25">
      <c r="A2424" s="20"/>
      <c r="B2424" s="20"/>
      <c r="C2424" s="20"/>
      <c r="D2424" s="21"/>
      <c r="E2424" s="21"/>
      <c r="F2424" s="22"/>
      <c r="G2424" s="23"/>
      <c r="H2424" s="24"/>
      <c r="I2424" s="25"/>
      <c r="J2424" s="24"/>
      <c r="K2424" s="20"/>
      <c r="L2424" s="20"/>
      <c r="M2424" s="20"/>
      <c r="N2424" s="20"/>
      <c r="O2424" s="24">
        <v>47</v>
      </c>
      <c r="P2424" s="24">
        <v>58.75</v>
      </c>
      <c r="Q2424" s="25"/>
      <c r="R2424" s="24"/>
      <c r="S2424" s="20"/>
      <c r="T2424" s="27"/>
      <c r="U2424" s="20"/>
      <c r="V2424" s="20"/>
      <c r="W2424" s="26">
        <f>(W2423*58.75/100)</f>
        <v>392093.09375</v>
      </c>
      <c r="X2424" s="28">
        <v>50000000</v>
      </c>
      <c r="Y2424" s="28">
        <v>0</v>
      </c>
      <c r="Z2424" s="49">
        <v>2.0000000000000001E-4</v>
      </c>
    </row>
    <row r="2425" spans="1:26" s="29" customFormat="1" ht="90.75" customHeight="1" x14ac:dyDescent="0.25">
      <c r="A2425" s="20"/>
      <c r="B2425" s="20"/>
      <c r="C2425" s="20"/>
      <c r="D2425" s="21"/>
      <c r="E2425" s="21"/>
      <c r="F2425" s="22"/>
      <c r="G2425" s="23"/>
      <c r="H2425" s="24"/>
      <c r="I2425" s="25"/>
      <c r="J2425" s="24"/>
      <c r="K2425" s="20"/>
      <c r="L2425" s="20"/>
      <c r="M2425" s="20"/>
      <c r="N2425" s="20"/>
      <c r="O2425" s="24">
        <v>33</v>
      </c>
      <c r="P2425" s="24">
        <v>41.25</v>
      </c>
      <c r="Q2425" s="25"/>
      <c r="R2425" s="24"/>
      <c r="S2425" s="20"/>
      <c r="T2425" s="27"/>
      <c r="U2425" s="20"/>
      <c r="V2425" s="20"/>
      <c r="W2425" s="26">
        <f>(W2423*41.25/100)</f>
        <v>275299.40625</v>
      </c>
      <c r="X2425" s="28">
        <v>0</v>
      </c>
      <c r="Y2425" s="28">
        <f>(W2425-X2425)</f>
        <v>275299.40625</v>
      </c>
      <c r="Z2425" s="49">
        <v>3.0000000000000001E-3</v>
      </c>
    </row>
    <row r="2426" spans="1:26" s="29" customFormat="1" ht="90.75" customHeight="1" x14ac:dyDescent="0.25">
      <c r="A2426" s="20"/>
      <c r="B2426" s="20"/>
      <c r="C2426" s="20"/>
      <c r="D2426" s="21"/>
      <c r="E2426" s="21"/>
      <c r="F2426" s="22"/>
      <c r="G2426" s="23"/>
      <c r="H2426" s="24">
        <v>5.7</v>
      </c>
      <c r="I2426" s="25" t="s">
        <v>78</v>
      </c>
      <c r="J2426" s="28">
        <f t="shared" ref="J2426:J2427" si="444">(H2426*I2426)</f>
        <v>4987.5</v>
      </c>
      <c r="K2426" s="20">
        <v>2</v>
      </c>
      <c r="L2426" s="20" t="s">
        <v>29</v>
      </c>
      <c r="M2426" s="20" t="s">
        <v>13</v>
      </c>
      <c r="N2426" s="20">
        <v>3</v>
      </c>
      <c r="O2426" s="24">
        <v>22.8</v>
      </c>
      <c r="P2426" s="24">
        <v>100</v>
      </c>
      <c r="Q2426" s="25">
        <v>5550</v>
      </c>
      <c r="R2426" s="36">
        <f t="shared" ref="R2426:R2427" si="445">(O2426*Q2426)</f>
        <v>126540</v>
      </c>
      <c r="S2426" s="37">
        <v>1</v>
      </c>
      <c r="T2426" s="28">
        <f>(R2426*1/100)</f>
        <v>1265.4000000000001</v>
      </c>
      <c r="U2426" s="36">
        <f t="shared" ref="U2426:U2427" si="446">(R2426-T2426)</f>
        <v>125274.6</v>
      </c>
      <c r="V2426" s="36">
        <f>(J2426+U2426)</f>
        <v>130262.1</v>
      </c>
      <c r="W2426" s="36">
        <f>(V2426*100/100)</f>
        <v>130262.1</v>
      </c>
      <c r="X2426" s="28">
        <v>0</v>
      </c>
      <c r="Y2426" s="28">
        <f>(W2426-X2426)</f>
        <v>130262.1</v>
      </c>
      <c r="Z2426" s="49">
        <v>3.0000000000000001E-3</v>
      </c>
    </row>
    <row r="2427" spans="1:26" s="29" customFormat="1" ht="90.75" customHeight="1" x14ac:dyDescent="0.25">
      <c r="A2427" s="20"/>
      <c r="B2427" s="20"/>
      <c r="C2427" s="20"/>
      <c r="D2427" s="21"/>
      <c r="E2427" s="21"/>
      <c r="F2427" s="22"/>
      <c r="G2427" s="23"/>
      <c r="H2427" s="24">
        <v>9</v>
      </c>
      <c r="I2427" s="25" t="s">
        <v>78</v>
      </c>
      <c r="J2427" s="28">
        <f t="shared" si="444"/>
        <v>7875</v>
      </c>
      <c r="K2427" s="20">
        <v>3</v>
      </c>
      <c r="L2427" s="20" t="s">
        <v>29</v>
      </c>
      <c r="M2427" s="20" t="s">
        <v>13</v>
      </c>
      <c r="N2427" s="20">
        <v>3</v>
      </c>
      <c r="O2427" s="24">
        <v>36</v>
      </c>
      <c r="P2427" s="24">
        <v>100</v>
      </c>
      <c r="Q2427" s="25">
        <v>5550</v>
      </c>
      <c r="R2427" s="36">
        <f t="shared" si="445"/>
        <v>199800</v>
      </c>
      <c r="S2427" s="37">
        <v>1</v>
      </c>
      <c r="T2427" s="28">
        <f>(R2427*1/100)</f>
        <v>1998</v>
      </c>
      <c r="U2427" s="36">
        <f t="shared" si="446"/>
        <v>197802</v>
      </c>
      <c r="V2427" s="36">
        <f>(J2427+U2427)</f>
        <v>205677</v>
      </c>
      <c r="W2427" s="36">
        <f>(V2427*100/100)</f>
        <v>205677</v>
      </c>
      <c r="X2427" s="28">
        <v>0</v>
      </c>
      <c r="Y2427" s="28">
        <f>(W2427-X2427)</f>
        <v>205677</v>
      </c>
      <c r="Z2427" s="49">
        <v>3.0000000000000001E-3</v>
      </c>
    </row>
    <row r="2428" spans="1:26" s="29" customFormat="1" ht="90.75" customHeight="1" x14ac:dyDescent="0.25">
      <c r="A2428" s="20">
        <v>1340</v>
      </c>
      <c r="B2428" s="20" t="s">
        <v>0</v>
      </c>
      <c r="C2428" s="20">
        <v>20379</v>
      </c>
      <c r="D2428" s="21">
        <v>0</v>
      </c>
      <c r="E2428" s="21">
        <v>2</v>
      </c>
      <c r="F2428" s="22">
        <v>81</v>
      </c>
      <c r="G2428" s="23" t="s">
        <v>210</v>
      </c>
      <c r="H2428" s="36">
        <f t="shared" ref="H2428" si="447">(D2428*400)+(E2428*100)+F2428</f>
        <v>281</v>
      </c>
      <c r="I2428" s="25" t="s">
        <v>32</v>
      </c>
      <c r="J2428" s="28">
        <f>(H2428*I2428)</f>
        <v>56200</v>
      </c>
      <c r="K2428" s="20"/>
      <c r="L2428" s="20"/>
      <c r="M2428" s="20"/>
      <c r="N2428" s="20"/>
      <c r="O2428" s="24"/>
      <c r="P2428" s="24"/>
      <c r="Q2428" s="25"/>
      <c r="R2428" s="24"/>
      <c r="S2428" s="20"/>
      <c r="T2428" s="27"/>
      <c r="U2428" s="20"/>
      <c r="V2428" s="27">
        <f>(J2428+U2428)</f>
        <v>56200</v>
      </c>
      <c r="W2428" s="26">
        <f>(V2428*100/100)</f>
        <v>56200</v>
      </c>
      <c r="X2428" s="28">
        <v>0</v>
      </c>
      <c r="Y2428" s="28">
        <f>(W2428-X2428)</f>
        <v>56200</v>
      </c>
      <c r="Z2428" s="49">
        <v>3.0000000000000001E-3</v>
      </c>
    </row>
    <row r="2429" spans="1:26" s="29" customFormat="1" ht="90.75" customHeight="1" x14ac:dyDescent="0.25">
      <c r="A2429" s="20">
        <v>1341</v>
      </c>
      <c r="B2429" s="20" t="s">
        <v>0</v>
      </c>
      <c r="C2429" s="20">
        <v>30996</v>
      </c>
      <c r="D2429" s="21">
        <v>1</v>
      </c>
      <c r="E2429" s="21">
        <v>1</v>
      </c>
      <c r="F2429" s="22">
        <v>23</v>
      </c>
      <c r="G2429" s="23" t="s">
        <v>211</v>
      </c>
      <c r="H2429" s="36">
        <f>(D2429*400)+(E2429*100)+F2429</f>
        <v>523</v>
      </c>
      <c r="I2429" s="40">
        <v>750</v>
      </c>
      <c r="J2429" s="28">
        <f>(H2429*I2429)</f>
        <v>392250</v>
      </c>
      <c r="K2429" s="37">
        <v>1</v>
      </c>
      <c r="L2429" s="31" t="s">
        <v>215</v>
      </c>
      <c r="M2429" s="31" t="s">
        <v>13</v>
      </c>
      <c r="N2429" s="41">
        <v>5</v>
      </c>
      <c r="O2429" s="48">
        <v>102</v>
      </c>
      <c r="P2429" s="43">
        <v>100</v>
      </c>
      <c r="Q2429" s="48">
        <v>6450</v>
      </c>
      <c r="R2429" s="48">
        <f>(O2429*Q2429)</f>
        <v>657900</v>
      </c>
      <c r="S2429" s="31">
        <v>7</v>
      </c>
      <c r="T2429" s="28">
        <f>(R2429*7/100)</f>
        <v>46053</v>
      </c>
      <c r="U2429" s="36">
        <f>(R2429-T2429)</f>
        <v>611847</v>
      </c>
      <c r="V2429" s="36">
        <f>(J2429+U2429)</f>
        <v>1004097</v>
      </c>
      <c r="W2429" s="36">
        <f>(V2429*100/100)</f>
        <v>1004097</v>
      </c>
      <c r="X2429" s="28"/>
      <c r="Y2429" s="28"/>
      <c r="Z2429" s="20"/>
    </row>
    <row r="2430" spans="1:26" s="29" customFormat="1" ht="90.75" customHeight="1" x14ac:dyDescent="0.25">
      <c r="A2430" s="20"/>
      <c r="B2430" s="20"/>
      <c r="C2430" s="20"/>
      <c r="D2430" s="21"/>
      <c r="E2430" s="21"/>
      <c r="F2430" s="22"/>
      <c r="G2430" s="23"/>
      <c r="H2430" s="36"/>
      <c r="I2430" s="40"/>
      <c r="J2430" s="28"/>
      <c r="K2430" s="37"/>
      <c r="L2430" s="31"/>
      <c r="M2430" s="31"/>
      <c r="N2430" s="41"/>
      <c r="O2430" s="48">
        <v>80.75</v>
      </c>
      <c r="P2430" s="43">
        <v>79.17</v>
      </c>
      <c r="Q2430" s="48"/>
      <c r="R2430" s="48"/>
      <c r="S2430" s="31"/>
      <c r="T2430" s="28"/>
      <c r="U2430" s="36"/>
      <c r="V2430" s="36"/>
      <c r="W2430" s="36">
        <f>(W2429*79.17/100)</f>
        <v>794943.59489999991</v>
      </c>
      <c r="X2430" s="28">
        <v>50000000</v>
      </c>
      <c r="Y2430" s="28">
        <v>0</v>
      </c>
      <c r="Z2430" s="49">
        <v>2.0000000000000001E-4</v>
      </c>
    </row>
    <row r="2431" spans="1:26" s="29" customFormat="1" ht="90.75" customHeight="1" x14ac:dyDescent="0.25">
      <c r="A2431" s="20"/>
      <c r="B2431" s="20"/>
      <c r="C2431" s="20"/>
      <c r="D2431" s="21"/>
      <c r="E2431" s="21"/>
      <c r="F2431" s="22"/>
      <c r="G2431" s="23"/>
      <c r="H2431" s="36"/>
      <c r="I2431" s="40"/>
      <c r="J2431" s="28"/>
      <c r="K2431" s="37"/>
      <c r="L2431" s="31"/>
      <c r="M2431" s="31"/>
      <c r="N2431" s="41"/>
      <c r="O2431" s="48">
        <v>21.25</v>
      </c>
      <c r="P2431" s="43">
        <v>20.83</v>
      </c>
      <c r="Q2431" s="48"/>
      <c r="R2431" s="48"/>
      <c r="S2431" s="31"/>
      <c r="T2431" s="28"/>
      <c r="U2431" s="36"/>
      <c r="V2431" s="36"/>
      <c r="W2431" s="36">
        <f>(W2429*20.83/100)</f>
        <v>209153.40509999997</v>
      </c>
      <c r="X2431" s="28">
        <v>0</v>
      </c>
      <c r="Y2431" s="28">
        <f>(W2431-X2431)</f>
        <v>209153.40509999997</v>
      </c>
      <c r="Z2431" s="49">
        <v>3.0000000000000001E-3</v>
      </c>
    </row>
    <row r="2432" spans="1:26" s="29" customFormat="1" ht="90.75" customHeight="1" x14ac:dyDescent="0.25">
      <c r="A2432" s="20">
        <v>1342</v>
      </c>
      <c r="B2432" s="20" t="s">
        <v>0</v>
      </c>
      <c r="C2432" s="20">
        <v>46927</v>
      </c>
      <c r="D2432" s="21">
        <v>0</v>
      </c>
      <c r="E2432" s="21">
        <v>1</v>
      </c>
      <c r="F2432" s="22">
        <v>88</v>
      </c>
      <c r="G2432" s="23" t="s">
        <v>211</v>
      </c>
      <c r="H2432" s="36">
        <f t="shared" ref="H2432" si="448">(D2432*400)+(E2432*100)+F2432</f>
        <v>188</v>
      </c>
      <c r="I2432" s="25" t="s">
        <v>78</v>
      </c>
      <c r="J2432" s="28">
        <f>(H2432*I2432)</f>
        <v>164500</v>
      </c>
      <c r="K2432" s="20"/>
      <c r="L2432" s="20"/>
      <c r="M2432" s="20"/>
      <c r="N2432" s="20"/>
      <c r="O2432" s="24"/>
      <c r="P2432" s="24"/>
      <c r="Q2432" s="25"/>
      <c r="R2432" s="24"/>
      <c r="S2432" s="20"/>
      <c r="T2432" s="27"/>
      <c r="U2432" s="20"/>
      <c r="V2432" s="20"/>
      <c r="W2432" s="26"/>
      <c r="X2432" s="27"/>
      <c r="Y2432" s="20"/>
      <c r="Z2432" s="20"/>
    </row>
    <row r="2433" spans="1:26" s="29" customFormat="1" ht="90.75" customHeight="1" x14ac:dyDescent="0.25">
      <c r="A2433" s="20"/>
      <c r="B2433" s="20"/>
      <c r="C2433" s="20"/>
      <c r="D2433" s="21"/>
      <c r="E2433" s="21"/>
      <c r="F2433" s="22"/>
      <c r="G2433" s="23"/>
      <c r="H2433" s="36">
        <v>166</v>
      </c>
      <c r="I2433" s="40">
        <v>875</v>
      </c>
      <c r="J2433" s="28">
        <f t="shared" ref="J2433" si="449">(H2433*I2433)</f>
        <v>145250</v>
      </c>
      <c r="K2433" s="30"/>
      <c r="L2433" s="31"/>
      <c r="M2433" s="31"/>
      <c r="N2433" s="41"/>
      <c r="O2433" s="42"/>
      <c r="P2433" s="35"/>
      <c r="Q2433" s="36"/>
      <c r="R2433" s="36"/>
      <c r="S2433" s="37"/>
      <c r="T2433" s="28"/>
      <c r="U2433" s="36"/>
      <c r="V2433" s="36"/>
      <c r="W2433" s="36"/>
      <c r="X2433" s="28"/>
      <c r="Y2433" s="28"/>
      <c r="Z2433" s="20"/>
    </row>
    <row r="2434" spans="1:26" s="29" customFormat="1" ht="90.75" customHeight="1" x14ac:dyDescent="0.25">
      <c r="A2434" s="20"/>
      <c r="B2434" s="20"/>
      <c r="C2434" s="20"/>
      <c r="D2434" s="21"/>
      <c r="E2434" s="21"/>
      <c r="F2434" s="22"/>
      <c r="G2434" s="23"/>
      <c r="H2434" s="36"/>
      <c r="I2434" s="40"/>
      <c r="J2434" s="28"/>
      <c r="K2434" s="30">
        <v>1</v>
      </c>
      <c r="L2434" s="31" t="s">
        <v>215</v>
      </c>
      <c r="M2434" s="31" t="s">
        <v>13</v>
      </c>
      <c r="N2434" s="41">
        <v>2</v>
      </c>
      <c r="O2434" s="42">
        <v>88</v>
      </c>
      <c r="P2434" s="35">
        <v>100</v>
      </c>
      <c r="Q2434" s="36">
        <v>6450</v>
      </c>
      <c r="R2434" s="36">
        <f>(O2434*Q2434)</f>
        <v>567600</v>
      </c>
      <c r="S2434" s="37">
        <v>22</v>
      </c>
      <c r="T2434" s="28">
        <f>(R2434*34/100)</f>
        <v>192984</v>
      </c>
      <c r="U2434" s="36">
        <f>(R2434-T2434)</f>
        <v>374616</v>
      </c>
      <c r="V2434" s="36"/>
      <c r="W2434" s="36"/>
      <c r="X2434" s="28"/>
      <c r="Y2434" s="28"/>
      <c r="Z2434" s="20"/>
    </row>
    <row r="2435" spans="1:26" s="29" customFormat="1" ht="90.75" customHeight="1" x14ac:dyDescent="0.25">
      <c r="A2435" s="20"/>
      <c r="B2435" s="20"/>
      <c r="C2435" s="20"/>
      <c r="D2435" s="21"/>
      <c r="E2435" s="21"/>
      <c r="F2435" s="22"/>
      <c r="G2435" s="23"/>
      <c r="H2435" s="36"/>
      <c r="I2435" s="40"/>
      <c r="J2435" s="28"/>
      <c r="K2435" s="30">
        <v>2</v>
      </c>
      <c r="L2435" s="31" t="s">
        <v>31</v>
      </c>
      <c r="M2435" s="31"/>
      <c r="N2435" s="41">
        <v>3</v>
      </c>
      <c r="O2435" s="42">
        <v>44</v>
      </c>
      <c r="P2435" s="35">
        <v>100</v>
      </c>
      <c r="Q2435" s="36">
        <v>2550</v>
      </c>
      <c r="R2435" s="36">
        <f>(O2435*Q2435)</f>
        <v>112200</v>
      </c>
      <c r="S2435" s="37">
        <v>22</v>
      </c>
      <c r="T2435" s="28">
        <f>(R2435*34/100)</f>
        <v>38148</v>
      </c>
      <c r="U2435" s="36">
        <f>(R2435-T2435)</f>
        <v>74052</v>
      </c>
      <c r="V2435" s="36"/>
      <c r="W2435" s="36"/>
      <c r="X2435" s="28"/>
      <c r="Y2435" s="28"/>
      <c r="Z2435" s="20"/>
    </row>
    <row r="2436" spans="1:26" s="29" customFormat="1" ht="90.75" customHeight="1" x14ac:dyDescent="0.25">
      <c r="A2436" s="20"/>
      <c r="B2436" s="20"/>
      <c r="C2436" s="20"/>
      <c r="D2436" s="21"/>
      <c r="E2436" s="21"/>
      <c r="F2436" s="22"/>
      <c r="G2436" s="23"/>
      <c r="H2436" s="36"/>
      <c r="I2436" s="40"/>
      <c r="J2436" s="28"/>
      <c r="K2436" s="30"/>
      <c r="L2436" s="31"/>
      <c r="M2436" s="31"/>
      <c r="N2436" s="41"/>
      <c r="O2436" s="42"/>
      <c r="P2436" s="35"/>
      <c r="Q2436" s="36"/>
      <c r="R2436" s="36"/>
      <c r="S2436" s="37"/>
      <c r="T2436" s="28"/>
      <c r="U2436" s="36">
        <f>(U2434+U2435)</f>
        <v>448668</v>
      </c>
      <c r="V2436" s="36">
        <f>(J2433+U2436)</f>
        <v>593918</v>
      </c>
      <c r="W2436" s="36">
        <f>(V2436*100/100)</f>
        <v>593918</v>
      </c>
      <c r="X2436" s="28">
        <v>50000000</v>
      </c>
      <c r="Y2436" s="28">
        <v>0</v>
      </c>
      <c r="Z2436" s="49">
        <v>2.0000000000000001E-4</v>
      </c>
    </row>
    <row r="2437" spans="1:26" s="29" customFormat="1" ht="90.75" customHeight="1" x14ac:dyDescent="0.25">
      <c r="A2437" s="20"/>
      <c r="B2437" s="20"/>
      <c r="C2437" s="20"/>
      <c r="D2437" s="21"/>
      <c r="E2437" s="21"/>
      <c r="F2437" s="22"/>
      <c r="G2437" s="23"/>
      <c r="H2437" s="36">
        <v>22</v>
      </c>
      <c r="I2437" s="40">
        <v>875</v>
      </c>
      <c r="J2437" s="28">
        <f>(H2437*I2437)</f>
        <v>19250</v>
      </c>
      <c r="K2437" s="30">
        <v>3</v>
      </c>
      <c r="L2437" s="31" t="s">
        <v>31</v>
      </c>
      <c r="M2437" s="31"/>
      <c r="N2437" s="41">
        <v>3</v>
      </c>
      <c r="O2437" s="42">
        <v>88</v>
      </c>
      <c r="P2437" s="35">
        <v>100</v>
      </c>
      <c r="Q2437" s="36">
        <v>2550</v>
      </c>
      <c r="R2437" s="36">
        <f>(O2437*Q2437)</f>
        <v>224400</v>
      </c>
      <c r="S2437" s="37">
        <v>10</v>
      </c>
      <c r="T2437" s="28">
        <f>(R2437*10/100)</f>
        <v>22440</v>
      </c>
      <c r="U2437" s="36">
        <f>(R2437-T2437)</f>
        <v>201960</v>
      </c>
      <c r="V2437" s="36">
        <f>(J2437+U2437)</f>
        <v>221210</v>
      </c>
      <c r="W2437" s="36">
        <f>(V2437)</f>
        <v>221210</v>
      </c>
      <c r="X2437" s="28">
        <v>0</v>
      </c>
      <c r="Y2437" s="28">
        <f>(W2437-X2437)</f>
        <v>221210</v>
      </c>
      <c r="Z2437" s="49">
        <v>3.0000000000000001E-3</v>
      </c>
    </row>
    <row r="2438" spans="1:26" s="29" customFormat="1" ht="90.75" customHeight="1" x14ac:dyDescent="0.25">
      <c r="A2438" s="20">
        <v>1343</v>
      </c>
      <c r="B2438" s="20" t="s">
        <v>0</v>
      </c>
      <c r="C2438" s="20">
        <v>46091</v>
      </c>
      <c r="D2438" s="21">
        <v>0</v>
      </c>
      <c r="E2438" s="21">
        <v>1</v>
      </c>
      <c r="F2438" s="22">
        <v>28</v>
      </c>
      <c r="G2438" s="23" t="s">
        <v>211</v>
      </c>
      <c r="H2438" s="36">
        <f t="shared" ref="H2438" si="450">(D2438*400)+(E2438*100)+F2438</f>
        <v>128</v>
      </c>
      <c r="I2438" s="25">
        <v>875</v>
      </c>
      <c r="J2438" s="28">
        <f>(H2438*I2438)</f>
        <v>112000</v>
      </c>
      <c r="K2438" s="20"/>
      <c r="L2438" s="20"/>
      <c r="M2438" s="20"/>
      <c r="N2438" s="20"/>
      <c r="O2438" s="24"/>
      <c r="P2438" s="24"/>
      <c r="Q2438" s="25"/>
      <c r="R2438" s="24"/>
      <c r="S2438" s="20"/>
      <c r="T2438" s="27"/>
      <c r="U2438" s="20"/>
      <c r="V2438" s="20"/>
      <c r="W2438" s="26"/>
      <c r="X2438" s="27"/>
      <c r="Y2438" s="20"/>
      <c r="Z2438" s="20"/>
    </row>
    <row r="2439" spans="1:26" s="29" customFormat="1" ht="90.75" customHeight="1" x14ac:dyDescent="0.25">
      <c r="A2439" s="20"/>
      <c r="B2439" s="20"/>
      <c r="C2439" s="20"/>
      <c r="D2439" s="21"/>
      <c r="E2439" s="21"/>
      <c r="F2439" s="22"/>
      <c r="G2439" s="23"/>
      <c r="H2439" s="36">
        <f>(O2439*0.25)</f>
        <v>35.36</v>
      </c>
      <c r="I2439" s="40">
        <v>875</v>
      </c>
      <c r="J2439" s="28">
        <f t="shared" ref="J2439:J2440" si="451">(H2439*I2439)</f>
        <v>30940</v>
      </c>
      <c r="K2439" s="37">
        <v>1</v>
      </c>
      <c r="L2439" s="31" t="s">
        <v>215</v>
      </c>
      <c r="M2439" s="31" t="s">
        <v>13</v>
      </c>
      <c r="N2439" s="41">
        <v>2</v>
      </c>
      <c r="O2439" s="42">
        <v>141.44</v>
      </c>
      <c r="P2439" s="35">
        <v>100</v>
      </c>
      <c r="Q2439" s="36">
        <v>6450</v>
      </c>
      <c r="R2439" s="36">
        <f>(O2439*Q2439)</f>
        <v>912288</v>
      </c>
      <c r="S2439" s="37">
        <v>4</v>
      </c>
      <c r="T2439" s="28">
        <f>(R2439*4/100)</f>
        <v>36491.519999999997</v>
      </c>
      <c r="U2439" s="36">
        <f>(R2439-T2439)</f>
        <v>875796.47999999998</v>
      </c>
      <c r="V2439" s="36">
        <f>(J2439+U2439)</f>
        <v>906736.48</v>
      </c>
      <c r="W2439" s="36">
        <f>(V2439*100/100)</f>
        <v>906736.48</v>
      </c>
      <c r="X2439" s="28">
        <v>50000000</v>
      </c>
      <c r="Y2439" s="28">
        <v>0</v>
      </c>
      <c r="Z2439" s="49">
        <v>2.0000000000000001E-4</v>
      </c>
    </row>
    <row r="2440" spans="1:26" s="29" customFormat="1" ht="90.75" customHeight="1" x14ac:dyDescent="0.25">
      <c r="A2440" s="20"/>
      <c r="B2440" s="20"/>
      <c r="C2440" s="20"/>
      <c r="D2440" s="21"/>
      <c r="E2440" s="21"/>
      <c r="F2440" s="22"/>
      <c r="G2440" s="23"/>
      <c r="H2440" s="36">
        <v>92.64</v>
      </c>
      <c r="I2440" s="40">
        <v>875</v>
      </c>
      <c r="J2440" s="28">
        <f t="shared" si="451"/>
        <v>81060</v>
      </c>
      <c r="K2440" s="37">
        <v>2</v>
      </c>
      <c r="L2440" s="31" t="s">
        <v>215</v>
      </c>
      <c r="M2440" s="31" t="s">
        <v>13</v>
      </c>
      <c r="N2440" s="41">
        <v>5</v>
      </c>
      <c r="O2440" s="42">
        <v>296.3</v>
      </c>
      <c r="P2440" s="35">
        <v>100</v>
      </c>
      <c r="Q2440" s="36">
        <v>6450</v>
      </c>
      <c r="R2440" s="36">
        <f>(O2440*Q2440)</f>
        <v>1911135</v>
      </c>
      <c r="S2440" s="37">
        <v>32</v>
      </c>
      <c r="T2440" s="28">
        <f>(R2440*54/100)</f>
        <v>1032012.9</v>
      </c>
      <c r="U2440" s="36">
        <f>(R2440-T2440)</f>
        <v>879122.1</v>
      </c>
      <c r="V2440" s="36">
        <f>(J2440+U2440)</f>
        <v>960182.1</v>
      </c>
      <c r="W2440" s="36">
        <f>(V2440)</f>
        <v>960182.1</v>
      </c>
      <c r="X2440" s="28"/>
      <c r="Y2440" s="28"/>
      <c r="Z2440" s="20"/>
    </row>
    <row r="2441" spans="1:26" s="29" customFormat="1" ht="90.75" customHeight="1" x14ac:dyDescent="0.25">
      <c r="A2441" s="20"/>
      <c r="B2441" s="20"/>
      <c r="C2441" s="20"/>
      <c r="D2441" s="21"/>
      <c r="E2441" s="21"/>
      <c r="F2441" s="22"/>
      <c r="G2441" s="23"/>
      <c r="H2441" s="36"/>
      <c r="I2441" s="40"/>
      <c r="J2441" s="28"/>
      <c r="K2441" s="37"/>
      <c r="L2441" s="31"/>
      <c r="M2441" s="31"/>
      <c r="N2441" s="41">
        <v>2</v>
      </c>
      <c r="O2441" s="42">
        <v>262.55</v>
      </c>
      <c r="P2441" s="35">
        <v>88.61</v>
      </c>
      <c r="Q2441" s="36"/>
      <c r="R2441" s="36"/>
      <c r="S2441" s="37"/>
      <c r="T2441" s="28"/>
      <c r="U2441" s="36"/>
      <c r="V2441" s="36"/>
      <c r="W2441" s="36">
        <f>(W2440*88.61/100)</f>
        <v>850817.35881000001</v>
      </c>
      <c r="X2441" s="28">
        <v>50000000</v>
      </c>
      <c r="Y2441" s="28">
        <v>0</v>
      </c>
      <c r="Z2441" s="49">
        <v>2.0000000000000001E-4</v>
      </c>
    </row>
    <row r="2442" spans="1:26" s="29" customFormat="1" ht="90.75" customHeight="1" x14ac:dyDescent="0.25">
      <c r="A2442" s="20"/>
      <c r="B2442" s="20"/>
      <c r="C2442" s="20"/>
      <c r="D2442" s="21"/>
      <c r="E2442" s="21"/>
      <c r="F2442" s="22"/>
      <c r="G2442" s="23"/>
      <c r="H2442" s="36"/>
      <c r="I2442" s="40"/>
      <c r="J2442" s="28"/>
      <c r="K2442" s="37"/>
      <c r="L2442" s="31"/>
      <c r="M2442" s="31"/>
      <c r="N2442" s="41">
        <v>3</v>
      </c>
      <c r="O2442" s="48">
        <v>33.75</v>
      </c>
      <c r="P2442" s="35">
        <v>11.39</v>
      </c>
      <c r="Q2442" s="36"/>
      <c r="R2442" s="36"/>
      <c r="S2442" s="37"/>
      <c r="T2442" s="28"/>
      <c r="U2442" s="36"/>
      <c r="V2442" s="36"/>
      <c r="W2442" s="36">
        <f>(W2440*11.39/100)</f>
        <v>109364.74119000002</v>
      </c>
      <c r="X2442" s="28">
        <v>0</v>
      </c>
      <c r="Y2442" s="28">
        <f>(W2442)</f>
        <v>109364.74119000002</v>
      </c>
      <c r="Z2442" s="49">
        <v>3.0000000000000001E-3</v>
      </c>
    </row>
    <row r="2443" spans="1:26" s="29" customFormat="1" ht="90.75" customHeight="1" x14ac:dyDescent="0.25">
      <c r="A2443" s="20">
        <v>1344</v>
      </c>
      <c r="B2443" s="20" t="s">
        <v>0</v>
      </c>
      <c r="C2443" s="20">
        <v>46092</v>
      </c>
      <c r="D2443" s="21">
        <v>0</v>
      </c>
      <c r="E2443" s="21">
        <v>2</v>
      </c>
      <c r="F2443" s="22">
        <v>70</v>
      </c>
      <c r="G2443" s="23" t="s">
        <v>210</v>
      </c>
      <c r="H2443" s="36">
        <f t="shared" ref="H2443:H2444" si="452">(D2443*400)+(E2443*100)+F2443</f>
        <v>270</v>
      </c>
      <c r="I2443" s="25" t="s">
        <v>87</v>
      </c>
      <c r="J2443" s="28">
        <f>(H2443*I2443)</f>
        <v>222750</v>
      </c>
      <c r="K2443" s="20"/>
      <c r="L2443" s="20"/>
      <c r="M2443" s="20"/>
      <c r="N2443" s="20"/>
      <c r="O2443" s="24"/>
      <c r="P2443" s="24"/>
      <c r="Q2443" s="25"/>
      <c r="R2443" s="24"/>
      <c r="S2443" s="20"/>
      <c r="T2443" s="27"/>
      <c r="U2443" s="20"/>
      <c r="V2443" s="27">
        <f>(J2443+U2443)</f>
        <v>222750</v>
      </c>
      <c r="W2443" s="26">
        <f>(V2443*100/100)</f>
        <v>222750</v>
      </c>
      <c r="X2443" s="28">
        <v>0</v>
      </c>
      <c r="Y2443" s="28">
        <f>(W2443-X2443)</f>
        <v>222750</v>
      </c>
      <c r="Z2443" s="49">
        <v>3.0000000000000001E-3</v>
      </c>
    </row>
    <row r="2444" spans="1:26" s="29" customFormat="1" ht="90.75" customHeight="1" x14ac:dyDescent="0.25">
      <c r="A2444" s="20">
        <v>1345</v>
      </c>
      <c r="B2444" s="20" t="s">
        <v>0</v>
      </c>
      <c r="C2444" s="20">
        <v>31015</v>
      </c>
      <c r="D2444" s="21">
        <v>0</v>
      </c>
      <c r="E2444" s="21">
        <v>0</v>
      </c>
      <c r="F2444" s="22">
        <v>93</v>
      </c>
      <c r="G2444" s="23" t="s">
        <v>211</v>
      </c>
      <c r="H2444" s="36">
        <f t="shared" si="452"/>
        <v>93</v>
      </c>
      <c r="I2444" s="25">
        <v>600</v>
      </c>
      <c r="J2444" s="28">
        <f>(H2444*I2444)</f>
        <v>55800</v>
      </c>
      <c r="K2444" s="20"/>
      <c r="L2444" s="20"/>
      <c r="M2444" s="20"/>
      <c r="N2444" s="20"/>
      <c r="O2444" s="24"/>
      <c r="P2444" s="24"/>
      <c r="Q2444" s="25"/>
      <c r="R2444" s="24"/>
      <c r="S2444" s="20"/>
      <c r="T2444" s="27"/>
      <c r="U2444" s="20"/>
      <c r="V2444" s="20"/>
      <c r="W2444" s="26"/>
      <c r="X2444" s="27"/>
      <c r="Y2444" s="20"/>
      <c r="Z2444" s="20"/>
    </row>
    <row r="2445" spans="1:26" s="29" customFormat="1" ht="90.75" customHeight="1" x14ac:dyDescent="0.25">
      <c r="A2445" s="20"/>
      <c r="B2445" s="20"/>
      <c r="C2445" s="20"/>
      <c r="D2445" s="21"/>
      <c r="E2445" s="21"/>
      <c r="F2445" s="22"/>
      <c r="G2445" s="23"/>
      <c r="H2445" s="36"/>
      <c r="I2445" s="25"/>
      <c r="J2445" s="28"/>
      <c r="K2445" s="20">
        <v>1</v>
      </c>
      <c r="L2445" s="20" t="s">
        <v>16</v>
      </c>
      <c r="M2445" s="20" t="s">
        <v>13</v>
      </c>
      <c r="N2445" s="20">
        <v>5</v>
      </c>
      <c r="O2445" s="24">
        <v>72</v>
      </c>
      <c r="P2445" s="24">
        <v>100</v>
      </c>
      <c r="Q2445" s="25">
        <v>6450</v>
      </c>
      <c r="R2445" s="36">
        <f>(O2445*Q2445)</f>
        <v>464400</v>
      </c>
      <c r="S2445" s="20">
        <v>30</v>
      </c>
      <c r="T2445" s="28">
        <f>(R2445*50/100)</f>
        <v>232200</v>
      </c>
      <c r="U2445" s="78">
        <f>(R2445-T2445)</f>
        <v>232200</v>
      </c>
      <c r="V2445" s="27">
        <f>(J2444+U2445)</f>
        <v>288000</v>
      </c>
      <c r="W2445" s="36">
        <f>(V2445*100/100)</f>
        <v>288000</v>
      </c>
      <c r="X2445" s="27"/>
      <c r="Y2445" s="20"/>
      <c r="Z2445" s="20"/>
    </row>
    <row r="2446" spans="1:26" s="29" customFormat="1" ht="90.75" customHeight="1" x14ac:dyDescent="0.25">
      <c r="A2446" s="20"/>
      <c r="B2446" s="20"/>
      <c r="C2446" s="20"/>
      <c r="D2446" s="21"/>
      <c r="E2446" s="21"/>
      <c r="F2446" s="22"/>
      <c r="G2446" s="23"/>
      <c r="H2446" s="36"/>
      <c r="I2446" s="25"/>
      <c r="J2446" s="28"/>
      <c r="K2446" s="20"/>
      <c r="L2446" s="20" t="s">
        <v>56</v>
      </c>
      <c r="M2446" s="20"/>
      <c r="N2446" s="20"/>
      <c r="O2446" s="24">
        <v>54</v>
      </c>
      <c r="P2446" s="24">
        <v>75</v>
      </c>
      <c r="Q2446" s="25"/>
      <c r="R2446" s="24"/>
      <c r="S2446" s="20"/>
      <c r="T2446" s="27"/>
      <c r="U2446" s="20"/>
      <c r="V2446" s="20"/>
      <c r="W2446" s="26">
        <f>(W2445*75/100)</f>
        <v>216000</v>
      </c>
      <c r="X2446" s="24">
        <v>10000000</v>
      </c>
      <c r="Y2446" s="28">
        <v>0</v>
      </c>
      <c r="Z2446" s="49">
        <v>2.0000000000000001E-4</v>
      </c>
    </row>
    <row r="2447" spans="1:26" s="29" customFormat="1" ht="90.75" customHeight="1" x14ac:dyDescent="0.25">
      <c r="A2447" s="20"/>
      <c r="B2447" s="20"/>
      <c r="C2447" s="20"/>
      <c r="D2447" s="21"/>
      <c r="E2447" s="21"/>
      <c r="F2447" s="22"/>
      <c r="G2447" s="23"/>
      <c r="H2447" s="24"/>
      <c r="I2447" s="25"/>
      <c r="J2447" s="24"/>
      <c r="K2447" s="20"/>
      <c r="L2447" s="20" t="s">
        <v>36</v>
      </c>
      <c r="M2447" s="20"/>
      <c r="N2447" s="20"/>
      <c r="O2447" s="24">
        <v>18</v>
      </c>
      <c r="P2447" s="24">
        <v>25</v>
      </c>
      <c r="Q2447" s="25"/>
      <c r="R2447" s="24"/>
      <c r="S2447" s="20"/>
      <c r="T2447" s="27"/>
      <c r="U2447" s="20"/>
      <c r="V2447" s="20"/>
      <c r="W2447" s="26">
        <f>(W2445*25/100)</f>
        <v>72000</v>
      </c>
      <c r="X2447" s="28">
        <v>0</v>
      </c>
      <c r="Y2447" s="28">
        <f>(W2447-X2447)</f>
        <v>72000</v>
      </c>
      <c r="Z2447" s="49">
        <v>3.0000000000000001E-3</v>
      </c>
    </row>
    <row r="2448" spans="1:26" s="29" customFormat="1" ht="90.75" customHeight="1" x14ac:dyDescent="0.25">
      <c r="A2448" s="20">
        <v>1346</v>
      </c>
      <c r="B2448" s="20" t="s">
        <v>0</v>
      </c>
      <c r="C2448" s="20">
        <v>37516</v>
      </c>
      <c r="D2448" s="21">
        <v>1</v>
      </c>
      <c r="E2448" s="21">
        <v>2</v>
      </c>
      <c r="F2448" s="22">
        <v>0</v>
      </c>
      <c r="G2448" s="23" t="s">
        <v>56</v>
      </c>
      <c r="H2448" s="36">
        <f t="shared" ref="H2448" si="453">(D2448*400)+(E2448*100)+F2448</f>
        <v>600</v>
      </c>
      <c r="I2448" s="25">
        <v>875</v>
      </c>
      <c r="J2448" s="28">
        <f>(H2448*I2448)</f>
        <v>525000</v>
      </c>
      <c r="K2448" s="37">
        <v>1</v>
      </c>
      <c r="L2448" s="20" t="s">
        <v>110</v>
      </c>
      <c r="M2448" s="37" t="s">
        <v>24</v>
      </c>
      <c r="N2448" s="30">
        <v>3</v>
      </c>
      <c r="O2448" s="77">
        <v>285</v>
      </c>
      <c r="P2448" s="86">
        <v>100</v>
      </c>
      <c r="Q2448" s="77">
        <v>7750</v>
      </c>
      <c r="R2448" s="77">
        <f>(O2448*Q2448)</f>
        <v>2208750</v>
      </c>
      <c r="S2448" s="37">
        <v>3</v>
      </c>
      <c r="T2448" s="65">
        <f>(R2448*3/100)</f>
        <v>66262.5</v>
      </c>
      <c r="U2448" s="80">
        <f>(R2448-T2448)</f>
        <v>2142487.5</v>
      </c>
      <c r="V2448" s="77">
        <f>(J2448+U2448)</f>
        <v>2667487.5</v>
      </c>
      <c r="W2448" s="36"/>
      <c r="X2448" s="28"/>
      <c r="Y2448" s="26"/>
      <c r="Z2448" s="53"/>
    </row>
    <row r="2449" spans="1:26" s="29" customFormat="1" ht="90.75" customHeight="1" x14ac:dyDescent="0.25">
      <c r="A2449" s="20"/>
      <c r="B2449" s="20"/>
      <c r="C2449" s="20"/>
      <c r="D2449" s="21"/>
      <c r="E2449" s="21"/>
      <c r="F2449" s="22"/>
      <c r="G2449" s="23"/>
      <c r="H2449" s="24"/>
      <c r="I2449" s="25"/>
      <c r="J2449" s="24"/>
      <c r="K2449" s="37">
        <v>2</v>
      </c>
      <c r="L2449" s="20" t="s">
        <v>215</v>
      </c>
      <c r="M2449" s="37" t="s">
        <v>40</v>
      </c>
      <c r="N2449" s="30">
        <v>3</v>
      </c>
      <c r="O2449" s="77">
        <v>30</v>
      </c>
      <c r="P2449" s="86">
        <v>100</v>
      </c>
      <c r="Q2449" s="77">
        <v>30</v>
      </c>
      <c r="R2449" s="77">
        <v>6450</v>
      </c>
      <c r="S2449" s="37">
        <v>3</v>
      </c>
      <c r="T2449" s="65">
        <f>(R2449*3/100)</f>
        <v>193.5</v>
      </c>
      <c r="U2449" s="80">
        <f>(R2449-T2449)</f>
        <v>6256.5</v>
      </c>
      <c r="V2449" s="77">
        <f>(J2447+U2449)</f>
        <v>6256.5</v>
      </c>
      <c r="W2449" s="36"/>
      <c r="X2449" s="28"/>
      <c r="Y2449" s="26"/>
      <c r="Z2449" s="53"/>
    </row>
    <row r="2450" spans="1:26" s="29" customFormat="1" ht="90.75" customHeight="1" x14ac:dyDescent="0.25">
      <c r="A2450" s="20"/>
      <c r="B2450" s="20"/>
      <c r="C2450" s="20"/>
      <c r="D2450" s="21"/>
      <c r="E2450" s="21"/>
      <c r="F2450" s="22"/>
      <c r="G2450" s="23"/>
      <c r="H2450" s="24"/>
      <c r="I2450" s="25"/>
      <c r="J2450" s="24"/>
      <c r="K2450" s="37">
        <v>3</v>
      </c>
      <c r="L2450" s="20" t="s">
        <v>31</v>
      </c>
      <c r="M2450" s="37"/>
      <c r="N2450" s="30">
        <v>3</v>
      </c>
      <c r="O2450" s="77">
        <v>100</v>
      </c>
      <c r="P2450" s="86">
        <v>100</v>
      </c>
      <c r="Q2450" s="77">
        <v>100</v>
      </c>
      <c r="R2450" s="77">
        <v>2550</v>
      </c>
      <c r="S2450" s="37">
        <v>3</v>
      </c>
      <c r="T2450" s="65">
        <f>(R2450*3/100)</f>
        <v>76.5</v>
      </c>
      <c r="U2450" s="80">
        <f>(R2450-T2450)</f>
        <v>2473.5</v>
      </c>
      <c r="V2450" s="77">
        <f>(J2447+U2450)</f>
        <v>2473.5</v>
      </c>
      <c r="W2450" s="36"/>
      <c r="X2450" s="28"/>
      <c r="Y2450" s="26"/>
      <c r="Z2450" s="53"/>
    </row>
    <row r="2451" spans="1:26" s="29" customFormat="1" ht="90.75" customHeight="1" x14ac:dyDescent="0.25">
      <c r="A2451" s="20"/>
      <c r="B2451" s="20"/>
      <c r="C2451" s="20"/>
      <c r="D2451" s="21"/>
      <c r="E2451" s="21"/>
      <c r="F2451" s="22"/>
      <c r="G2451" s="23"/>
      <c r="H2451" s="24"/>
      <c r="I2451" s="25"/>
      <c r="J2451" s="24"/>
      <c r="K2451" s="33"/>
      <c r="L2451" s="31"/>
      <c r="M2451" s="112"/>
      <c r="N2451" s="30"/>
      <c r="O2451" s="90"/>
      <c r="P2451" s="82"/>
      <c r="Q2451" s="83"/>
      <c r="R2451" s="33"/>
      <c r="S2451" s="33"/>
      <c r="T2451" s="89"/>
      <c r="U2451" s="33"/>
      <c r="V2451" s="90">
        <f>SUM(V2448:V2450)</f>
        <v>2676217.5</v>
      </c>
      <c r="W2451" s="90">
        <f>(J2447+V2451)</f>
        <v>2676217.5</v>
      </c>
      <c r="X2451" s="89">
        <v>0</v>
      </c>
      <c r="Y2451" s="48">
        <f t="shared" ref="Y2451" si="454">(W2451-X2451)</f>
        <v>2676217.5</v>
      </c>
      <c r="Z2451" s="49">
        <v>2.0000000000000001E-4</v>
      </c>
    </row>
    <row r="2452" spans="1:26" s="29" customFormat="1" ht="90.75" customHeight="1" x14ac:dyDescent="0.25">
      <c r="A2452" s="20">
        <v>1347</v>
      </c>
      <c r="B2452" s="20" t="s">
        <v>0</v>
      </c>
      <c r="C2452" s="20">
        <v>22332</v>
      </c>
      <c r="D2452" s="21">
        <v>0</v>
      </c>
      <c r="E2452" s="21">
        <v>0</v>
      </c>
      <c r="F2452" s="22">
        <v>67.7</v>
      </c>
      <c r="G2452" s="23" t="s">
        <v>211</v>
      </c>
      <c r="H2452" s="36">
        <f>(D2452*400)+(E2452*100)+F2452</f>
        <v>67.7</v>
      </c>
      <c r="I2452" s="40">
        <v>625</v>
      </c>
      <c r="J2452" s="28">
        <f t="shared" ref="J2452:J2457" si="455">(H2452*I2452)</f>
        <v>42312.5</v>
      </c>
      <c r="K2452" s="37"/>
      <c r="L2452" s="31"/>
      <c r="M2452" s="32"/>
      <c r="N2452" s="33"/>
      <c r="O2452" s="34"/>
      <c r="P2452" s="35"/>
      <c r="Q2452" s="36"/>
      <c r="R2452" s="36"/>
      <c r="S2452" s="37"/>
      <c r="T2452" s="28"/>
      <c r="U2452" s="36"/>
      <c r="V2452" s="36"/>
      <c r="W2452" s="36"/>
      <c r="X2452" s="28"/>
      <c r="Y2452" s="28"/>
      <c r="Z2452" s="20"/>
    </row>
    <row r="2453" spans="1:26" s="29" customFormat="1" ht="90.75" customHeight="1" x14ac:dyDescent="0.25">
      <c r="A2453" s="20"/>
      <c r="B2453" s="20"/>
      <c r="C2453" s="20"/>
      <c r="D2453" s="21"/>
      <c r="E2453" s="21"/>
      <c r="F2453" s="22"/>
      <c r="G2453" s="23"/>
      <c r="H2453" s="36">
        <v>57.31</v>
      </c>
      <c r="I2453" s="40">
        <v>625</v>
      </c>
      <c r="J2453" s="28">
        <f t="shared" si="455"/>
        <v>35818.75</v>
      </c>
      <c r="K2453" s="37">
        <v>1</v>
      </c>
      <c r="L2453" s="31" t="s">
        <v>215</v>
      </c>
      <c r="M2453" s="32" t="s">
        <v>40</v>
      </c>
      <c r="N2453" s="33">
        <v>2</v>
      </c>
      <c r="O2453" s="34">
        <v>131.25</v>
      </c>
      <c r="P2453" s="35">
        <v>100</v>
      </c>
      <c r="Q2453" s="36">
        <v>6450</v>
      </c>
      <c r="R2453" s="36">
        <f>(O2453*Q2453)</f>
        <v>846562.5</v>
      </c>
      <c r="S2453" s="37">
        <v>32</v>
      </c>
      <c r="T2453" s="28">
        <f>(R2453*93/100)</f>
        <v>787303.125</v>
      </c>
      <c r="U2453" s="36">
        <f>(R2453-T2453)</f>
        <v>59259.375</v>
      </c>
      <c r="V2453" s="36">
        <f>(J2453+U2453)</f>
        <v>95078.125</v>
      </c>
      <c r="W2453" s="36"/>
      <c r="X2453" s="28"/>
      <c r="Y2453" s="28"/>
      <c r="Z2453" s="20"/>
    </row>
    <row r="2454" spans="1:26" s="29" customFormat="1" ht="90.75" customHeight="1" x14ac:dyDescent="0.25">
      <c r="A2454" s="20"/>
      <c r="B2454" s="20"/>
      <c r="C2454" s="20"/>
      <c r="D2454" s="21"/>
      <c r="E2454" s="21"/>
      <c r="F2454" s="22"/>
      <c r="G2454" s="23"/>
      <c r="H2454" s="36"/>
      <c r="I2454" s="40"/>
      <c r="J2454" s="28"/>
      <c r="K2454" s="37">
        <v>2</v>
      </c>
      <c r="L2454" s="31" t="s">
        <v>31</v>
      </c>
      <c r="M2454" s="32"/>
      <c r="N2454" s="33">
        <v>2</v>
      </c>
      <c r="O2454" s="34">
        <v>17.5</v>
      </c>
      <c r="P2454" s="35">
        <v>100</v>
      </c>
      <c r="Q2454" s="36">
        <v>2550</v>
      </c>
      <c r="R2454" s="36">
        <f>(O2454*Q2454)</f>
        <v>44625</v>
      </c>
      <c r="S2454" s="37">
        <v>32</v>
      </c>
      <c r="T2454" s="28">
        <f>(R2454*93/100)</f>
        <v>41501.25</v>
      </c>
      <c r="U2454" s="36">
        <f>(R2454-T2454)</f>
        <v>3123.75</v>
      </c>
      <c r="V2454" s="36">
        <f>(J2454+U2454)</f>
        <v>3123.75</v>
      </c>
      <c r="W2454" s="36"/>
      <c r="X2454" s="28"/>
      <c r="Y2454" s="28"/>
      <c r="Z2454" s="20"/>
    </row>
    <row r="2455" spans="1:26" s="29" customFormat="1" ht="90.75" customHeight="1" x14ac:dyDescent="0.25">
      <c r="A2455" s="20"/>
      <c r="B2455" s="20"/>
      <c r="C2455" s="20"/>
      <c r="D2455" s="21"/>
      <c r="E2455" s="21"/>
      <c r="F2455" s="22"/>
      <c r="G2455" s="23"/>
      <c r="H2455" s="36"/>
      <c r="I2455" s="40"/>
      <c r="J2455" s="28"/>
      <c r="K2455" s="37"/>
      <c r="L2455" s="31"/>
      <c r="M2455" s="32"/>
      <c r="N2455" s="33"/>
      <c r="O2455" s="34"/>
      <c r="P2455" s="35"/>
      <c r="Q2455" s="36"/>
      <c r="R2455" s="36"/>
      <c r="S2455" s="37"/>
      <c r="T2455" s="28"/>
      <c r="U2455" s="36"/>
      <c r="V2455" s="36">
        <f>(V2453+V2454)</f>
        <v>98201.875</v>
      </c>
      <c r="W2455" s="36">
        <f>(J2453+V2455)</f>
        <v>134020.625</v>
      </c>
      <c r="X2455" s="28">
        <v>10000000</v>
      </c>
      <c r="Y2455" s="28">
        <v>0</v>
      </c>
      <c r="Z2455" s="49">
        <v>2.0000000000000001E-4</v>
      </c>
    </row>
    <row r="2456" spans="1:26" s="29" customFormat="1" ht="90.75" customHeight="1" x14ac:dyDescent="0.25">
      <c r="A2456" s="20"/>
      <c r="B2456" s="20"/>
      <c r="C2456" s="20"/>
      <c r="D2456" s="21"/>
      <c r="E2456" s="21"/>
      <c r="F2456" s="22"/>
      <c r="G2456" s="23"/>
      <c r="H2456" s="36">
        <f>(O2456*0.25)</f>
        <v>7.6875</v>
      </c>
      <c r="I2456" s="40">
        <v>627</v>
      </c>
      <c r="J2456" s="28">
        <f t="shared" si="455"/>
        <v>4820.0625</v>
      </c>
      <c r="K2456" s="37">
        <v>3</v>
      </c>
      <c r="L2456" s="31" t="s">
        <v>215</v>
      </c>
      <c r="M2456" s="32" t="s">
        <v>13</v>
      </c>
      <c r="N2456" s="33"/>
      <c r="O2456" s="34">
        <v>30.75</v>
      </c>
      <c r="P2456" s="35">
        <v>100</v>
      </c>
      <c r="Q2456" s="36">
        <v>6450</v>
      </c>
      <c r="R2456" s="36">
        <f>(O2456*Q2456)</f>
        <v>198337.5</v>
      </c>
      <c r="S2456" s="37">
        <v>12</v>
      </c>
      <c r="T2456" s="28">
        <f>(R2456*14/100)</f>
        <v>27767.25</v>
      </c>
      <c r="U2456" s="36">
        <f>(R2456-T2456)</f>
        <v>170570.25</v>
      </c>
      <c r="V2456" s="36">
        <f>(J2456+U2456)</f>
        <v>175390.3125</v>
      </c>
      <c r="W2456" s="36">
        <f>(V2456*100/100)</f>
        <v>175390.3125</v>
      </c>
      <c r="X2456" s="28">
        <v>50000000</v>
      </c>
      <c r="Y2456" s="28">
        <v>0</v>
      </c>
      <c r="Z2456" s="49">
        <v>2.0000000000000001E-4</v>
      </c>
    </row>
    <row r="2457" spans="1:26" s="29" customFormat="1" ht="90.75" customHeight="1" x14ac:dyDescent="0.25">
      <c r="A2457" s="20"/>
      <c r="B2457" s="20"/>
      <c r="C2457" s="20"/>
      <c r="D2457" s="21"/>
      <c r="E2457" s="21"/>
      <c r="F2457" s="22"/>
      <c r="G2457" s="23"/>
      <c r="H2457" s="36">
        <f>(O2457*0.25)</f>
        <v>2</v>
      </c>
      <c r="I2457" s="40">
        <v>628</v>
      </c>
      <c r="J2457" s="28">
        <f t="shared" si="455"/>
        <v>1256</v>
      </c>
      <c r="K2457" s="37">
        <v>4</v>
      </c>
      <c r="L2457" s="31" t="s">
        <v>29</v>
      </c>
      <c r="M2457" s="32"/>
      <c r="N2457" s="33"/>
      <c r="O2457" s="34">
        <v>8</v>
      </c>
      <c r="P2457" s="35">
        <v>100</v>
      </c>
      <c r="Q2457" s="36">
        <v>5550</v>
      </c>
      <c r="R2457" s="36">
        <f>(O2457*Q2457)</f>
        <v>44400</v>
      </c>
      <c r="S2457" s="37">
        <v>12</v>
      </c>
      <c r="T2457" s="28">
        <f>(R2457*14/100)</f>
        <v>6216</v>
      </c>
      <c r="U2457" s="36">
        <f>(R2457-T2457)</f>
        <v>38184</v>
      </c>
      <c r="V2457" s="36">
        <f>(J2457+U2457)</f>
        <v>39440</v>
      </c>
      <c r="W2457" s="36">
        <f>(V2457*100/100)</f>
        <v>39440</v>
      </c>
      <c r="X2457" s="28">
        <v>0</v>
      </c>
      <c r="Y2457" s="28">
        <f>(W2457-X2457)</f>
        <v>39440</v>
      </c>
      <c r="Z2457" s="49">
        <v>3.0000000000000001E-3</v>
      </c>
    </row>
    <row r="2458" spans="1:26" s="29" customFormat="1" ht="90.75" customHeight="1" x14ac:dyDescent="0.25">
      <c r="A2458" s="20">
        <v>1348</v>
      </c>
      <c r="B2458" s="20" t="s">
        <v>0</v>
      </c>
      <c r="C2458" s="20">
        <v>8267</v>
      </c>
      <c r="D2458" s="21">
        <v>0</v>
      </c>
      <c r="E2458" s="21">
        <v>3</v>
      </c>
      <c r="F2458" s="22">
        <v>29</v>
      </c>
      <c r="G2458" s="23" t="s">
        <v>211</v>
      </c>
      <c r="H2458" s="36">
        <f>(D2458*400)+(E2458*100)+F2458</f>
        <v>329</v>
      </c>
      <c r="I2458" s="40" t="s">
        <v>75</v>
      </c>
      <c r="J2458" s="65">
        <f>(H2458*I2458)</f>
        <v>205625</v>
      </c>
      <c r="K2458" s="30"/>
      <c r="L2458" s="20"/>
      <c r="M2458" s="35"/>
      <c r="N2458" s="30"/>
      <c r="O2458" s="36"/>
      <c r="P2458" s="86"/>
      <c r="Q2458" s="40"/>
      <c r="R2458" s="84"/>
      <c r="S2458" s="84"/>
      <c r="T2458" s="28"/>
      <c r="U2458" s="84"/>
      <c r="V2458" s="36"/>
      <c r="W2458" s="36"/>
      <c r="X2458" s="28"/>
      <c r="Y2458" s="26"/>
      <c r="Z2458" s="53"/>
    </row>
    <row r="2459" spans="1:26" s="29" customFormat="1" ht="90.75" customHeight="1" x14ac:dyDescent="0.25">
      <c r="A2459" s="20"/>
      <c r="B2459" s="20"/>
      <c r="C2459" s="20"/>
      <c r="D2459" s="21"/>
      <c r="E2459" s="21"/>
      <c r="F2459" s="22"/>
      <c r="G2459" s="23"/>
      <c r="H2459" s="36">
        <v>245.2</v>
      </c>
      <c r="I2459" s="40">
        <v>625</v>
      </c>
      <c r="J2459" s="28">
        <f t="shared" ref="J2459" si="456">(H2459*I2459)</f>
        <v>153250</v>
      </c>
      <c r="K2459" s="30">
        <v>1</v>
      </c>
      <c r="L2459" s="31" t="s">
        <v>215</v>
      </c>
      <c r="M2459" s="32" t="s">
        <v>13</v>
      </c>
      <c r="N2459" s="33">
        <v>2</v>
      </c>
      <c r="O2459" s="90">
        <v>41.1</v>
      </c>
      <c r="P2459" s="35">
        <v>100</v>
      </c>
      <c r="Q2459" s="36">
        <v>6450</v>
      </c>
      <c r="R2459" s="36">
        <f>(O2459*Q2459)</f>
        <v>265095</v>
      </c>
      <c r="S2459" s="37">
        <v>17</v>
      </c>
      <c r="T2459" s="28">
        <f>(R2459*24/100)</f>
        <v>63622.8</v>
      </c>
      <c r="U2459" s="36">
        <f>(R2459-T2459)</f>
        <v>201472.2</v>
      </c>
      <c r="V2459" s="36">
        <f>(J2459+U2459)</f>
        <v>354722.2</v>
      </c>
      <c r="W2459" s="36">
        <f>(V2459*100/100)</f>
        <v>354722.2</v>
      </c>
      <c r="X2459" s="28"/>
      <c r="Y2459" s="28"/>
      <c r="Z2459" s="26"/>
    </row>
    <row r="2460" spans="1:26" s="29" customFormat="1" ht="90.75" customHeight="1" x14ac:dyDescent="0.25">
      <c r="A2460" s="20"/>
      <c r="B2460" s="20"/>
      <c r="C2460" s="20"/>
      <c r="D2460" s="21"/>
      <c r="E2460" s="21"/>
      <c r="F2460" s="22"/>
      <c r="G2460" s="23"/>
      <c r="H2460" s="36"/>
      <c r="I2460" s="40"/>
      <c r="J2460" s="28"/>
      <c r="K2460" s="30"/>
      <c r="L2460" s="31" t="s">
        <v>69</v>
      </c>
      <c r="M2460" s="32"/>
      <c r="N2460" s="33"/>
      <c r="O2460" s="90">
        <v>30</v>
      </c>
      <c r="P2460" s="35">
        <v>73</v>
      </c>
      <c r="Q2460" s="36"/>
      <c r="R2460" s="36"/>
      <c r="S2460" s="37"/>
      <c r="T2460" s="28"/>
      <c r="U2460" s="36"/>
      <c r="V2460" s="36"/>
      <c r="W2460" s="36">
        <f>(W2459*73/100)</f>
        <v>258947.20600000001</v>
      </c>
      <c r="X2460" s="28">
        <v>50000000</v>
      </c>
      <c r="Y2460" s="28">
        <v>0</v>
      </c>
      <c r="Z2460" s="49">
        <v>2.0000000000000001E-4</v>
      </c>
    </row>
    <row r="2461" spans="1:26" s="29" customFormat="1" ht="90.75" customHeight="1" x14ac:dyDescent="0.25">
      <c r="A2461" s="20"/>
      <c r="B2461" s="20"/>
      <c r="C2461" s="20"/>
      <c r="D2461" s="21"/>
      <c r="E2461" s="21"/>
      <c r="F2461" s="22"/>
      <c r="G2461" s="23"/>
      <c r="H2461" s="36"/>
      <c r="I2461" s="40"/>
      <c r="J2461" s="28"/>
      <c r="K2461" s="30"/>
      <c r="L2461" s="31" t="s">
        <v>29</v>
      </c>
      <c r="M2461" s="32"/>
      <c r="N2461" s="33">
        <v>3</v>
      </c>
      <c r="O2461" s="90">
        <v>11.1</v>
      </c>
      <c r="P2461" s="35">
        <v>27</v>
      </c>
      <c r="Q2461" s="36"/>
      <c r="R2461" s="36"/>
      <c r="S2461" s="37"/>
      <c r="T2461" s="28"/>
      <c r="U2461" s="36"/>
      <c r="V2461" s="36"/>
      <c r="W2461" s="36">
        <f>(W2459*27/100)</f>
        <v>95774.994000000006</v>
      </c>
      <c r="X2461" s="28">
        <v>0</v>
      </c>
      <c r="Y2461" s="28">
        <f>(W2461-X2461)</f>
        <v>95774.994000000006</v>
      </c>
      <c r="Z2461" s="49">
        <v>3.0000000000000001E-3</v>
      </c>
    </row>
    <row r="2462" spans="1:26" s="29" customFormat="1" ht="90.75" customHeight="1" x14ac:dyDescent="0.25">
      <c r="A2462" s="20"/>
      <c r="B2462" s="20"/>
      <c r="C2462" s="20"/>
      <c r="D2462" s="21"/>
      <c r="E2462" s="21"/>
      <c r="F2462" s="22"/>
      <c r="G2462" s="23"/>
      <c r="H2462" s="36">
        <v>12</v>
      </c>
      <c r="I2462" s="40">
        <v>625</v>
      </c>
      <c r="J2462" s="28">
        <f t="shared" ref="J2462:J2467" si="457">(H2462*I2462)</f>
        <v>7500</v>
      </c>
      <c r="K2462" s="30">
        <v>6</v>
      </c>
      <c r="L2462" s="31" t="s">
        <v>31</v>
      </c>
      <c r="M2462" s="32"/>
      <c r="N2462" s="33">
        <v>3</v>
      </c>
      <c r="O2462" s="90">
        <v>48</v>
      </c>
      <c r="P2462" s="35">
        <v>100</v>
      </c>
      <c r="Q2462" s="36">
        <v>2550</v>
      </c>
      <c r="R2462" s="36">
        <f>O2462*Q2462</f>
        <v>122400</v>
      </c>
      <c r="S2462" s="37">
        <v>7</v>
      </c>
      <c r="T2462" s="28">
        <f>(R2462*7/100)</f>
        <v>8568</v>
      </c>
      <c r="U2462" s="36">
        <f>(R2462-T2462)</f>
        <v>113832</v>
      </c>
      <c r="V2462" s="36">
        <f>(J2462+U2462)</f>
        <v>121332</v>
      </c>
      <c r="W2462" s="36">
        <f>(V2462*100/100)</f>
        <v>121332</v>
      </c>
      <c r="X2462" s="28">
        <v>0</v>
      </c>
      <c r="Y2462" s="28">
        <f>(W2462-X2462)</f>
        <v>121332</v>
      </c>
      <c r="Z2462" s="49">
        <v>2.0000000000000001E-4</v>
      </c>
    </row>
    <row r="2463" spans="1:26" s="29" customFormat="1" ht="90.75" customHeight="1" x14ac:dyDescent="0.25">
      <c r="A2463" s="20"/>
      <c r="B2463" s="20"/>
      <c r="C2463" s="20"/>
      <c r="D2463" s="21"/>
      <c r="E2463" s="21"/>
      <c r="F2463" s="22"/>
      <c r="G2463" s="23"/>
      <c r="H2463" s="36">
        <v>10.56</v>
      </c>
      <c r="I2463" s="40">
        <v>625</v>
      </c>
      <c r="J2463" s="28">
        <f t="shared" si="457"/>
        <v>6600</v>
      </c>
      <c r="K2463" s="30">
        <v>2</v>
      </c>
      <c r="L2463" s="31" t="s">
        <v>215</v>
      </c>
      <c r="M2463" s="32" t="s">
        <v>40</v>
      </c>
      <c r="N2463" s="33">
        <v>3</v>
      </c>
      <c r="O2463" s="90">
        <v>42.25</v>
      </c>
      <c r="P2463" s="35">
        <v>100</v>
      </c>
      <c r="Q2463" s="36">
        <v>6450</v>
      </c>
      <c r="R2463" s="36">
        <f>O2463*Q2463</f>
        <v>272512.5</v>
      </c>
      <c r="S2463" s="37">
        <v>7</v>
      </c>
      <c r="T2463" s="28">
        <f>(R2463*25/100)</f>
        <v>68128.125</v>
      </c>
      <c r="U2463" s="36">
        <f>(R2463-T2463)</f>
        <v>204384.375</v>
      </c>
      <c r="V2463" s="36">
        <f>(J2463+U2463)</f>
        <v>210984.375</v>
      </c>
      <c r="W2463" s="36">
        <f t="shared" ref="W2463:W2466" si="458">(V2463*100/100)</f>
        <v>210984.375</v>
      </c>
      <c r="X2463" s="28">
        <v>0</v>
      </c>
      <c r="Y2463" s="28">
        <f t="shared" ref="Y2463:Y2466" si="459">(W2463-X2463)</f>
        <v>210984.375</v>
      </c>
      <c r="Z2463" s="49">
        <v>2.0000000000000001E-4</v>
      </c>
    </row>
    <row r="2464" spans="1:26" s="29" customFormat="1" ht="90.75" customHeight="1" x14ac:dyDescent="0.25">
      <c r="A2464" s="20"/>
      <c r="B2464" s="20"/>
      <c r="C2464" s="20"/>
      <c r="D2464" s="21"/>
      <c r="E2464" s="21"/>
      <c r="F2464" s="22"/>
      <c r="G2464" s="23"/>
      <c r="H2464" s="36">
        <v>13.12</v>
      </c>
      <c r="I2464" s="40">
        <v>625</v>
      </c>
      <c r="J2464" s="28">
        <f t="shared" si="457"/>
        <v>8200</v>
      </c>
      <c r="K2464" s="30">
        <v>3</v>
      </c>
      <c r="L2464" s="31" t="s">
        <v>215</v>
      </c>
      <c r="M2464" s="32" t="s">
        <v>40</v>
      </c>
      <c r="N2464" s="33">
        <v>3</v>
      </c>
      <c r="O2464" s="90">
        <v>52.5</v>
      </c>
      <c r="P2464" s="35">
        <v>100</v>
      </c>
      <c r="Q2464" s="36">
        <v>6450</v>
      </c>
      <c r="R2464" s="36">
        <f>O2464*Q2464</f>
        <v>338625</v>
      </c>
      <c r="S2464" s="37">
        <v>17</v>
      </c>
      <c r="T2464" s="28">
        <f>(R2464*79/100)</f>
        <v>267513.75</v>
      </c>
      <c r="U2464" s="36">
        <f t="shared" ref="U2464:U2466" si="460">(R2464-T2464)</f>
        <v>71111.25</v>
      </c>
      <c r="V2464" s="36">
        <f t="shared" ref="V2464:V2466" si="461">(J2464+U2464)</f>
        <v>79311.25</v>
      </c>
      <c r="W2464" s="36">
        <f t="shared" si="458"/>
        <v>79311.25</v>
      </c>
      <c r="X2464" s="28">
        <v>0</v>
      </c>
      <c r="Y2464" s="28">
        <f t="shared" si="459"/>
        <v>79311.25</v>
      </c>
      <c r="Z2464" s="49">
        <v>2.0000000000000001E-4</v>
      </c>
    </row>
    <row r="2465" spans="1:26" s="29" customFormat="1" ht="90.75" customHeight="1" x14ac:dyDescent="0.25">
      <c r="A2465" s="20"/>
      <c r="B2465" s="20"/>
      <c r="C2465" s="20"/>
      <c r="D2465" s="21"/>
      <c r="E2465" s="21"/>
      <c r="F2465" s="22"/>
      <c r="G2465" s="23"/>
      <c r="H2465" s="36">
        <v>27</v>
      </c>
      <c r="I2465" s="40">
        <v>625</v>
      </c>
      <c r="J2465" s="28">
        <f t="shared" si="457"/>
        <v>16875</v>
      </c>
      <c r="K2465" s="30">
        <v>4</v>
      </c>
      <c r="L2465" s="31" t="s">
        <v>215</v>
      </c>
      <c r="M2465" s="32" t="s">
        <v>13</v>
      </c>
      <c r="N2465" s="33">
        <v>3</v>
      </c>
      <c r="O2465" s="90">
        <v>108</v>
      </c>
      <c r="P2465" s="35">
        <v>100</v>
      </c>
      <c r="Q2465" s="36">
        <v>6450</v>
      </c>
      <c r="R2465" s="36">
        <f>O2465*Q2465</f>
        <v>696600</v>
      </c>
      <c r="S2465" s="37">
        <v>17</v>
      </c>
      <c r="T2465" s="28">
        <f>(R2465*79/100)</f>
        <v>550314</v>
      </c>
      <c r="U2465" s="36">
        <f t="shared" si="460"/>
        <v>146286</v>
      </c>
      <c r="V2465" s="36">
        <f t="shared" si="461"/>
        <v>163161</v>
      </c>
      <c r="W2465" s="36">
        <f t="shared" si="458"/>
        <v>163161</v>
      </c>
      <c r="X2465" s="28">
        <v>0</v>
      </c>
      <c r="Y2465" s="28">
        <f t="shared" si="459"/>
        <v>163161</v>
      </c>
      <c r="Z2465" s="49">
        <v>2.0000000000000001E-4</v>
      </c>
    </row>
    <row r="2466" spans="1:26" s="29" customFormat="1" ht="90.75" customHeight="1" x14ac:dyDescent="0.25">
      <c r="A2466" s="20"/>
      <c r="B2466" s="20"/>
      <c r="C2466" s="20"/>
      <c r="D2466" s="21"/>
      <c r="E2466" s="21"/>
      <c r="F2466" s="22"/>
      <c r="G2466" s="23"/>
      <c r="H2466" s="36">
        <v>21.12</v>
      </c>
      <c r="I2466" s="40">
        <v>625</v>
      </c>
      <c r="J2466" s="28">
        <f t="shared" si="457"/>
        <v>13200</v>
      </c>
      <c r="K2466" s="30">
        <v>5</v>
      </c>
      <c r="L2466" s="31" t="s">
        <v>215</v>
      </c>
      <c r="M2466" s="32" t="s">
        <v>13</v>
      </c>
      <c r="N2466" s="33">
        <v>3</v>
      </c>
      <c r="O2466" s="90">
        <v>84.5</v>
      </c>
      <c r="P2466" s="35">
        <v>100</v>
      </c>
      <c r="Q2466" s="36">
        <v>6450</v>
      </c>
      <c r="R2466" s="36">
        <f>O2466*Q2466</f>
        <v>545025</v>
      </c>
      <c r="S2466" s="37">
        <v>7</v>
      </c>
      <c r="T2466" s="28">
        <f>(R2466*7/100)</f>
        <v>38151.75</v>
      </c>
      <c r="U2466" s="36">
        <f t="shared" si="460"/>
        <v>506873.25</v>
      </c>
      <c r="V2466" s="36">
        <f t="shared" si="461"/>
        <v>520073.25</v>
      </c>
      <c r="W2466" s="36">
        <f t="shared" si="458"/>
        <v>520073.25</v>
      </c>
      <c r="X2466" s="28">
        <v>0</v>
      </c>
      <c r="Y2466" s="28">
        <f t="shared" si="459"/>
        <v>520073.25</v>
      </c>
      <c r="Z2466" s="49">
        <v>2.0000000000000001E-4</v>
      </c>
    </row>
    <row r="2467" spans="1:26" s="29" customFormat="1" ht="90.75" customHeight="1" x14ac:dyDescent="0.25">
      <c r="A2467" s="20">
        <v>1349</v>
      </c>
      <c r="B2467" s="20" t="s">
        <v>0</v>
      </c>
      <c r="C2467" s="20">
        <v>43134</v>
      </c>
      <c r="D2467" s="21">
        <v>0</v>
      </c>
      <c r="E2467" s="21">
        <v>1</v>
      </c>
      <c r="F2467" s="22">
        <v>58</v>
      </c>
      <c r="G2467" s="23" t="s">
        <v>56</v>
      </c>
      <c r="H2467" s="36">
        <f>(D2467*400)+(E2467*100)+F2467</f>
        <v>158</v>
      </c>
      <c r="I2467" s="40" t="s">
        <v>75</v>
      </c>
      <c r="J2467" s="28">
        <f t="shared" si="457"/>
        <v>98750</v>
      </c>
      <c r="K2467" s="30"/>
      <c r="L2467" s="20"/>
      <c r="M2467" s="35"/>
      <c r="N2467" s="30"/>
      <c r="O2467" s="36"/>
      <c r="P2467" s="86"/>
      <c r="Q2467" s="40"/>
      <c r="R2467" s="84"/>
      <c r="S2467" s="84"/>
      <c r="T2467" s="28"/>
      <c r="U2467" s="84"/>
      <c r="V2467" s="36"/>
      <c r="W2467" s="36"/>
      <c r="X2467" s="28"/>
      <c r="Y2467" s="26"/>
      <c r="Z2467" s="49"/>
    </row>
    <row r="2468" spans="1:26" s="29" customFormat="1" ht="90.75" customHeight="1" x14ac:dyDescent="0.25">
      <c r="A2468" s="20"/>
      <c r="B2468" s="20"/>
      <c r="C2468" s="20"/>
      <c r="D2468" s="21"/>
      <c r="E2468" s="21"/>
      <c r="F2468" s="22"/>
      <c r="G2468" s="23"/>
      <c r="H2468" s="36"/>
      <c r="I2468" s="44"/>
      <c r="J2468" s="65"/>
      <c r="K2468" s="33">
        <v>1</v>
      </c>
      <c r="L2468" s="31" t="s">
        <v>215</v>
      </c>
      <c r="M2468" s="112" t="s">
        <v>40</v>
      </c>
      <c r="N2468" s="30">
        <v>2</v>
      </c>
      <c r="O2468" s="90">
        <v>30</v>
      </c>
      <c r="P2468" s="35">
        <v>100</v>
      </c>
      <c r="Q2468" s="36">
        <v>6450</v>
      </c>
      <c r="R2468" s="36">
        <f t="shared" ref="R2468:R2470" si="462">O2468*Q2468</f>
        <v>193500</v>
      </c>
      <c r="S2468" s="33">
        <v>7</v>
      </c>
      <c r="T2468" s="28">
        <f>(R2468*25/100)</f>
        <v>48375</v>
      </c>
      <c r="U2468" s="36">
        <f t="shared" ref="U2468:U2470" si="463">(R2468-T2468)</f>
        <v>145125</v>
      </c>
      <c r="V2468" s="36"/>
      <c r="W2468" s="36"/>
      <c r="X2468" s="28"/>
      <c r="Y2468" s="28"/>
      <c r="Z2468" s="49"/>
    </row>
    <row r="2469" spans="1:26" s="29" customFormat="1" ht="90.75" customHeight="1" x14ac:dyDescent="0.25">
      <c r="A2469" s="20"/>
      <c r="B2469" s="20"/>
      <c r="C2469" s="20"/>
      <c r="D2469" s="21"/>
      <c r="E2469" s="21"/>
      <c r="F2469" s="22"/>
      <c r="G2469" s="23"/>
      <c r="H2469" s="36"/>
      <c r="I2469" s="44"/>
      <c r="J2469" s="65"/>
      <c r="K2469" s="33">
        <v>2</v>
      </c>
      <c r="L2469" s="31" t="s">
        <v>215</v>
      </c>
      <c r="M2469" s="112" t="s">
        <v>40</v>
      </c>
      <c r="N2469" s="30">
        <v>2</v>
      </c>
      <c r="O2469" s="90">
        <v>30</v>
      </c>
      <c r="P2469" s="35">
        <v>100</v>
      </c>
      <c r="Q2469" s="36">
        <v>6450</v>
      </c>
      <c r="R2469" s="36">
        <f t="shared" si="462"/>
        <v>193500</v>
      </c>
      <c r="S2469" s="33">
        <v>7</v>
      </c>
      <c r="T2469" s="28">
        <f t="shared" ref="T2469:T2470" si="464">(R2469*25/100)</f>
        <v>48375</v>
      </c>
      <c r="U2469" s="36">
        <f t="shared" si="463"/>
        <v>145125</v>
      </c>
      <c r="V2469" s="36"/>
      <c r="W2469" s="36"/>
      <c r="X2469" s="28"/>
      <c r="Y2469" s="28"/>
      <c r="Z2469" s="49"/>
    </row>
    <row r="2470" spans="1:26" s="29" customFormat="1" ht="90.75" customHeight="1" x14ac:dyDescent="0.25">
      <c r="A2470" s="20"/>
      <c r="B2470" s="20"/>
      <c r="C2470" s="20"/>
      <c r="D2470" s="21"/>
      <c r="E2470" s="21"/>
      <c r="F2470" s="22"/>
      <c r="G2470" s="23"/>
      <c r="H2470" s="36"/>
      <c r="I2470" s="44"/>
      <c r="J2470" s="65"/>
      <c r="K2470" s="33">
        <v>3</v>
      </c>
      <c r="L2470" s="31" t="s">
        <v>215</v>
      </c>
      <c r="M2470" s="112" t="s">
        <v>40</v>
      </c>
      <c r="N2470" s="30">
        <v>2</v>
      </c>
      <c r="O2470" s="90">
        <v>30</v>
      </c>
      <c r="P2470" s="35">
        <v>100</v>
      </c>
      <c r="Q2470" s="36">
        <v>6450</v>
      </c>
      <c r="R2470" s="36">
        <f t="shared" si="462"/>
        <v>193500</v>
      </c>
      <c r="S2470" s="33">
        <v>7</v>
      </c>
      <c r="T2470" s="28">
        <f t="shared" si="464"/>
        <v>48375</v>
      </c>
      <c r="U2470" s="36">
        <f t="shared" si="463"/>
        <v>145125</v>
      </c>
      <c r="V2470" s="36"/>
      <c r="W2470" s="36"/>
      <c r="X2470" s="28"/>
      <c r="Y2470" s="28"/>
      <c r="Z2470" s="49"/>
    </row>
    <row r="2471" spans="1:26" s="29" customFormat="1" ht="90.75" customHeight="1" x14ac:dyDescent="0.25">
      <c r="A2471" s="20"/>
      <c r="B2471" s="20"/>
      <c r="C2471" s="20"/>
      <c r="D2471" s="21"/>
      <c r="E2471" s="21"/>
      <c r="F2471" s="22"/>
      <c r="G2471" s="23"/>
      <c r="H2471" s="36"/>
      <c r="I2471" s="44"/>
      <c r="J2471" s="65"/>
      <c r="K2471" s="33"/>
      <c r="L2471" s="31"/>
      <c r="M2471" s="112"/>
      <c r="N2471" s="30"/>
      <c r="O2471" s="90"/>
      <c r="P2471" s="35"/>
      <c r="Q2471" s="36"/>
      <c r="R2471" s="36"/>
      <c r="S2471" s="33"/>
      <c r="T2471" s="28"/>
      <c r="U2471" s="36">
        <f>SUM(U2468:U2470)</f>
        <v>435375</v>
      </c>
      <c r="V2471" s="36">
        <f>(J2467+U2471)</f>
        <v>534125</v>
      </c>
      <c r="W2471" s="36">
        <f>(V2471*100/100)</f>
        <v>534125</v>
      </c>
      <c r="X2471" s="28">
        <v>0</v>
      </c>
      <c r="Y2471" s="28">
        <f>(W2471-X2471)</f>
        <v>534125</v>
      </c>
      <c r="Z2471" s="49">
        <v>2.0000000000000001E-4</v>
      </c>
    </row>
    <row r="2472" spans="1:26" s="29" customFormat="1" ht="90.75" customHeight="1" x14ac:dyDescent="0.25">
      <c r="A2472" s="20">
        <v>1350</v>
      </c>
      <c r="B2472" s="20" t="s">
        <v>0</v>
      </c>
      <c r="C2472" s="20">
        <v>43133</v>
      </c>
      <c r="D2472" s="21">
        <v>0</v>
      </c>
      <c r="E2472" s="21">
        <v>1</v>
      </c>
      <c r="F2472" s="22">
        <v>50</v>
      </c>
      <c r="G2472" s="23" t="s">
        <v>56</v>
      </c>
      <c r="H2472" s="36">
        <f t="shared" ref="H2472:H2474" si="465">(D2472*400)+(E2472*100)+F2472</f>
        <v>150</v>
      </c>
      <c r="I2472" s="25" t="s">
        <v>75</v>
      </c>
      <c r="J2472" s="28">
        <f t="shared" ref="J2472:J2474" si="466">(H2472*I2472)</f>
        <v>93750</v>
      </c>
      <c r="K2472" s="20"/>
      <c r="L2472" s="20"/>
      <c r="M2472" s="20"/>
      <c r="N2472" s="20"/>
      <c r="O2472" s="24"/>
      <c r="P2472" s="24"/>
      <c r="Q2472" s="25"/>
      <c r="R2472" s="24"/>
      <c r="S2472" s="20"/>
      <c r="T2472" s="27"/>
      <c r="U2472" s="20"/>
      <c r="V2472" s="27">
        <f>(J2472+U2472)</f>
        <v>93750</v>
      </c>
      <c r="W2472" s="26">
        <f>(V2472*100/100)</f>
        <v>93750</v>
      </c>
      <c r="X2472" s="24">
        <v>50000000</v>
      </c>
      <c r="Y2472" s="28">
        <v>0</v>
      </c>
      <c r="Z2472" s="49">
        <v>2.0000000000000001E-4</v>
      </c>
    </row>
    <row r="2473" spans="1:26" s="29" customFormat="1" ht="90.75" customHeight="1" x14ac:dyDescent="0.25">
      <c r="A2473" s="20">
        <v>1351</v>
      </c>
      <c r="B2473" s="20" t="s">
        <v>0</v>
      </c>
      <c r="C2473" s="20">
        <v>43132</v>
      </c>
      <c r="D2473" s="21">
        <v>0</v>
      </c>
      <c r="E2473" s="21">
        <v>1</v>
      </c>
      <c r="F2473" s="22">
        <v>40</v>
      </c>
      <c r="G2473" s="23" t="s">
        <v>292</v>
      </c>
      <c r="H2473" s="36">
        <f t="shared" si="465"/>
        <v>140</v>
      </c>
      <c r="I2473" s="25" t="s">
        <v>75</v>
      </c>
      <c r="J2473" s="28">
        <f t="shared" si="466"/>
        <v>87500</v>
      </c>
      <c r="K2473" s="20"/>
      <c r="L2473" s="20"/>
      <c r="M2473" s="20"/>
      <c r="N2473" s="20"/>
      <c r="O2473" s="24"/>
      <c r="P2473" s="24"/>
      <c r="Q2473" s="25"/>
      <c r="R2473" s="24"/>
      <c r="S2473" s="20"/>
      <c r="T2473" s="27"/>
      <c r="U2473" s="20"/>
      <c r="V2473" s="27">
        <f>(J2473+U2473)</f>
        <v>87500</v>
      </c>
      <c r="W2473" s="26">
        <f>(V2473*100/100)</f>
        <v>87500</v>
      </c>
      <c r="X2473" s="27" t="s">
        <v>293</v>
      </c>
      <c r="Y2473" s="28">
        <v>0</v>
      </c>
      <c r="Z2473" s="49">
        <v>1E-4</v>
      </c>
    </row>
    <row r="2474" spans="1:26" s="29" customFormat="1" ht="90.75" customHeight="1" x14ac:dyDescent="0.25">
      <c r="A2474" s="20">
        <v>1352</v>
      </c>
      <c r="B2474" s="20" t="s">
        <v>0</v>
      </c>
      <c r="C2474" s="20">
        <v>37282</v>
      </c>
      <c r="D2474" s="21">
        <v>1</v>
      </c>
      <c r="E2474" s="21">
        <v>2</v>
      </c>
      <c r="F2474" s="22">
        <v>0</v>
      </c>
      <c r="G2474" s="23" t="s">
        <v>211</v>
      </c>
      <c r="H2474" s="36">
        <f t="shared" si="465"/>
        <v>600</v>
      </c>
      <c r="I2474" s="25" t="s">
        <v>78</v>
      </c>
      <c r="J2474" s="28">
        <f t="shared" si="466"/>
        <v>525000</v>
      </c>
      <c r="K2474" s="20"/>
      <c r="L2474" s="20"/>
      <c r="M2474" s="20"/>
      <c r="N2474" s="20"/>
      <c r="O2474" s="24"/>
      <c r="P2474" s="24"/>
      <c r="Q2474" s="25"/>
      <c r="R2474" s="24"/>
      <c r="S2474" s="20"/>
      <c r="T2474" s="27"/>
      <c r="U2474" s="20"/>
      <c r="V2474" s="20"/>
      <c r="W2474" s="26"/>
      <c r="X2474" s="27"/>
      <c r="Y2474" s="20"/>
      <c r="Z2474" s="20"/>
    </row>
    <row r="2475" spans="1:26" s="29" customFormat="1" ht="90.75" customHeight="1" x14ac:dyDescent="0.25">
      <c r="A2475" s="20"/>
      <c r="B2475" s="20"/>
      <c r="C2475" s="20"/>
      <c r="D2475" s="21"/>
      <c r="E2475" s="21"/>
      <c r="F2475" s="22"/>
      <c r="G2475" s="23"/>
      <c r="H2475" s="36">
        <v>489.5</v>
      </c>
      <c r="I2475" s="40">
        <v>875</v>
      </c>
      <c r="J2475" s="28">
        <f>(H2475*I2475)</f>
        <v>428312.5</v>
      </c>
      <c r="K2475" s="37"/>
      <c r="L2475" s="31"/>
      <c r="M2475" s="32"/>
      <c r="N2475" s="33"/>
      <c r="O2475" s="82"/>
      <c r="P2475" s="86"/>
      <c r="Q2475" s="36"/>
      <c r="R2475" s="36"/>
      <c r="S2475" s="37"/>
      <c r="T2475" s="28"/>
      <c r="U2475" s="36"/>
      <c r="V2475" s="36"/>
      <c r="W2475" s="36"/>
      <c r="X2475" s="28"/>
      <c r="Y2475" s="28"/>
      <c r="Z2475" s="20"/>
    </row>
    <row r="2476" spans="1:26" s="29" customFormat="1" ht="90.75" customHeight="1" x14ac:dyDescent="0.25">
      <c r="A2476" s="20"/>
      <c r="B2476" s="20"/>
      <c r="C2476" s="20"/>
      <c r="D2476" s="21"/>
      <c r="E2476" s="21"/>
      <c r="F2476" s="22"/>
      <c r="G2476" s="23"/>
      <c r="H2476" s="36"/>
      <c r="I2476" s="40"/>
      <c r="J2476" s="28"/>
      <c r="K2476" s="37">
        <v>1</v>
      </c>
      <c r="L2476" s="31" t="s">
        <v>215</v>
      </c>
      <c r="M2476" s="32" t="s">
        <v>13</v>
      </c>
      <c r="N2476" s="33">
        <v>2</v>
      </c>
      <c r="O2476" s="82">
        <v>176</v>
      </c>
      <c r="P2476" s="86">
        <v>100</v>
      </c>
      <c r="Q2476" s="36">
        <v>6450</v>
      </c>
      <c r="R2476" s="36">
        <f>(O2476*Q2476)</f>
        <v>1135200</v>
      </c>
      <c r="S2476" s="37">
        <v>7</v>
      </c>
      <c r="T2476" s="28">
        <f>(R2476*7/100)</f>
        <v>79464</v>
      </c>
      <c r="U2476" s="36">
        <f>(R2476-T2476)</f>
        <v>1055736</v>
      </c>
      <c r="V2476" s="36"/>
      <c r="W2476" s="36"/>
      <c r="X2476" s="28"/>
      <c r="Y2476" s="28"/>
      <c r="Z2476" s="20"/>
    </row>
    <row r="2477" spans="1:26" s="29" customFormat="1" ht="90.75" customHeight="1" x14ac:dyDescent="0.25">
      <c r="A2477" s="20"/>
      <c r="B2477" s="20"/>
      <c r="C2477" s="20"/>
      <c r="D2477" s="21"/>
      <c r="E2477" s="21"/>
      <c r="F2477" s="22"/>
      <c r="G2477" s="23"/>
      <c r="H2477" s="36"/>
      <c r="I2477" s="40"/>
      <c r="J2477" s="28"/>
      <c r="K2477" s="37">
        <v>2</v>
      </c>
      <c r="L2477" s="31" t="s">
        <v>31</v>
      </c>
      <c r="M2477" s="32"/>
      <c r="N2477" s="33">
        <v>2</v>
      </c>
      <c r="O2477" s="82">
        <v>28.8</v>
      </c>
      <c r="P2477" s="86">
        <v>100</v>
      </c>
      <c r="Q2477" s="36">
        <v>2550</v>
      </c>
      <c r="R2477" s="36">
        <f>(O2477*Q2477)</f>
        <v>73440</v>
      </c>
      <c r="S2477" s="37">
        <v>7</v>
      </c>
      <c r="T2477" s="28">
        <f>(R2477*7/100)</f>
        <v>5140.8</v>
      </c>
      <c r="U2477" s="36">
        <f>(R2477-T2477)</f>
        <v>68299.199999999997</v>
      </c>
      <c r="V2477" s="36"/>
      <c r="W2477" s="36"/>
      <c r="X2477" s="28"/>
      <c r="Y2477" s="28"/>
      <c r="Z2477" s="20"/>
    </row>
    <row r="2478" spans="1:26" s="29" customFormat="1" ht="90.75" customHeight="1" x14ac:dyDescent="0.25">
      <c r="A2478" s="20"/>
      <c r="B2478" s="20"/>
      <c r="C2478" s="20"/>
      <c r="D2478" s="21"/>
      <c r="E2478" s="21"/>
      <c r="F2478" s="22"/>
      <c r="G2478" s="23"/>
      <c r="H2478" s="36"/>
      <c r="I2478" s="40"/>
      <c r="J2478" s="28"/>
      <c r="K2478" s="37"/>
      <c r="L2478" s="31"/>
      <c r="M2478" s="32"/>
      <c r="N2478" s="33"/>
      <c r="O2478" s="82"/>
      <c r="P2478" s="86"/>
      <c r="Q2478" s="36"/>
      <c r="R2478" s="36"/>
      <c r="S2478" s="37"/>
      <c r="T2478" s="28"/>
      <c r="U2478" s="36">
        <f>(U2476+U2477)</f>
        <v>1124035.2</v>
      </c>
      <c r="V2478" s="36">
        <f>(J2475+U2478)</f>
        <v>1552347.7</v>
      </c>
      <c r="W2478" s="36">
        <f>(V2478*100/100)</f>
        <v>1552347.7</v>
      </c>
      <c r="X2478" s="28">
        <v>50000000</v>
      </c>
      <c r="Y2478" s="28">
        <v>0</v>
      </c>
      <c r="Z2478" s="49">
        <v>2.0000000000000001E-4</v>
      </c>
    </row>
    <row r="2479" spans="1:26" s="29" customFormat="1" ht="90.75" customHeight="1" x14ac:dyDescent="0.25">
      <c r="A2479" s="20"/>
      <c r="B2479" s="20"/>
      <c r="C2479" s="20"/>
      <c r="D2479" s="21"/>
      <c r="E2479" s="21"/>
      <c r="F2479" s="22"/>
      <c r="G2479" s="23"/>
      <c r="H2479" s="36">
        <v>110.5</v>
      </c>
      <c r="I2479" s="40">
        <v>875</v>
      </c>
      <c r="J2479" s="28">
        <f>(H2479*I2479)</f>
        <v>96687.5</v>
      </c>
      <c r="K2479" s="37"/>
      <c r="L2479" s="31"/>
      <c r="M2479" s="32"/>
      <c r="N2479" s="33"/>
      <c r="O2479" s="82"/>
      <c r="P2479" s="86"/>
      <c r="Q2479" s="36"/>
      <c r="R2479" s="36"/>
      <c r="S2479" s="37"/>
      <c r="T2479" s="28"/>
      <c r="U2479" s="36"/>
      <c r="V2479" s="36"/>
      <c r="W2479" s="36"/>
      <c r="X2479" s="28"/>
      <c r="Y2479" s="28"/>
      <c r="Z2479" s="20"/>
    </row>
    <row r="2480" spans="1:26" s="29" customFormat="1" ht="90.75" customHeight="1" x14ac:dyDescent="0.25">
      <c r="A2480" s="20"/>
      <c r="B2480" s="20"/>
      <c r="C2480" s="20"/>
      <c r="D2480" s="21"/>
      <c r="E2480" s="21"/>
      <c r="F2480" s="22"/>
      <c r="G2480" s="23"/>
      <c r="H2480" s="36"/>
      <c r="I2480" s="40"/>
      <c r="J2480" s="28"/>
      <c r="K2480" s="37">
        <v>3</v>
      </c>
      <c r="L2480" s="31" t="s">
        <v>15</v>
      </c>
      <c r="M2480" s="32" t="s">
        <v>13</v>
      </c>
      <c r="N2480" s="33">
        <v>3</v>
      </c>
      <c r="O2480" s="82">
        <v>318</v>
      </c>
      <c r="P2480" s="86">
        <v>100</v>
      </c>
      <c r="Q2480" s="36">
        <v>5950</v>
      </c>
      <c r="R2480" s="36">
        <f>(O2480*Q2480)</f>
        <v>1892100</v>
      </c>
      <c r="S2480" s="37">
        <v>7</v>
      </c>
      <c r="T2480" s="28">
        <f t="shared" ref="T2480:T2482" si="467">(R2480*7/100)</f>
        <v>132447</v>
      </c>
      <c r="U2480" s="36">
        <f>(R2480-T2480)</f>
        <v>1759653</v>
      </c>
      <c r="V2480" s="36"/>
      <c r="W2480" s="36"/>
      <c r="X2480" s="28"/>
      <c r="Y2480" s="28"/>
      <c r="Z2480" s="20"/>
    </row>
    <row r="2481" spans="1:26" s="29" customFormat="1" ht="90.75" customHeight="1" x14ac:dyDescent="0.25">
      <c r="A2481" s="20"/>
      <c r="B2481" s="20"/>
      <c r="C2481" s="20"/>
      <c r="D2481" s="21"/>
      <c r="E2481" s="21"/>
      <c r="F2481" s="22"/>
      <c r="G2481" s="23"/>
      <c r="H2481" s="36"/>
      <c r="I2481" s="40"/>
      <c r="J2481" s="28"/>
      <c r="K2481" s="37">
        <v>4</v>
      </c>
      <c r="L2481" s="31" t="s">
        <v>31</v>
      </c>
      <c r="M2481" s="32" t="s">
        <v>40</v>
      </c>
      <c r="N2481" s="33">
        <v>3</v>
      </c>
      <c r="O2481" s="82">
        <v>34</v>
      </c>
      <c r="P2481" s="86">
        <v>100</v>
      </c>
      <c r="Q2481" s="36">
        <v>2550</v>
      </c>
      <c r="R2481" s="36">
        <f>(O2481*Q2481)</f>
        <v>86700</v>
      </c>
      <c r="S2481" s="37">
        <v>7</v>
      </c>
      <c r="T2481" s="28">
        <f t="shared" si="467"/>
        <v>6069</v>
      </c>
      <c r="U2481" s="36">
        <f>(R2481-T2481)</f>
        <v>80631</v>
      </c>
      <c r="V2481" s="36"/>
      <c r="W2481" s="36"/>
      <c r="X2481" s="28"/>
      <c r="Y2481" s="28"/>
      <c r="Z2481" s="20"/>
    </row>
    <row r="2482" spans="1:26" s="29" customFormat="1" ht="90.75" customHeight="1" x14ac:dyDescent="0.25">
      <c r="A2482" s="20"/>
      <c r="B2482" s="20"/>
      <c r="C2482" s="20"/>
      <c r="D2482" s="21"/>
      <c r="E2482" s="21"/>
      <c r="F2482" s="22"/>
      <c r="G2482" s="23"/>
      <c r="H2482" s="36"/>
      <c r="I2482" s="40"/>
      <c r="J2482" s="28"/>
      <c r="K2482" s="37">
        <v>5</v>
      </c>
      <c r="L2482" s="31" t="s">
        <v>29</v>
      </c>
      <c r="M2482" s="32"/>
      <c r="N2482" s="33"/>
      <c r="O2482" s="82">
        <v>90</v>
      </c>
      <c r="P2482" s="86">
        <v>100</v>
      </c>
      <c r="Q2482" s="36">
        <v>5550</v>
      </c>
      <c r="R2482" s="36">
        <f>(O2482*Q2482)</f>
        <v>499500</v>
      </c>
      <c r="S2482" s="37">
        <v>7</v>
      </c>
      <c r="T2482" s="28">
        <f t="shared" si="467"/>
        <v>34965</v>
      </c>
      <c r="U2482" s="36">
        <f>(R2482-T2482)</f>
        <v>464535</v>
      </c>
      <c r="V2482" s="36"/>
      <c r="W2482" s="36"/>
      <c r="X2482" s="28"/>
      <c r="Y2482" s="28"/>
      <c r="Z2482" s="20"/>
    </row>
    <row r="2483" spans="1:26" s="29" customFormat="1" ht="90.75" customHeight="1" x14ac:dyDescent="0.25">
      <c r="A2483" s="20"/>
      <c r="B2483" s="20"/>
      <c r="C2483" s="20"/>
      <c r="D2483" s="21"/>
      <c r="E2483" s="21"/>
      <c r="F2483" s="22"/>
      <c r="G2483" s="23"/>
      <c r="H2483" s="36"/>
      <c r="I2483" s="25"/>
      <c r="J2483" s="65"/>
      <c r="K2483" s="30"/>
      <c r="L2483" s="20"/>
      <c r="M2483" s="35"/>
      <c r="N2483" s="30"/>
      <c r="O2483" s="36"/>
      <c r="P2483" s="86"/>
      <c r="Q2483" s="40"/>
      <c r="R2483" s="84"/>
      <c r="S2483" s="84"/>
      <c r="T2483" s="28"/>
      <c r="U2483" s="36">
        <f>(U2480+U2481+U2482)</f>
        <v>2304819</v>
      </c>
      <c r="V2483" s="36">
        <f>(J2479+U2483)</f>
        <v>2401506.5</v>
      </c>
      <c r="W2483" s="36">
        <f>(V2483*100/100)</f>
        <v>2401506.5</v>
      </c>
      <c r="X2483" s="28">
        <v>0</v>
      </c>
      <c r="Y2483" s="26">
        <f>(W2483-X2483)</f>
        <v>2401506.5</v>
      </c>
      <c r="Z2483" s="49">
        <v>3.0000000000000001E-3</v>
      </c>
    </row>
    <row r="2484" spans="1:26" s="29" customFormat="1" ht="90.75" customHeight="1" x14ac:dyDescent="0.25">
      <c r="A2484" s="20">
        <v>1353</v>
      </c>
      <c r="B2484" s="20" t="s">
        <v>0</v>
      </c>
      <c r="C2484" s="20">
        <v>48897</v>
      </c>
      <c r="D2484" s="21">
        <v>0</v>
      </c>
      <c r="E2484" s="21">
        <v>1</v>
      </c>
      <c r="F2484" s="22">
        <v>3</v>
      </c>
      <c r="G2484" s="23" t="s">
        <v>211</v>
      </c>
      <c r="H2484" s="36">
        <f t="shared" ref="H2484" si="468">(D2484*400)+(E2484*100)+F2484</f>
        <v>103</v>
      </c>
      <c r="I2484" s="25">
        <v>1000</v>
      </c>
      <c r="J2484" s="28">
        <f t="shared" ref="J2484" si="469">(H2484*I2484)</f>
        <v>103000</v>
      </c>
      <c r="K2484" s="20"/>
      <c r="L2484" s="20"/>
      <c r="M2484" s="20"/>
      <c r="N2484" s="20"/>
      <c r="O2484" s="24"/>
      <c r="P2484" s="24"/>
      <c r="Q2484" s="25"/>
      <c r="R2484" s="24"/>
      <c r="S2484" s="20"/>
      <c r="T2484" s="27"/>
      <c r="U2484" s="20"/>
      <c r="V2484" s="20"/>
      <c r="W2484" s="26"/>
      <c r="X2484" s="27"/>
      <c r="Y2484" s="20"/>
      <c r="Z2484" s="20"/>
    </row>
    <row r="2485" spans="1:26" s="29" customFormat="1" ht="90.75" customHeight="1" x14ac:dyDescent="0.25">
      <c r="A2485" s="20"/>
      <c r="B2485" s="20"/>
      <c r="C2485" s="20"/>
      <c r="D2485" s="21"/>
      <c r="E2485" s="21"/>
      <c r="F2485" s="22"/>
      <c r="G2485" s="23"/>
      <c r="H2485" s="36">
        <v>98.5</v>
      </c>
      <c r="I2485" s="40">
        <v>1000</v>
      </c>
      <c r="J2485" s="28">
        <f>(H2485*I2485)</f>
        <v>98500</v>
      </c>
      <c r="K2485" s="37"/>
      <c r="L2485" s="31"/>
      <c r="M2485" s="32"/>
      <c r="N2485" s="33"/>
      <c r="O2485" s="82"/>
      <c r="P2485" s="86"/>
      <c r="Q2485" s="36"/>
      <c r="R2485" s="36"/>
      <c r="S2485" s="37"/>
      <c r="T2485" s="28"/>
      <c r="U2485" s="36"/>
      <c r="V2485" s="36"/>
      <c r="W2485" s="36"/>
      <c r="X2485" s="28"/>
      <c r="Y2485" s="28"/>
      <c r="Z2485" s="20"/>
    </row>
    <row r="2486" spans="1:26" s="29" customFormat="1" ht="90.75" customHeight="1" x14ac:dyDescent="0.25">
      <c r="A2486" s="20"/>
      <c r="B2486" s="20"/>
      <c r="C2486" s="20"/>
      <c r="D2486" s="21"/>
      <c r="E2486" s="21"/>
      <c r="F2486" s="22"/>
      <c r="G2486" s="23"/>
      <c r="H2486" s="36"/>
      <c r="I2486" s="40"/>
      <c r="J2486" s="28"/>
      <c r="K2486" s="37">
        <v>1</v>
      </c>
      <c r="L2486" s="31" t="s">
        <v>215</v>
      </c>
      <c r="M2486" s="32" t="s">
        <v>52</v>
      </c>
      <c r="N2486" s="33">
        <v>2</v>
      </c>
      <c r="O2486" s="82">
        <v>76.5</v>
      </c>
      <c r="P2486" s="86">
        <v>100</v>
      </c>
      <c r="Q2486" s="36">
        <v>6450</v>
      </c>
      <c r="R2486" s="36">
        <f>(O2486*Q2486)</f>
        <v>493425</v>
      </c>
      <c r="S2486" s="37">
        <v>31</v>
      </c>
      <c r="T2486" s="28">
        <f>(R2486*85/100)</f>
        <v>419411.25</v>
      </c>
      <c r="U2486" s="36">
        <f>(R2486-T2486)</f>
        <v>74013.75</v>
      </c>
      <c r="V2486" s="36"/>
      <c r="W2486" s="36"/>
      <c r="X2486" s="28"/>
      <c r="Y2486" s="28"/>
      <c r="Z2486" s="20"/>
    </row>
    <row r="2487" spans="1:26" s="29" customFormat="1" ht="90.75" customHeight="1" x14ac:dyDescent="0.25">
      <c r="A2487" s="20"/>
      <c r="B2487" s="20"/>
      <c r="C2487" s="20"/>
      <c r="D2487" s="21"/>
      <c r="E2487" s="21"/>
      <c r="F2487" s="22"/>
      <c r="G2487" s="23"/>
      <c r="H2487" s="36"/>
      <c r="I2487" s="40"/>
      <c r="J2487" s="28"/>
      <c r="K2487" s="37">
        <v>2</v>
      </c>
      <c r="L2487" s="31" t="s">
        <v>31</v>
      </c>
      <c r="M2487" s="32"/>
      <c r="N2487" s="33">
        <v>2</v>
      </c>
      <c r="O2487" s="82">
        <v>25</v>
      </c>
      <c r="P2487" s="86">
        <v>100</v>
      </c>
      <c r="Q2487" s="36">
        <v>2550</v>
      </c>
      <c r="R2487" s="36">
        <f>(O2487*Q2487)</f>
        <v>63750</v>
      </c>
      <c r="S2487" s="37">
        <v>31</v>
      </c>
      <c r="T2487" s="28">
        <f>(R2487*85/100)</f>
        <v>54187.5</v>
      </c>
      <c r="U2487" s="36">
        <f>(R2487-T2487)</f>
        <v>9562.5</v>
      </c>
      <c r="V2487" s="36"/>
      <c r="W2487" s="36"/>
      <c r="X2487" s="28"/>
      <c r="Y2487" s="28"/>
      <c r="Z2487" s="20"/>
    </row>
    <row r="2488" spans="1:26" s="29" customFormat="1" ht="90.75" customHeight="1" x14ac:dyDescent="0.25">
      <c r="A2488" s="20"/>
      <c r="B2488" s="20"/>
      <c r="C2488" s="20"/>
      <c r="D2488" s="21"/>
      <c r="E2488" s="21"/>
      <c r="F2488" s="22"/>
      <c r="G2488" s="23"/>
      <c r="H2488" s="36"/>
      <c r="I2488" s="40"/>
      <c r="J2488" s="28"/>
      <c r="K2488" s="37"/>
      <c r="L2488" s="31"/>
      <c r="M2488" s="32"/>
      <c r="N2488" s="33"/>
      <c r="O2488" s="82"/>
      <c r="P2488" s="86"/>
      <c r="Q2488" s="36"/>
      <c r="R2488" s="36"/>
      <c r="S2488" s="37"/>
      <c r="T2488" s="28"/>
      <c r="U2488" s="36">
        <f>(U2486+U2487)</f>
        <v>83576.25</v>
      </c>
      <c r="V2488" s="36">
        <f>(J2485+U2488)</f>
        <v>182076.25</v>
      </c>
      <c r="W2488" s="36">
        <f>(V2488*100/100)</f>
        <v>182076.25</v>
      </c>
      <c r="X2488" s="28">
        <v>50000000</v>
      </c>
      <c r="Y2488" s="28">
        <v>0</v>
      </c>
      <c r="Z2488" s="49">
        <v>2.0000000000000001E-4</v>
      </c>
    </row>
    <row r="2489" spans="1:26" s="29" customFormat="1" ht="90.75" customHeight="1" x14ac:dyDescent="0.25">
      <c r="A2489" s="20"/>
      <c r="B2489" s="20"/>
      <c r="C2489" s="20"/>
      <c r="D2489" s="21"/>
      <c r="E2489" s="21"/>
      <c r="F2489" s="22"/>
      <c r="G2489" s="23"/>
      <c r="H2489" s="36">
        <f>(O2489*0.25)</f>
        <v>4.5</v>
      </c>
      <c r="I2489" s="40">
        <v>1000</v>
      </c>
      <c r="J2489" s="28">
        <f t="shared" ref="J2489:J2490" si="470">(H2489*I2489)</f>
        <v>4500</v>
      </c>
      <c r="K2489" s="37">
        <v>3</v>
      </c>
      <c r="L2489" s="31" t="s">
        <v>29</v>
      </c>
      <c r="M2489" s="32" t="s">
        <v>13</v>
      </c>
      <c r="N2489" s="33">
        <v>3</v>
      </c>
      <c r="O2489" s="82">
        <v>18</v>
      </c>
      <c r="P2489" s="86">
        <v>100</v>
      </c>
      <c r="Q2489" s="36">
        <v>5550</v>
      </c>
      <c r="R2489" s="36">
        <f>(O2489*Q2489)</f>
        <v>99900</v>
      </c>
      <c r="S2489" s="37">
        <v>3</v>
      </c>
      <c r="T2489" s="28">
        <f>(R2489*3/100)</f>
        <v>2997</v>
      </c>
      <c r="U2489" s="36">
        <f>(R2489-T2489)</f>
        <v>96903</v>
      </c>
      <c r="V2489" s="36">
        <f>(J2489+U2489)</f>
        <v>101403</v>
      </c>
      <c r="W2489" s="36">
        <f>(V2489*100/100)</f>
        <v>101403</v>
      </c>
      <c r="X2489" s="28">
        <v>0</v>
      </c>
      <c r="Y2489" s="28">
        <f>(W2489-X2489)</f>
        <v>101403</v>
      </c>
      <c r="Z2489" s="49">
        <v>3.0000000000000001E-3</v>
      </c>
    </row>
    <row r="2490" spans="1:26" s="29" customFormat="1" ht="90.75" customHeight="1" x14ac:dyDescent="0.25">
      <c r="A2490" s="20">
        <v>1354</v>
      </c>
      <c r="B2490" s="20" t="s">
        <v>0</v>
      </c>
      <c r="C2490" s="20">
        <v>37657</v>
      </c>
      <c r="D2490" s="21">
        <v>0</v>
      </c>
      <c r="E2490" s="21">
        <v>0</v>
      </c>
      <c r="F2490" s="22">
        <v>50</v>
      </c>
      <c r="G2490" s="23" t="s">
        <v>211</v>
      </c>
      <c r="H2490" s="36">
        <f>(D2490*400)+(E2490*100)+F2490</f>
        <v>50</v>
      </c>
      <c r="I2490" s="40">
        <v>1000</v>
      </c>
      <c r="J2490" s="28">
        <f t="shared" si="470"/>
        <v>50000</v>
      </c>
      <c r="K2490" s="37">
        <v>1</v>
      </c>
      <c r="L2490" s="31" t="s">
        <v>215</v>
      </c>
      <c r="M2490" s="32" t="s">
        <v>13</v>
      </c>
      <c r="N2490" s="33">
        <v>5</v>
      </c>
      <c r="O2490" s="34">
        <v>120.75</v>
      </c>
      <c r="P2490" s="82">
        <v>100</v>
      </c>
      <c r="Q2490" s="90">
        <v>6450</v>
      </c>
      <c r="R2490" s="36">
        <f>(O2490*Q2490)</f>
        <v>778837.5</v>
      </c>
      <c r="S2490" s="37">
        <v>9</v>
      </c>
      <c r="T2490" s="28">
        <f>(R2490*9/100)</f>
        <v>70095.375</v>
      </c>
      <c r="U2490" s="36">
        <f>(R2490-T2490)</f>
        <v>708742.125</v>
      </c>
      <c r="V2490" s="36">
        <f>(J2490+U2490)</f>
        <v>758742.125</v>
      </c>
      <c r="W2490" s="36">
        <f>(V2490*100/100)</f>
        <v>758742.125</v>
      </c>
      <c r="X2490" s="28"/>
      <c r="Y2490" s="28"/>
      <c r="Z2490" s="20"/>
    </row>
    <row r="2491" spans="1:26" s="29" customFormat="1" ht="90.75" customHeight="1" x14ac:dyDescent="0.25">
      <c r="A2491" s="20"/>
      <c r="B2491" s="20"/>
      <c r="C2491" s="20"/>
      <c r="D2491" s="21"/>
      <c r="E2491" s="21"/>
      <c r="F2491" s="22"/>
      <c r="G2491" s="23"/>
      <c r="H2491" s="36"/>
      <c r="I2491" s="40"/>
      <c r="J2491" s="28"/>
      <c r="K2491" s="37"/>
      <c r="L2491" s="31" t="s">
        <v>56</v>
      </c>
      <c r="M2491" s="32"/>
      <c r="N2491" s="33"/>
      <c r="O2491" s="34">
        <v>108.5</v>
      </c>
      <c r="P2491" s="82">
        <v>89.86</v>
      </c>
      <c r="Q2491" s="90"/>
      <c r="R2491" s="36"/>
      <c r="S2491" s="37"/>
      <c r="T2491" s="28"/>
      <c r="U2491" s="36"/>
      <c r="V2491" s="36"/>
      <c r="W2491" s="36">
        <f>(W2490*89.86/100)</f>
        <v>681805.67352500011</v>
      </c>
      <c r="X2491" s="28">
        <v>50000000</v>
      </c>
      <c r="Y2491" s="28">
        <v>0</v>
      </c>
      <c r="Z2491" s="49">
        <v>2.0000000000000001E-4</v>
      </c>
    </row>
    <row r="2492" spans="1:26" s="29" customFormat="1" ht="90.75" customHeight="1" x14ac:dyDescent="0.25">
      <c r="A2492" s="20"/>
      <c r="B2492" s="20"/>
      <c r="C2492" s="20"/>
      <c r="D2492" s="21"/>
      <c r="E2492" s="21"/>
      <c r="F2492" s="22"/>
      <c r="G2492" s="23"/>
      <c r="H2492" s="36"/>
      <c r="I2492" s="40"/>
      <c r="J2492" s="28"/>
      <c r="K2492" s="37"/>
      <c r="L2492" s="31" t="s">
        <v>61</v>
      </c>
      <c r="M2492" s="32"/>
      <c r="N2492" s="33"/>
      <c r="O2492" s="34">
        <v>12.25</v>
      </c>
      <c r="P2492" s="82">
        <v>10.14</v>
      </c>
      <c r="Q2492" s="90"/>
      <c r="R2492" s="36"/>
      <c r="S2492" s="37"/>
      <c r="T2492" s="28"/>
      <c r="U2492" s="36"/>
      <c r="V2492" s="36"/>
      <c r="W2492" s="36">
        <f>(W2490*10.14/100)</f>
        <v>76936.451475000009</v>
      </c>
      <c r="X2492" s="28">
        <v>0</v>
      </c>
      <c r="Y2492" s="28">
        <f>(W2492-X2492)</f>
        <v>76936.451475000009</v>
      </c>
      <c r="Z2492" s="49">
        <v>3.0000000000000001E-3</v>
      </c>
    </row>
    <row r="2493" spans="1:26" s="29" customFormat="1" ht="90.75" customHeight="1" x14ac:dyDescent="0.25">
      <c r="A2493" s="20">
        <v>1355</v>
      </c>
      <c r="B2493" s="20" t="s">
        <v>0</v>
      </c>
      <c r="C2493" s="20">
        <v>40091</v>
      </c>
      <c r="D2493" s="21">
        <v>1</v>
      </c>
      <c r="E2493" s="21">
        <v>0</v>
      </c>
      <c r="F2493" s="22">
        <v>0</v>
      </c>
      <c r="G2493" s="23" t="s">
        <v>211</v>
      </c>
      <c r="H2493" s="36">
        <f>(D2493*400)+(E2493*100)+F2493</f>
        <v>400</v>
      </c>
      <c r="I2493" s="25">
        <v>875</v>
      </c>
      <c r="J2493" s="28">
        <f t="shared" ref="J2493:J2500" si="471">(H2493*I2493)</f>
        <v>350000</v>
      </c>
      <c r="K2493" s="20"/>
      <c r="L2493" s="20"/>
      <c r="M2493" s="20"/>
      <c r="N2493" s="20"/>
      <c r="O2493" s="24"/>
      <c r="P2493" s="24"/>
      <c r="Q2493" s="25"/>
      <c r="R2493" s="24"/>
      <c r="S2493" s="20"/>
      <c r="T2493" s="27"/>
      <c r="U2493" s="20"/>
      <c r="V2493" s="20"/>
      <c r="W2493" s="26"/>
      <c r="X2493" s="27"/>
      <c r="Y2493" s="20"/>
      <c r="Z2493" s="20"/>
    </row>
    <row r="2494" spans="1:26" s="29" customFormat="1" ht="90.75" customHeight="1" x14ac:dyDescent="0.25">
      <c r="A2494" s="20"/>
      <c r="B2494" s="20"/>
      <c r="C2494" s="20"/>
      <c r="D2494" s="21"/>
      <c r="E2494" s="21"/>
      <c r="F2494" s="22"/>
      <c r="G2494" s="23"/>
      <c r="H2494" s="36">
        <f t="shared" ref="H2494:H2499" si="472">(O2494*0.25)</f>
        <v>110</v>
      </c>
      <c r="I2494" s="25">
        <v>875</v>
      </c>
      <c r="J2494" s="28">
        <f t="shared" si="471"/>
        <v>96250</v>
      </c>
      <c r="K2494" s="37">
        <v>1</v>
      </c>
      <c r="L2494" s="31" t="s">
        <v>43</v>
      </c>
      <c r="M2494" s="32" t="s">
        <v>13</v>
      </c>
      <c r="N2494" s="33">
        <v>3</v>
      </c>
      <c r="O2494" s="34">
        <v>440</v>
      </c>
      <c r="P2494" s="35">
        <v>100</v>
      </c>
      <c r="Q2494" s="36">
        <v>7700</v>
      </c>
      <c r="R2494" s="36">
        <f>(O2494*Q2494)</f>
        <v>3388000</v>
      </c>
      <c r="S2494" s="37">
        <v>5</v>
      </c>
      <c r="T2494" s="28">
        <f>(R2494*5/100)</f>
        <v>169400</v>
      </c>
      <c r="U2494" s="36">
        <f>(R2494-T2494)</f>
        <v>3218600</v>
      </c>
      <c r="V2494" s="36">
        <f>(J2494+U2494)</f>
        <v>3314850</v>
      </c>
      <c r="W2494" s="36">
        <f>(V2494*100/100)</f>
        <v>3314850</v>
      </c>
      <c r="X2494" s="28">
        <v>0</v>
      </c>
      <c r="Y2494" s="28">
        <f>(W2494-X2494)</f>
        <v>3314850</v>
      </c>
      <c r="Z2494" s="49">
        <v>2.0000000000000001E-4</v>
      </c>
    </row>
    <row r="2495" spans="1:26" s="29" customFormat="1" ht="90.75" customHeight="1" x14ac:dyDescent="0.25">
      <c r="A2495" s="20"/>
      <c r="B2495" s="20"/>
      <c r="C2495" s="20"/>
      <c r="D2495" s="21"/>
      <c r="E2495" s="21"/>
      <c r="F2495" s="22"/>
      <c r="G2495" s="23"/>
      <c r="H2495" s="36">
        <f t="shared" si="472"/>
        <v>110</v>
      </c>
      <c r="I2495" s="25">
        <v>875</v>
      </c>
      <c r="J2495" s="28">
        <f t="shared" si="471"/>
        <v>96250</v>
      </c>
      <c r="K2495" s="37">
        <v>2</v>
      </c>
      <c r="L2495" s="31" t="s">
        <v>43</v>
      </c>
      <c r="M2495" s="32" t="s">
        <v>13</v>
      </c>
      <c r="N2495" s="33">
        <v>3</v>
      </c>
      <c r="O2495" s="34">
        <v>440</v>
      </c>
      <c r="P2495" s="35">
        <v>100</v>
      </c>
      <c r="Q2495" s="36">
        <v>7700</v>
      </c>
      <c r="R2495" s="36">
        <f>(O2495*Q2495)</f>
        <v>3388000</v>
      </c>
      <c r="S2495" s="37">
        <v>5</v>
      </c>
      <c r="T2495" s="28">
        <f t="shared" ref="T2495:T2496" si="473">(R2495*5/100)</f>
        <v>169400</v>
      </c>
      <c r="U2495" s="36">
        <f>(R2495-T2495)</f>
        <v>3218600</v>
      </c>
      <c r="V2495" s="36">
        <f>(J2495+U2495)</f>
        <v>3314850</v>
      </c>
      <c r="W2495" s="36">
        <f>(V2495*100/100)</f>
        <v>3314850</v>
      </c>
      <c r="X2495" s="28">
        <v>0</v>
      </c>
      <c r="Y2495" s="28">
        <f>(W2495-X2495)</f>
        <v>3314850</v>
      </c>
      <c r="Z2495" s="49">
        <v>2.0000000000000001E-4</v>
      </c>
    </row>
    <row r="2496" spans="1:26" s="29" customFormat="1" ht="90.75" customHeight="1" x14ac:dyDescent="0.25">
      <c r="A2496" s="20"/>
      <c r="B2496" s="20"/>
      <c r="C2496" s="20"/>
      <c r="D2496" s="21"/>
      <c r="E2496" s="21"/>
      <c r="F2496" s="22"/>
      <c r="G2496" s="23"/>
      <c r="H2496" s="36">
        <f t="shared" si="472"/>
        <v>29.3125</v>
      </c>
      <c r="I2496" s="25">
        <v>875</v>
      </c>
      <c r="J2496" s="28">
        <f t="shared" si="471"/>
        <v>25648.4375</v>
      </c>
      <c r="K2496" s="37">
        <v>3</v>
      </c>
      <c r="L2496" s="31" t="s">
        <v>215</v>
      </c>
      <c r="M2496" s="32" t="s">
        <v>13</v>
      </c>
      <c r="N2496" s="33">
        <v>5</v>
      </c>
      <c r="O2496" s="34">
        <v>117.25</v>
      </c>
      <c r="P2496" s="35">
        <v>100</v>
      </c>
      <c r="Q2496" s="36">
        <v>6450</v>
      </c>
      <c r="R2496" s="36">
        <f>(O2496*Q2496)</f>
        <v>756262.5</v>
      </c>
      <c r="S2496" s="37">
        <v>5</v>
      </c>
      <c r="T2496" s="28">
        <f t="shared" si="473"/>
        <v>37813.125</v>
      </c>
      <c r="U2496" s="36">
        <f>(R2496-T2496)</f>
        <v>718449.375</v>
      </c>
      <c r="V2496" s="36">
        <f>(J2496+U2496)</f>
        <v>744097.8125</v>
      </c>
      <c r="W2496" s="36">
        <f>(V2496*100/100)</f>
        <v>744097.8125</v>
      </c>
      <c r="X2496" s="28"/>
      <c r="Y2496" s="28"/>
      <c r="Z2496" s="20"/>
    </row>
    <row r="2497" spans="1:26" s="29" customFormat="1" ht="90.75" customHeight="1" x14ac:dyDescent="0.25">
      <c r="A2497" s="20"/>
      <c r="B2497" s="20"/>
      <c r="C2497" s="20"/>
      <c r="D2497" s="21"/>
      <c r="E2497" s="21"/>
      <c r="F2497" s="22"/>
      <c r="G2497" s="23"/>
      <c r="H2497" s="36">
        <f t="shared" si="472"/>
        <v>26.25</v>
      </c>
      <c r="I2497" s="25">
        <v>875</v>
      </c>
      <c r="J2497" s="28">
        <f t="shared" si="471"/>
        <v>22968.75</v>
      </c>
      <c r="K2497" s="37"/>
      <c r="L2497" s="31" t="s">
        <v>42</v>
      </c>
      <c r="M2497" s="32"/>
      <c r="N2497" s="33">
        <v>2</v>
      </c>
      <c r="O2497" s="34">
        <v>105</v>
      </c>
      <c r="P2497" s="35">
        <v>89.55</v>
      </c>
      <c r="Q2497" s="36"/>
      <c r="R2497" s="36"/>
      <c r="S2497" s="37"/>
      <c r="T2497" s="28"/>
      <c r="U2497" s="36"/>
      <c r="V2497" s="36"/>
      <c r="W2497" s="36">
        <f>(W2496*89.55/100)</f>
        <v>666339.59109374997</v>
      </c>
      <c r="X2497" s="28">
        <v>50000000</v>
      </c>
      <c r="Y2497" s="28">
        <v>0</v>
      </c>
      <c r="Z2497" s="49">
        <v>2.0000000000000001E-4</v>
      </c>
    </row>
    <row r="2498" spans="1:26" s="29" customFormat="1" ht="90.75" customHeight="1" x14ac:dyDescent="0.25">
      <c r="A2498" s="20"/>
      <c r="B2498" s="20"/>
      <c r="C2498" s="20"/>
      <c r="D2498" s="21"/>
      <c r="E2498" s="21"/>
      <c r="F2498" s="22"/>
      <c r="G2498" s="23"/>
      <c r="H2498" s="36">
        <f t="shared" si="472"/>
        <v>3.0625</v>
      </c>
      <c r="I2498" s="25">
        <v>875</v>
      </c>
      <c r="J2498" s="28">
        <f t="shared" si="471"/>
        <v>2679.6875</v>
      </c>
      <c r="K2498" s="37"/>
      <c r="L2498" s="31" t="s">
        <v>61</v>
      </c>
      <c r="M2498" s="32"/>
      <c r="N2498" s="33">
        <v>3</v>
      </c>
      <c r="O2498" s="34">
        <v>12.25</v>
      </c>
      <c r="P2498" s="35">
        <v>10.45</v>
      </c>
      <c r="Q2498" s="36"/>
      <c r="R2498" s="36"/>
      <c r="S2498" s="37"/>
      <c r="T2498" s="28"/>
      <c r="U2498" s="36"/>
      <c r="V2498" s="36"/>
      <c r="W2498" s="36">
        <f>(W2496*10.45/100)</f>
        <v>77758.221406249984</v>
      </c>
      <c r="X2498" s="28">
        <v>0</v>
      </c>
      <c r="Y2498" s="28">
        <f>(W2498)</f>
        <v>77758.221406249984</v>
      </c>
      <c r="Z2498" s="49">
        <v>3.0000000000000001E-3</v>
      </c>
    </row>
    <row r="2499" spans="1:26" s="29" customFormat="1" ht="90.75" customHeight="1" x14ac:dyDescent="0.25">
      <c r="A2499" s="20"/>
      <c r="B2499" s="20"/>
      <c r="C2499" s="20"/>
      <c r="D2499" s="21"/>
      <c r="E2499" s="21"/>
      <c r="F2499" s="22"/>
      <c r="G2499" s="23"/>
      <c r="H2499" s="36">
        <f t="shared" si="472"/>
        <v>3.5</v>
      </c>
      <c r="I2499" s="25">
        <v>875</v>
      </c>
      <c r="J2499" s="28">
        <f t="shared" si="471"/>
        <v>3062.5</v>
      </c>
      <c r="K2499" s="37">
        <v>4</v>
      </c>
      <c r="L2499" s="31" t="s">
        <v>31</v>
      </c>
      <c r="M2499" s="32"/>
      <c r="N2499" s="33">
        <v>3</v>
      </c>
      <c r="O2499" s="34">
        <v>14</v>
      </c>
      <c r="P2499" s="35">
        <v>100</v>
      </c>
      <c r="Q2499" s="36">
        <v>2550</v>
      </c>
      <c r="R2499" s="36">
        <f>(O2499*Q2499)</f>
        <v>35700</v>
      </c>
      <c r="S2499" s="37">
        <v>5</v>
      </c>
      <c r="T2499" s="28">
        <f>(R2499*4/100)</f>
        <v>1428</v>
      </c>
      <c r="U2499" s="36">
        <f>(R2499-T2499)</f>
        <v>34272</v>
      </c>
      <c r="V2499" s="36">
        <f>(J2499+U2499)</f>
        <v>37334.5</v>
      </c>
      <c r="W2499" s="36">
        <f>(V2499*100/100)</f>
        <v>37334.5</v>
      </c>
      <c r="X2499" s="28">
        <v>0</v>
      </c>
      <c r="Y2499" s="28">
        <f>(W2499-X2499)</f>
        <v>37334.5</v>
      </c>
      <c r="Z2499" s="49">
        <v>3.0000000000000001E-3</v>
      </c>
    </row>
    <row r="2500" spans="1:26" s="29" customFormat="1" ht="90.75" customHeight="1" x14ac:dyDescent="0.25">
      <c r="A2500" s="20"/>
      <c r="B2500" s="20"/>
      <c r="C2500" s="20"/>
      <c r="D2500" s="21"/>
      <c r="E2500" s="21"/>
      <c r="F2500" s="22"/>
      <c r="G2500" s="23"/>
      <c r="H2500" s="36">
        <v>117.87</v>
      </c>
      <c r="I2500" s="25">
        <v>875</v>
      </c>
      <c r="J2500" s="28">
        <f t="shared" si="471"/>
        <v>103136.25</v>
      </c>
      <c r="K2500" s="37"/>
      <c r="L2500" s="31"/>
      <c r="M2500" s="32"/>
      <c r="N2500" s="33"/>
      <c r="O2500" s="34"/>
      <c r="P2500" s="35"/>
      <c r="Q2500" s="36"/>
      <c r="R2500" s="36"/>
      <c r="S2500" s="37"/>
      <c r="T2500" s="28"/>
      <c r="U2500" s="36"/>
      <c r="V2500" s="36">
        <f>(J2500+U2500)</f>
        <v>103136.25</v>
      </c>
      <c r="W2500" s="36">
        <f>(V2500*100/100)</f>
        <v>103136.25</v>
      </c>
      <c r="X2500" s="28">
        <v>0</v>
      </c>
      <c r="Y2500" s="28">
        <f>(W2500-X2500)</f>
        <v>103136.25</v>
      </c>
      <c r="Z2500" s="49">
        <v>2.0000000000000001E-4</v>
      </c>
    </row>
    <row r="2501" spans="1:26" s="29" customFormat="1" ht="90.75" customHeight="1" x14ac:dyDescent="0.25">
      <c r="A2501" s="20">
        <v>1356</v>
      </c>
      <c r="B2501" s="20" t="s">
        <v>0</v>
      </c>
      <c r="C2501" s="20">
        <v>32407</v>
      </c>
      <c r="D2501" s="21">
        <v>0</v>
      </c>
      <c r="E2501" s="21">
        <v>3</v>
      </c>
      <c r="F2501" s="22">
        <v>15</v>
      </c>
      <c r="G2501" s="23" t="s">
        <v>56</v>
      </c>
      <c r="H2501" s="36">
        <f>(D2501*400)+(E2501*100)+F2501</f>
        <v>315</v>
      </c>
      <c r="I2501" s="25" t="s">
        <v>23</v>
      </c>
      <c r="J2501" s="28">
        <f t="shared" ref="J2501" si="474">(H2501*I2501)</f>
        <v>315000</v>
      </c>
      <c r="K2501" s="20">
        <v>1</v>
      </c>
      <c r="L2501" s="20" t="s">
        <v>43</v>
      </c>
      <c r="M2501" s="20" t="s">
        <v>13</v>
      </c>
      <c r="N2501" s="20"/>
      <c r="O2501" s="24">
        <v>440</v>
      </c>
      <c r="P2501" s="35">
        <v>100</v>
      </c>
      <c r="Q2501" s="36">
        <v>7700</v>
      </c>
      <c r="R2501" s="36">
        <f>(O2501*Q2501)</f>
        <v>3388000</v>
      </c>
      <c r="S2501" s="37">
        <v>5</v>
      </c>
      <c r="T2501" s="28">
        <f>(R2501*5/100)</f>
        <v>169400</v>
      </c>
      <c r="U2501" s="36">
        <f>(R2501-T2501)</f>
        <v>3218600</v>
      </c>
      <c r="V2501" s="36">
        <f>(J2501+U2501)</f>
        <v>3533600</v>
      </c>
      <c r="W2501" s="36">
        <f>(V2501*100/100)</f>
        <v>3533600</v>
      </c>
      <c r="X2501" s="28">
        <v>0</v>
      </c>
      <c r="Y2501" s="28">
        <f>(W2501-X2501)</f>
        <v>3533600</v>
      </c>
      <c r="Z2501" s="49">
        <v>2.0000000000000001E-4</v>
      </c>
    </row>
    <row r="2502" spans="1:26" s="29" customFormat="1" ht="90.75" customHeight="1" x14ac:dyDescent="0.25">
      <c r="A2502" s="20">
        <v>1357</v>
      </c>
      <c r="B2502" s="20" t="s">
        <v>0</v>
      </c>
      <c r="C2502" s="20">
        <v>8286</v>
      </c>
      <c r="D2502" s="21">
        <v>3</v>
      </c>
      <c r="E2502" s="21">
        <v>1</v>
      </c>
      <c r="F2502" s="22">
        <v>59.7</v>
      </c>
      <c r="G2502" s="23" t="s">
        <v>211</v>
      </c>
      <c r="H2502" s="36">
        <f>(D2502*400)+(E2502*100)+F2502</f>
        <v>1359.7</v>
      </c>
      <c r="I2502" s="25" t="s">
        <v>75</v>
      </c>
      <c r="J2502" s="28">
        <f t="shared" ref="J2502:J2510" si="475">(H2502*I2502)</f>
        <v>849812.5</v>
      </c>
      <c r="K2502" s="20"/>
      <c r="L2502" s="20"/>
      <c r="M2502" s="20"/>
      <c r="N2502" s="20"/>
      <c r="O2502" s="24"/>
      <c r="P2502" s="24"/>
      <c r="Q2502" s="25"/>
      <c r="R2502" s="24"/>
      <c r="S2502" s="20" t="s">
        <v>2</v>
      </c>
      <c r="T2502" s="27"/>
      <c r="U2502" s="20"/>
      <c r="V2502" s="20"/>
      <c r="W2502" s="26"/>
      <c r="X2502" s="27"/>
      <c r="Y2502" s="20"/>
      <c r="Z2502" s="20"/>
    </row>
    <row r="2503" spans="1:26" s="29" customFormat="1" ht="90.75" customHeight="1" x14ac:dyDescent="0.25">
      <c r="A2503" s="20"/>
      <c r="B2503" s="20"/>
      <c r="C2503" s="20"/>
      <c r="D2503" s="21"/>
      <c r="E2503" s="21"/>
      <c r="F2503" s="22"/>
      <c r="G2503" s="23"/>
      <c r="H2503" s="36">
        <f>(O2503*0.25)</f>
        <v>33.75</v>
      </c>
      <c r="I2503" s="40">
        <v>625</v>
      </c>
      <c r="J2503" s="28">
        <f t="shared" si="475"/>
        <v>21093.75</v>
      </c>
      <c r="K2503" s="37">
        <v>1</v>
      </c>
      <c r="L2503" s="31" t="s">
        <v>215</v>
      </c>
      <c r="M2503" s="31" t="s">
        <v>40</v>
      </c>
      <c r="N2503" s="41">
        <v>2</v>
      </c>
      <c r="O2503" s="42">
        <v>135</v>
      </c>
      <c r="P2503" s="35">
        <v>100</v>
      </c>
      <c r="Q2503" s="36">
        <v>6450</v>
      </c>
      <c r="R2503" s="36">
        <f t="shared" ref="R2503:R2508" si="476">(O2503*Q2503)</f>
        <v>870750</v>
      </c>
      <c r="S2503" s="37">
        <v>32</v>
      </c>
      <c r="T2503" s="28">
        <f>(R2503*93/100)</f>
        <v>809797.5</v>
      </c>
      <c r="U2503" s="36">
        <f t="shared" ref="U2503:U2508" si="477">(R2503-T2503)</f>
        <v>60952.5</v>
      </c>
      <c r="V2503" s="36">
        <f t="shared" ref="V2503:V2509" si="478">(J2503+U2503)</f>
        <v>82046.25</v>
      </c>
      <c r="W2503" s="36">
        <f t="shared" ref="W2503:W2509" si="479">(V2503*100/100)</f>
        <v>82046.25</v>
      </c>
      <c r="X2503" s="28">
        <v>50000000</v>
      </c>
      <c r="Y2503" s="28">
        <v>0</v>
      </c>
      <c r="Z2503" s="49">
        <v>2.0000000000000001E-4</v>
      </c>
    </row>
    <row r="2504" spans="1:26" s="29" customFormat="1" ht="90.75" customHeight="1" x14ac:dyDescent="0.25">
      <c r="A2504" s="20"/>
      <c r="B2504" s="20"/>
      <c r="C2504" s="20"/>
      <c r="D2504" s="21"/>
      <c r="E2504" s="21"/>
      <c r="F2504" s="22"/>
      <c r="G2504" s="23"/>
      <c r="H2504" s="36">
        <f>(O2504*0.25)</f>
        <v>4.5</v>
      </c>
      <c r="I2504" s="40">
        <v>625</v>
      </c>
      <c r="J2504" s="28">
        <f t="shared" si="475"/>
        <v>2812.5</v>
      </c>
      <c r="K2504" s="37">
        <v>2</v>
      </c>
      <c r="L2504" s="31" t="s">
        <v>112</v>
      </c>
      <c r="M2504" s="31" t="s">
        <v>13</v>
      </c>
      <c r="N2504" s="41">
        <v>3</v>
      </c>
      <c r="O2504" s="42">
        <v>18</v>
      </c>
      <c r="P2504" s="35">
        <v>100</v>
      </c>
      <c r="Q2504" s="36">
        <v>5550</v>
      </c>
      <c r="R2504" s="36">
        <f t="shared" si="476"/>
        <v>99900</v>
      </c>
      <c r="S2504" s="37">
        <v>12</v>
      </c>
      <c r="T2504" s="28">
        <f>(R2504*14/100)</f>
        <v>13986</v>
      </c>
      <c r="U2504" s="36">
        <f t="shared" si="477"/>
        <v>85914</v>
      </c>
      <c r="V2504" s="36">
        <f t="shared" si="478"/>
        <v>88726.5</v>
      </c>
      <c r="W2504" s="36">
        <f t="shared" si="479"/>
        <v>88726.5</v>
      </c>
      <c r="X2504" s="28">
        <v>0</v>
      </c>
      <c r="Y2504" s="28">
        <f>(W2504-X2504)</f>
        <v>88726.5</v>
      </c>
      <c r="Z2504" s="49">
        <v>3.0000000000000001E-3</v>
      </c>
    </row>
    <row r="2505" spans="1:26" s="29" customFormat="1" ht="90.75" customHeight="1" x14ac:dyDescent="0.25">
      <c r="A2505" s="20"/>
      <c r="B2505" s="20" t="s">
        <v>0</v>
      </c>
      <c r="C2505" s="20">
        <v>8286</v>
      </c>
      <c r="D2505" s="21">
        <v>3</v>
      </c>
      <c r="E2505" s="21">
        <v>1</v>
      </c>
      <c r="F2505" s="22">
        <v>59.7</v>
      </c>
      <c r="G2505" s="23" t="s">
        <v>56</v>
      </c>
      <c r="H2505" s="36">
        <f>(O2505*0.25)</f>
        <v>6</v>
      </c>
      <c r="I2505" s="40">
        <v>625</v>
      </c>
      <c r="J2505" s="28">
        <f t="shared" si="475"/>
        <v>3750</v>
      </c>
      <c r="K2505" s="37">
        <v>1</v>
      </c>
      <c r="L2505" s="31" t="s">
        <v>215</v>
      </c>
      <c r="M2505" s="31" t="s">
        <v>13</v>
      </c>
      <c r="N2505" s="41">
        <v>2</v>
      </c>
      <c r="O2505" s="42">
        <v>24</v>
      </c>
      <c r="P2505" s="35">
        <v>100</v>
      </c>
      <c r="Q2505" s="36">
        <v>6450</v>
      </c>
      <c r="R2505" s="36">
        <f t="shared" si="476"/>
        <v>154800</v>
      </c>
      <c r="S2505" s="37">
        <v>12</v>
      </c>
      <c r="T2505" s="28">
        <f>(R2505*14/100)</f>
        <v>21672</v>
      </c>
      <c r="U2505" s="36">
        <f t="shared" si="477"/>
        <v>133128</v>
      </c>
      <c r="V2505" s="36">
        <f t="shared" si="478"/>
        <v>136878</v>
      </c>
      <c r="W2505" s="36">
        <f t="shared" si="479"/>
        <v>136878</v>
      </c>
      <c r="X2505" s="28">
        <v>10000000</v>
      </c>
      <c r="Y2505" s="28">
        <v>0</v>
      </c>
      <c r="Z2505" s="49">
        <v>2.0000000000000001E-4</v>
      </c>
    </row>
    <row r="2506" spans="1:26" s="29" customFormat="1" ht="90.75" customHeight="1" x14ac:dyDescent="0.25">
      <c r="A2506" s="20"/>
      <c r="B2506" s="20"/>
      <c r="C2506" s="20"/>
      <c r="D2506" s="21"/>
      <c r="E2506" s="21"/>
      <c r="F2506" s="22"/>
      <c r="G2506" s="23"/>
      <c r="H2506" s="36">
        <f>(O2506*0.25)</f>
        <v>42</v>
      </c>
      <c r="I2506" s="40">
        <v>625</v>
      </c>
      <c r="J2506" s="28">
        <f t="shared" si="475"/>
        <v>26250</v>
      </c>
      <c r="K2506" s="37">
        <v>2</v>
      </c>
      <c r="L2506" s="31" t="s">
        <v>43</v>
      </c>
      <c r="M2506" s="31" t="s">
        <v>13</v>
      </c>
      <c r="N2506" s="41">
        <v>2</v>
      </c>
      <c r="O2506" s="42">
        <v>168</v>
      </c>
      <c r="P2506" s="35">
        <v>100</v>
      </c>
      <c r="Q2506" s="36">
        <v>7700</v>
      </c>
      <c r="R2506" s="36">
        <f t="shared" si="476"/>
        <v>1293600</v>
      </c>
      <c r="S2506" s="37">
        <v>6</v>
      </c>
      <c r="T2506" s="28">
        <f>(R2506*6/100)</f>
        <v>77616</v>
      </c>
      <c r="U2506" s="36">
        <f t="shared" si="477"/>
        <v>1215984</v>
      </c>
      <c r="V2506" s="36">
        <f t="shared" si="478"/>
        <v>1242234</v>
      </c>
      <c r="W2506" s="36">
        <f t="shared" si="479"/>
        <v>1242234</v>
      </c>
      <c r="X2506" s="28">
        <v>0</v>
      </c>
      <c r="Y2506" s="28">
        <f>(W2506-X2506)</f>
        <v>1242234</v>
      </c>
      <c r="Z2506" s="49">
        <v>2.0000000000000001E-4</v>
      </c>
    </row>
    <row r="2507" spans="1:26" s="29" customFormat="1" ht="90.75" customHeight="1" x14ac:dyDescent="0.25">
      <c r="A2507" s="20"/>
      <c r="B2507" s="20"/>
      <c r="C2507" s="20"/>
      <c r="D2507" s="21"/>
      <c r="E2507" s="21"/>
      <c r="F2507" s="22"/>
      <c r="G2507" s="23"/>
      <c r="H2507" s="36">
        <f>(O2507*0.25)</f>
        <v>44</v>
      </c>
      <c r="I2507" s="40">
        <v>625</v>
      </c>
      <c r="J2507" s="28">
        <f t="shared" si="475"/>
        <v>27500</v>
      </c>
      <c r="K2507" s="37">
        <v>3</v>
      </c>
      <c r="L2507" s="31" t="s">
        <v>43</v>
      </c>
      <c r="M2507" s="31" t="s">
        <v>13</v>
      </c>
      <c r="N2507" s="41">
        <v>2</v>
      </c>
      <c r="O2507" s="42">
        <v>176</v>
      </c>
      <c r="P2507" s="35">
        <v>100</v>
      </c>
      <c r="Q2507" s="36">
        <v>7700</v>
      </c>
      <c r="R2507" s="36">
        <f t="shared" si="476"/>
        <v>1355200</v>
      </c>
      <c r="S2507" s="37">
        <v>6</v>
      </c>
      <c r="T2507" s="28">
        <f>(R2507*6/100)</f>
        <v>81312</v>
      </c>
      <c r="U2507" s="36">
        <f t="shared" si="477"/>
        <v>1273888</v>
      </c>
      <c r="V2507" s="36">
        <f t="shared" si="478"/>
        <v>1301388</v>
      </c>
      <c r="W2507" s="36">
        <f t="shared" si="479"/>
        <v>1301388</v>
      </c>
      <c r="X2507" s="28">
        <v>0</v>
      </c>
      <c r="Y2507" s="28">
        <f>(W2507-X2507)</f>
        <v>1301388</v>
      </c>
      <c r="Z2507" s="49">
        <v>2.0000000000000001E-4</v>
      </c>
    </row>
    <row r="2508" spans="1:26" s="29" customFormat="1" ht="90.75" customHeight="1" x14ac:dyDescent="0.25">
      <c r="A2508" s="20">
        <v>1358</v>
      </c>
      <c r="B2508" s="20" t="s">
        <v>0</v>
      </c>
      <c r="C2508" s="20">
        <v>11581</v>
      </c>
      <c r="D2508" s="21">
        <v>3</v>
      </c>
      <c r="E2508" s="21">
        <v>3</v>
      </c>
      <c r="F2508" s="22">
        <v>80</v>
      </c>
      <c r="G2508" s="23" t="s">
        <v>56</v>
      </c>
      <c r="H2508" s="36">
        <f>(D2508*400)+(E2508*100)+F2508</f>
        <v>1580</v>
      </c>
      <c r="I2508" s="40" t="s">
        <v>53</v>
      </c>
      <c r="J2508" s="65">
        <f t="shared" si="475"/>
        <v>711000</v>
      </c>
      <c r="K2508" s="30">
        <v>1</v>
      </c>
      <c r="L2508" s="31" t="s">
        <v>113</v>
      </c>
      <c r="M2508" s="31" t="s">
        <v>13</v>
      </c>
      <c r="N2508" s="41">
        <v>2</v>
      </c>
      <c r="O2508" s="42">
        <v>362.25</v>
      </c>
      <c r="P2508" s="35">
        <v>100</v>
      </c>
      <c r="Q2508" s="36">
        <v>7700</v>
      </c>
      <c r="R2508" s="36">
        <f t="shared" si="476"/>
        <v>2789325</v>
      </c>
      <c r="S2508" s="37">
        <v>5</v>
      </c>
      <c r="T2508" s="28">
        <f>(R2508*5/100)</f>
        <v>139466.25</v>
      </c>
      <c r="U2508" s="36">
        <f t="shared" si="477"/>
        <v>2649858.75</v>
      </c>
      <c r="V2508" s="36">
        <f t="shared" si="478"/>
        <v>3360858.75</v>
      </c>
      <c r="W2508" s="36">
        <f t="shared" si="479"/>
        <v>3360858.75</v>
      </c>
      <c r="X2508" s="28">
        <v>0</v>
      </c>
      <c r="Y2508" s="28">
        <f>(W2508-X2508)</f>
        <v>3360858.75</v>
      </c>
      <c r="Z2508" s="49">
        <v>2.0000000000000001E-4</v>
      </c>
    </row>
    <row r="2509" spans="1:26" s="29" customFormat="1" ht="90.75" customHeight="1" x14ac:dyDescent="0.25">
      <c r="A2509" s="20">
        <v>1359</v>
      </c>
      <c r="B2509" s="20" t="s">
        <v>0</v>
      </c>
      <c r="C2509" s="20">
        <v>33307</v>
      </c>
      <c r="D2509" s="21">
        <v>1</v>
      </c>
      <c r="E2509" s="21">
        <v>0</v>
      </c>
      <c r="F2509" s="22">
        <v>33.4</v>
      </c>
      <c r="G2509" s="23" t="s">
        <v>56</v>
      </c>
      <c r="H2509" s="36">
        <f>(D2509*400)+(E2509*100)+F2509</f>
        <v>433.4</v>
      </c>
      <c r="I2509" s="40">
        <v>1000</v>
      </c>
      <c r="J2509" s="28">
        <f t="shared" si="475"/>
        <v>433400</v>
      </c>
      <c r="K2509" s="37"/>
      <c r="L2509" s="31"/>
      <c r="M2509" s="31"/>
      <c r="N2509" s="41"/>
      <c r="O2509" s="42"/>
      <c r="P2509" s="86"/>
      <c r="Q2509" s="36"/>
      <c r="R2509" s="36"/>
      <c r="S2509" s="37"/>
      <c r="T2509" s="28"/>
      <c r="U2509" s="36">
        <f>SUM(U2511:U2512)</f>
        <v>161472.375</v>
      </c>
      <c r="V2509" s="36">
        <f t="shared" si="478"/>
        <v>594872.375</v>
      </c>
      <c r="W2509" s="36">
        <f t="shared" si="479"/>
        <v>594872.375</v>
      </c>
      <c r="X2509" s="28">
        <v>50000000</v>
      </c>
      <c r="Y2509" s="28">
        <v>0</v>
      </c>
      <c r="Z2509" s="49">
        <v>2.0000000000000001E-4</v>
      </c>
    </row>
    <row r="2510" spans="1:26" s="29" customFormat="1" ht="90.75" customHeight="1" x14ac:dyDescent="0.25">
      <c r="A2510" s="20"/>
      <c r="B2510" s="20"/>
      <c r="C2510" s="20"/>
      <c r="D2510" s="21"/>
      <c r="E2510" s="21"/>
      <c r="F2510" s="22"/>
      <c r="G2510" s="23"/>
      <c r="H2510" s="36">
        <v>383.4</v>
      </c>
      <c r="I2510" s="40">
        <v>1000</v>
      </c>
      <c r="J2510" s="28">
        <f t="shared" si="475"/>
        <v>383400</v>
      </c>
      <c r="K2510" s="37"/>
      <c r="L2510" s="31"/>
      <c r="M2510" s="31"/>
      <c r="N2510" s="41"/>
      <c r="O2510" s="42"/>
      <c r="P2510" s="86"/>
      <c r="Q2510" s="36"/>
      <c r="R2510" s="36"/>
      <c r="S2510" s="37"/>
      <c r="T2510" s="28"/>
      <c r="U2510" s="36"/>
      <c r="V2510" s="36"/>
      <c r="W2510" s="36"/>
      <c r="X2510" s="28"/>
      <c r="Y2510" s="28"/>
      <c r="Z2510" s="49"/>
    </row>
    <row r="2511" spans="1:26" s="29" customFormat="1" ht="90.75" customHeight="1" x14ac:dyDescent="0.25">
      <c r="A2511" s="20"/>
      <c r="B2511" s="20"/>
      <c r="C2511" s="20"/>
      <c r="D2511" s="21"/>
      <c r="E2511" s="21"/>
      <c r="F2511" s="22"/>
      <c r="G2511" s="23"/>
      <c r="H2511" s="36"/>
      <c r="I2511" s="40"/>
      <c r="J2511" s="28"/>
      <c r="K2511" s="37">
        <v>1</v>
      </c>
      <c r="L2511" s="31" t="s">
        <v>215</v>
      </c>
      <c r="M2511" s="31" t="s">
        <v>52</v>
      </c>
      <c r="N2511" s="41">
        <v>2</v>
      </c>
      <c r="O2511" s="42">
        <v>153</v>
      </c>
      <c r="P2511" s="86">
        <v>100</v>
      </c>
      <c r="Q2511" s="36">
        <v>6450</v>
      </c>
      <c r="R2511" s="36">
        <f>(O2511*Q2511)</f>
        <v>986850</v>
      </c>
      <c r="S2511" s="37">
        <v>32</v>
      </c>
      <c r="T2511" s="28">
        <f>(R2511*85/100)</f>
        <v>838822.5</v>
      </c>
      <c r="U2511" s="36">
        <f>(R2511-T2511)</f>
        <v>148027.5</v>
      </c>
      <c r="V2511" s="36"/>
      <c r="W2511" s="36"/>
      <c r="X2511" s="28"/>
      <c r="Y2511" s="28"/>
      <c r="Z2511" s="20"/>
    </row>
    <row r="2512" spans="1:26" s="29" customFormat="1" ht="90.75" customHeight="1" x14ac:dyDescent="0.25">
      <c r="A2512" s="20"/>
      <c r="B2512" s="20"/>
      <c r="C2512" s="20"/>
      <c r="D2512" s="21"/>
      <c r="E2512" s="21"/>
      <c r="F2512" s="22"/>
      <c r="G2512" s="23"/>
      <c r="H2512" s="36"/>
      <c r="I2512" s="40"/>
      <c r="J2512" s="28"/>
      <c r="K2512" s="37">
        <v>2</v>
      </c>
      <c r="L2512" s="31" t="s">
        <v>31</v>
      </c>
      <c r="M2512" s="31"/>
      <c r="N2512" s="41">
        <v>2</v>
      </c>
      <c r="O2512" s="42">
        <v>35.15</v>
      </c>
      <c r="P2512" s="86">
        <v>100</v>
      </c>
      <c r="Q2512" s="36">
        <v>2550</v>
      </c>
      <c r="R2512" s="36">
        <f>(O2512*Q2512)</f>
        <v>89632.5</v>
      </c>
      <c r="S2512" s="37">
        <v>32</v>
      </c>
      <c r="T2512" s="28">
        <f>(R2512*85/100)</f>
        <v>76187.625</v>
      </c>
      <c r="U2512" s="36">
        <f>(R2512-T2512)</f>
        <v>13444.875</v>
      </c>
      <c r="V2512" s="36"/>
      <c r="W2512" s="36"/>
      <c r="X2512" s="28"/>
      <c r="Y2512" s="28"/>
      <c r="Z2512" s="20"/>
    </row>
    <row r="2513" spans="1:26" s="29" customFormat="1" ht="90.75" customHeight="1" x14ac:dyDescent="0.25">
      <c r="A2513" s="20"/>
      <c r="B2513" s="20"/>
      <c r="C2513" s="20"/>
      <c r="D2513" s="21"/>
      <c r="E2513" s="21"/>
      <c r="F2513" s="22"/>
      <c r="G2513" s="23"/>
      <c r="H2513" s="36"/>
      <c r="I2513" s="40"/>
      <c r="J2513" s="28"/>
      <c r="K2513" s="37"/>
      <c r="L2513" s="31"/>
      <c r="M2513" s="31"/>
      <c r="N2513" s="41"/>
      <c r="O2513" s="42"/>
      <c r="P2513" s="86"/>
      <c r="Q2513" s="36"/>
      <c r="R2513" s="36"/>
      <c r="S2513" s="37"/>
      <c r="T2513" s="28"/>
      <c r="U2513" s="36">
        <f>SUM(U2511:U2512)</f>
        <v>161472.375</v>
      </c>
      <c r="V2513" s="36">
        <f>(J2510+U2513)</f>
        <v>544872.375</v>
      </c>
      <c r="W2513" s="36">
        <f>(V2513*100/100)</f>
        <v>544872.375</v>
      </c>
      <c r="X2513" s="28">
        <v>10000000</v>
      </c>
      <c r="Y2513" s="28">
        <v>0</v>
      </c>
      <c r="Z2513" s="49">
        <v>2.0000000000000001E-4</v>
      </c>
    </row>
    <row r="2514" spans="1:26" s="29" customFormat="1" ht="90.75" customHeight="1" x14ac:dyDescent="0.25">
      <c r="A2514" s="20"/>
      <c r="B2514" s="20"/>
      <c r="C2514" s="20"/>
      <c r="D2514" s="21"/>
      <c r="E2514" s="21"/>
      <c r="F2514" s="22"/>
      <c r="G2514" s="23"/>
      <c r="H2514" s="36">
        <f>(O2514*0.25)</f>
        <v>50</v>
      </c>
      <c r="I2514" s="40">
        <v>1000</v>
      </c>
      <c r="J2514" s="28">
        <f>(H2514*I2514)</f>
        <v>50000</v>
      </c>
      <c r="K2514" s="37">
        <v>3</v>
      </c>
      <c r="L2514" s="31" t="s">
        <v>43</v>
      </c>
      <c r="M2514" s="31" t="s">
        <v>13</v>
      </c>
      <c r="N2514" s="41">
        <v>3</v>
      </c>
      <c r="O2514" s="42">
        <v>200</v>
      </c>
      <c r="P2514" s="86">
        <v>100</v>
      </c>
      <c r="Q2514" s="36">
        <v>7700</v>
      </c>
      <c r="R2514" s="36">
        <f>(O2514*Q2514)</f>
        <v>1540000</v>
      </c>
      <c r="S2514" s="37">
        <v>7</v>
      </c>
      <c r="T2514" s="28">
        <f>(R2514*7/100)</f>
        <v>107800</v>
      </c>
      <c r="U2514" s="36">
        <f>(R2514-T2514)</f>
        <v>1432200</v>
      </c>
      <c r="V2514" s="36">
        <f>(J2514+U2514)</f>
        <v>1482200</v>
      </c>
      <c r="W2514" s="36">
        <f>(V2514*100/100)</f>
        <v>1482200</v>
      </c>
      <c r="X2514" s="28">
        <v>0</v>
      </c>
      <c r="Y2514" s="28">
        <f>(W2514-X2514)</f>
        <v>1482200</v>
      </c>
      <c r="Z2514" s="49">
        <v>2.3000000000000001E-4</v>
      </c>
    </row>
    <row r="2515" spans="1:26" s="29" customFormat="1" ht="90.75" customHeight="1" x14ac:dyDescent="0.25">
      <c r="A2515" s="20">
        <v>1360</v>
      </c>
      <c r="B2515" s="20" t="s">
        <v>0</v>
      </c>
      <c r="C2515" s="20">
        <v>7943</v>
      </c>
      <c r="D2515" s="21">
        <v>0</v>
      </c>
      <c r="E2515" s="21">
        <v>3</v>
      </c>
      <c r="F2515" s="22">
        <v>59</v>
      </c>
      <c r="G2515" s="23" t="s">
        <v>211</v>
      </c>
      <c r="H2515" s="36">
        <f t="shared" ref="H2515" si="480">(D2515*400)+(E2515*100)+F2515</f>
        <v>359</v>
      </c>
      <c r="I2515" s="40" t="s">
        <v>78</v>
      </c>
      <c r="J2515" s="65">
        <f t="shared" ref="J2515" si="481">(H2515*I2515)</f>
        <v>314125</v>
      </c>
      <c r="K2515" s="30">
        <v>1</v>
      </c>
      <c r="L2515" s="31" t="s">
        <v>43</v>
      </c>
      <c r="M2515" s="32" t="s">
        <v>13</v>
      </c>
      <c r="N2515" s="33">
        <v>5</v>
      </c>
      <c r="O2515" s="82">
        <v>408</v>
      </c>
      <c r="P2515" s="82">
        <v>100</v>
      </c>
      <c r="Q2515" s="90">
        <v>7700</v>
      </c>
      <c r="R2515" s="36">
        <f>(O2515*Q2515)</f>
        <v>3141600</v>
      </c>
      <c r="S2515" s="37">
        <v>5</v>
      </c>
      <c r="T2515" s="28">
        <f>(R2515*5/100)</f>
        <v>157080</v>
      </c>
      <c r="U2515" s="36">
        <f>(R2515-T2515)</f>
        <v>2984520</v>
      </c>
      <c r="V2515" s="36">
        <f>(J2515+U2515)</f>
        <v>3298645</v>
      </c>
      <c r="W2515" s="36">
        <f>(V2515*100/100)</f>
        <v>3298645</v>
      </c>
      <c r="X2515" s="28"/>
      <c r="Y2515" s="28"/>
      <c r="Z2515" s="20"/>
    </row>
    <row r="2516" spans="1:26" s="29" customFormat="1" ht="90.75" customHeight="1" x14ac:dyDescent="0.25">
      <c r="A2516" s="20"/>
      <c r="B2516" s="20"/>
      <c r="C2516" s="20"/>
      <c r="D2516" s="21"/>
      <c r="E2516" s="21"/>
      <c r="F2516" s="22"/>
      <c r="G2516" s="23"/>
      <c r="H2516" s="36"/>
      <c r="I2516" s="40"/>
      <c r="J2516" s="65"/>
      <c r="K2516" s="33"/>
      <c r="L2516" s="31" t="s">
        <v>58</v>
      </c>
      <c r="M2516" s="32"/>
      <c r="N2516" s="33"/>
      <c r="O2516" s="82">
        <v>380</v>
      </c>
      <c r="P2516" s="82">
        <v>93.14</v>
      </c>
      <c r="Q2516" s="90"/>
      <c r="R2516" s="36"/>
      <c r="S2516" s="37"/>
      <c r="T2516" s="28"/>
      <c r="U2516" s="36"/>
      <c r="V2516" s="36"/>
      <c r="W2516" s="36">
        <f>(W2515*93.14/100)</f>
        <v>3072357.9530000002</v>
      </c>
      <c r="X2516" s="28">
        <v>0</v>
      </c>
      <c r="Y2516" s="28">
        <f>(W2516-X2516)</f>
        <v>3072357.9530000002</v>
      </c>
      <c r="Z2516" s="49">
        <v>2.0000000000000001E-4</v>
      </c>
    </row>
    <row r="2517" spans="1:26" s="29" customFormat="1" ht="90.75" customHeight="1" x14ac:dyDescent="0.25">
      <c r="A2517" s="20"/>
      <c r="B2517" s="20"/>
      <c r="C2517" s="20"/>
      <c r="D2517" s="21"/>
      <c r="E2517" s="21"/>
      <c r="F2517" s="22"/>
      <c r="G2517" s="23"/>
      <c r="H2517" s="36"/>
      <c r="I2517" s="44"/>
      <c r="J2517" s="65"/>
      <c r="K2517" s="33"/>
      <c r="L2517" s="31" t="s">
        <v>61</v>
      </c>
      <c r="M2517" s="32"/>
      <c r="N2517" s="33"/>
      <c r="O2517" s="82">
        <v>28</v>
      </c>
      <c r="P2517" s="82">
        <v>6.86</v>
      </c>
      <c r="Q2517" s="90"/>
      <c r="R2517" s="36"/>
      <c r="S2517" s="37"/>
      <c r="T2517" s="28"/>
      <c r="U2517" s="36"/>
      <c r="V2517" s="36"/>
      <c r="W2517" s="36">
        <f>(W2515*6.86/100)</f>
        <v>226287.04699999999</v>
      </c>
      <c r="X2517" s="28">
        <v>0</v>
      </c>
      <c r="Y2517" s="28">
        <f>(W2517-X2517)</f>
        <v>226287.04699999999</v>
      </c>
      <c r="Z2517" s="49">
        <v>3.0000000000000001E-3</v>
      </c>
    </row>
    <row r="2518" spans="1:26" s="29" customFormat="1" ht="90.75" customHeight="1" x14ac:dyDescent="0.25">
      <c r="A2518" s="20">
        <v>1361</v>
      </c>
      <c r="B2518" s="20" t="s">
        <v>0</v>
      </c>
      <c r="C2518" s="20">
        <v>51020</v>
      </c>
      <c r="D2518" s="21">
        <v>0</v>
      </c>
      <c r="E2518" s="21">
        <v>2</v>
      </c>
      <c r="F2518" s="22">
        <v>78</v>
      </c>
      <c r="G2518" s="23" t="s">
        <v>56</v>
      </c>
      <c r="H2518" s="36">
        <f>(D2518*400)+(E2518*100)+F2518</f>
        <v>278</v>
      </c>
      <c r="I2518" s="40">
        <v>1000</v>
      </c>
      <c r="J2518" s="28">
        <f t="shared" ref="J2518:J2533" si="482">(H2518*I2518)</f>
        <v>278000</v>
      </c>
      <c r="K2518" s="37"/>
      <c r="L2518" s="31"/>
      <c r="M2518" s="31"/>
      <c r="N2518" s="41"/>
      <c r="O2518" s="46"/>
      <c r="P2518" s="86"/>
      <c r="Q2518" s="36"/>
      <c r="R2518" s="36"/>
      <c r="S2518" s="37"/>
      <c r="T2518" s="28"/>
      <c r="U2518" s="36"/>
      <c r="V2518" s="36"/>
      <c r="W2518" s="36"/>
      <c r="X2518" s="28"/>
      <c r="Y2518" s="28"/>
      <c r="Z2518" s="20"/>
    </row>
    <row r="2519" spans="1:26" s="29" customFormat="1" ht="90.75" customHeight="1" x14ac:dyDescent="0.25">
      <c r="A2519" s="20"/>
      <c r="B2519" s="20"/>
      <c r="C2519" s="20"/>
      <c r="D2519" s="21"/>
      <c r="E2519" s="21"/>
      <c r="F2519" s="22"/>
      <c r="G2519" s="23"/>
      <c r="H2519" s="36">
        <v>251</v>
      </c>
      <c r="I2519" s="40">
        <v>1000</v>
      </c>
      <c r="J2519" s="28">
        <f t="shared" si="482"/>
        <v>251000</v>
      </c>
      <c r="K2519" s="37">
        <v>1</v>
      </c>
      <c r="L2519" s="31" t="s">
        <v>215</v>
      </c>
      <c r="M2519" s="31" t="s">
        <v>13</v>
      </c>
      <c r="N2519" s="41">
        <v>2</v>
      </c>
      <c r="O2519" s="46">
        <v>78</v>
      </c>
      <c r="P2519" s="86">
        <v>100</v>
      </c>
      <c r="Q2519" s="36">
        <v>6450</v>
      </c>
      <c r="R2519" s="36">
        <f>(O2519*Q2519)</f>
        <v>503100</v>
      </c>
      <c r="S2519" s="37">
        <v>22</v>
      </c>
      <c r="T2519" s="28">
        <f>(R2519*34/100)</f>
        <v>171054</v>
      </c>
      <c r="U2519" s="36">
        <f>(J2519+T2519)</f>
        <v>422054</v>
      </c>
      <c r="V2519" s="36">
        <f>(J2519+U2519)</f>
        <v>673054</v>
      </c>
      <c r="W2519" s="36">
        <f>(V2519*100/100)</f>
        <v>673054</v>
      </c>
      <c r="X2519" s="28">
        <v>10000000</v>
      </c>
      <c r="Y2519" s="28">
        <v>0</v>
      </c>
      <c r="Z2519" s="49">
        <v>2.0000000000000001E-4</v>
      </c>
    </row>
    <row r="2520" spans="1:26" s="29" customFormat="1" ht="90.75" customHeight="1" x14ac:dyDescent="0.25">
      <c r="A2520" s="20"/>
      <c r="B2520" s="20"/>
      <c r="C2520" s="20"/>
      <c r="D2520" s="21"/>
      <c r="E2520" s="21"/>
      <c r="F2520" s="22"/>
      <c r="G2520" s="23"/>
      <c r="H2520" s="36">
        <v>27</v>
      </c>
      <c r="I2520" s="44">
        <v>1000</v>
      </c>
      <c r="J2520" s="28">
        <f t="shared" si="482"/>
        <v>27000</v>
      </c>
      <c r="K2520" s="41">
        <v>2</v>
      </c>
      <c r="L2520" s="31" t="s">
        <v>43</v>
      </c>
      <c r="M2520" s="43" t="s">
        <v>13</v>
      </c>
      <c r="N2520" s="30">
        <v>2</v>
      </c>
      <c r="O2520" s="46">
        <v>108</v>
      </c>
      <c r="P2520" s="86">
        <v>100</v>
      </c>
      <c r="Q2520" s="36">
        <v>7700</v>
      </c>
      <c r="R2520" s="36">
        <f>(O2520*Q2520)</f>
        <v>831600</v>
      </c>
      <c r="S2520" s="37">
        <v>7</v>
      </c>
      <c r="T2520" s="28">
        <f>(R2520*7/100)</f>
        <v>58212</v>
      </c>
      <c r="U2520" s="36">
        <f>(R2520-T2520)</f>
        <v>773388</v>
      </c>
      <c r="V2520" s="36">
        <f>(J2520+U2520)</f>
        <v>800388</v>
      </c>
      <c r="W2520" s="36">
        <f>(V2520*100/100)</f>
        <v>800388</v>
      </c>
      <c r="X2520" s="28">
        <v>0</v>
      </c>
      <c r="Y2520" s="28">
        <f>(W2520-X2520)</f>
        <v>800388</v>
      </c>
      <c r="Z2520" s="49">
        <v>2.0000000000000001E-4</v>
      </c>
    </row>
    <row r="2521" spans="1:26" s="29" customFormat="1" ht="90.75" customHeight="1" x14ac:dyDescent="0.25">
      <c r="A2521" s="37">
        <v>1362</v>
      </c>
      <c r="B2521" s="20" t="s">
        <v>0</v>
      </c>
      <c r="C2521" s="20">
        <v>46853</v>
      </c>
      <c r="D2521" s="37">
        <v>2</v>
      </c>
      <c r="E2521" s="37">
        <v>1</v>
      </c>
      <c r="F2521" s="37">
        <v>21</v>
      </c>
      <c r="G2521" s="23" t="s">
        <v>56</v>
      </c>
      <c r="H2521" s="36">
        <f>(D2521*400)+(E2521*100)+F2521</f>
        <v>921</v>
      </c>
      <c r="I2521" s="40">
        <v>1000</v>
      </c>
      <c r="J2521" s="28">
        <f t="shared" si="482"/>
        <v>921000</v>
      </c>
      <c r="K2521" s="37"/>
      <c r="L2521" s="31"/>
      <c r="M2521" s="31"/>
      <c r="N2521" s="41"/>
      <c r="O2521" s="46"/>
      <c r="P2521" s="86"/>
      <c r="Q2521" s="36"/>
      <c r="R2521" s="36"/>
      <c r="S2521" s="37"/>
      <c r="T2521" s="28"/>
      <c r="U2521" s="36"/>
      <c r="V2521" s="36"/>
      <c r="W2521" s="36"/>
      <c r="X2521" s="28"/>
      <c r="Y2521" s="28"/>
      <c r="Z2521" s="20"/>
    </row>
    <row r="2522" spans="1:26" s="29" customFormat="1" ht="90.75" customHeight="1" x14ac:dyDescent="0.25">
      <c r="A2522" s="37"/>
      <c r="B2522" s="37"/>
      <c r="C2522" s="37"/>
      <c r="D2522" s="37"/>
      <c r="E2522" s="37"/>
      <c r="F2522" s="37"/>
      <c r="G2522" s="21"/>
      <c r="H2522" s="36">
        <v>821</v>
      </c>
      <c r="I2522" s="40">
        <v>1000</v>
      </c>
      <c r="J2522" s="28">
        <f t="shared" si="482"/>
        <v>821000</v>
      </c>
      <c r="K2522" s="37">
        <v>1</v>
      </c>
      <c r="L2522" s="31" t="s">
        <v>215</v>
      </c>
      <c r="M2522" s="31" t="s">
        <v>13</v>
      </c>
      <c r="N2522" s="41">
        <v>2</v>
      </c>
      <c r="O2522" s="46">
        <v>144</v>
      </c>
      <c r="P2522" s="86">
        <v>100</v>
      </c>
      <c r="Q2522" s="36">
        <v>6450</v>
      </c>
      <c r="R2522" s="36">
        <f>(O2522*Q2522)</f>
        <v>928800</v>
      </c>
      <c r="S2522" s="37">
        <v>32</v>
      </c>
      <c r="T2522" s="28">
        <f>(R2522*54/100)</f>
        <v>501552</v>
      </c>
      <c r="U2522" s="36">
        <f>(R2522-T2522)</f>
        <v>427248</v>
      </c>
      <c r="V2522" s="36">
        <f>(J2522+U2522)</f>
        <v>1248248</v>
      </c>
      <c r="W2522" s="36">
        <f>(V2522*100/100)</f>
        <v>1248248</v>
      </c>
      <c r="X2522" s="28">
        <v>50000000</v>
      </c>
      <c r="Y2522" s="28">
        <v>0</v>
      </c>
      <c r="Z2522" s="49">
        <v>2.0000000000000001E-4</v>
      </c>
    </row>
    <row r="2523" spans="1:26" s="29" customFormat="1" ht="90.75" customHeight="1" x14ac:dyDescent="0.25">
      <c r="A2523" s="37"/>
      <c r="B2523" s="37"/>
      <c r="C2523" s="37"/>
      <c r="D2523" s="37"/>
      <c r="E2523" s="37"/>
      <c r="F2523" s="37"/>
      <c r="G2523" s="21"/>
      <c r="H2523" s="36">
        <f>(O2523*0.25)</f>
        <v>100</v>
      </c>
      <c r="I2523" s="40">
        <v>1000</v>
      </c>
      <c r="J2523" s="28">
        <f t="shared" si="482"/>
        <v>100000</v>
      </c>
      <c r="K2523" s="37">
        <v>2</v>
      </c>
      <c r="L2523" s="31" t="s">
        <v>43</v>
      </c>
      <c r="M2523" s="31" t="s">
        <v>13</v>
      </c>
      <c r="N2523" s="41">
        <v>2</v>
      </c>
      <c r="O2523" s="46">
        <v>400</v>
      </c>
      <c r="P2523" s="86">
        <v>100</v>
      </c>
      <c r="Q2523" s="36">
        <v>7700</v>
      </c>
      <c r="R2523" s="36">
        <f>(O2523*Q2523)</f>
        <v>3080000</v>
      </c>
      <c r="S2523" s="37">
        <v>6</v>
      </c>
      <c r="T2523" s="28">
        <f>(R2523*6/100)</f>
        <v>184800</v>
      </c>
      <c r="U2523" s="36">
        <f>(R2523-T2523)</f>
        <v>2895200</v>
      </c>
      <c r="V2523" s="36">
        <f>(J2523+U2523)</f>
        <v>2995200</v>
      </c>
      <c r="W2523" s="36">
        <f>(V2523*100/100)</f>
        <v>2995200</v>
      </c>
      <c r="X2523" s="28">
        <v>0</v>
      </c>
      <c r="Y2523" s="28">
        <f>(W2523-X2523)</f>
        <v>2995200</v>
      </c>
      <c r="Z2523" s="49">
        <v>2.0000000000000001E-4</v>
      </c>
    </row>
    <row r="2524" spans="1:26" s="29" customFormat="1" ht="90.75" customHeight="1" x14ac:dyDescent="0.25">
      <c r="A2524" s="20">
        <v>1363</v>
      </c>
      <c r="B2524" s="20" t="s">
        <v>0</v>
      </c>
      <c r="C2524" s="20">
        <v>46853</v>
      </c>
      <c r="D2524" s="21">
        <v>1</v>
      </c>
      <c r="E2524" s="21">
        <v>1</v>
      </c>
      <c r="F2524" s="22">
        <v>78</v>
      </c>
      <c r="G2524" s="23" t="s">
        <v>211</v>
      </c>
      <c r="H2524" s="36">
        <f>(D2524*400)+(E2524*100)+F2524</f>
        <v>578</v>
      </c>
      <c r="I2524" s="25" t="s">
        <v>66</v>
      </c>
      <c r="J2524" s="28">
        <f t="shared" si="482"/>
        <v>549100</v>
      </c>
      <c r="K2524" s="20"/>
      <c r="L2524" s="20"/>
      <c r="M2524" s="20"/>
      <c r="N2524" s="20"/>
      <c r="O2524" s="24"/>
      <c r="P2524" s="24"/>
      <c r="Q2524" s="25"/>
      <c r="R2524" s="24"/>
      <c r="S2524" s="20" t="s">
        <v>2</v>
      </c>
      <c r="T2524" s="27"/>
      <c r="U2524" s="20"/>
      <c r="V2524" s="20"/>
      <c r="W2524" s="26"/>
      <c r="X2524" s="27"/>
      <c r="Y2524" s="20"/>
      <c r="Z2524" s="20"/>
    </row>
    <row r="2525" spans="1:26" s="29" customFormat="1" ht="90.75" customHeight="1" x14ac:dyDescent="0.25">
      <c r="A2525" s="20"/>
      <c r="B2525" s="20"/>
      <c r="C2525" s="20"/>
      <c r="D2525" s="21"/>
      <c r="E2525" s="21"/>
      <c r="F2525" s="22"/>
      <c r="G2525" s="23"/>
      <c r="H2525" s="24">
        <v>20</v>
      </c>
      <c r="I2525" s="25" t="s">
        <v>66</v>
      </c>
      <c r="J2525" s="28">
        <f t="shared" si="482"/>
        <v>19000</v>
      </c>
      <c r="K2525" s="20">
        <v>1</v>
      </c>
      <c r="L2525" s="20" t="s">
        <v>114</v>
      </c>
      <c r="M2525" s="20" t="s">
        <v>13</v>
      </c>
      <c r="N2525" s="20">
        <v>2</v>
      </c>
      <c r="O2525" s="24">
        <v>66</v>
      </c>
      <c r="P2525" s="86">
        <v>100</v>
      </c>
      <c r="Q2525" s="36">
        <v>6450</v>
      </c>
      <c r="R2525" s="36">
        <f t="shared" ref="R2525:R2532" si="483">(O2525*Q2525)</f>
        <v>425700</v>
      </c>
      <c r="S2525" s="20">
        <v>5</v>
      </c>
      <c r="T2525" s="28">
        <f>(R2525*5/100)</f>
        <v>21285</v>
      </c>
      <c r="U2525" s="78">
        <f>(R2525-T2525)</f>
        <v>404415</v>
      </c>
      <c r="V2525" s="27">
        <f>(J2525+U2525)</f>
        <v>423415</v>
      </c>
      <c r="W2525" s="26">
        <f>(V2525*100/100)</f>
        <v>423415</v>
      </c>
      <c r="X2525" s="28">
        <v>10000000</v>
      </c>
      <c r="Y2525" s="28">
        <v>0</v>
      </c>
      <c r="Z2525" s="49">
        <v>2.0000000000000001E-4</v>
      </c>
    </row>
    <row r="2526" spans="1:26" s="29" customFormat="1" ht="90.75" customHeight="1" x14ac:dyDescent="0.25">
      <c r="A2526" s="20"/>
      <c r="B2526" s="20"/>
      <c r="C2526" s="20"/>
      <c r="D2526" s="21"/>
      <c r="E2526" s="21"/>
      <c r="F2526" s="22"/>
      <c r="G2526" s="23"/>
      <c r="H2526" s="24">
        <v>10</v>
      </c>
      <c r="I2526" s="25" t="s">
        <v>66</v>
      </c>
      <c r="J2526" s="28">
        <f t="shared" si="482"/>
        <v>9500</v>
      </c>
      <c r="K2526" s="20">
        <v>2</v>
      </c>
      <c r="L2526" s="20" t="s">
        <v>114</v>
      </c>
      <c r="M2526" s="20" t="s">
        <v>13</v>
      </c>
      <c r="N2526" s="20">
        <v>2</v>
      </c>
      <c r="O2526" s="24">
        <v>30</v>
      </c>
      <c r="P2526" s="86">
        <v>100</v>
      </c>
      <c r="Q2526" s="36">
        <v>6450</v>
      </c>
      <c r="R2526" s="36">
        <f t="shared" si="483"/>
        <v>193500</v>
      </c>
      <c r="S2526" s="20">
        <v>5</v>
      </c>
      <c r="T2526" s="28">
        <f t="shared" ref="T2526:T2532" si="484">(R2526*5/100)</f>
        <v>9675</v>
      </c>
      <c r="U2526" s="78">
        <f t="shared" ref="U2526:U2532" si="485">(R2526-T2526)</f>
        <v>183825</v>
      </c>
      <c r="V2526" s="27">
        <f t="shared" ref="V2526:V2527" si="486">(J2526+U2526)</f>
        <v>193325</v>
      </c>
      <c r="W2526" s="26">
        <f t="shared" ref="W2526:W2531" si="487">(V2526*100/100)</f>
        <v>193325</v>
      </c>
      <c r="X2526" s="28">
        <v>0</v>
      </c>
      <c r="Y2526" s="28">
        <f t="shared" ref="Y2526:Y2527" si="488">(W2526-X2526)</f>
        <v>193325</v>
      </c>
      <c r="Z2526" s="49">
        <v>2.0000000000000001E-4</v>
      </c>
    </row>
    <row r="2527" spans="1:26" s="29" customFormat="1" ht="90.75" customHeight="1" x14ac:dyDescent="0.25">
      <c r="A2527" s="20"/>
      <c r="B2527" s="20"/>
      <c r="C2527" s="20"/>
      <c r="D2527" s="21"/>
      <c r="E2527" s="21"/>
      <c r="F2527" s="22"/>
      <c r="G2527" s="23"/>
      <c r="H2527" s="24">
        <v>15</v>
      </c>
      <c r="I2527" s="25" t="s">
        <v>66</v>
      </c>
      <c r="J2527" s="28">
        <f t="shared" si="482"/>
        <v>14250</v>
      </c>
      <c r="K2527" s="20">
        <v>3</v>
      </c>
      <c r="L2527" s="20" t="s">
        <v>114</v>
      </c>
      <c r="M2527" s="20" t="s">
        <v>13</v>
      </c>
      <c r="N2527" s="20">
        <v>2</v>
      </c>
      <c r="O2527" s="24">
        <v>42</v>
      </c>
      <c r="P2527" s="86">
        <v>100</v>
      </c>
      <c r="Q2527" s="36">
        <v>6450</v>
      </c>
      <c r="R2527" s="36">
        <f t="shared" si="483"/>
        <v>270900</v>
      </c>
      <c r="S2527" s="20">
        <v>5</v>
      </c>
      <c r="T2527" s="28">
        <f t="shared" si="484"/>
        <v>13545</v>
      </c>
      <c r="U2527" s="78">
        <f t="shared" si="485"/>
        <v>257355</v>
      </c>
      <c r="V2527" s="27">
        <f t="shared" si="486"/>
        <v>271605</v>
      </c>
      <c r="W2527" s="26">
        <f t="shared" si="487"/>
        <v>271605</v>
      </c>
      <c r="X2527" s="28">
        <v>0</v>
      </c>
      <c r="Y2527" s="28">
        <f t="shared" si="488"/>
        <v>271605</v>
      </c>
      <c r="Z2527" s="49">
        <v>2.0000000000000001E-4</v>
      </c>
    </row>
    <row r="2528" spans="1:26" s="29" customFormat="1" ht="90.75" customHeight="1" x14ac:dyDescent="0.25">
      <c r="A2528" s="20"/>
      <c r="B2528" s="20"/>
      <c r="C2528" s="20"/>
      <c r="D2528" s="21"/>
      <c r="E2528" s="21"/>
      <c r="F2528" s="22"/>
      <c r="G2528" s="23"/>
      <c r="H2528" s="24">
        <v>15</v>
      </c>
      <c r="I2528" s="25" t="s">
        <v>66</v>
      </c>
      <c r="J2528" s="28">
        <f t="shared" si="482"/>
        <v>14250</v>
      </c>
      <c r="K2528" s="20">
        <v>4</v>
      </c>
      <c r="L2528" s="20" t="s">
        <v>114</v>
      </c>
      <c r="M2528" s="20" t="s">
        <v>13</v>
      </c>
      <c r="N2528" s="20">
        <v>2</v>
      </c>
      <c r="O2528" s="24">
        <v>42</v>
      </c>
      <c r="P2528" s="86">
        <v>100</v>
      </c>
      <c r="Q2528" s="36">
        <v>6450</v>
      </c>
      <c r="R2528" s="36">
        <f t="shared" si="483"/>
        <v>270900</v>
      </c>
      <c r="S2528" s="20">
        <v>5</v>
      </c>
      <c r="T2528" s="28">
        <f t="shared" si="484"/>
        <v>13545</v>
      </c>
      <c r="U2528" s="78">
        <f t="shared" si="485"/>
        <v>257355</v>
      </c>
      <c r="V2528" s="27">
        <f>(J2528+U2528)</f>
        <v>271605</v>
      </c>
      <c r="W2528" s="26">
        <f>(V2528*100/100)</f>
        <v>271605</v>
      </c>
      <c r="X2528" s="28">
        <v>10000000</v>
      </c>
      <c r="Y2528" s="28">
        <v>0</v>
      </c>
      <c r="Z2528" s="49">
        <v>2.0000000000000001E-4</v>
      </c>
    </row>
    <row r="2529" spans="1:26" s="29" customFormat="1" ht="90.75" customHeight="1" x14ac:dyDescent="0.25">
      <c r="A2529" s="20"/>
      <c r="B2529" s="20"/>
      <c r="C2529" s="20"/>
      <c r="D2529" s="21"/>
      <c r="E2529" s="21"/>
      <c r="F2529" s="22"/>
      <c r="G2529" s="23"/>
      <c r="H2529" s="24">
        <v>25</v>
      </c>
      <c r="I2529" s="25" t="s">
        <v>66</v>
      </c>
      <c r="J2529" s="28">
        <f t="shared" si="482"/>
        <v>23750</v>
      </c>
      <c r="K2529" s="20">
        <v>5</v>
      </c>
      <c r="L2529" s="20" t="s">
        <v>43</v>
      </c>
      <c r="M2529" s="20" t="s">
        <v>13</v>
      </c>
      <c r="N2529" s="20">
        <v>2</v>
      </c>
      <c r="O2529" s="24">
        <v>96</v>
      </c>
      <c r="P2529" s="86">
        <v>100</v>
      </c>
      <c r="Q2529" s="36">
        <v>7700</v>
      </c>
      <c r="R2529" s="36">
        <f t="shared" si="483"/>
        <v>739200</v>
      </c>
      <c r="S2529" s="20">
        <v>5</v>
      </c>
      <c r="T2529" s="28">
        <f t="shared" si="484"/>
        <v>36960</v>
      </c>
      <c r="U2529" s="78">
        <f t="shared" si="485"/>
        <v>702240</v>
      </c>
      <c r="V2529" s="27">
        <f t="shared" ref="V2529:V2532" si="489">(J2529+U2529)</f>
        <v>725990</v>
      </c>
      <c r="W2529" s="26">
        <f t="shared" si="487"/>
        <v>725990</v>
      </c>
      <c r="X2529" s="28">
        <v>0</v>
      </c>
      <c r="Y2529" s="28">
        <f t="shared" ref="Y2529:Y2531" si="490">(W2529-X2529)</f>
        <v>725990</v>
      </c>
      <c r="Z2529" s="49">
        <v>2.0000000000000001E-4</v>
      </c>
    </row>
    <row r="2530" spans="1:26" s="29" customFormat="1" ht="90.75" customHeight="1" x14ac:dyDescent="0.25">
      <c r="A2530" s="20"/>
      <c r="B2530" s="20"/>
      <c r="C2530" s="20"/>
      <c r="D2530" s="21"/>
      <c r="E2530" s="21"/>
      <c r="F2530" s="22"/>
      <c r="G2530" s="23"/>
      <c r="H2530" s="24">
        <v>25</v>
      </c>
      <c r="I2530" s="25" t="s">
        <v>66</v>
      </c>
      <c r="J2530" s="28">
        <f t="shared" si="482"/>
        <v>23750</v>
      </c>
      <c r="K2530" s="20">
        <v>6</v>
      </c>
      <c r="L2530" s="20" t="s">
        <v>43</v>
      </c>
      <c r="M2530" s="20" t="s">
        <v>13</v>
      </c>
      <c r="N2530" s="20">
        <v>2</v>
      </c>
      <c r="O2530" s="24">
        <v>88</v>
      </c>
      <c r="P2530" s="86">
        <v>100</v>
      </c>
      <c r="Q2530" s="36">
        <v>7700</v>
      </c>
      <c r="R2530" s="36">
        <f t="shared" si="483"/>
        <v>677600</v>
      </c>
      <c r="S2530" s="20">
        <v>5</v>
      </c>
      <c r="T2530" s="28">
        <f t="shared" si="484"/>
        <v>33880</v>
      </c>
      <c r="U2530" s="78">
        <f t="shared" si="485"/>
        <v>643720</v>
      </c>
      <c r="V2530" s="27">
        <f t="shared" si="489"/>
        <v>667470</v>
      </c>
      <c r="W2530" s="26">
        <f t="shared" si="487"/>
        <v>667470</v>
      </c>
      <c r="X2530" s="28">
        <v>0</v>
      </c>
      <c r="Y2530" s="28">
        <f t="shared" si="490"/>
        <v>667470</v>
      </c>
      <c r="Z2530" s="49">
        <v>2.0000000000000001E-4</v>
      </c>
    </row>
    <row r="2531" spans="1:26" s="29" customFormat="1" ht="90.75" customHeight="1" x14ac:dyDescent="0.25">
      <c r="A2531" s="20"/>
      <c r="B2531" s="20"/>
      <c r="C2531" s="20"/>
      <c r="D2531" s="21"/>
      <c r="E2531" s="21"/>
      <c r="F2531" s="22"/>
      <c r="G2531" s="23"/>
      <c r="H2531" s="24">
        <v>15</v>
      </c>
      <c r="I2531" s="25" t="s">
        <v>66</v>
      </c>
      <c r="J2531" s="28">
        <f t="shared" si="482"/>
        <v>14250</v>
      </c>
      <c r="K2531" s="20">
        <v>7</v>
      </c>
      <c r="L2531" s="20" t="s">
        <v>16</v>
      </c>
      <c r="M2531" s="20" t="s">
        <v>13</v>
      </c>
      <c r="N2531" s="20">
        <v>2</v>
      </c>
      <c r="O2531" s="24">
        <v>49</v>
      </c>
      <c r="P2531" s="86">
        <v>100</v>
      </c>
      <c r="Q2531" s="36">
        <v>6450</v>
      </c>
      <c r="R2531" s="36">
        <f t="shared" si="483"/>
        <v>316050</v>
      </c>
      <c r="S2531" s="20">
        <v>5</v>
      </c>
      <c r="T2531" s="28">
        <f t="shared" si="484"/>
        <v>15802.5</v>
      </c>
      <c r="U2531" s="78">
        <f t="shared" si="485"/>
        <v>300247.5</v>
      </c>
      <c r="V2531" s="27">
        <f t="shared" si="489"/>
        <v>314497.5</v>
      </c>
      <c r="W2531" s="26">
        <f t="shared" si="487"/>
        <v>314497.5</v>
      </c>
      <c r="X2531" s="28">
        <v>0</v>
      </c>
      <c r="Y2531" s="28">
        <f t="shared" si="490"/>
        <v>314497.5</v>
      </c>
      <c r="Z2531" s="49">
        <v>2.0000000000000001E-4</v>
      </c>
    </row>
    <row r="2532" spans="1:26" s="29" customFormat="1" ht="90.75" customHeight="1" x14ac:dyDescent="0.25">
      <c r="A2532" s="20"/>
      <c r="B2532" s="20"/>
      <c r="C2532" s="20"/>
      <c r="D2532" s="21"/>
      <c r="E2532" s="21"/>
      <c r="F2532" s="22"/>
      <c r="G2532" s="23"/>
      <c r="H2532" s="24">
        <v>2</v>
      </c>
      <c r="I2532" s="25" t="s">
        <v>66</v>
      </c>
      <c r="J2532" s="28">
        <f t="shared" si="482"/>
        <v>1900</v>
      </c>
      <c r="K2532" s="20">
        <v>8</v>
      </c>
      <c r="L2532" s="20" t="s">
        <v>31</v>
      </c>
      <c r="M2532" s="20"/>
      <c r="N2532" s="20">
        <v>3</v>
      </c>
      <c r="O2532" s="24">
        <v>8</v>
      </c>
      <c r="P2532" s="86">
        <v>100</v>
      </c>
      <c r="Q2532" s="25">
        <v>2550</v>
      </c>
      <c r="R2532" s="36">
        <f t="shared" si="483"/>
        <v>20400</v>
      </c>
      <c r="S2532" s="20">
        <v>5</v>
      </c>
      <c r="T2532" s="28">
        <f t="shared" si="484"/>
        <v>1020</v>
      </c>
      <c r="U2532" s="78">
        <f t="shared" si="485"/>
        <v>19380</v>
      </c>
      <c r="V2532" s="27">
        <f t="shared" si="489"/>
        <v>21280</v>
      </c>
      <c r="W2532" s="36">
        <f>(V2532*100/100)</f>
        <v>21280</v>
      </c>
      <c r="X2532" s="28">
        <v>0</v>
      </c>
      <c r="Y2532" s="28">
        <f>(W2532-X2532)</f>
        <v>21280</v>
      </c>
      <c r="Z2532" s="49">
        <v>3.0000000000000001E-3</v>
      </c>
    </row>
    <row r="2533" spans="1:26" s="29" customFormat="1" ht="90.75" customHeight="1" x14ac:dyDescent="0.25">
      <c r="A2533" s="20">
        <v>1364</v>
      </c>
      <c r="B2533" s="20" t="s">
        <v>0</v>
      </c>
      <c r="C2533" s="20">
        <v>10426</v>
      </c>
      <c r="D2533" s="21">
        <v>0</v>
      </c>
      <c r="E2533" s="21">
        <v>3</v>
      </c>
      <c r="F2533" s="22">
        <v>40</v>
      </c>
      <c r="G2533" s="23" t="s">
        <v>211</v>
      </c>
      <c r="H2533" s="36">
        <f>(D2533*400)+(E2533*100)+F2533</f>
        <v>340</v>
      </c>
      <c r="I2533" s="25" t="s">
        <v>78</v>
      </c>
      <c r="J2533" s="28">
        <f t="shared" si="482"/>
        <v>297500</v>
      </c>
      <c r="K2533" s="20"/>
      <c r="L2533" s="20"/>
      <c r="M2533" s="20"/>
      <c r="N2533" s="20"/>
      <c r="O2533" s="24"/>
      <c r="P2533" s="24"/>
      <c r="Q2533" s="25"/>
      <c r="R2533" s="24"/>
      <c r="S2533" s="20"/>
      <c r="T2533" s="27"/>
      <c r="U2533" s="20"/>
      <c r="V2533" s="20"/>
      <c r="W2533" s="26"/>
      <c r="X2533" s="27"/>
      <c r="Y2533" s="20"/>
      <c r="Z2533" s="20"/>
    </row>
    <row r="2534" spans="1:26" s="29" customFormat="1" ht="90.75" customHeight="1" x14ac:dyDescent="0.25">
      <c r="A2534" s="20"/>
      <c r="B2534" s="20"/>
      <c r="C2534" s="20"/>
      <c r="D2534" s="21"/>
      <c r="E2534" s="21"/>
      <c r="F2534" s="22"/>
      <c r="G2534" s="23"/>
      <c r="H2534" s="36">
        <v>320.38</v>
      </c>
      <c r="I2534" s="40" t="s">
        <v>78</v>
      </c>
      <c r="J2534" s="28">
        <f>(H2534*I2534)</f>
        <v>280332.5</v>
      </c>
      <c r="K2534" s="30">
        <v>1</v>
      </c>
      <c r="L2534" s="31" t="s">
        <v>215</v>
      </c>
      <c r="M2534" s="32" t="s">
        <v>24</v>
      </c>
      <c r="N2534" s="33">
        <v>2</v>
      </c>
      <c r="O2534" s="34">
        <v>176.64</v>
      </c>
      <c r="P2534" s="35">
        <v>100</v>
      </c>
      <c r="Q2534" s="36">
        <v>6450</v>
      </c>
      <c r="R2534" s="36">
        <f>(O2534*Q2534)</f>
        <v>1139328</v>
      </c>
      <c r="S2534" s="37">
        <v>7</v>
      </c>
      <c r="T2534" s="28">
        <f>(R2534*7/100)</f>
        <v>79752.960000000006</v>
      </c>
      <c r="U2534" s="36">
        <f>(R2534-T2534)</f>
        <v>1059575.04</v>
      </c>
      <c r="V2534" s="36"/>
      <c r="W2534" s="36"/>
      <c r="X2534" s="28"/>
      <c r="Y2534" s="28"/>
      <c r="Z2534" s="49"/>
    </row>
    <row r="2535" spans="1:26" s="29" customFormat="1" ht="90.75" customHeight="1" x14ac:dyDescent="0.25">
      <c r="A2535" s="20"/>
      <c r="B2535" s="20"/>
      <c r="C2535" s="20"/>
      <c r="D2535" s="21"/>
      <c r="E2535" s="21"/>
      <c r="F2535" s="22"/>
      <c r="G2535" s="23"/>
      <c r="H2535" s="36"/>
      <c r="I2535" s="40"/>
      <c r="J2535" s="28"/>
      <c r="K2535" s="30">
        <v>2</v>
      </c>
      <c r="L2535" s="31" t="s">
        <v>31</v>
      </c>
      <c r="M2535" s="32"/>
      <c r="N2535" s="33"/>
      <c r="O2535" s="34">
        <v>24.75</v>
      </c>
      <c r="P2535" s="35">
        <v>100</v>
      </c>
      <c r="Q2535" s="36">
        <v>2550</v>
      </c>
      <c r="R2535" s="36">
        <f>(O2535*Q2535)</f>
        <v>63112.5</v>
      </c>
      <c r="S2535" s="37">
        <v>7</v>
      </c>
      <c r="T2535" s="28">
        <f>(R2535*7/100)</f>
        <v>4417.875</v>
      </c>
      <c r="U2535" s="36">
        <f>(R2535-T2535)</f>
        <v>58694.625</v>
      </c>
      <c r="V2535" s="36"/>
      <c r="W2535" s="36"/>
      <c r="X2535" s="28"/>
      <c r="Y2535" s="28"/>
      <c r="Z2535" s="20"/>
    </row>
    <row r="2536" spans="1:26" s="29" customFormat="1" ht="90.75" customHeight="1" x14ac:dyDescent="0.25">
      <c r="A2536" s="20"/>
      <c r="B2536" s="20"/>
      <c r="C2536" s="20"/>
      <c r="D2536" s="21"/>
      <c r="E2536" s="21"/>
      <c r="F2536" s="22"/>
      <c r="G2536" s="23"/>
      <c r="H2536" s="36"/>
      <c r="I2536" s="40"/>
      <c r="J2536" s="28"/>
      <c r="K2536" s="30"/>
      <c r="L2536" s="31"/>
      <c r="M2536" s="32"/>
      <c r="N2536" s="33"/>
      <c r="O2536" s="34"/>
      <c r="P2536" s="35"/>
      <c r="Q2536" s="36"/>
      <c r="R2536" s="36"/>
      <c r="S2536" s="37"/>
      <c r="T2536" s="28"/>
      <c r="U2536" s="36">
        <f>SUM(U2534:U2535)</f>
        <v>1118269.665</v>
      </c>
      <c r="V2536" s="36">
        <f>(J2534+U2536)</f>
        <v>1398602.165</v>
      </c>
      <c r="W2536" s="36">
        <f>(V2536*100/100)</f>
        <v>1398602.165</v>
      </c>
      <c r="X2536" s="28">
        <v>50000000</v>
      </c>
      <c r="Y2536" s="28">
        <v>0</v>
      </c>
      <c r="Z2536" s="49">
        <v>2.0000000000000001E-4</v>
      </c>
    </row>
    <row r="2537" spans="1:26" s="29" customFormat="1" ht="90.75" customHeight="1" x14ac:dyDescent="0.25">
      <c r="A2537" s="20"/>
      <c r="B2537" s="20"/>
      <c r="C2537" s="20"/>
      <c r="D2537" s="21"/>
      <c r="E2537" s="21"/>
      <c r="F2537" s="22"/>
      <c r="G2537" s="23"/>
      <c r="H2537" s="36">
        <v>18.059999999999999</v>
      </c>
      <c r="I2537" s="40" t="s">
        <v>78</v>
      </c>
      <c r="J2537" s="28">
        <f>(H2537*I2537)</f>
        <v>15802.499999999998</v>
      </c>
      <c r="K2537" s="30">
        <v>3</v>
      </c>
      <c r="L2537" s="31" t="s">
        <v>36</v>
      </c>
      <c r="M2537" s="32" t="s">
        <v>13</v>
      </c>
      <c r="N2537" s="33">
        <v>3</v>
      </c>
      <c r="O2537" s="34">
        <v>72.25</v>
      </c>
      <c r="P2537" s="35">
        <v>100</v>
      </c>
      <c r="Q2537" s="36">
        <v>5550</v>
      </c>
      <c r="R2537" s="36">
        <f>(O2537*Q2537)</f>
        <v>400987.5</v>
      </c>
      <c r="S2537" s="37">
        <v>7</v>
      </c>
      <c r="T2537" s="28">
        <f>(R2537*7/100)</f>
        <v>28069.125</v>
      </c>
      <c r="U2537" s="36">
        <f>(R2537-T2537)</f>
        <v>372918.375</v>
      </c>
      <c r="V2537" s="36">
        <f>(J2537+U2537)</f>
        <v>388720.875</v>
      </c>
      <c r="W2537" s="36">
        <f>(V2537*100/100)</f>
        <v>388720.875</v>
      </c>
      <c r="X2537" s="28">
        <v>0</v>
      </c>
      <c r="Y2537" s="28">
        <f>(W2537)</f>
        <v>388720.875</v>
      </c>
      <c r="Z2537" s="49">
        <v>3.0000000000000001E-3</v>
      </c>
    </row>
    <row r="2538" spans="1:26" s="29" customFormat="1" ht="90.75" customHeight="1" x14ac:dyDescent="0.25">
      <c r="A2538" s="20"/>
      <c r="B2538" s="20"/>
      <c r="C2538" s="20"/>
      <c r="D2538" s="21"/>
      <c r="E2538" s="21"/>
      <c r="F2538" s="22"/>
      <c r="G2538" s="23"/>
      <c r="H2538" s="36">
        <v>1.56</v>
      </c>
      <c r="I2538" s="40" t="s">
        <v>78</v>
      </c>
      <c r="J2538" s="28">
        <f>(H2538*I2538)</f>
        <v>1365</v>
      </c>
      <c r="K2538" s="30">
        <v>4</v>
      </c>
      <c r="L2538" s="31" t="s">
        <v>215</v>
      </c>
      <c r="M2538" s="32" t="s">
        <v>40</v>
      </c>
      <c r="N2538" s="33">
        <v>3</v>
      </c>
      <c r="O2538" s="34">
        <v>6.25</v>
      </c>
      <c r="P2538" s="35">
        <v>100</v>
      </c>
      <c r="Q2538" s="36">
        <v>6450</v>
      </c>
      <c r="R2538" s="36">
        <f>(O2538*Q2538)</f>
        <v>40312.5</v>
      </c>
      <c r="S2538" s="37">
        <v>3</v>
      </c>
      <c r="T2538" s="28">
        <f>R2538*3/100</f>
        <v>1209.375</v>
      </c>
      <c r="U2538" s="36">
        <f>(R2538-T2538)</f>
        <v>39103.125</v>
      </c>
      <c r="V2538" s="36">
        <f>(J2538+U2538)</f>
        <v>40468.125</v>
      </c>
      <c r="W2538" s="36">
        <f>(V2538*100/100)</f>
        <v>40468.125</v>
      </c>
      <c r="X2538" s="28">
        <v>0</v>
      </c>
      <c r="Y2538" s="28">
        <f>(W2538-X2538)</f>
        <v>40468.125</v>
      </c>
      <c r="Z2538" s="49">
        <v>3.0000000000000001E-3</v>
      </c>
    </row>
    <row r="2539" spans="1:26" s="29" customFormat="1" ht="90.75" customHeight="1" x14ac:dyDescent="0.25">
      <c r="A2539" s="20">
        <v>1365</v>
      </c>
      <c r="B2539" s="20" t="s">
        <v>0</v>
      </c>
      <c r="C2539" s="20">
        <v>28239</v>
      </c>
      <c r="D2539" s="21">
        <v>0</v>
      </c>
      <c r="E2539" s="21">
        <v>1</v>
      </c>
      <c r="F2539" s="22">
        <v>38</v>
      </c>
      <c r="G2539" s="23" t="s">
        <v>211</v>
      </c>
      <c r="H2539" s="36">
        <f>(D2539*400)+(E2539*100)+F2539</f>
        <v>138</v>
      </c>
      <c r="I2539" s="40">
        <v>825</v>
      </c>
      <c r="J2539" s="28">
        <f>(H2539*I2539)</f>
        <v>113850</v>
      </c>
      <c r="K2539" s="37"/>
      <c r="L2539" s="20"/>
      <c r="M2539" s="37"/>
      <c r="N2539" s="30"/>
      <c r="O2539" s="77"/>
      <c r="P2539" s="35"/>
      <c r="Q2539" s="77"/>
      <c r="R2539" s="77"/>
      <c r="S2539" s="37"/>
      <c r="T2539" s="28"/>
      <c r="U2539" s="77"/>
      <c r="V2539" s="77"/>
      <c r="W2539" s="77"/>
      <c r="X2539" s="28"/>
      <c r="Y2539" s="28"/>
      <c r="Z2539" s="20"/>
    </row>
    <row r="2540" spans="1:26" s="29" customFormat="1" ht="90.75" customHeight="1" x14ac:dyDescent="0.25">
      <c r="A2540" s="20"/>
      <c r="B2540" s="20"/>
      <c r="C2540" s="20"/>
      <c r="D2540" s="21"/>
      <c r="E2540" s="21"/>
      <c r="F2540" s="22"/>
      <c r="G2540" s="23"/>
      <c r="H2540" s="77"/>
      <c r="I2540" s="40"/>
      <c r="J2540" s="28"/>
      <c r="K2540" s="37">
        <v>1</v>
      </c>
      <c r="L2540" s="20" t="s">
        <v>215</v>
      </c>
      <c r="M2540" s="37" t="s">
        <v>13</v>
      </c>
      <c r="N2540" s="30">
        <v>5</v>
      </c>
      <c r="O2540" s="77">
        <v>275.5</v>
      </c>
      <c r="P2540" s="86">
        <v>100</v>
      </c>
      <c r="Q2540" s="77">
        <v>6450</v>
      </c>
      <c r="R2540" s="77">
        <f>(O2540*Q2540)</f>
        <v>1776975</v>
      </c>
      <c r="S2540" s="37">
        <v>22</v>
      </c>
      <c r="T2540" s="28">
        <f>(R2540*34/100)</f>
        <v>604171.5</v>
      </c>
      <c r="U2540" s="77">
        <f>(R2540-T2540)</f>
        <v>1172803.5</v>
      </c>
      <c r="V2540" s="77">
        <f>(J2539+U2540)</f>
        <v>1286653.5</v>
      </c>
      <c r="W2540" s="36">
        <f>(V2540*100/100)</f>
        <v>1286653.5</v>
      </c>
      <c r="X2540" s="28"/>
      <c r="Y2540" s="28"/>
      <c r="Z2540" s="20"/>
    </row>
    <row r="2541" spans="1:26" s="29" customFormat="1" ht="90.75" customHeight="1" x14ac:dyDescent="0.25">
      <c r="A2541" s="20"/>
      <c r="B2541" s="20"/>
      <c r="C2541" s="20"/>
      <c r="D2541" s="21"/>
      <c r="E2541" s="21"/>
      <c r="F2541" s="22"/>
      <c r="G2541" s="23"/>
      <c r="H2541" s="77"/>
      <c r="I2541" s="40"/>
      <c r="J2541" s="28"/>
      <c r="K2541" s="37"/>
      <c r="L2541" s="20"/>
      <c r="M2541" s="37"/>
      <c r="N2541" s="30">
        <v>2</v>
      </c>
      <c r="O2541" s="77">
        <v>220.5</v>
      </c>
      <c r="P2541" s="86">
        <v>80.040000000000006</v>
      </c>
      <c r="Q2541" s="77"/>
      <c r="R2541" s="77"/>
      <c r="S2541" s="37"/>
      <c r="T2541" s="28"/>
      <c r="U2541" s="77"/>
      <c r="V2541" s="77"/>
      <c r="W2541" s="77">
        <f>(W2540*80.04/100)</f>
        <v>1029837.4614000001</v>
      </c>
      <c r="X2541" s="28">
        <v>50000000</v>
      </c>
      <c r="Y2541" s="28">
        <v>0</v>
      </c>
      <c r="Z2541" s="49">
        <v>2.0000000000000001E-4</v>
      </c>
    </row>
    <row r="2542" spans="1:26" s="29" customFormat="1" ht="90.75" customHeight="1" x14ac:dyDescent="0.25">
      <c r="A2542" s="20"/>
      <c r="B2542" s="20"/>
      <c r="C2542" s="20"/>
      <c r="D2542" s="21"/>
      <c r="E2542" s="21"/>
      <c r="F2542" s="22"/>
      <c r="G2542" s="23"/>
      <c r="H2542" s="77"/>
      <c r="I2542" s="40"/>
      <c r="J2542" s="28"/>
      <c r="K2542" s="37"/>
      <c r="L2542" s="20"/>
      <c r="M2542" s="37"/>
      <c r="N2542" s="30">
        <v>3</v>
      </c>
      <c r="O2542" s="77">
        <v>55</v>
      </c>
      <c r="P2542" s="86">
        <v>19.96</v>
      </c>
      <c r="Q2542" s="77"/>
      <c r="R2542" s="77"/>
      <c r="S2542" s="37"/>
      <c r="T2542" s="28"/>
      <c r="U2542" s="77"/>
      <c r="V2542" s="77"/>
      <c r="W2542" s="77">
        <f>(W2540*19.96/100)</f>
        <v>256816.0386</v>
      </c>
      <c r="X2542" s="28">
        <v>0</v>
      </c>
      <c r="Y2542" s="28">
        <f>(W2542-X2542)</f>
        <v>256816.0386</v>
      </c>
      <c r="Z2542" s="49">
        <v>3.0000000000000001E-3</v>
      </c>
    </row>
    <row r="2543" spans="1:26" s="29" customFormat="1" ht="90.75" customHeight="1" x14ac:dyDescent="0.25">
      <c r="A2543" s="20">
        <v>1366</v>
      </c>
      <c r="B2543" s="20" t="s">
        <v>0</v>
      </c>
      <c r="C2543" s="20">
        <v>10424</v>
      </c>
      <c r="D2543" s="21">
        <v>0</v>
      </c>
      <c r="E2543" s="21">
        <v>0</v>
      </c>
      <c r="F2543" s="22">
        <v>55</v>
      </c>
      <c r="G2543" s="23" t="s">
        <v>211</v>
      </c>
      <c r="H2543" s="36">
        <f>(D2543*400)+(E2543*100)+F2543</f>
        <v>55</v>
      </c>
      <c r="I2543" s="25" t="s">
        <v>78</v>
      </c>
      <c r="J2543" s="28">
        <f>(H2543*I2543)</f>
        <v>48125</v>
      </c>
      <c r="K2543" s="30">
        <v>1</v>
      </c>
      <c r="L2543" s="20" t="s">
        <v>215</v>
      </c>
      <c r="M2543" s="31" t="s">
        <v>13</v>
      </c>
      <c r="N2543" s="41"/>
      <c r="O2543" s="42">
        <v>108</v>
      </c>
      <c r="P2543" s="35">
        <v>100</v>
      </c>
      <c r="Q2543" s="36">
        <v>6450</v>
      </c>
      <c r="R2543" s="36">
        <f>(O2543*Q2543)</f>
        <v>696600</v>
      </c>
      <c r="S2543" s="37">
        <v>52</v>
      </c>
      <c r="T2543" s="28">
        <f>(R2543*76/100)</f>
        <v>529416</v>
      </c>
      <c r="U2543" s="36">
        <f>(R2543-T2543)</f>
        <v>167184</v>
      </c>
      <c r="V2543" s="36">
        <f>(J2543+U2543)</f>
        <v>215309</v>
      </c>
      <c r="W2543" s="36">
        <f>(V2543*100/100)</f>
        <v>215309</v>
      </c>
      <c r="X2543" s="28"/>
      <c r="Y2543" s="28"/>
      <c r="Z2543" s="20"/>
    </row>
    <row r="2544" spans="1:26" s="29" customFormat="1" ht="90.75" customHeight="1" x14ac:dyDescent="0.25">
      <c r="A2544" s="20"/>
      <c r="B2544" s="20"/>
      <c r="C2544" s="20"/>
      <c r="D2544" s="21"/>
      <c r="E2544" s="21"/>
      <c r="F2544" s="22"/>
      <c r="G2544" s="23"/>
      <c r="H2544" s="24"/>
      <c r="I2544" s="25"/>
      <c r="J2544" s="24"/>
      <c r="K2544" s="30"/>
      <c r="L2544" s="31"/>
      <c r="M2544" s="31"/>
      <c r="N2544" s="41">
        <v>2</v>
      </c>
      <c r="O2544" s="42">
        <v>90</v>
      </c>
      <c r="P2544" s="35">
        <v>83.33</v>
      </c>
      <c r="Q2544" s="36"/>
      <c r="R2544" s="36"/>
      <c r="S2544" s="37"/>
      <c r="T2544" s="28"/>
      <c r="U2544" s="36"/>
      <c r="V2544" s="36"/>
      <c r="W2544" s="36">
        <f>(W2543*83.33/100)</f>
        <v>179416.98969999998</v>
      </c>
      <c r="X2544" s="28">
        <v>50000000</v>
      </c>
      <c r="Y2544" s="28">
        <v>0</v>
      </c>
      <c r="Z2544" s="49">
        <v>2.0000000000000001E-4</v>
      </c>
    </row>
    <row r="2545" spans="1:26" s="29" customFormat="1" ht="90.75" customHeight="1" x14ac:dyDescent="0.25">
      <c r="A2545" s="20"/>
      <c r="B2545" s="20"/>
      <c r="C2545" s="20"/>
      <c r="D2545" s="21"/>
      <c r="E2545" s="21"/>
      <c r="F2545" s="22"/>
      <c r="G2545" s="23"/>
      <c r="H2545" s="24"/>
      <c r="I2545" s="25"/>
      <c r="J2545" s="24"/>
      <c r="K2545" s="30"/>
      <c r="L2545" s="31"/>
      <c r="M2545" s="31"/>
      <c r="N2545" s="41">
        <v>3</v>
      </c>
      <c r="O2545" s="42">
        <v>18</v>
      </c>
      <c r="P2545" s="35">
        <v>16.670000000000002</v>
      </c>
      <c r="Q2545" s="36"/>
      <c r="R2545" s="36"/>
      <c r="S2545" s="37"/>
      <c r="T2545" s="28"/>
      <c r="U2545" s="36"/>
      <c r="V2545" s="36"/>
      <c r="W2545" s="36">
        <f>(W2543*16.67/100)</f>
        <v>35892.010300000002</v>
      </c>
      <c r="X2545" s="28">
        <v>0</v>
      </c>
      <c r="Y2545" s="28">
        <f>(W2545-X2545)</f>
        <v>35892.010300000002</v>
      </c>
      <c r="Z2545" s="49">
        <v>3.0000000000000001E-3</v>
      </c>
    </row>
    <row r="2546" spans="1:26" s="29" customFormat="1" ht="90.75" customHeight="1" x14ac:dyDescent="0.25">
      <c r="A2546" s="20">
        <v>1367</v>
      </c>
      <c r="B2546" s="20" t="s">
        <v>0</v>
      </c>
      <c r="C2546" s="20">
        <v>27365</v>
      </c>
      <c r="D2546" s="21">
        <v>0</v>
      </c>
      <c r="E2546" s="21">
        <v>1</v>
      </c>
      <c r="F2546" s="22">
        <v>15</v>
      </c>
      <c r="G2546" s="23" t="s">
        <v>211</v>
      </c>
      <c r="H2546" s="36">
        <f>(D2546*400)+(E2546*100)+F2546</f>
        <v>115</v>
      </c>
      <c r="I2546" s="40">
        <v>875</v>
      </c>
      <c r="J2546" s="28">
        <f>(H2546*I2546)</f>
        <v>100625</v>
      </c>
      <c r="K2546" s="37"/>
      <c r="L2546" s="31"/>
      <c r="M2546" s="32"/>
      <c r="N2546" s="33"/>
      <c r="O2546" s="82"/>
      <c r="P2546" s="86"/>
      <c r="Q2546" s="36"/>
      <c r="R2546" s="36"/>
      <c r="S2546" s="37"/>
      <c r="T2546" s="28"/>
      <c r="U2546" s="36"/>
      <c r="V2546" s="36"/>
      <c r="W2546" s="36"/>
      <c r="X2546" s="28"/>
      <c r="Y2546" s="28"/>
      <c r="Z2546" s="20"/>
    </row>
    <row r="2547" spans="1:26" s="29" customFormat="1" ht="90.75" customHeight="1" x14ac:dyDescent="0.25">
      <c r="A2547" s="20"/>
      <c r="B2547" s="20"/>
      <c r="C2547" s="20"/>
      <c r="D2547" s="21"/>
      <c r="E2547" s="21"/>
      <c r="F2547" s="22"/>
      <c r="G2547" s="23"/>
      <c r="H2547" s="36">
        <v>94.75</v>
      </c>
      <c r="I2547" s="40">
        <v>875</v>
      </c>
      <c r="J2547" s="28">
        <f>(H2547*I2547)</f>
        <v>82906.25</v>
      </c>
      <c r="K2547" s="37">
        <v>1</v>
      </c>
      <c r="L2547" s="31" t="s">
        <v>215</v>
      </c>
      <c r="M2547" s="32" t="s">
        <v>40</v>
      </c>
      <c r="N2547" s="33">
        <v>2</v>
      </c>
      <c r="O2547" s="82">
        <v>90</v>
      </c>
      <c r="P2547" s="86">
        <v>100</v>
      </c>
      <c r="Q2547" s="36">
        <v>6450</v>
      </c>
      <c r="R2547" s="36">
        <f>(O2547*Q2547)</f>
        <v>580500</v>
      </c>
      <c r="S2547" s="37">
        <v>32</v>
      </c>
      <c r="T2547" s="28">
        <f>(R2547*93/100)</f>
        <v>539865</v>
      </c>
      <c r="U2547" s="36">
        <f>(R2547-T2547)</f>
        <v>40635</v>
      </c>
      <c r="V2547" s="36">
        <f>(J2547+U2547)</f>
        <v>123541.25</v>
      </c>
      <c r="W2547" s="36">
        <f>(V2547*100/100)</f>
        <v>123541.25</v>
      </c>
      <c r="X2547" s="28">
        <v>50000000</v>
      </c>
      <c r="Y2547" s="28">
        <v>0</v>
      </c>
      <c r="Z2547" s="49">
        <v>2.0000000000000001E-4</v>
      </c>
    </row>
    <row r="2548" spans="1:26" s="29" customFormat="1" ht="90.75" customHeight="1" x14ac:dyDescent="0.25">
      <c r="A2548" s="20"/>
      <c r="B2548" s="20"/>
      <c r="C2548" s="20"/>
      <c r="D2548" s="21"/>
      <c r="E2548" s="21"/>
      <c r="F2548" s="22"/>
      <c r="G2548" s="23"/>
      <c r="H2548" s="36">
        <f>(O2548*0.25)</f>
        <v>20.25</v>
      </c>
      <c r="I2548" s="40">
        <v>875</v>
      </c>
      <c r="J2548" s="28">
        <f>(H2548*I2548)</f>
        <v>17718.75</v>
      </c>
      <c r="K2548" s="37">
        <v>2</v>
      </c>
      <c r="L2548" s="31" t="s">
        <v>215</v>
      </c>
      <c r="M2548" s="32" t="s">
        <v>13</v>
      </c>
      <c r="N2548" s="33">
        <v>5</v>
      </c>
      <c r="O2548" s="82">
        <v>81</v>
      </c>
      <c r="P2548" s="86">
        <v>100</v>
      </c>
      <c r="Q2548" s="36">
        <v>6450</v>
      </c>
      <c r="R2548" s="36">
        <f>(O2548*Q2548)</f>
        <v>522450</v>
      </c>
      <c r="S2548" s="37">
        <v>27</v>
      </c>
      <c r="T2548" s="28">
        <f>(R2548*44/100)</f>
        <v>229878</v>
      </c>
      <c r="U2548" s="36">
        <f>(R2548-T2548)</f>
        <v>292572</v>
      </c>
      <c r="V2548" s="36">
        <f>(J2548+U2548)</f>
        <v>310290.75</v>
      </c>
      <c r="W2548" s="36">
        <f>(V2548*100/100)</f>
        <v>310290.75</v>
      </c>
      <c r="X2548" s="28"/>
      <c r="Y2548" s="28"/>
      <c r="Z2548" s="20"/>
    </row>
    <row r="2549" spans="1:26" s="29" customFormat="1" ht="90.75" customHeight="1" x14ac:dyDescent="0.25">
      <c r="A2549" s="20"/>
      <c r="B2549" s="20"/>
      <c r="C2549" s="20"/>
      <c r="D2549" s="21"/>
      <c r="E2549" s="21"/>
      <c r="F2549" s="22"/>
      <c r="G2549" s="23"/>
      <c r="H2549" s="36"/>
      <c r="I2549" s="40"/>
      <c r="J2549" s="28"/>
      <c r="K2549" s="37"/>
      <c r="L2549" s="31"/>
      <c r="M2549" s="32"/>
      <c r="N2549" s="33"/>
      <c r="O2549" s="82">
        <v>27</v>
      </c>
      <c r="P2549" s="86">
        <v>33.33</v>
      </c>
      <c r="Q2549" s="36"/>
      <c r="R2549" s="36"/>
      <c r="S2549" s="37"/>
      <c r="T2549" s="28"/>
      <c r="U2549" s="36"/>
      <c r="V2549" s="36"/>
      <c r="W2549" s="36">
        <f>(W2548*33.33/100)</f>
        <v>103419.90697499999</v>
      </c>
      <c r="X2549" s="28">
        <v>10000000</v>
      </c>
      <c r="Y2549" s="28">
        <v>0</v>
      </c>
      <c r="Z2549" s="49">
        <v>2.0000000000000001E-4</v>
      </c>
    </row>
    <row r="2550" spans="1:26" s="29" customFormat="1" ht="90.75" customHeight="1" x14ac:dyDescent="0.25">
      <c r="A2550" s="20"/>
      <c r="B2550" s="20"/>
      <c r="C2550" s="20"/>
      <c r="D2550" s="21"/>
      <c r="E2550" s="21"/>
      <c r="F2550" s="22"/>
      <c r="G2550" s="23"/>
      <c r="H2550" s="36"/>
      <c r="I2550" s="40"/>
      <c r="J2550" s="28"/>
      <c r="K2550" s="37"/>
      <c r="L2550" s="31"/>
      <c r="M2550" s="32"/>
      <c r="N2550" s="33"/>
      <c r="O2550" s="82">
        <v>54</v>
      </c>
      <c r="P2550" s="86">
        <v>66.67</v>
      </c>
      <c r="Q2550" s="36"/>
      <c r="R2550" s="36"/>
      <c r="S2550" s="37"/>
      <c r="T2550" s="28"/>
      <c r="U2550" s="36"/>
      <c r="V2550" s="36"/>
      <c r="W2550" s="36">
        <f>(W2548*66.67/100)</f>
        <v>206870.84302500001</v>
      </c>
      <c r="X2550" s="28">
        <v>0</v>
      </c>
      <c r="Y2550" s="28">
        <f>(W2550-X2550)</f>
        <v>206870.84302500001</v>
      </c>
      <c r="Z2550" s="49">
        <v>3.0000000000000001E-3</v>
      </c>
    </row>
    <row r="2551" spans="1:26" s="29" customFormat="1" ht="90.75" customHeight="1" x14ac:dyDescent="0.25">
      <c r="A2551" s="20">
        <v>1368</v>
      </c>
      <c r="B2551" s="20" t="s">
        <v>0</v>
      </c>
      <c r="C2551" s="20">
        <v>27362</v>
      </c>
      <c r="D2551" s="21">
        <v>0</v>
      </c>
      <c r="E2551" s="21">
        <v>1</v>
      </c>
      <c r="F2551" s="22">
        <v>7</v>
      </c>
      <c r="G2551" s="23" t="s">
        <v>211</v>
      </c>
      <c r="H2551" s="36">
        <f>(D2551*400)+(E2551*100)+F2551</f>
        <v>107</v>
      </c>
      <c r="I2551" s="40">
        <v>875</v>
      </c>
      <c r="J2551" s="28">
        <f>(H2551*I2551)</f>
        <v>93625</v>
      </c>
      <c r="K2551" s="37">
        <v>1</v>
      </c>
      <c r="L2551" s="31" t="s">
        <v>215</v>
      </c>
      <c r="M2551" s="32" t="s">
        <v>13</v>
      </c>
      <c r="N2551" s="33"/>
      <c r="O2551" s="82">
        <v>112.75</v>
      </c>
      <c r="P2551" s="86">
        <v>100</v>
      </c>
      <c r="Q2551" s="36">
        <v>6450</v>
      </c>
      <c r="R2551" s="36">
        <f>(O2551*Q2551)</f>
        <v>727237.5</v>
      </c>
      <c r="S2551" s="37">
        <v>27</v>
      </c>
      <c r="T2551" s="28">
        <f>(R2551*44/100)</f>
        <v>319984.5</v>
      </c>
      <c r="U2551" s="36">
        <f>(R2551-T2551)</f>
        <v>407253</v>
      </c>
      <c r="V2551" s="36">
        <f>(J2551+U2551)</f>
        <v>500878</v>
      </c>
      <c r="W2551" s="36">
        <f>(V2551*100/100)</f>
        <v>500878</v>
      </c>
      <c r="X2551" s="28"/>
      <c r="Y2551" s="28"/>
      <c r="Z2551" s="20"/>
    </row>
    <row r="2552" spans="1:26" s="29" customFormat="1" ht="90.75" customHeight="1" x14ac:dyDescent="0.25">
      <c r="A2552" s="20"/>
      <c r="B2552" s="20"/>
      <c r="C2552" s="20"/>
      <c r="D2552" s="21"/>
      <c r="E2552" s="21"/>
      <c r="F2552" s="22"/>
      <c r="G2552" s="23"/>
      <c r="H2552" s="36"/>
      <c r="I2552" s="40"/>
      <c r="J2552" s="28"/>
      <c r="K2552" s="37"/>
      <c r="L2552" s="31" t="s">
        <v>69</v>
      </c>
      <c r="M2552" s="32"/>
      <c r="N2552" s="33">
        <v>2</v>
      </c>
      <c r="O2552" s="82">
        <v>38</v>
      </c>
      <c r="P2552" s="86">
        <v>33.700000000000003</v>
      </c>
      <c r="Q2552" s="36"/>
      <c r="R2552" s="36"/>
      <c r="S2552" s="37"/>
      <c r="T2552" s="28"/>
      <c r="U2552" s="36"/>
      <c r="V2552" s="36"/>
      <c r="W2552" s="36">
        <f>(W2551*33.7/100)</f>
        <v>168795.88600000003</v>
      </c>
      <c r="X2552" s="28">
        <v>50000000</v>
      </c>
      <c r="Y2552" s="28">
        <v>0</v>
      </c>
      <c r="Z2552" s="49">
        <v>2.0000000000000001E-4</v>
      </c>
    </row>
    <row r="2553" spans="1:26" s="29" customFormat="1" ht="90.75" customHeight="1" x14ac:dyDescent="0.25">
      <c r="A2553" s="20"/>
      <c r="B2553" s="20"/>
      <c r="C2553" s="20"/>
      <c r="D2553" s="21"/>
      <c r="E2553" s="21"/>
      <c r="F2553" s="22"/>
      <c r="G2553" s="23"/>
      <c r="H2553" s="36"/>
      <c r="I2553" s="40"/>
      <c r="J2553" s="28"/>
      <c r="K2553" s="37">
        <v>2</v>
      </c>
      <c r="L2553" s="31" t="s">
        <v>61</v>
      </c>
      <c r="M2553" s="32"/>
      <c r="N2553" s="33">
        <v>3</v>
      </c>
      <c r="O2553" s="82">
        <v>74.75</v>
      </c>
      <c r="P2553" s="86">
        <v>66.3</v>
      </c>
      <c r="Q2553" s="36"/>
      <c r="R2553" s="36"/>
      <c r="S2553" s="37"/>
      <c r="T2553" s="28"/>
      <c r="U2553" s="36"/>
      <c r="V2553" s="36"/>
      <c r="W2553" s="36">
        <f>(W2551*66.3/100)</f>
        <v>332082.114</v>
      </c>
      <c r="X2553" s="28">
        <v>0</v>
      </c>
      <c r="Y2553" s="28">
        <f>(W2553--X2553)</f>
        <v>332082.114</v>
      </c>
      <c r="Z2553" s="49">
        <v>3.0000000000000001E-3</v>
      </c>
    </row>
    <row r="2554" spans="1:26" s="29" customFormat="1" ht="90.75" customHeight="1" x14ac:dyDescent="0.25">
      <c r="A2554" s="20">
        <v>1369</v>
      </c>
      <c r="B2554" s="20" t="s">
        <v>0</v>
      </c>
      <c r="C2554" s="20">
        <v>37491</v>
      </c>
      <c r="D2554" s="21">
        <v>1</v>
      </c>
      <c r="E2554" s="21">
        <v>0</v>
      </c>
      <c r="F2554" s="22">
        <v>0</v>
      </c>
      <c r="G2554" s="23" t="s">
        <v>211</v>
      </c>
      <c r="H2554" s="36">
        <f>(D2554*100)+(E2554*100)+F2554</f>
        <v>100</v>
      </c>
      <c r="I2554" s="40" t="s">
        <v>87</v>
      </c>
      <c r="J2554" s="65">
        <v>330000</v>
      </c>
      <c r="K2554" s="30"/>
      <c r="L2554" s="20"/>
      <c r="M2554" s="35"/>
      <c r="N2554" s="30"/>
      <c r="O2554" s="36"/>
      <c r="P2554" s="86"/>
      <c r="Q2554" s="40"/>
      <c r="R2554" s="84"/>
      <c r="S2554" s="84"/>
      <c r="T2554" s="28"/>
      <c r="U2554" s="84"/>
      <c r="V2554" s="36"/>
      <c r="W2554" s="36"/>
      <c r="X2554" s="28"/>
      <c r="Y2554" s="26"/>
      <c r="Z2554" s="53"/>
    </row>
    <row r="2555" spans="1:26" s="29" customFormat="1" ht="90.75" customHeight="1" x14ac:dyDescent="0.25">
      <c r="A2555" s="20"/>
      <c r="B2555" s="20"/>
      <c r="C2555" s="20"/>
      <c r="D2555" s="21"/>
      <c r="E2555" s="21"/>
      <c r="F2555" s="22"/>
      <c r="G2555" s="23"/>
      <c r="H2555" s="36">
        <v>80</v>
      </c>
      <c r="I2555" s="40" t="s">
        <v>87</v>
      </c>
      <c r="J2555" s="65">
        <v>66000</v>
      </c>
      <c r="K2555" s="30">
        <v>1</v>
      </c>
      <c r="L2555" s="20" t="s">
        <v>215</v>
      </c>
      <c r="M2555" s="35" t="s">
        <v>13</v>
      </c>
      <c r="N2555" s="30">
        <v>5</v>
      </c>
      <c r="O2555" s="36">
        <v>320</v>
      </c>
      <c r="P2555" s="86">
        <v>100</v>
      </c>
      <c r="Q2555" s="40">
        <v>6450</v>
      </c>
      <c r="R2555" s="36">
        <v>2064000</v>
      </c>
      <c r="S2555" s="84">
        <v>5</v>
      </c>
      <c r="T2555" s="28">
        <f>(R2555*5/100)</f>
        <v>103200</v>
      </c>
      <c r="U2555" s="36">
        <f>(R2555-T2555)</f>
        <v>1960800</v>
      </c>
      <c r="V2555" s="36">
        <f>(J2555+U2555)</f>
        <v>2026800</v>
      </c>
      <c r="W2555" s="36">
        <f>(V2555*100/100)</f>
        <v>2026800</v>
      </c>
      <c r="X2555" s="28"/>
      <c r="Y2555" s="26"/>
      <c r="Z2555" s="53"/>
    </row>
    <row r="2556" spans="1:26" s="29" customFormat="1" ht="90.75" customHeight="1" x14ac:dyDescent="0.25">
      <c r="A2556" s="20"/>
      <c r="B2556" s="20"/>
      <c r="C2556" s="20"/>
      <c r="D2556" s="21"/>
      <c r="E2556" s="21"/>
      <c r="F2556" s="22"/>
      <c r="G2556" s="23"/>
      <c r="H2556" s="36"/>
      <c r="I2556" s="25"/>
      <c r="J2556" s="65"/>
      <c r="K2556" s="30"/>
      <c r="L2556" s="20" t="s">
        <v>69</v>
      </c>
      <c r="M2556" s="35" t="s">
        <v>13</v>
      </c>
      <c r="N2556" s="30"/>
      <c r="O2556" s="36">
        <v>300</v>
      </c>
      <c r="P2556" s="86">
        <v>93.75</v>
      </c>
      <c r="Q2556" s="40"/>
      <c r="R2556" s="36"/>
      <c r="S2556" s="84"/>
      <c r="T2556" s="28"/>
      <c r="U2556" s="84"/>
      <c r="V2556" s="36"/>
      <c r="W2556" s="36">
        <f>(W2555*93.75/100)</f>
        <v>1900125</v>
      </c>
      <c r="X2556" s="28">
        <v>50000000</v>
      </c>
      <c r="Y2556" s="28">
        <v>0</v>
      </c>
      <c r="Z2556" s="49">
        <v>2.0000000000000001E-4</v>
      </c>
    </row>
    <row r="2557" spans="1:26" s="29" customFormat="1" ht="90.75" customHeight="1" x14ac:dyDescent="0.25">
      <c r="A2557" s="20"/>
      <c r="B2557" s="20"/>
      <c r="C2557" s="20"/>
      <c r="D2557" s="21"/>
      <c r="E2557" s="21"/>
      <c r="F2557" s="22"/>
      <c r="G2557" s="23"/>
      <c r="H2557" s="36"/>
      <c r="I2557" s="25"/>
      <c r="J2557" s="65"/>
      <c r="K2557" s="30"/>
      <c r="L2557" s="20" t="s">
        <v>61</v>
      </c>
      <c r="M2557" s="35"/>
      <c r="N2557" s="30"/>
      <c r="O2557" s="36">
        <v>20</v>
      </c>
      <c r="P2557" s="86">
        <v>6.25</v>
      </c>
      <c r="Q2557" s="40"/>
      <c r="R2557" s="36"/>
      <c r="S2557" s="84"/>
      <c r="T2557" s="28"/>
      <c r="U2557" s="84"/>
      <c r="V2557" s="36"/>
      <c r="W2557" s="36">
        <f>(W2555*6.25/100)</f>
        <v>126675</v>
      </c>
      <c r="X2557" s="28">
        <v>0</v>
      </c>
      <c r="Y2557" s="26">
        <f>(W2557-X2557)</f>
        <v>126675</v>
      </c>
      <c r="Z2557" s="49">
        <v>3.0000000000000001E-3</v>
      </c>
    </row>
    <row r="2558" spans="1:26" s="29" customFormat="1" ht="90.75" customHeight="1" x14ac:dyDescent="0.25">
      <c r="A2558" s="20">
        <v>1370</v>
      </c>
      <c r="B2558" s="20" t="s">
        <v>0</v>
      </c>
      <c r="C2558" s="20">
        <v>10311</v>
      </c>
      <c r="D2558" s="21">
        <v>0</v>
      </c>
      <c r="E2558" s="21">
        <v>1</v>
      </c>
      <c r="F2558" s="22">
        <v>7</v>
      </c>
      <c r="G2558" s="23" t="s">
        <v>211</v>
      </c>
      <c r="H2558" s="36">
        <f>(D2558*400)+(E2558*100)+F2558</f>
        <v>107</v>
      </c>
      <c r="I2558" s="25" t="s">
        <v>23</v>
      </c>
      <c r="J2558" s="65">
        <f>(H2558*I2558)</f>
        <v>107000</v>
      </c>
      <c r="K2558" s="20">
        <v>1</v>
      </c>
      <c r="L2558" s="20" t="s">
        <v>16</v>
      </c>
      <c r="M2558" s="20" t="s">
        <v>13</v>
      </c>
      <c r="N2558" s="20">
        <v>5</v>
      </c>
      <c r="O2558" s="24">
        <v>162</v>
      </c>
      <c r="P2558" s="24">
        <v>100</v>
      </c>
      <c r="Q2558" s="25">
        <v>6450</v>
      </c>
      <c r="R2558" s="24">
        <f>(O2558*Q2558)</f>
        <v>1044900</v>
      </c>
      <c r="S2558" s="20">
        <v>20</v>
      </c>
      <c r="T2558" s="24">
        <f>(R2558*30/100)</f>
        <v>313470</v>
      </c>
      <c r="U2558" s="27">
        <f>(R2558-T2558)</f>
        <v>731430</v>
      </c>
      <c r="V2558" s="27">
        <f>(J2558+U2558)</f>
        <v>838430</v>
      </c>
      <c r="W2558" s="36">
        <f>(V2558*100/100)</f>
        <v>838430</v>
      </c>
      <c r="X2558" s="27"/>
      <c r="Y2558" s="20"/>
      <c r="Z2558" s="20"/>
    </row>
    <row r="2559" spans="1:26" s="29" customFormat="1" ht="90.75" customHeight="1" x14ac:dyDescent="0.25">
      <c r="A2559" s="20"/>
      <c r="B2559" s="20"/>
      <c r="C2559" s="20"/>
      <c r="D2559" s="21"/>
      <c r="E2559" s="21"/>
      <c r="F2559" s="22"/>
      <c r="G2559" s="23"/>
      <c r="H2559" s="24"/>
      <c r="I2559" s="25"/>
      <c r="J2559" s="24"/>
      <c r="K2559" s="20"/>
      <c r="L2559" s="20" t="s">
        <v>42</v>
      </c>
      <c r="M2559" s="20"/>
      <c r="N2559" s="20">
        <v>2</v>
      </c>
      <c r="O2559" s="24">
        <v>97.2</v>
      </c>
      <c r="P2559" s="24"/>
      <c r="Q2559" s="25"/>
      <c r="R2559" s="24"/>
      <c r="S2559" s="20"/>
      <c r="T2559" s="27"/>
      <c r="U2559" s="20"/>
      <c r="V2559" s="20"/>
      <c r="W2559" s="26">
        <f>(W2558*97.2/100)</f>
        <v>814953.96</v>
      </c>
      <c r="X2559" s="24">
        <v>10000000</v>
      </c>
      <c r="Y2559" s="28">
        <v>0</v>
      </c>
      <c r="Z2559" s="49">
        <v>2.0000000000000001E-4</v>
      </c>
    </row>
    <row r="2560" spans="1:26" s="29" customFormat="1" ht="90.75" customHeight="1" x14ac:dyDescent="0.25">
      <c r="A2560" s="20"/>
      <c r="B2560" s="20"/>
      <c r="C2560" s="20"/>
      <c r="D2560" s="21"/>
      <c r="E2560" s="21"/>
      <c r="F2560" s="22"/>
      <c r="G2560" s="23"/>
      <c r="H2560" s="24"/>
      <c r="I2560" s="25"/>
      <c r="J2560" s="24"/>
      <c r="K2560" s="20">
        <v>2</v>
      </c>
      <c r="L2560" s="20" t="s">
        <v>36</v>
      </c>
      <c r="M2560" s="20"/>
      <c r="N2560" s="20">
        <v>3</v>
      </c>
      <c r="O2560" s="24">
        <v>64.8</v>
      </c>
      <c r="P2560" s="24"/>
      <c r="Q2560" s="25"/>
      <c r="R2560" s="24"/>
      <c r="S2560" s="20"/>
      <c r="T2560" s="27"/>
      <c r="U2560" s="20"/>
      <c r="V2560" s="20"/>
      <c r="W2560" s="26">
        <f>(W2558*64.8/100)</f>
        <v>543302.64</v>
      </c>
      <c r="X2560" s="28">
        <v>0</v>
      </c>
      <c r="Y2560" s="26">
        <f>(W2560-X2560)</f>
        <v>543302.64</v>
      </c>
      <c r="Z2560" s="49">
        <v>3.0000000000000001E-3</v>
      </c>
    </row>
    <row r="2561" spans="1:26" s="29" customFormat="1" ht="90.75" customHeight="1" x14ac:dyDescent="0.25">
      <c r="A2561" s="20">
        <v>1371</v>
      </c>
      <c r="B2561" s="20" t="s">
        <v>0</v>
      </c>
      <c r="C2561" s="20">
        <v>43572</v>
      </c>
      <c r="D2561" s="21">
        <v>1</v>
      </c>
      <c r="E2561" s="21">
        <v>0</v>
      </c>
      <c r="F2561" s="22">
        <v>0</v>
      </c>
      <c r="G2561" s="23" t="s">
        <v>211</v>
      </c>
      <c r="H2561" s="36">
        <f>(D2561*400)+(E2561*100)+F2561</f>
        <v>400</v>
      </c>
      <c r="I2561" s="40">
        <v>1000</v>
      </c>
      <c r="J2561" s="28">
        <f t="shared" ref="J2561:J2562" si="491">(H2561*I2561)</f>
        <v>400000</v>
      </c>
      <c r="K2561" s="37"/>
      <c r="L2561" s="31"/>
      <c r="M2561" s="32"/>
      <c r="N2561" s="33"/>
      <c r="O2561" s="34"/>
      <c r="P2561" s="35"/>
      <c r="Q2561" s="36"/>
      <c r="R2561" s="36"/>
      <c r="S2561" s="37"/>
      <c r="T2561" s="28"/>
      <c r="U2561" s="36"/>
      <c r="V2561" s="36"/>
      <c r="W2561" s="36"/>
      <c r="X2561" s="28"/>
      <c r="Y2561" s="28" t="s">
        <v>225</v>
      </c>
      <c r="Z2561" s="20" t="s">
        <v>225</v>
      </c>
    </row>
    <row r="2562" spans="1:26" s="29" customFormat="1" ht="90.75" customHeight="1" x14ac:dyDescent="0.25">
      <c r="A2562" s="20"/>
      <c r="B2562" s="20"/>
      <c r="C2562" s="20"/>
      <c r="D2562" s="21"/>
      <c r="E2562" s="21"/>
      <c r="F2562" s="22"/>
      <c r="G2562" s="23"/>
      <c r="H2562" s="36">
        <v>386.25</v>
      </c>
      <c r="I2562" s="40">
        <v>1000</v>
      </c>
      <c r="J2562" s="28">
        <f t="shared" si="491"/>
        <v>386250</v>
      </c>
      <c r="K2562" s="37"/>
      <c r="L2562" s="31"/>
      <c r="M2562" s="32"/>
      <c r="N2562" s="33"/>
      <c r="O2562" s="34"/>
      <c r="P2562" s="35"/>
      <c r="Q2562" s="36"/>
      <c r="R2562" s="36"/>
      <c r="S2562" s="37"/>
      <c r="T2562" s="28"/>
      <c r="U2562" s="36"/>
      <c r="V2562" s="36"/>
      <c r="W2562" s="36"/>
      <c r="X2562" s="28"/>
      <c r="Y2562" s="28"/>
      <c r="Z2562" s="141"/>
    </row>
    <row r="2563" spans="1:26" s="29" customFormat="1" ht="90.75" customHeight="1" x14ac:dyDescent="0.25">
      <c r="A2563" s="20"/>
      <c r="B2563" s="20"/>
      <c r="C2563" s="20"/>
      <c r="D2563" s="21"/>
      <c r="E2563" s="21"/>
      <c r="F2563" s="22"/>
      <c r="G2563" s="23"/>
      <c r="H2563" s="36"/>
      <c r="I2563" s="40"/>
      <c r="J2563" s="28"/>
      <c r="K2563" s="37">
        <v>1</v>
      </c>
      <c r="L2563" s="31" t="s">
        <v>215</v>
      </c>
      <c r="M2563" s="32" t="s">
        <v>13</v>
      </c>
      <c r="N2563" s="33">
        <v>2</v>
      </c>
      <c r="O2563" s="34">
        <v>135</v>
      </c>
      <c r="P2563" s="35">
        <v>100</v>
      </c>
      <c r="Q2563" s="36">
        <v>6450</v>
      </c>
      <c r="R2563" s="36">
        <f t="shared" ref="R2563:R2568" si="492">(O2563*Q2563)</f>
        <v>870750</v>
      </c>
      <c r="S2563" s="37">
        <v>22</v>
      </c>
      <c r="T2563" s="28">
        <f>(R2563*34/100)</f>
        <v>296055</v>
      </c>
      <c r="U2563" s="36">
        <f>(R2563-T2563)</f>
        <v>574695</v>
      </c>
      <c r="V2563" s="36"/>
      <c r="W2563" s="36"/>
      <c r="X2563" s="28"/>
      <c r="Y2563" s="28"/>
      <c r="Z2563" s="20"/>
    </row>
    <row r="2564" spans="1:26" s="29" customFormat="1" ht="90.75" customHeight="1" x14ac:dyDescent="0.25">
      <c r="A2564" s="20"/>
      <c r="B2564" s="20"/>
      <c r="C2564" s="20"/>
      <c r="D2564" s="21"/>
      <c r="E2564" s="21"/>
      <c r="F2564" s="22"/>
      <c r="G2564" s="23"/>
      <c r="H2564" s="36"/>
      <c r="I2564" s="40"/>
      <c r="J2564" s="28"/>
      <c r="K2564" s="37">
        <v>2</v>
      </c>
      <c r="L2564" s="31" t="s">
        <v>31</v>
      </c>
      <c r="M2564" s="32"/>
      <c r="N2564" s="33">
        <v>2</v>
      </c>
      <c r="O2564" s="34">
        <v>90</v>
      </c>
      <c r="P2564" s="35">
        <v>100</v>
      </c>
      <c r="Q2564" s="36">
        <v>2550</v>
      </c>
      <c r="R2564" s="36">
        <f t="shared" si="492"/>
        <v>229500</v>
      </c>
      <c r="S2564" s="37">
        <v>10</v>
      </c>
      <c r="T2564" s="28">
        <f>(R2564*10/100)</f>
        <v>22950</v>
      </c>
      <c r="U2564" s="36">
        <f t="shared" ref="U2564:U2566" si="493">(R2564-T2564)</f>
        <v>206550</v>
      </c>
      <c r="V2564" s="36"/>
      <c r="W2564" s="36"/>
      <c r="X2564" s="28"/>
      <c r="Y2564" s="28"/>
      <c r="Z2564" s="20"/>
    </row>
    <row r="2565" spans="1:26" s="29" customFormat="1" ht="90.75" customHeight="1" x14ac:dyDescent="0.25">
      <c r="A2565" s="20"/>
      <c r="B2565" s="20"/>
      <c r="C2565" s="20"/>
      <c r="D2565" s="21"/>
      <c r="E2565" s="21"/>
      <c r="F2565" s="22"/>
      <c r="G2565" s="23"/>
      <c r="H2565" s="36"/>
      <c r="I2565" s="40"/>
      <c r="J2565" s="28"/>
      <c r="K2565" s="37">
        <v>3</v>
      </c>
      <c r="L2565" s="31" t="s">
        <v>260</v>
      </c>
      <c r="M2565" s="32" t="s">
        <v>13</v>
      </c>
      <c r="N2565" s="33">
        <v>2</v>
      </c>
      <c r="O2565" s="34">
        <v>72</v>
      </c>
      <c r="P2565" s="35">
        <v>100</v>
      </c>
      <c r="Q2565" s="36">
        <v>5550</v>
      </c>
      <c r="R2565" s="36">
        <f t="shared" si="492"/>
        <v>399600</v>
      </c>
      <c r="S2565" s="37">
        <v>10</v>
      </c>
      <c r="T2565" s="28">
        <f>(R2565*10/100)</f>
        <v>39960</v>
      </c>
      <c r="U2565" s="36">
        <f t="shared" si="493"/>
        <v>359640</v>
      </c>
      <c r="V2565" s="36"/>
      <c r="W2565" s="36"/>
      <c r="X2565" s="28"/>
      <c r="Y2565" s="28"/>
      <c r="Z2565" s="20"/>
    </row>
    <row r="2566" spans="1:26" s="29" customFormat="1" ht="90.75" customHeight="1" x14ac:dyDescent="0.25">
      <c r="A2566" s="20"/>
      <c r="B2566" s="20"/>
      <c r="C2566" s="20"/>
      <c r="D2566" s="21"/>
      <c r="E2566" s="21"/>
      <c r="F2566" s="22"/>
      <c r="G2566" s="23"/>
      <c r="H2566" s="36"/>
      <c r="I2566" s="40"/>
      <c r="J2566" s="28"/>
      <c r="K2566" s="37">
        <v>4</v>
      </c>
      <c r="L2566" s="31" t="s">
        <v>17</v>
      </c>
      <c r="M2566" s="32" t="s">
        <v>13</v>
      </c>
      <c r="N2566" s="33"/>
      <c r="O2566" s="34">
        <v>4</v>
      </c>
      <c r="P2566" s="35">
        <v>100</v>
      </c>
      <c r="Q2566" s="36">
        <v>5900</v>
      </c>
      <c r="R2566" s="36">
        <f t="shared" si="492"/>
        <v>23600</v>
      </c>
      <c r="S2566" s="37">
        <v>10</v>
      </c>
      <c r="T2566" s="28">
        <f t="shared" ref="T2566:T2568" si="494">(R2566*10/100)</f>
        <v>2360</v>
      </c>
      <c r="U2566" s="36">
        <f t="shared" si="493"/>
        <v>21240</v>
      </c>
      <c r="V2566" s="36"/>
      <c r="W2566" s="36"/>
      <c r="X2566" s="28"/>
      <c r="Y2566" s="28"/>
      <c r="Z2566" s="20"/>
    </row>
    <row r="2567" spans="1:26" s="29" customFormat="1" ht="90.75" customHeight="1" x14ac:dyDescent="0.25">
      <c r="A2567" s="20"/>
      <c r="B2567" s="20"/>
      <c r="C2567" s="20"/>
      <c r="D2567" s="21"/>
      <c r="E2567" s="21"/>
      <c r="F2567" s="22"/>
      <c r="G2567" s="23"/>
      <c r="H2567" s="36"/>
      <c r="I2567" s="40"/>
      <c r="J2567" s="28"/>
      <c r="K2567" s="37"/>
      <c r="L2567" s="31"/>
      <c r="M2567" s="32"/>
      <c r="N2567" s="33"/>
      <c r="O2567" s="34"/>
      <c r="P2567" s="35"/>
      <c r="Q2567" s="36"/>
      <c r="R2567" s="36"/>
      <c r="S2567" s="37"/>
      <c r="T2567" s="28"/>
      <c r="U2567" s="36">
        <f>SUM(U2563:U2566)</f>
        <v>1162125</v>
      </c>
      <c r="V2567" s="36">
        <f>(J2562+U2567)</f>
        <v>1548375</v>
      </c>
      <c r="W2567" s="36">
        <f>(V2567*100/100)</f>
        <v>1548375</v>
      </c>
      <c r="X2567" s="28">
        <v>50000000</v>
      </c>
      <c r="Y2567" s="28">
        <v>0</v>
      </c>
      <c r="Z2567" s="49">
        <v>2.0000000000000001E-4</v>
      </c>
    </row>
    <row r="2568" spans="1:26" s="29" customFormat="1" ht="90.75" customHeight="1" x14ac:dyDescent="0.25">
      <c r="A2568" s="20"/>
      <c r="B2568" s="20"/>
      <c r="C2568" s="20"/>
      <c r="D2568" s="21"/>
      <c r="E2568" s="21"/>
      <c r="F2568" s="22"/>
      <c r="G2568" s="23"/>
      <c r="H2568" s="36">
        <v>13.75</v>
      </c>
      <c r="I2568" s="40">
        <v>1000</v>
      </c>
      <c r="J2568" s="28">
        <f t="shared" ref="J2568" si="495">(H2568*I2568)</f>
        <v>13750</v>
      </c>
      <c r="K2568" s="37">
        <v>5</v>
      </c>
      <c r="L2568" s="31" t="s">
        <v>31</v>
      </c>
      <c r="M2568" s="32"/>
      <c r="N2568" s="33">
        <v>2</v>
      </c>
      <c r="O2568" s="34">
        <v>55</v>
      </c>
      <c r="P2568" s="35">
        <v>100</v>
      </c>
      <c r="Q2568" s="36">
        <v>2550</v>
      </c>
      <c r="R2568" s="36">
        <f t="shared" si="492"/>
        <v>140250</v>
      </c>
      <c r="S2568" s="37">
        <v>10</v>
      </c>
      <c r="T2568" s="28">
        <f t="shared" si="494"/>
        <v>14025</v>
      </c>
      <c r="U2568" s="36">
        <f>(R2568-T2568)</f>
        <v>126225</v>
      </c>
      <c r="V2568" s="36">
        <f>(J2568+U2568)</f>
        <v>139975</v>
      </c>
      <c r="W2568" s="36">
        <f>(V2568*100/100)</f>
        <v>139975</v>
      </c>
      <c r="X2568" s="28">
        <v>0</v>
      </c>
      <c r="Y2568" s="28">
        <f>(W2568-X2568)</f>
        <v>139975</v>
      </c>
      <c r="Z2568" s="49">
        <v>3.0000000000000001E-3</v>
      </c>
    </row>
    <row r="2569" spans="1:26" s="29" customFormat="1" ht="90.75" customHeight="1" x14ac:dyDescent="0.25">
      <c r="A2569" s="20">
        <v>1372</v>
      </c>
      <c r="B2569" s="20" t="s">
        <v>0</v>
      </c>
      <c r="C2569" s="20">
        <v>10428</v>
      </c>
      <c r="D2569" s="21">
        <v>0</v>
      </c>
      <c r="E2569" s="21">
        <v>2</v>
      </c>
      <c r="F2569" s="22">
        <v>70</v>
      </c>
      <c r="G2569" s="23" t="s">
        <v>211</v>
      </c>
      <c r="H2569" s="36">
        <f>(D2569*400)+(E2569*100)+F2569</f>
        <v>270</v>
      </c>
      <c r="I2569" s="40" t="s">
        <v>78</v>
      </c>
      <c r="J2569" s="65">
        <f>(H2569*I2569)</f>
        <v>236250</v>
      </c>
      <c r="K2569" s="30"/>
      <c r="L2569" s="20"/>
      <c r="M2569" s="35"/>
      <c r="N2569" s="30"/>
      <c r="O2569" s="36"/>
      <c r="P2569" s="86"/>
      <c r="Q2569" s="40"/>
      <c r="R2569" s="84"/>
      <c r="S2569" s="84"/>
      <c r="T2569" s="28"/>
      <c r="U2569" s="84"/>
      <c r="V2569" s="36"/>
      <c r="W2569" s="36"/>
      <c r="X2569" s="28"/>
      <c r="Y2569" s="26"/>
      <c r="Z2569" s="53"/>
    </row>
    <row r="2570" spans="1:26" s="29" customFormat="1" ht="90.75" customHeight="1" x14ac:dyDescent="0.25">
      <c r="A2570" s="20"/>
      <c r="B2570" s="20"/>
      <c r="C2570" s="20"/>
      <c r="D2570" s="21"/>
      <c r="E2570" s="21"/>
      <c r="F2570" s="22"/>
      <c r="G2570" s="23"/>
      <c r="H2570" s="36">
        <f>(O2570*0.25)</f>
        <v>28.125</v>
      </c>
      <c r="I2570" s="40">
        <v>875</v>
      </c>
      <c r="J2570" s="28">
        <f t="shared" ref="J2570:J2573" si="496">(H2570*I2570)</f>
        <v>24609.375</v>
      </c>
      <c r="K2570" s="37">
        <v>1</v>
      </c>
      <c r="L2570" s="31" t="s">
        <v>215</v>
      </c>
      <c r="M2570" s="32"/>
      <c r="N2570" s="33">
        <v>2</v>
      </c>
      <c r="O2570" s="82">
        <v>112.5</v>
      </c>
      <c r="P2570" s="86">
        <v>100</v>
      </c>
      <c r="Q2570" s="36">
        <v>6450</v>
      </c>
      <c r="R2570" s="36">
        <f>(O2570*Q2570)</f>
        <v>725625</v>
      </c>
      <c r="S2570" s="37">
        <v>32</v>
      </c>
      <c r="T2570" s="28">
        <f>(R2570*93/100)</f>
        <v>674831.25</v>
      </c>
      <c r="U2570" s="36">
        <f>(R2570-T2570)</f>
        <v>50793.75</v>
      </c>
      <c r="V2570" s="36">
        <f>(J2570+U2570)</f>
        <v>75403.125</v>
      </c>
      <c r="W2570" s="36">
        <f>(V2570*100/100)</f>
        <v>75403.125</v>
      </c>
      <c r="X2570" s="28">
        <v>10000000</v>
      </c>
      <c r="Y2570" s="28">
        <v>0</v>
      </c>
      <c r="Z2570" s="49">
        <v>2.0000000000000001E-4</v>
      </c>
    </row>
    <row r="2571" spans="1:26" s="29" customFormat="1" ht="90.75" customHeight="1" x14ac:dyDescent="0.25">
      <c r="A2571" s="20"/>
      <c r="B2571" s="20"/>
      <c r="C2571" s="20"/>
      <c r="D2571" s="21"/>
      <c r="E2571" s="21"/>
      <c r="F2571" s="22"/>
      <c r="G2571" s="23"/>
      <c r="H2571" s="36">
        <f>(O2571*0.25)</f>
        <v>3.125</v>
      </c>
      <c r="I2571" s="40">
        <v>875</v>
      </c>
      <c r="J2571" s="28">
        <f t="shared" si="496"/>
        <v>2734.375</v>
      </c>
      <c r="K2571" s="37">
        <v>2</v>
      </c>
      <c r="L2571" s="31" t="s">
        <v>61</v>
      </c>
      <c r="M2571" s="32"/>
      <c r="N2571" s="33">
        <v>3</v>
      </c>
      <c r="O2571" s="82">
        <v>12.5</v>
      </c>
      <c r="P2571" s="86">
        <v>100</v>
      </c>
      <c r="Q2571" s="36">
        <v>5550</v>
      </c>
      <c r="R2571" s="36">
        <f>(O2571*Q2571)</f>
        <v>69375</v>
      </c>
      <c r="S2571" s="37">
        <v>17</v>
      </c>
      <c r="T2571" s="28">
        <f>(R2571*79/100)</f>
        <v>54806.25</v>
      </c>
      <c r="U2571" s="36">
        <f>(R2571-T2571)</f>
        <v>14568.75</v>
      </c>
      <c r="V2571" s="36">
        <f>(J2571+U2571)</f>
        <v>17303.125</v>
      </c>
      <c r="W2571" s="36">
        <f>(V2571*100/100)</f>
        <v>17303.125</v>
      </c>
      <c r="X2571" s="28">
        <v>0</v>
      </c>
      <c r="Y2571" s="28">
        <f>(W2571-X2571)</f>
        <v>17303.125</v>
      </c>
      <c r="Z2571" s="49">
        <v>3.0000000000000001E-3</v>
      </c>
    </row>
    <row r="2572" spans="1:26" s="29" customFormat="1" ht="90.75" customHeight="1" x14ac:dyDescent="0.25">
      <c r="A2572" s="20">
        <v>1373</v>
      </c>
      <c r="B2572" s="20" t="s">
        <v>0</v>
      </c>
      <c r="C2572" s="20">
        <v>21309</v>
      </c>
      <c r="D2572" s="21">
        <v>0</v>
      </c>
      <c r="E2572" s="21">
        <v>0</v>
      </c>
      <c r="F2572" s="22">
        <v>90</v>
      </c>
      <c r="G2572" s="23" t="s">
        <v>211</v>
      </c>
      <c r="H2572" s="36">
        <f t="shared" ref="H2572" si="497">(D2572*400)+(E2572*100)+F2572</f>
        <v>90</v>
      </c>
      <c r="I2572" s="40">
        <v>725</v>
      </c>
      <c r="J2572" s="65">
        <f t="shared" si="496"/>
        <v>65250</v>
      </c>
      <c r="K2572" s="30"/>
      <c r="L2572" s="20"/>
      <c r="M2572" s="35"/>
      <c r="N2572" s="30"/>
      <c r="O2572" s="36"/>
      <c r="P2572" s="86"/>
      <c r="Q2572" s="40"/>
      <c r="R2572" s="84"/>
      <c r="S2572" s="84"/>
      <c r="T2572" s="28"/>
      <c r="U2572" s="84"/>
      <c r="V2572" s="36"/>
      <c r="W2572" s="36"/>
      <c r="X2572" s="28"/>
      <c r="Y2572" s="26"/>
      <c r="Z2572" s="53"/>
    </row>
    <row r="2573" spans="1:26" s="29" customFormat="1" ht="90.75" customHeight="1" x14ac:dyDescent="0.25">
      <c r="A2573" s="20"/>
      <c r="B2573" s="20"/>
      <c r="C2573" s="20"/>
      <c r="D2573" s="21"/>
      <c r="E2573" s="21"/>
      <c r="F2573" s="22"/>
      <c r="G2573" s="23"/>
      <c r="H2573" s="36">
        <v>76</v>
      </c>
      <c r="I2573" s="40">
        <v>725</v>
      </c>
      <c r="J2573" s="28">
        <f t="shared" si="496"/>
        <v>55100</v>
      </c>
      <c r="K2573" s="30">
        <v>1</v>
      </c>
      <c r="L2573" s="31" t="s">
        <v>215</v>
      </c>
      <c r="M2573" s="32" t="s">
        <v>13</v>
      </c>
      <c r="N2573" s="33"/>
      <c r="O2573" s="34">
        <v>187</v>
      </c>
      <c r="P2573" s="35">
        <v>100</v>
      </c>
      <c r="Q2573" s="36">
        <v>6450</v>
      </c>
      <c r="R2573" s="36">
        <f>(O2573*Q2573)</f>
        <v>1206150</v>
      </c>
      <c r="S2573" s="37">
        <v>7</v>
      </c>
      <c r="T2573" s="28">
        <f>(R2573*7/100)</f>
        <v>84430.5</v>
      </c>
      <c r="U2573" s="36">
        <f>(R2573-T2573)</f>
        <v>1121719.5</v>
      </c>
      <c r="V2573" s="36">
        <f>(J2573+U2573)</f>
        <v>1176819.5</v>
      </c>
      <c r="W2573" s="36">
        <f>(V2573*100/100)</f>
        <v>1176819.5</v>
      </c>
      <c r="X2573" s="28"/>
      <c r="Y2573" s="28"/>
      <c r="Z2573" s="20"/>
    </row>
    <row r="2574" spans="1:26" s="29" customFormat="1" ht="90.75" customHeight="1" x14ac:dyDescent="0.25">
      <c r="A2574" s="20"/>
      <c r="B2574" s="20"/>
      <c r="C2574" s="20"/>
      <c r="D2574" s="21"/>
      <c r="E2574" s="21"/>
      <c r="F2574" s="22"/>
      <c r="G2574" s="23"/>
      <c r="H2574" s="36"/>
      <c r="I2574" s="40"/>
      <c r="J2574" s="28"/>
      <c r="K2574" s="30"/>
      <c r="L2574" s="31" t="s">
        <v>69</v>
      </c>
      <c r="M2574" s="32"/>
      <c r="N2574" s="33"/>
      <c r="O2574" s="34">
        <v>143</v>
      </c>
      <c r="P2574" s="35">
        <v>76.47</v>
      </c>
      <c r="Q2574" s="36"/>
      <c r="R2574" s="36"/>
      <c r="S2574" s="37"/>
      <c r="T2574" s="28"/>
      <c r="U2574" s="36"/>
      <c r="V2574" s="36"/>
      <c r="W2574" s="36">
        <f>(W2573*76.47/100)</f>
        <v>899913.87164999987</v>
      </c>
      <c r="X2574" s="28">
        <v>50000000</v>
      </c>
      <c r="Y2574" s="28">
        <v>0</v>
      </c>
      <c r="Z2574" s="49">
        <v>2.0000000000000001E-4</v>
      </c>
    </row>
    <row r="2575" spans="1:26" s="29" customFormat="1" ht="90.75" customHeight="1" x14ac:dyDescent="0.25">
      <c r="A2575" s="20"/>
      <c r="B2575" s="20"/>
      <c r="C2575" s="20"/>
      <c r="D2575" s="21"/>
      <c r="E2575" s="21"/>
      <c r="F2575" s="22"/>
      <c r="G2575" s="23"/>
      <c r="H2575" s="36"/>
      <c r="I2575" s="40"/>
      <c r="J2575" s="28"/>
      <c r="K2575" s="30"/>
      <c r="L2575" s="31" t="s">
        <v>36</v>
      </c>
      <c r="M2575" s="32"/>
      <c r="N2575" s="33"/>
      <c r="O2575" s="34">
        <v>44</v>
      </c>
      <c r="P2575" s="35">
        <v>23.53</v>
      </c>
      <c r="Q2575" s="36"/>
      <c r="R2575" s="36"/>
      <c r="S2575" s="37"/>
      <c r="T2575" s="28"/>
      <c r="U2575" s="36"/>
      <c r="V2575" s="36"/>
      <c r="W2575" s="36">
        <f>(W2573*23.55/100)</f>
        <v>277140.99225000001</v>
      </c>
      <c r="X2575" s="28">
        <v>0</v>
      </c>
      <c r="Y2575" s="28">
        <f>(W2575-X2575)</f>
        <v>277140.99225000001</v>
      </c>
      <c r="Z2575" s="49">
        <v>3.0000000000000001E-3</v>
      </c>
    </row>
    <row r="2576" spans="1:26" s="29" customFormat="1" ht="90.75" customHeight="1" x14ac:dyDescent="0.25">
      <c r="A2576" s="20">
        <v>1374</v>
      </c>
      <c r="B2576" s="20" t="s">
        <v>0</v>
      </c>
      <c r="C2576" s="20">
        <v>44350</v>
      </c>
      <c r="D2576" s="21">
        <v>0</v>
      </c>
      <c r="E2576" s="21">
        <v>3</v>
      </c>
      <c r="F2576" s="22">
        <v>7</v>
      </c>
      <c r="G2576" s="23" t="s">
        <v>56</v>
      </c>
      <c r="H2576" s="36">
        <f t="shared" ref="H2576" si="498">(D2576*400)+(E2576*100)+F2576</f>
        <v>307</v>
      </c>
      <c r="I2576" s="40" t="s">
        <v>119</v>
      </c>
      <c r="J2576" s="65">
        <f>(H2576*I2576)</f>
        <v>399100</v>
      </c>
      <c r="K2576" s="33"/>
      <c r="L2576" s="31"/>
      <c r="M2576" s="112"/>
      <c r="N2576" s="30"/>
      <c r="O2576" s="90"/>
      <c r="P2576" s="82"/>
      <c r="Q2576" s="83"/>
      <c r="R2576" s="33"/>
      <c r="S2576" s="33"/>
      <c r="T2576" s="89"/>
      <c r="U2576" s="33"/>
      <c r="V2576" s="90"/>
      <c r="W2576" s="90"/>
      <c r="X2576" s="89"/>
      <c r="Y2576" s="48"/>
      <c r="Z2576" s="53"/>
    </row>
    <row r="2577" spans="1:26" s="29" customFormat="1" ht="90.75" customHeight="1" x14ac:dyDescent="0.25">
      <c r="A2577" s="20"/>
      <c r="B2577" s="20"/>
      <c r="C2577" s="20"/>
      <c r="D2577" s="21"/>
      <c r="E2577" s="21"/>
      <c r="F2577" s="22"/>
      <c r="G2577" s="23"/>
      <c r="H2577" s="77">
        <v>291.95</v>
      </c>
      <c r="I2577" s="40">
        <v>1300</v>
      </c>
      <c r="J2577" s="65">
        <f t="shared" ref="J2577:J2579" si="499">(H2577*I2577)</f>
        <v>379535</v>
      </c>
      <c r="K2577" s="37">
        <v>1</v>
      </c>
      <c r="L2577" s="20" t="s">
        <v>215</v>
      </c>
      <c r="M2577" s="37" t="s">
        <v>13</v>
      </c>
      <c r="N2577" s="30">
        <v>2</v>
      </c>
      <c r="O2577" s="77">
        <v>75.900000000000006</v>
      </c>
      <c r="P2577" s="35">
        <v>100</v>
      </c>
      <c r="Q2577" s="77">
        <v>6450</v>
      </c>
      <c r="R2577" s="77">
        <f>(O2577*Q2577)</f>
        <v>489555.00000000006</v>
      </c>
      <c r="S2577" s="37">
        <v>3</v>
      </c>
      <c r="T2577" s="28">
        <f>(R2577*3/100)</f>
        <v>14686.650000000001</v>
      </c>
      <c r="U2577" s="77">
        <f>(R2577-T2577)</f>
        <v>474868.35000000003</v>
      </c>
      <c r="V2577" s="77">
        <f>(J2577+U2577)</f>
        <v>854403.35000000009</v>
      </c>
      <c r="W2577" s="77">
        <f>(V2577*100/100)</f>
        <v>854403.35000000009</v>
      </c>
      <c r="X2577" s="28">
        <v>10000000</v>
      </c>
      <c r="Y2577" s="28">
        <v>0</v>
      </c>
      <c r="Z2577" s="49">
        <v>2.0000000000000001E-4</v>
      </c>
    </row>
    <row r="2578" spans="1:26" s="29" customFormat="1" ht="90.75" customHeight="1" x14ac:dyDescent="0.25">
      <c r="A2578" s="20"/>
      <c r="B2578" s="20"/>
      <c r="C2578" s="20"/>
      <c r="D2578" s="21"/>
      <c r="E2578" s="21"/>
      <c r="F2578" s="22"/>
      <c r="G2578" s="23"/>
      <c r="H2578" s="77">
        <v>5.05</v>
      </c>
      <c r="I2578" s="40">
        <v>1300</v>
      </c>
      <c r="J2578" s="65">
        <f t="shared" si="499"/>
        <v>6565</v>
      </c>
      <c r="K2578" s="37">
        <v>2</v>
      </c>
      <c r="L2578" s="20" t="s">
        <v>43</v>
      </c>
      <c r="M2578" s="37" t="s">
        <v>13</v>
      </c>
      <c r="N2578" s="30">
        <v>3</v>
      </c>
      <c r="O2578" s="77">
        <v>20.2</v>
      </c>
      <c r="P2578" s="35">
        <v>100</v>
      </c>
      <c r="Q2578" s="77">
        <v>7700</v>
      </c>
      <c r="R2578" s="77">
        <f t="shared" ref="R2578:R2584" si="500">(O2578*Q2578)</f>
        <v>155540</v>
      </c>
      <c r="S2578" s="37">
        <v>5</v>
      </c>
      <c r="T2578" s="28">
        <f>(R2578*5/100)</f>
        <v>7777</v>
      </c>
      <c r="U2578" s="77">
        <f t="shared" ref="U2578:U2579" si="501">(R2578-T2578)</f>
        <v>147763</v>
      </c>
      <c r="V2578" s="77">
        <f t="shared" ref="V2578:V2579" si="502">(J2578+U2578)</f>
        <v>154328</v>
      </c>
      <c r="W2578" s="77">
        <f>(V2578*100/100)</f>
        <v>154328</v>
      </c>
      <c r="X2578" s="28">
        <v>0</v>
      </c>
      <c r="Y2578" s="28">
        <f>(W2578-X2578)</f>
        <v>154328</v>
      </c>
      <c r="Z2578" s="49">
        <v>2.0000000000000001E-4</v>
      </c>
    </row>
    <row r="2579" spans="1:26" s="29" customFormat="1" ht="90.75" customHeight="1" x14ac:dyDescent="0.25">
      <c r="A2579" s="20"/>
      <c r="B2579" s="20"/>
      <c r="C2579" s="20"/>
      <c r="D2579" s="21"/>
      <c r="E2579" s="21"/>
      <c r="F2579" s="22"/>
      <c r="G2579" s="23"/>
      <c r="H2579" s="119">
        <v>10</v>
      </c>
      <c r="I2579" s="104">
        <v>1300</v>
      </c>
      <c r="J2579" s="65">
        <f t="shared" si="499"/>
        <v>13000</v>
      </c>
      <c r="K2579" s="106">
        <v>3</v>
      </c>
      <c r="L2579" s="20" t="s">
        <v>31</v>
      </c>
      <c r="M2579" s="37"/>
      <c r="N2579" s="30">
        <v>3</v>
      </c>
      <c r="O2579" s="77">
        <v>40</v>
      </c>
      <c r="P2579" s="35">
        <v>100</v>
      </c>
      <c r="Q2579" s="77">
        <v>2550</v>
      </c>
      <c r="R2579" s="77">
        <f t="shared" si="500"/>
        <v>102000</v>
      </c>
      <c r="S2579" s="37">
        <v>5</v>
      </c>
      <c r="T2579" s="28">
        <f>(R2579*5/100)</f>
        <v>5100</v>
      </c>
      <c r="U2579" s="77">
        <f t="shared" si="501"/>
        <v>96900</v>
      </c>
      <c r="V2579" s="77">
        <f t="shared" si="502"/>
        <v>109900</v>
      </c>
      <c r="W2579" s="77">
        <f t="shared" ref="W2579" si="503">(V2579*100/100)</f>
        <v>109900</v>
      </c>
      <c r="X2579" s="28">
        <v>0</v>
      </c>
      <c r="Y2579" s="28">
        <f>(W2579-X2579)</f>
        <v>109900</v>
      </c>
      <c r="Z2579" s="49">
        <v>2.0000000000000001E-4</v>
      </c>
    </row>
    <row r="2580" spans="1:26" s="29" customFormat="1" ht="90.75" customHeight="1" x14ac:dyDescent="0.25">
      <c r="A2580" s="20">
        <v>1375</v>
      </c>
      <c r="B2580" s="20" t="s">
        <v>0</v>
      </c>
      <c r="C2580" s="20">
        <v>8217</v>
      </c>
      <c r="D2580" s="21">
        <v>36</v>
      </c>
      <c r="E2580" s="21">
        <v>0</v>
      </c>
      <c r="F2580" s="22">
        <v>14</v>
      </c>
      <c r="G2580" s="23" t="s">
        <v>211</v>
      </c>
      <c r="H2580" s="36">
        <f t="shared" ref="H2580" si="504">(D2580*400)+(E2580*100)+F2580</f>
        <v>14414</v>
      </c>
      <c r="I2580" s="25" t="s">
        <v>117</v>
      </c>
      <c r="J2580" s="65">
        <f>(H2580*I2580)</f>
        <v>13332950</v>
      </c>
      <c r="K2580" s="20"/>
      <c r="L2580" s="20"/>
      <c r="M2580" s="20"/>
      <c r="N2580" s="20"/>
      <c r="O2580" s="24"/>
      <c r="P2580" s="24"/>
      <c r="Q2580" s="25"/>
      <c r="R2580" s="77"/>
      <c r="S2580" s="20"/>
      <c r="T2580" s="27"/>
      <c r="U2580" s="20"/>
      <c r="V2580" s="20"/>
      <c r="W2580" s="26"/>
      <c r="X2580" s="27"/>
      <c r="Y2580" s="20"/>
      <c r="Z2580" s="20"/>
    </row>
    <row r="2581" spans="1:26" s="29" customFormat="1" ht="90.75" customHeight="1" x14ac:dyDescent="0.25">
      <c r="A2581" s="20"/>
      <c r="B2581" s="20"/>
      <c r="C2581" s="20"/>
      <c r="D2581" s="21"/>
      <c r="E2581" s="21"/>
      <c r="F2581" s="22"/>
      <c r="G2581" s="23"/>
      <c r="H2581" s="36">
        <v>71</v>
      </c>
      <c r="I2581" s="25">
        <v>925</v>
      </c>
      <c r="J2581" s="65">
        <f>(H2581*I2581)</f>
        <v>65675</v>
      </c>
      <c r="K2581" s="20">
        <v>1</v>
      </c>
      <c r="L2581" s="20" t="s">
        <v>16</v>
      </c>
      <c r="M2581" s="20" t="s">
        <v>13</v>
      </c>
      <c r="N2581" s="20">
        <v>5</v>
      </c>
      <c r="O2581" s="24">
        <v>128</v>
      </c>
      <c r="P2581" s="24">
        <v>100</v>
      </c>
      <c r="Q2581" s="25">
        <v>6450</v>
      </c>
      <c r="R2581" s="77">
        <f t="shared" ref="R2581" si="505">(O2581*Q2581)</f>
        <v>825600</v>
      </c>
      <c r="S2581" s="20">
        <v>2</v>
      </c>
      <c r="T2581" s="28">
        <f>(R2581*2/100)</f>
        <v>16512</v>
      </c>
      <c r="U2581" s="77">
        <f t="shared" ref="U2581:U2584" si="506">(R2581-T2581)</f>
        <v>809088</v>
      </c>
      <c r="V2581" s="20"/>
      <c r="W2581" s="26"/>
      <c r="X2581" s="27"/>
      <c r="Y2581" s="20"/>
      <c r="Z2581" s="20"/>
    </row>
    <row r="2582" spans="1:26" s="29" customFormat="1" ht="90.75" customHeight="1" x14ac:dyDescent="0.25">
      <c r="A2582" s="20"/>
      <c r="B2582" s="20"/>
      <c r="C2582" s="20"/>
      <c r="D2582" s="21"/>
      <c r="E2582" s="21"/>
      <c r="F2582" s="22"/>
      <c r="G2582" s="23"/>
      <c r="H2582" s="24"/>
      <c r="I2582" s="25"/>
      <c r="J2582" s="24"/>
      <c r="K2582" s="20"/>
      <c r="L2582" s="20" t="s">
        <v>31</v>
      </c>
      <c r="M2582" s="20" t="s">
        <v>13</v>
      </c>
      <c r="N2582" s="20"/>
      <c r="O2582" s="24">
        <v>156</v>
      </c>
      <c r="P2582" s="24">
        <v>100</v>
      </c>
      <c r="Q2582" s="25">
        <v>2550</v>
      </c>
      <c r="R2582" s="77">
        <f t="shared" si="500"/>
        <v>397800</v>
      </c>
      <c r="S2582" s="20">
        <v>2</v>
      </c>
      <c r="T2582" s="28">
        <f t="shared" ref="T2582:T2584" si="507">(R2582*2/100)</f>
        <v>7956</v>
      </c>
      <c r="U2582" s="77">
        <f t="shared" si="506"/>
        <v>389844</v>
      </c>
      <c r="V2582" s="20"/>
      <c r="W2582" s="26"/>
      <c r="X2582" s="27"/>
      <c r="Y2582" s="20"/>
      <c r="Z2582" s="20"/>
    </row>
    <row r="2583" spans="1:26" s="29" customFormat="1" ht="90.75" customHeight="1" x14ac:dyDescent="0.25">
      <c r="A2583" s="20"/>
      <c r="B2583" s="20"/>
      <c r="C2583" s="20"/>
      <c r="D2583" s="21"/>
      <c r="E2583" s="21"/>
      <c r="F2583" s="22"/>
      <c r="G2583" s="23"/>
      <c r="H2583" s="24"/>
      <c r="I2583" s="25"/>
      <c r="J2583" s="24"/>
      <c r="K2583" s="20"/>
      <c r="L2583" s="20"/>
      <c r="M2583" s="20"/>
      <c r="N2583" s="20"/>
      <c r="O2583" s="24"/>
      <c r="P2583" s="24"/>
      <c r="Q2583" s="25"/>
      <c r="R2583" s="77"/>
      <c r="S2583" s="20"/>
      <c r="T2583" s="28"/>
      <c r="U2583" s="77">
        <f>SUM(U2581:U2582)</f>
        <v>1198932</v>
      </c>
      <c r="V2583" s="27">
        <f>(J2581+U2583)</f>
        <v>1264607</v>
      </c>
      <c r="W2583" s="26">
        <f>(V2583*100/100)</f>
        <v>1264607</v>
      </c>
      <c r="X2583" s="24">
        <v>50000000</v>
      </c>
      <c r="Y2583" s="28">
        <v>0</v>
      </c>
      <c r="Z2583" s="49">
        <v>2.0000000000000001E-4</v>
      </c>
    </row>
    <row r="2584" spans="1:26" s="29" customFormat="1" ht="90.75" customHeight="1" x14ac:dyDescent="0.25">
      <c r="A2584" s="20"/>
      <c r="B2584" s="20"/>
      <c r="C2584" s="20"/>
      <c r="D2584" s="21"/>
      <c r="E2584" s="21"/>
      <c r="F2584" s="22"/>
      <c r="G2584" s="23"/>
      <c r="H2584" s="24">
        <v>11.25</v>
      </c>
      <c r="I2584" s="25">
        <v>925</v>
      </c>
      <c r="J2584" s="65">
        <f>(H2584*I2584)</f>
        <v>10406.25</v>
      </c>
      <c r="K2584" s="20"/>
      <c r="L2584" s="20" t="s">
        <v>36</v>
      </c>
      <c r="M2584" s="20" t="s">
        <v>13</v>
      </c>
      <c r="N2584" s="20"/>
      <c r="O2584" s="24">
        <v>44.8</v>
      </c>
      <c r="P2584" s="24">
        <v>100</v>
      </c>
      <c r="Q2584" s="25">
        <v>5550</v>
      </c>
      <c r="R2584" s="77">
        <f t="shared" si="500"/>
        <v>248639.99999999997</v>
      </c>
      <c r="S2584" s="20">
        <v>2</v>
      </c>
      <c r="T2584" s="28">
        <f t="shared" si="507"/>
        <v>4972.7999999999993</v>
      </c>
      <c r="U2584" s="77">
        <f t="shared" si="506"/>
        <v>243667.19999999998</v>
      </c>
      <c r="V2584" s="27">
        <f>(J2584+U2584)</f>
        <v>254073.44999999998</v>
      </c>
      <c r="W2584" s="26">
        <f>(V2584*100/100)</f>
        <v>254073.45</v>
      </c>
      <c r="X2584" s="28">
        <v>0</v>
      </c>
      <c r="Y2584" s="28">
        <f>(W2584-X2584)</f>
        <v>254073.45</v>
      </c>
      <c r="Z2584" s="49">
        <v>3.0000000000000001E-3</v>
      </c>
    </row>
    <row r="2585" spans="1:26" s="29" customFormat="1" ht="90.75" customHeight="1" x14ac:dyDescent="0.25">
      <c r="A2585" s="20">
        <v>1376</v>
      </c>
      <c r="B2585" s="20" t="s">
        <v>0</v>
      </c>
      <c r="C2585" s="20">
        <v>43600</v>
      </c>
      <c r="D2585" s="21">
        <v>0</v>
      </c>
      <c r="E2585" s="21">
        <v>1</v>
      </c>
      <c r="F2585" s="22">
        <v>59</v>
      </c>
      <c r="G2585" s="23" t="s">
        <v>211</v>
      </c>
      <c r="H2585" s="36">
        <f t="shared" ref="H2585:H2588" si="508">(D2585*400)+(E2585*100)+F2585</f>
        <v>159</v>
      </c>
      <c r="I2585" s="40" t="s">
        <v>78</v>
      </c>
      <c r="J2585" s="65">
        <f t="shared" ref="J2585:J2588" si="509">(H2585*I2585)</f>
        <v>139125</v>
      </c>
      <c r="K2585" s="30">
        <v>1</v>
      </c>
      <c r="L2585" s="31" t="s">
        <v>215</v>
      </c>
      <c r="M2585" s="32" t="s">
        <v>13</v>
      </c>
      <c r="N2585" s="33">
        <v>2</v>
      </c>
      <c r="O2585" s="34">
        <v>275.75</v>
      </c>
      <c r="P2585" s="35">
        <v>100</v>
      </c>
      <c r="Q2585" s="36">
        <v>6450</v>
      </c>
      <c r="R2585" s="36">
        <f>(O2585*Q2585)</f>
        <v>1778587.5</v>
      </c>
      <c r="S2585" s="37">
        <v>22</v>
      </c>
      <c r="T2585" s="28">
        <f>(R2585*34/100)</f>
        <v>604719.75</v>
      </c>
      <c r="U2585" s="36">
        <f>(R2585-T2585)</f>
        <v>1173867.75</v>
      </c>
      <c r="V2585" s="36">
        <f t="shared" ref="V2585" si="510">(J2585+U2585)</f>
        <v>1312992.75</v>
      </c>
      <c r="W2585" s="26">
        <f>(V2585*100/100)</f>
        <v>1312992.75</v>
      </c>
      <c r="X2585" s="28"/>
      <c r="Y2585" s="28"/>
      <c r="Z2585" s="20"/>
    </row>
    <row r="2586" spans="1:26" s="29" customFormat="1" ht="90.75" customHeight="1" x14ac:dyDescent="0.25">
      <c r="A2586" s="20"/>
      <c r="B2586" s="20"/>
      <c r="C2586" s="20"/>
      <c r="D2586" s="21"/>
      <c r="E2586" s="21"/>
      <c r="F2586" s="22"/>
      <c r="G2586" s="23"/>
      <c r="H2586" s="36"/>
      <c r="I2586" s="40"/>
      <c r="J2586" s="65"/>
      <c r="K2586" s="30"/>
      <c r="L2586" s="31"/>
      <c r="M2586" s="32"/>
      <c r="N2586" s="33"/>
      <c r="O2586" s="34">
        <v>255.75</v>
      </c>
      <c r="P2586" s="35">
        <v>92.75</v>
      </c>
      <c r="Q2586" s="36"/>
      <c r="R2586" s="36"/>
      <c r="S2586" s="37"/>
      <c r="T2586" s="28"/>
      <c r="U2586" s="36"/>
      <c r="V2586" s="36"/>
      <c r="W2586" s="36">
        <f>(W2585*92.75/100)</f>
        <v>1217800.775625</v>
      </c>
      <c r="X2586" s="28">
        <v>50000000</v>
      </c>
      <c r="Y2586" s="28">
        <v>0</v>
      </c>
      <c r="Z2586" s="49">
        <v>2.0000000000000001E-4</v>
      </c>
    </row>
    <row r="2587" spans="1:26" s="29" customFormat="1" ht="90.75" customHeight="1" x14ac:dyDescent="0.25">
      <c r="A2587" s="20"/>
      <c r="B2587" s="20"/>
      <c r="C2587" s="20"/>
      <c r="D2587" s="21"/>
      <c r="E2587" s="21"/>
      <c r="F2587" s="22"/>
      <c r="G2587" s="23"/>
      <c r="H2587" s="36"/>
      <c r="I2587" s="44"/>
      <c r="J2587" s="65"/>
      <c r="K2587" s="30">
        <v>2</v>
      </c>
      <c r="L2587" s="31" t="s">
        <v>61</v>
      </c>
      <c r="M2587" s="32"/>
      <c r="N2587" s="33">
        <v>3</v>
      </c>
      <c r="O2587" s="34">
        <v>20</v>
      </c>
      <c r="P2587" s="35">
        <v>7.25</v>
      </c>
      <c r="Q2587" s="36"/>
      <c r="R2587" s="36"/>
      <c r="S2587" s="37"/>
      <c r="T2587" s="28"/>
      <c r="U2587" s="36"/>
      <c r="V2587" s="36"/>
      <c r="W2587" s="36">
        <f>(W2585*7.25/100)</f>
        <v>95191.974375000005</v>
      </c>
      <c r="X2587" s="28">
        <v>0</v>
      </c>
      <c r="Y2587" s="28">
        <f>(W2587-X2587)</f>
        <v>95191.974375000005</v>
      </c>
      <c r="Z2587" s="49">
        <v>3.0000000000000001E-3</v>
      </c>
    </row>
    <row r="2588" spans="1:26" s="29" customFormat="1" ht="90.75" customHeight="1" x14ac:dyDescent="0.25">
      <c r="A2588" s="20">
        <v>1377</v>
      </c>
      <c r="B2588" s="20" t="s">
        <v>0</v>
      </c>
      <c r="C2588" s="20">
        <v>46935</v>
      </c>
      <c r="D2588" s="21">
        <v>1</v>
      </c>
      <c r="E2588" s="21">
        <v>0</v>
      </c>
      <c r="F2588" s="22">
        <v>0</v>
      </c>
      <c r="G2588" s="23" t="s">
        <v>211</v>
      </c>
      <c r="H2588" s="36">
        <f t="shared" si="508"/>
        <v>400</v>
      </c>
      <c r="I2588" s="25">
        <v>1150</v>
      </c>
      <c r="J2588" s="65">
        <f t="shared" si="509"/>
        <v>460000</v>
      </c>
      <c r="K2588" s="20"/>
      <c r="L2588" s="20"/>
      <c r="M2588" s="20"/>
      <c r="N2588" s="20"/>
      <c r="O2588" s="24"/>
      <c r="P2588" s="24"/>
      <c r="Q2588" s="25"/>
      <c r="R2588" s="24"/>
      <c r="S2588" s="20"/>
      <c r="T2588" s="27"/>
      <c r="U2588" s="20"/>
      <c r="V2588" s="20"/>
      <c r="W2588" s="26"/>
      <c r="X2588" s="27"/>
      <c r="Y2588" s="20"/>
      <c r="Z2588" s="20"/>
    </row>
    <row r="2589" spans="1:26" s="29" customFormat="1" ht="90.75" customHeight="1" x14ac:dyDescent="0.25">
      <c r="A2589" s="20"/>
      <c r="B2589" s="20"/>
      <c r="C2589" s="20"/>
      <c r="D2589" s="21"/>
      <c r="E2589" s="21"/>
      <c r="F2589" s="22"/>
      <c r="G2589" s="23"/>
      <c r="H2589" s="24"/>
      <c r="I2589" s="25"/>
      <c r="J2589" s="24"/>
      <c r="K2589" s="20">
        <v>1</v>
      </c>
      <c r="L2589" s="20" t="s">
        <v>16</v>
      </c>
      <c r="M2589" s="20" t="s">
        <v>13</v>
      </c>
      <c r="N2589" s="20">
        <v>2</v>
      </c>
      <c r="O2589" s="24">
        <v>160.68</v>
      </c>
      <c r="P2589" s="24">
        <v>100</v>
      </c>
      <c r="Q2589" s="36">
        <v>6450</v>
      </c>
      <c r="R2589" s="36">
        <f>(O2589*Q2589)</f>
        <v>1036386</v>
      </c>
      <c r="S2589" s="20">
        <v>2</v>
      </c>
      <c r="T2589" s="24">
        <f>(R2589*2/100)</f>
        <v>20727.72</v>
      </c>
      <c r="U2589" s="78">
        <f>(R2589-T2589)</f>
        <v>1015658.28</v>
      </c>
      <c r="V2589" s="27">
        <f>(J2588+U2589)</f>
        <v>1475658.28</v>
      </c>
      <c r="W2589" s="26">
        <f>(V2589*100/100)</f>
        <v>1475658.28</v>
      </c>
      <c r="X2589" s="27"/>
      <c r="Y2589" s="20"/>
      <c r="Z2589" s="20"/>
    </row>
    <row r="2590" spans="1:26" s="29" customFormat="1" ht="90.75" customHeight="1" x14ac:dyDescent="0.25">
      <c r="A2590" s="20"/>
      <c r="B2590" s="20"/>
      <c r="C2590" s="20"/>
      <c r="D2590" s="21"/>
      <c r="E2590" s="21"/>
      <c r="F2590" s="22"/>
      <c r="G2590" s="23"/>
      <c r="H2590" s="24"/>
      <c r="I2590" s="25"/>
      <c r="J2590" s="24"/>
      <c r="K2590" s="20"/>
      <c r="L2590" s="20"/>
      <c r="M2590" s="20"/>
      <c r="N2590" s="20"/>
      <c r="O2590" s="24">
        <v>148.13999999999999</v>
      </c>
      <c r="P2590" s="24">
        <v>92.2</v>
      </c>
      <c r="Q2590" s="25"/>
      <c r="R2590" s="24"/>
      <c r="S2590" s="20"/>
      <c r="T2590" s="27"/>
      <c r="U2590" s="20"/>
      <c r="V2590" s="20"/>
      <c r="W2590" s="36">
        <f>(W2589*92.2/100)</f>
        <v>1360556.9341600002</v>
      </c>
      <c r="X2590" s="24">
        <v>10000000</v>
      </c>
      <c r="Y2590" s="28">
        <v>0</v>
      </c>
      <c r="Z2590" s="49">
        <v>2.0000000000000001E-4</v>
      </c>
    </row>
    <row r="2591" spans="1:26" s="29" customFormat="1" ht="90.75" customHeight="1" x14ac:dyDescent="0.25">
      <c r="A2591" s="20"/>
      <c r="B2591" s="20"/>
      <c r="C2591" s="20"/>
      <c r="D2591" s="21"/>
      <c r="E2591" s="21"/>
      <c r="F2591" s="22"/>
      <c r="G2591" s="23"/>
      <c r="H2591" s="24"/>
      <c r="I2591" s="25"/>
      <c r="J2591" s="24"/>
      <c r="K2591" s="20"/>
      <c r="L2591" s="20" t="s">
        <v>36</v>
      </c>
      <c r="M2591" s="20"/>
      <c r="N2591" s="20">
        <v>3</v>
      </c>
      <c r="O2591" s="24">
        <v>12.54</v>
      </c>
      <c r="P2591" s="24">
        <v>7.8</v>
      </c>
      <c r="Q2591" s="25"/>
      <c r="R2591" s="24"/>
      <c r="S2591" s="20"/>
      <c r="T2591" s="27"/>
      <c r="U2591" s="20"/>
      <c r="V2591" s="20"/>
      <c r="W2591" s="36">
        <f>(W2589*7.8/100)</f>
        <v>115101.34584000001</v>
      </c>
      <c r="X2591" s="28">
        <v>0</v>
      </c>
      <c r="Y2591" s="28">
        <f>(W2591-X2591)</f>
        <v>115101.34584000001</v>
      </c>
      <c r="Z2591" s="49">
        <v>3.0000000000000001E-3</v>
      </c>
    </row>
    <row r="2592" spans="1:26" s="29" customFormat="1" ht="90.75" customHeight="1" x14ac:dyDescent="0.25">
      <c r="A2592" s="20">
        <v>1378</v>
      </c>
      <c r="B2592" s="20" t="s">
        <v>0</v>
      </c>
      <c r="C2592" s="20">
        <v>13895</v>
      </c>
      <c r="D2592" s="21">
        <v>1</v>
      </c>
      <c r="E2592" s="21">
        <v>2</v>
      </c>
      <c r="F2592" s="22">
        <v>91.3</v>
      </c>
      <c r="G2592" s="23" t="s">
        <v>210</v>
      </c>
      <c r="H2592" s="36">
        <f t="shared" ref="H2592:H2600" si="511">(D2592*400)+(E2592*100)+F2592</f>
        <v>691.3</v>
      </c>
      <c r="I2592" s="25" t="s">
        <v>21</v>
      </c>
      <c r="J2592" s="24">
        <f>(H2592*I2592)</f>
        <v>483909.99999999994</v>
      </c>
      <c r="K2592" s="20"/>
      <c r="L2592" s="20"/>
      <c r="M2592" s="20"/>
      <c r="N2592" s="20"/>
      <c r="O2592" s="24"/>
      <c r="P2592" s="24"/>
      <c r="Q2592" s="25"/>
      <c r="R2592" s="24"/>
      <c r="S2592" s="20"/>
      <c r="T2592" s="27"/>
      <c r="U2592" s="20"/>
      <c r="V2592" s="27">
        <f>(J2592+U2592)</f>
        <v>483909.99999999994</v>
      </c>
      <c r="W2592" s="26">
        <f>(V2592*100/100)</f>
        <v>483909.99999999994</v>
      </c>
      <c r="X2592" s="28">
        <v>0</v>
      </c>
      <c r="Y2592" s="28">
        <f>(W2592-X2592)</f>
        <v>483909.99999999994</v>
      </c>
      <c r="Z2592" s="49">
        <v>3.0000000000000001E-3</v>
      </c>
    </row>
    <row r="2593" spans="1:26" s="29" customFormat="1" ht="90.75" customHeight="1" x14ac:dyDescent="0.25">
      <c r="A2593" s="20">
        <v>1379</v>
      </c>
      <c r="B2593" s="20" t="s">
        <v>0</v>
      </c>
      <c r="C2593" s="20">
        <v>58017</v>
      </c>
      <c r="D2593" s="21">
        <v>0</v>
      </c>
      <c r="E2593" s="21">
        <v>2</v>
      </c>
      <c r="F2593" s="22">
        <v>58.1</v>
      </c>
      <c r="G2593" s="23" t="s">
        <v>210</v>
      </c>
      <c r="H2593" s="36">
        <f t="shared" si="511"/>
        <v>258.10000000000002</v>
      </c>
      <c r="I2593" s="25" t="s">
        <v>9</v>
      </c>
      <c r="J2593" s="24">
        <f t="shared" ref="J2593:J2603" si="512">(H2593*I2593)</f>
        <v>77430</v>
      </c>
      <c r="K2593" s="20"/>
      <c r="L2593" s="20"/>
      <c r="M2593" s="20"/>
      <c r="N2593" s="20"/>
      <c r="O2593" s="24"/>
      <c r="P2593" s="24"/>
      <c r="Q2593" s="25"/>
      <c r="R2593" s="24"/>
      <c r="S2593" s="20"/>
      <c r="T2593" s="27"/>
      <c r="U2593" s="20"/>
      <c r="V2593" s="27">
        <f t="shared" ref="V2593:V2599" si="513">(J2593+U2593)</f>
        <v>77430</v>
      </c>
      <c r="W2593" s="26">
        <f t="shared" ref="W2593:W2599" si="514">(V2593*100/100)</f>
        <v>77430</v>
      </c>
      <c r="X2593" s="28">
        <v>0</v>
      </c>
      <c r="Y2593" s="28">
        <f t="shared" ref="Y2593:Y2599" si="515">(W2593-X2593)</f>
        <v>77430</v>
      </c>
      <c r="Z2593" s="49">
        <v>3.0000000000000001E-3</v>
      </c>
    </row>
    <row r="2594" spans="1:26" s="29" customFormat="1" ht="90.75" customHeight="1" x14ac:dyDescent="0.25">
      <c r="A2594" s="20">
        <v>1380</v>
      </c>
      <c r="B2594" s="20" t="s">
        <v>0</v>
      </c>
      <c r="C2594" s="20">
        <v>61836</v>
      </c>
      <c r="D2594" s="21">
        <v>0</v>
      </c>
      <c r="E2594" s="21">
        <v>1</v>
      </c>
      <c r="F2594" s="22">
        <v>52.7</v>
      </c>
      <c r="G2594" s="23" t="s">
        <v>210</v>
      </c>
      <c r="H2594" s="36">
        <f t="shared" si="511"/>
        <v>152.69999999999999</v>
      </c>
      <c r="I2594" s="25" t="s">
        <v>9</v>
      </c>
      <c r="J2594" s="24">
        <f t="shared" si="512"/>
        <v>45810</v>
      </c>
      <c r="K2594" s="20"/>
      <c r="L2594" s="20"/>
      <c r="M2594" s="20"/>
      <c r="N2594" s="20"/>
      <c r="O2594" s="24"/>
      <c r="P2594" s="24"/>
      <c r="Q2594" s="25"/>
      <c r="R2594" s="24"/>
      <c r="S2594" s="20"/>
      <c r="T2594" s="27"/>
      <c r="U2594" s="20"/>
      <c r="V2594" s="27">
        <f t="shared" si="513"/>
        <v>45810</v>
      </c>
      <c r="W2594" s="26">
        <f t="shared" si="514"/>
        <v>45810</v>
      </c>
      <c r="X2594" s="28">
        <v>0</v>
      </c>
      <c r="Y2594" s="28">
        <f t="shared" si="515"/>
        <v>45810</v>
      </c>
      <c r="Z2594" s="49">
        <v>3.0000000000000001E-3</v>
      </c>
    </row>
    <row r="2595" spans="1:26" s="29" customFormat="1" ht="90.75" customHeight="1" x14ac:dyDescent="0.25">
      <c r="A2595" s="20">
        <v>1381</v>
      </c>
      <c r="B2595" s="20" t="s">
        <v>0</v>
      </c>
      <c r="C2595" s="20">
        <v>63339</v>
      </c>
      <c r="D2595" s="21">
        <v>0</v>
      </c>
      <c r="E2595" s="21">
        <v>3</v>
      </c>
      <c r="F2595" s="22">
        <v>45.4</v>
      </c>
      <c r="G2595" s="23" t="s">
        <v>210</v>
      </c>
      <c r="H2595" s="36">
        <f t="shared" si="511"/>
        <v>345.4</v>
      </c>
      <c r="I2595" s="25" t="s">
        <v>9</v>
      </c>
      <c r="J2595" s="24">
        <f t="shared" si="512"/>
        <v>103620</v>
      </c>
      <c r="K2595" s="20"/>
      <c r="L2595" s="20"/>
      <c r="M2595" s="20"/>
      <c r="N2595" s="20"/>
      <c r="O2595" s="24"/>
      <c r="P2595" s="24"/>
      <c r="Q2595" s="25"/>
      <c r="R2595" s="24"/>
      <c r="S2595" s="20"/>
      <c r="T2595" s="27"/>
      <c r="U2595" s="20"/>
      <c r="V2595" s="27">
        <f t="shared" si="513"/>
        <v>103620</v>
      </c>
      <c r="W2595" s="26">
        <f t="shared" si="514"/>
        <v>103620</v>
      </c>
      <c r="X2595" s="28">
        <v>0</v>
      </c>
      <c r="Y2595" s="28">
        <f t="shared" si="515"/>
        <v>103620</v>
      </c>
      <c r="Z2595" s="49">
        <v>3.0000000000000001E-3</v>
      </c>
    </row>
    <row r="2596" spans="1:26" s="29" customFormat="1" ht="90.75" customHeight="1" x14ac:dyDescent="0.25">
      <c r="A2596" s="20">
        <v>1382</v>
      </c>
      <c r="B2596" s="20" t="s">
        <v>0</v>
      </c>
      <c r="C2596" s="20">
        <v>63340</v>
      </c>
      <c r="D2596" s="21">
        <v>0</v>
      </c>
      <c r="E2596" s="21">
        <v>3</v>
      </c>
      <c r="F2596" s="22">
        <v>45.4</v>
      </c>
      <c r="G2596" s="23" t="s">
        <v>210</v>
      </c>
      <c r="H2596" s="36">
        <f t="shared" si="511"/>
        <v>345.4</v>
      </c>
      <c r="I2596" s="25" t="s">
        <v>9</v>
      </c>
      <c r="J2596" s="24">
        <f t="shared" si="512"/>
        <v>103620</v>
      </c>
      <c r="K2596" s="20"/>
      <c r="L2596" s="20"/>
      <c r="M2596" s="20"/>
      <c r="N2596" s="20"/>
      <c r="O2596" s="24"/>
      <c r="P2596" s="24"/>
      <c r="Q2596" s="25"/>
      <c r="R2596" s="24"/>
      <c r="S2596" s="20"/>
      <c r="T2596" s="27"/>
      <c r="U2596" s="20"/>
      <c r="V2596" s="27">
        <f t="shared" si="513"/>
        <v>103620</v>
      </c>
      <c r="W2596" s="26">
        <f t="shared" si="514"/>
        <v>103620</v>
      </c>
      <c r="X2596" s="28">
        <v>0</v>
      </c>
      <c r="Y2596" s="28">
        <f t="shared" si="515"/>
        <v>103620</v>
      </c>
      <c r="Z2596" s="49">
        <v>3.0000000000000001E-3</v>
      </c>
    </row>
    <row r="2597" spans="1:26" s="29" customFormat="1" ht="90.75" customHeight="1" x14ac:dyDescent="0.25">
      <c r="A2597" s="20">
        <v>1383</v>
      </c>
      <c r="B2597" s="20" t="s">
        <v>0</v>
      </c>
      <c r="C2597" s="20">
        <v>63341</v>
      </c>
      <c r="D2597" s="21">
        <v>0</v>
      </c>
      <c r="E2597" s="21">
        <v>3</v>
      </c>
      <c r="F2597" s="22">
        <v>78.3</v>
      </c>
      <c r="G2597" s="23" t="s">
        <v>210</v>
      </c>
      <c r="H2597" s="36">
        <f t="shared" si="511"/>
        <v>378.3</v>
      </c>
      <c r="I2597" s="25" t="s">
        <v>9</v>
      </c>
      <c r="J2597" s="24">
        <f t="shared" si="512"/>
        <v>113490</v>
      </c>
      <c r="K2597" s="20"/>
      <c r="L2597" s="20"/>
      <c r="M2597" s="20"/>
      <c r="N2597" s="20"/>
      <c r="O2597" s="24"/>
      <c r="P2597" s="24"/>
      <c r="Q2597" s="25"/>
      <c r="R2597" s="24"/>
      <c r="S2597" s="20"/>
      <c r="T2597" s="27"/>
      <c r="U2597" s="20"/>
      <c r="V2597" s="27">
        <f t="shared" si="513"/>
        <v>113490</v>
      </c>
      <c r="W2597" s="26">
        <f t="shared" si="514"/>
        <v>113490</v>
      </c>
      <c r="X2597" s="28">
        <v>0</v>
      </c>
      <c r="Y2597" s="28">
        <f t="shared" si="515"/>
        <v>113490</v>
      </c>
      <c r="Z2597" s="49">
        <v>3.0000000000000001E-3</v>
      </c>
    </row>
    <row r="2598" spans="1:26" s="29" customFormat="1" ht="90.75" customHeight="1" x14ac:dyDescent="0.25">
      <c r="A2598" s="20">
        <v>1384</v>
      </c>
      <c r="B2598" s="20" t="s">
        <v>0</v>
      </c>
      <c r="C2598" s="20">
        <v>63342</v>
      </c>
      <c r="D2598" s="21">
        <v>0</v>
      </c>
      <c r="E2598" s="21">
        <v>3</v>
      </c>
      <c r="F2598" s="22">
        <v>42.3</v>
      </c>
      <c r="G2598" s="23" t="s">
        <v>210</v>
      </c>
      <c r="H2598" s="36">
        <f t="shared" si="511"/>
        <v>342.3</v>
      </c>
      <c r="I2598" s="25" t="s">
        <v>9</v>
      </c>
      <c r="J2598" s="24">
        <f t="shared" si="512"/>
        <v>102690</v>
      </c>
      <c r="K2598" s="20"/>
      <c r="L2598" s="20"/>
      <c r="M2598" s="20"/>
      <c r="N2598" s="20"/>
      <c r="O2598" s="24"/>
      <c r="P2598" s="24"/>
      <c r="Q2598" s="25"/>
      <c r="R2598" s="24"/>
      <c r="S2598" s="20"/>
      <c r="T2598" s="27"/>
      <c r="U2598" s="20"/>
      <c r="V2598" s="27">
        <f t="shared" si="513"/>
        <v>102690</v>
      </c>
      <c r="W2598" s="26">
        <f t="shared" si="514"/>
        <v>102690</v>
      </c>
      <c r="X2598" s="28">
        <v>0</v>
      </c>
      <c r="Y2598" s="28">
        <f t="shared" si="515"/>
        <v>102690</v>
      </c>
      <c r="Z2598" s="49">
        <v>3.0000000000000001E-3</v>
      </c>
    </row>
    <row r="2599" spans="1:26" s="29" customFormat="1" ht="90.75" customHeight="1" x14ac:dyDescent="0.25">
      <c r="A2599" s="20">
        <v>1385</v>
      </c>
      <c r="B2599" s="20" t="s">
        <v>0</v>
      </c>
      <c r="C2599" s="20">
        <v>63344</v>
      </c>
      <c r="D2599" s="21">
        <v>0</v>
      </c>
      <c r="E2599" s="21">
        <v>3</v>
      </c>
      <c r="F2599" s="22">
        <v>54.3</v>
      </c>
      <c r="G2599" s="23" t="s">
        <v>210</v>
      </c>
      <c r="H2599" s="36">
        <f t="shared" si="511"/>
        <v>354.3</v>
      </c>
      <c r="I2599" s="25" t="s">
        <v>9</v>
      </c>
      <c r="J2599" s="24">
        <f t="shared" si="512"/>
        <v>106290</v>
      </c>
      <c r="K2599" s="20"/>
      <c r="L2599" s="20"/>
      <c r="M2599" s="20"/>
      <c r="N2599" s="20"/>
      <c r="O2599" s="24"/>
      <c r="P2599" s="24"/>
      <c r="Q2599" s="25"/>
      <c r="R2599" s="24"/>
      <c r="S2599" s="20"/>
      <c r="T2599" s="27"/>
      <c r="U2599" s="20"/>
      <c r="V2599" s="27">
        <f t="shared" si="513"/>
        <v>106290</v>
      </c>
      <c r="W2599" s="26">
        <f t="shared" si="514"/>
        <v>106290</v>
      </c>
      <c r="X2599" s="28">
        <v>0</v>
      </c>
      <c r="Y2599" s="28">
        <f t="shared" si="515"/>
        <v>106290</v>
      </c>
      <c r="Z2599" s="49">
        <v>3.0000000000000001E-3</v>
      </c>
    </row>
    <row r="2600" spans="1:26" s="29" customFormat="1" ht="90.75" customHeight="1" x14ac:dyDescent="0.25">
      <c r="A2600" s="20">
        <v>1386</v>
      </c>
      <c r="B2600" s="20" t="s">
        <v>0</v>
      </c>
      <c r="C2600" s="20">
        <v>10599</v>
      </c>
      <c r="D2600" s="21">
        <v>2</v>
      </c>
      <c r="E2600" s="21">
        <v>1</v>
      </c>
      <c r="F2600" s="22">
        <v>3</v>
      </c>
      <c r="G2600" s="23" t="s">
        <v>211</v>
      </c>
      <c r="H2600" s="36">
        <f t="shared" si="511"/>
        <v>903</v>
      </c>
      <c r="I2600" s="25" t="s">
        <v>78</v>
      </c>
      <c r="J2600" s="24">
        <f t="shared" si="512"/>
        <v>790125</v>
      </c>
      <c r="K2600" s="20"/>
      <c r="L2600" s="20"/>
      <c r="M2600" s="20"/>
      <c r="N2600" s="20"/>
      <c r="O2600" s="24"/>
      <c r="P2600" s="24"/>
      <c r="Q2600" s="25"/>
      <c r="R2600" s="24"/>
      <c r="S2600" s="20"/>
      <c r="T2600" s="27"/>
      <c r="U2600" s="20"/>
      <c r="V2600" s="20"/>
      <c r="W2600" s="26"/>
      <c r="X2600" s="27"/>
      <c r="Y2600" s="20"/>
      <c r="Z2600" s="20"/>
    </row>
    <row r="2601" spans="1:26" s="29" customFormat="1" ht="90.75" customHeight="1" x14ac:dyDescent="0.25">
      <c r="A2601" s="20"/>
      <c r="B2601" s="20"/>
      <c r="C2601" s="20"/>
      <c r="D2601" s="33">
        <v>1</v>
      </c>
      <c r="E2601" s="33">
        <v>0</v>
      </c>
      <c r="F2601" s="112">
        <v>0</v>
      </c>
      <c r="G2601" s="23" t="s">
        <v>56</v>
      </c>
      <c r="H2601" s="36">
        <f>(D2601*400)+(E2601*100)+F2601</f>
        <v>400</v>
      </c>
      <c r="I2601" s="25" t="s">
        <v>78</v>
      </c>
      <c r="J2601" s="24">
        <f t="shared" si="512"/>
        <v>350000</v>
      </c>
      <c r="K2601" s="37">
        <v>1</v>
      </c>
      <c r="L2601" s="31" t="s">
        <v>43</v>
      </c>
      <c r="M2601" s="32" t="s">
        <v>125</v>
      </c>
      <c r="N2601" s="33">
        <v>2</v>
      </c>
      <c r="O2601" s="34">
        <v>200</v>
      </c>
      <c r="P2601" s="35">
        <v>100</v>
      </c>
      <c r="Q2601" s="36">
        <v>7700</v>
      </c>
      <c r="R2601" s="36">
        <f>(O2601*Q2601)</f>
        <v>1540000</v>
      </c>
      <c r="S2601" s="37">
        <v>17</v>
      </c>
      <c r="T2601" s="28">
        <f>(R2601*24/100)</f>
        <v>369600</v>
      </c>
      <c r="U2601" s="36">
        <f>(R2601-T2601)</f>
        <v>1170400</v>
      </c>
      <c r="V2601" s="36">
        <f>(J2601+U2601)</f>
        <v>1520400</v>
      </c>
      <c r="W2601" s="36">
        <f>(V2601*100/100)</f>
        <v>1520400</v>
      </c>
      <c r="X2601" s="28">
        <v>0</v>
      </c>
      <c r="Y2601" s="28">
        <f>(W2601-X2601)</f>
        <v>1520400</v>
      </c>
      <c r="Z2601" s="49">
        <v>2.0000000000000001E-4</v>
      </c>
    </row>
    <row r="2602" spans="1:26" s="29" customFormat="1" ht="90.75" customHeight="1" x14ac:dyDescent="0.25">
      <c r="A2602" s="20"/>
      <c r="B2602" s="20"/>
      <c r="C2602" s="20"/>
      <c r="D2602" s="33">
        <v>1</v>
      </c>
      <c r="E2602" s="33">
        <v>1</v>
      </c>
      <c r="F2602" s="112">
        <v>3</v>
      </c>
      <c r="G2602" s="23" t="s">
        <v>211</v>
      </c>
      <c r="H2602" s="36">
        <f>(D2602*400)+(E2602*100)+F2602</f>
        <v>503</v>
      </c>
      <c r="I2602" s="25" t="s">
        <v>78</v>
      </c>
      <c r="J2602" s="24">
        <f t="shared" si="512"/>
        <v>440125</v>
      </c>
      <c r="K2602" s="20"/>
      <c r="L2602" s="20"/>
      <c r="M2602" s="20"/>
      <c r="N2602" s="20"/>
      <c r="O2602" s="24"/>
      <c r="P2602" s="24"/>
      <c r="Q2602" s="25"/>
      <c r="R2602" s="36"/>
      <c r="S2602" s="20"/>
      <c r="T2602" s="28"/>
      <c r="U2602" s="36"/>
      <c r="V2602" s="20"/>
      <c r="W2602" s="26"/>
      <c r="X2602" s="27"/>
      <c r="Y2602" s="20"/>
      <c r="Z2602" s="20"/>
    </row>
    <row r="2603" spans="1:26" s="29" customFormat="1" ht="90.75" customHeight="1" x14ac:dyDescent="0.25">
      <c r="A2603" s="20"/>
      <c r="B2603" s="20"/>
      <c r="C2603" s="20"/>
      <c r="D2603" s="33"/>
      <c r="E2603" s="33"/>
      <c r="F2603" s="112"/>
      <c r="G2603" s="23"/>
      <c r="H2603" s="36">
        <v>498.5</v>
      </c>
      <c r="I2603" s="25" t="s">
        <v>78</v>
      </c>
      <c r="J2603" s="24">
        <f t="shared" si="512"/>
        <v>436187.5</v>
      </c>
      <c r="K2603" s="20">
        <v>1</v>
      </c>
      <c r="L2603" s="20" t="s">
        <v>16</v>
      </c>
      <c r="M2603" s="20" t="s">
        <v>13</v>
      </c>
      <c r="N2603" s="20"/>
      <c r="O2603" s="24">
        <v>114</v>
      </c>
      <c r="P2603" s="24">
        <v>100</v>
      </c>
      <c r="Q2603" s="25">
        <v>6450</v>
      </c>
      <c r="R2603" s="36">
        <f t="shared" ref="R2603:R2604" si="516">(O2603*Q2603)</f>
        <v>735300</v>
      </c>
      <c r="S2603" s="20">
        <v>22</v>
      </c>
      <c r="T2603" s="28">
        <f t="shared" ref="T2603:T2604" si="517">(R2603*24/100)</f>
        <v>176472</v>
      </c>
      <c r="U2603" s="36">
        <f t="shared" ref="U2603:U2604" si="518">(R2603-T2603)</f>
        <v>558828</v>
      </c>
      <c r="V2603" s="20"/>
      <c r="W2603" s="26"/>
      <c r="X2603" s="27"/>
      <c r="Y2603" s="20"/>
      <c r="Z2603" s="20"/>
    </row>
    <row r="2604" spans="1:26" s="29" customFormat="1" ht="90.75" customHeight="1" x14ac:dyDescent="0.25">
      <c r="A2604" s="20"/>
      <c r="B2604" s="20"/>
      <c r="C2604" s="20"/>
      <c r="D2604" s="21"/>
      <c r="E2604" s="21"/>
      <c r="F2604" s="22"/>
      <c r="G2604" s="23"/>
      <c r="H2604" s="24"/>
      <c r="I2604" s="25"/>
      <c r="J2604" s="24"/>
      <c r="K2604" s="20">
        <v>2</v>
      </c>
      <c r="L2604" s="20" t="s">
        <v>31</v>
      </c>
      <c r="M2604" s="20" t="s">
        <v>13</v>
      </c>
      <c r="N2604" s="20"/>
      <c r="O2604" s="24">
        <v>69</v>
      </c>
      <c r="P2604" s="24">
        <v>100</v>
      </c>
      <c r="Q2604" s="25">
        <v>2250</v>
      </c>
      <c r="R2604" s="36">
        <f t="shared" si="516"/>
        <v>155250</v>
      </c>
      <c r="S2604" s="20">
        <v>22</v>
      </c>
      <c r="T2604" s="28">
        <f t="shared" si="517"/>
        <v>37260</v>
      </c>
      <c r="U2604" s="36">
        <f t="shared" si="518"/>
        <v>117990</v>
      </c>
      <c r="V2604" s="20"/>
      <c r="W2604" s="26"/>
      <c r="X2604" s="27"/>
      <c r="Y2604" s="20"/>
      <c r="Z2604" s="20"/>
    </row>
    <row r="2605" spans="1:26" s="29" customFormat="1" ht="90.75" customHeight="1" x14ac:dyDescent="0.25">
      <c r="A2605" s="20"/>
      <c r="B2605" s="20"/>
      <c r="C2605" s="20"/>
      <c r="D2605" s="21"/>
      <c r="E2605" s="21"/>
      <c r="F2605" s="22"/>
      <c r="G2605" s="23"/>
      <c r="H2605" s="24"/>
      <c r="I2605" s="25"/>
      <c r="J2605" s="24"/>
      <c r="K2605" s="20"/>
      <c r="L2605" s="20"/>
      <c r="M2605" s="20"/>
      <c r="N2605" s="20"/>
      <c r="O2605" s="24"/>
      <c r="P2605" s="24"/>
      <c r="Q2605" s="25"/>
      <c r="R2605" s="36"/>
      <c r="S2605" s="20"/>
      <c r="T2605" s="28"/>
      <c r="U2605" s="36">
        <f>SUM(U2602:U2604)</f>
        <v>676818</v>
      </c>
      <c r="V2605" s="27">
        <f>(J2602+U2605)</f>
        <v>1116943</v>
      </c>
      <c r="W2605" s="36">
        <f>(V2605*100/100)</f>
        <v>1116943</v>
      </c>
      <c r="X2605" s="24">
        <v>10000000</v>
      </c>
      <c r="Y2605" s="20"/>
      <c r="Z2605" s="20"/>
    </row>
    <row r="2606" spans="1:26" s="29" customFormat="1" ht="90.75" customHeight="1" x14ac:dyDescent="0.25">
      <c r="A2606" s="20"/>
      <c r="B2606" s="20"/>
      <c r="C2606" s="20"/>
      <c r="D2606" s="21"/>
      <c r="E2606" s="21"/>
      <c r="F2606" s="22"/>
      <c r="G2606" s="23"/>
      <c r="H2606" s="24">
        <v>4.5</v>
      </c>
      <c r="I2606" s="25" t="s">
        <v>78</v>
      </c>
      <c r="J2606" s="24">
        <f t="shared" ref="J2606" si="519">(H2606*I2606)</f>
        <v>3937.5</v>
      </c>
      <c r="K2606" s="20">
        <v>3</v>
      </c>
      <c r="L2606" s="20" t="s">
        <v>36</v>
      </c>
      <c r="M2606" s="20" t="s">
        <v>13</v>
      </c>
      <c r="N2606" s="20"/>
      <c r="O2606" s="24">
        <v>9</v>
      </c>
      <c r="P2606" s="24">
        <v>100</v>
      </c>
      <c r="Q2606" s="25">
        <v>5550</v>
      </c>
      <c r="R2606" s="36">
        <f>(O2606*Q2606)</f>
        <v>49950</v>
      </c>
      <c r="S2606" s="20">
        <v>7</v>
      </c>
      <c r="T2606" s="28">
        <f>(R2606*7/100)</f>
        <v>3496.5</v>
      </c>
      <c r="U2606" s="78">
        <f>(R2606-T2606)</f>
        <v>46453.5</v>
      </c>
      <c r="V2606" s="27">
        <f>(J2606+U2606)</f>
        <v>50391</v>
      </c>
      <c r="W2606" s="26">
        <f>(V2606*100/100)</f>
        <v>50391</v>
      </c>
      <c r="X2606" s="28">
        <v>0</v>
      </c>
      <c r="Y2606" s="28">
        <f>(W2606-X2606)</f>
        <v>50391</v>
      </c>
      <c r="Z2606" s="49">
        <v>3.0000000000000001E-3</v>
      </c>
    </row>
    <row r="2607" spans="1:26" s="29" customFormat="1" ht="90.75" customHeight="1" x14ac:dyDescent="0.25">
      <c r="A2607" s="20">
        <v>1387</v>
      </c>
      <c r="B2607" s="20" t="s">
        <v>0</v>
      </c>
      <c r="C2607" s="20">
        <v>47798</v>
      </c>
      <c r="D2607" s="37">
        <v>2</v>
      </c>
      <c r="E2607" s="37">
        <v>0</v>
      </c>
      <c r="F2607" s="37">
        <v>0</v>
      </c>
      <c r="G2607" s="23" t="s">
        <v>211</v>
      </c>
      <c r="H2607" s="36">
        <v>800</v>
      </c>
      <c r="I2607" s="40">
        <v>750</v>
      </c>
      <c r="J2607" s="28">
        <v>600000</v>
      </c>
      <c r="K2607" s="33"/>
      <c r="L2607" s="31"/>
      <c r="M2607" s="112"/>
      <c r="N2607" s="30"/>
      <c r="O2607" s="90"/>
      <c r="P2607" s="82"/>
      <c r="Q2607" s="83"/>
      <c r="R2607" s="33"/>
      <c r="S2607" s="33"/>
      <c r="T2607" s="89"/>
      <c r="U2607" s="33"/>
      <c r="V2607" s="90"/>
      <c r="W2607" s="90"/>
      <c r="X2607" s="89"/>
      <c r="Y2607" s="48"/>
      <c r="Z2607" s="53"/>
    </row>
    <row r="2608" spans="1:26" s="29" customFormat="1" ht="90.75" customHeight="1" x14ac:dyDescent="0.25">
      <c r="A2608" s="20"/>
      <c r="B2608" s="20"/>
      <c r="C2608" s="20"/>
      <c r="D2608" s="37"/>
      <c r="E2608" s="37"/>
      <c r="F2608" s="37"/>
      <c r="G2608" s="21">
        <v>2</v>
      </c>
      <c r="H2608" s="36">
        <v>80.69</v>
      </c>
      <c r="I2608" s="40">
        <v>750</v>
      </c>
      <c r="J2608" s="28">
        <v>60517.5</v>
      </c>
      <c r="K2608" s="33">
        <v>1</v>
      </c>
      <c r="L2608" s="31" t="s">
        <v>215</v>
      </c>
      <c r="M2608" s="112" t="s">
        <v>13</v>
      </c>
      <c r="N2608" s="30">
        <v>2</v>
      </c>
      <c r="O2608" s="90">
        <v>108</v>
      </c>
      <c r="P2608" s="82">
        <v>100</v>
      </c>
      <c r="Q2608" s="90">
        <v>6450</v>
      </c>
      <c r="R2608" s="90">
        <v>696600</v>
      </c>
      <c r="S2608" s="33">
        <v>16</v>
      </c>
      <c r="T2608" s="28">
        <f>(R2608*22/100)</f>
        <v>153252</v>
      </c>
      <c r="U2608" s="90">
        <f>(R2608-T2608)</f>
        <v>543348</v>
      </c>
      <c r="V2608" s="90"/>
      <c r="W2608" s="90"/>
      <c r="X2608" s="89"/>
      <c r="Y2608" s="48"/>
      <c r="Z2608" s="53"/>
    </row>
    <row r="2609" spans="1:26" s="29" customFormat="1" ht="90.75" customHeight="1" x14ac:dyDescent="0.25">
      <c r="A2609" s="20"/>
      <c r="B2609" s="20"/>
      <c r="C2609" s="20"/>
      <c r="D2609" s="37"/>
      <c r="E2609" s="37"/>
      <c r="F2609" s="37"/>
      <c r="G2609" s="21"/>
      <c r="H2609" s="36"/>
      <c r="I2609" s="44"/>
      <c r="J2609" s="65"/>
      <c r="K2609" s="33">
        <v>2</v>
      </c>
      <c r="L2609" s="31" t="s">
        <v>215</v>
      </c>
      <c r="M2609" s="112" t="s">
        <v>13</v>
      </c>
      <c r="N2609" s="30">
        <v>2</v>
      </c>
      <c r="O2609" s="90">
        <v>201.25</v>
      </c>
      <c r="P2609" s="82">
        <v>100</v>
      </c>
      <c r="Q2609" s="90">
        <v>6450</v>
      </c>
      <c r="R2609" s="90">
        <v>1298062.5</v>
      </c>
      <c r="S2609" s="33">
        <v>16</v>
      </c>
      <c r="T2609" s="28">
        <f>(R2609*22/100)</f>
        <v>285573.75</v>
      </c>
      <c r="U2609" s="90">
        <f>(R2609-T2609)</f>
        <v>1012488.75</v>
      </c>
      <c r="V2609" s="90"/>
      <c r="W2609" s="90"/>
      <c r="X2609" s="89"/>
      <c r="Y2609" s="48"/>
      <c r="Z2609" s="53"/>
    </row>
    <row r="2610" spans="1:26" s="29" customFormat="1" ht="90.75" customHeight="1" x14ac:dyDescent="0.25">
      <c r="A2610" s="20"/>
      <c r="B2610" s="20"/>
      <c r="C2610" s="20"/>
      <c r="D2610" s="37"/>
      <c r="E2610" s="37"/>
      <c r="F2610" s="37"/>
      <c r="G2610" s="21"/>
      <c r="H2610" s="36"/>
      <c r="I2610" s="44"/>
      <c r="J2610" s="65"/>
      <c r="K2610" s="33"/>
      <c r="L2610" s="31"/>
      <c r="M2610" s="112"/>
      <c r="N2610" s="30"/>
      <c r="O2610" s="90"/>
      <c r="P2610" s="82"/>
      <c r="Q2610" s="90"/>
      <c r="R2610" s="90"/>
      <c r="S2610" s="33"/>
      <c r="T2610" s="88"/>
      <c r="U2610" s="90">
        <f>SUM(U2608:U2609)</f>
        <v>1555836.75</v>
      </c>
      <c r="V2610" s="90">
        <f>(J2608+U2610)</f>
        <v>1616354.25</v>
      </c>
      <c r="W2610" s="90">
        <f>(V2610*100/100)</f>
        <v>1616354.25</v>
      </c>
      <c r="X2610" s="89">
        <v>10000000</v>
      </c>
      <c r="Y2610" s="48">
        <v>0</v>
      </c>
      <c r="Z2610" s="49"/>
    </row>
    <row r="2611" spans="1:26" s="29" customFormat="1" ht="90.75" customHeight="1" x14ac:dyDescent="0.25">
      <c r="A2611" s="20"/>
      <c r="B2611" s="20"/>
      <c r="C2611" s="20"/>
      <c r="D2611" s="37"/>
      <c r="E2611" s="37"/>
      <c r="F2611" s="37"/>
      <c r="G2611" s="21">
        <v>2</v>
      </c>
      <c r="H2611" s="36">
        <v>45.5</v>
      </c>
      <c r="I2611" s="40">
        <v>750</v>
      </c>
      <c r="J2611" s="28">
        <v>34125</v>
      </c>
      <c r="K2611" s="33">
        <v>4</v>
      </c>
      <c r="L2611" s="31" t="s">
        <v>215</v>
      </c>
      <c r="M2611" s="112" t="s">
        <v>40</v>
      </c>
      <c r="N2611" s="30">
        <v>2</v>
      </c>
      <c r="O2611" s="90">
        <v>96</v>
      </c>
      <c r="P2611" s="82">
        <v>100</v>
      </c>
      <c r="Q2611" s="90">
        <v>6450</v>
      </c>
      <c r="R2611" s="90">
        <v>619200</v>
      </c>
      <c r="S2611" s="33">
        <v>31</v>
      </c>
      <c r="T2611" s="28">
        <f>(R2611*93/100)</f>
        <v>575856</v>
      </c>
      <c r="U2611" s="90">
        <f>(R2611-T2611)</f>
        <v>43344</v>
      </c>
      <c r="V2611" s="90">
        <f>(J2611+U2611)</f>
        <v>77469</v>
      </c>
      <c r="W2611" s="90">
        <f>(V2611*100/100)</f>
        <v>77469</v>
      </c>
      <c r="X2611" s="89">
        <v>50000000</v>
      </c>
      <c r="Y2611" s="48"/>
      <c r="Z2611" s="53"/>
    </row>
    <row r="2612" spans="1:26" s="29" customFormat="1" ht="90.75" customHeight="1" x14ac:dyDescent="0.25">
      <c r="A2612" s="20"/>
      <c r="B2612" s="20"/>
      <c r="C2612" s="20"/>
      <c r="D2612" s="37"/>
      <c r="E2612" s="37"/>
      <c r="F2612" s="37"/>
      <c r="G2612" s="21">
        <v>2</v>
      </c>
      <c r="H2612" s="36">
        <v>12</v>
      </c>
      <c r="I2612" s="40">
        <v>750</v>
      </c>
      <c r="J2612" s="28">
        <v>34125</v>
      </c>
      <c r="K2612" s="33">
        <v>5</v>
      </c>
      <c r="L2612" s="31" t="s">
        <v>215</v>
      </c>
      <c r="M2612" s="112" t="s">
        <v>13</v>
      </c>
      <c r="N2612" s="30">
        <v>2</v>
      </c>
      <c r="O2612" s="90">
        <v>48</v>
      </c>
      <c r="P2612" s="82">
        <v>100</v>
      </c>
      <c r="Q2612" s="90">
        <v>6450</v>
      </c>
      <c r="R2612" s="90">
        <v>309600</v>
      </c>
      <c r="S2612" s="33">
        <v>4</v>
      </c>
      <c r="T2612" s="28">
        <f>(R2612*4/100)</f>
        <v>12384</v>
      </c>
      <c r="U2612" s="90">
        <f>(R2612-T2612)</f>
        <v>297216</v>
      </c>
      <c r="V2612" s="90"/>
      <c r="W2612" s="90"/>
      <c r="X2612" s="89"/>
      <c r="Y2612" s="48"/>
      <c r="Z2612" s="53"/>
    </row>
    <row r="2613" spans="1:26" s="29" customFormat="1" ht="90.75" customHeight="1" x14ac:dyDescent="0.25">
      <c r="A2613" s="20"/>
      <c r="B2613" s="20"/>
      <c r="C2613" s="20"/>
      <c r="D2613" s="37"/>
      <c r="E2613" s="37"/>
      <c r="F2613" s="37"/>
      <c r="G2613" s="21"/>
      <c r="H2613" s="36"/>
      <c r="I2613" s="44"/>
      <c r="J2613" s="65"/>
      <c r="K2613" s="33">
        <v>6</v>
      </c>
      <c r="L2613" s="31" t="s">
        <v>49</v>
      </c>
      <c r="M2613" s="112"/>
      <c r="N2613" s="30">
        <v>2</v>
      </c>
      <c r="O2613" s="90">
        <v>38</v>
      </c>
      <c r="P2613" s="82">
        <v>100</v>
      </c>
      <c r="Q2613" s="90">
        <v>2550</v>
      </c>
      <c r="R2613" s="90">
        <v>96900</v>
      </c>
      <c r="S2613" s="33">
        <v>3</v>
      </c>
      <c r="T2613" s="28">
        <f>(R2613*3/100)</f>
        <v>2907</v>
      </c>
      <c r="U2613" s="90">
        <f>(R2613-T2613)</f>
        <v>93993</v>
      </c>
      <c r="V2613" s="90"/>
      <c r="W2613" s="90"/>
      <c r="X2613" s="89"/>
      <c r="Y2613" s="48"/>
      <c r="Z2613" s="53"/>
    </row>
    <row r="2614" spans="1:26" s="29" customFormat="1" ht="90.75" customHeight="1" x14ac:dyDescent="0.25">
      <c r="A2614" s="20"/>
      <c r="B2614" s="20"/>
      <c r="C2614" s="20"/>
      <c r="D2614" s="37"/>
      <c r="E2614" s="37"/>
      <c r="F2614" s="37"/>
      <c r="G2614" s="21"/>
      <c r="H2614" s="36"/>
      <c r="I2614" s="44"/>
      <c r="J2614" s="65"/>
      <c r="K2614" s="33"/>
      <c r="L2614" s="31"/>
      <c r="M2614" s="112"/>
      <c r="N2614" s="30"/>
      <c r="O2614" s="90"/>
      <c r="P2614" s="82"/>
      <c r="Q2614" s="90"/>
      <c r="R2614" s="90"/>
      <c r="S2614" s="33"/>
      <c r="T2614" s="88"/>
      <c r="U2614" s="90">
        <f>SUM(U2612:U2613)</f>
        <v>391209</v>
      </c>
      <c r="V2614" s="90">
        <f>(J2612+U2614)</f>
        <v>425334</v>
      </c>
      <c r="W2614" s="90">
        <f>(V2614*100/100)</f>
        <v>425334</v>
      </c>
      <c r="X2614" s="89">
        <v>10000000</v>
      </c>
      <c r="Y2614" s="48">
        <v>0</v>
      </c>
      <c r="Z2614" s="49"/>
    </row>
    <row r="2615" spans="1:26" s="29" customFormat="1" ht="90.75" customHeight="1" x14ac:dyDescent="0.25">
      <c r="A2615" s="20"/>
      <c r="B2615" s="20"/>
      <c r="C2615" s="20"/>
      <c r="D2615" s="37"/>
      <c r="E2615" s="37"/>
      <c r="F2615" s="37"/>
      <c r="G2615" s="21">
        <v>3</v>
      </c>
      <c r="H2615" s="36">
        <v>10</v>
      </c>
      <c r="I2615" s="40">
        <v>750</v>
      </c>
      <c r="J2615" s="28">
        <v>7500</v>
      </c>
      <c r="K2615" s="33">
        <v>7</v>
      </c>
      <c r="L2615" s="31" t="s">
        <v>57</v>
      </c>
      <c r="M2615" s="112" t="s">
        <v>13</v>
      </c>
      <c r="N2615" s="30">
        <v>3</v>
      </c>
      <c r="O2615" s="90">
        <v>40</v>
      </c>
      <c r="P2615" s="82">
        <v>100</v>
      </c>
      <c r="Q2615" s="90">
        <v>5550</v>
      </c>
      <c r="R2615" s="90">
        <v>222000</v>
      </c>
      <c r="S2615" s="33">
        <v>4</v>
      </c>
      <c r="T2615" s="28">
        <f>(R2615*4/100)</f>
        <v>8880</v>
      </c>
      <c r="U2615" s="90">
        <f>(R2615-T2615)</f>
        <v>213120</v>
      </c>
      <c r="V2615" s="90">
        <f>(J2615+U2615)</f>
        <v>220620</v>
      </c>
      <c r="W2615" s="90">
        <f>(V2615*100/100)</f>
        <v>220620</v>
      </c>
      <c r="X2615" s="89">
        <v>0</v>
      </c>
      <c r="Y2615" s="48">
        <f>(W2615-X2615)</f>
        <v>220620</v>
      </c>
      <c r="Z2615" s="49">
        <v>3.0000000000000001E-3</v>
      </c>
    </row>
    <row r="2616" spans="1:26" s="29" customFormat="1" ht="90.75" customHeight="1" x14ac:dyDescent="0.25">
      <c r="A2616" s="20">
        <v>1388</v>
      </c>
      <c r="B2616" s="20" t="s">
        <v>0</v>
      </c>
      <c r="C2616" s="20">
        <v>21420</v>
      </c>
      <c r="D2616" s="21">
        <v>1</v>
      </c>
      <c r="E2616" s="21">
        <v>0</v>
      </c>
      <c r="F2616" s="22">
        <v>0</v>
      </c>
      <c r="G2616" s="23" t="s">
        <v>56</v>
      </c>
      <c r="H2616" s="36">
        <f>(D2616*100)+(E2616*100)+F2616</f>
        <v>100</v>
      </c>
      <c r="I2616" s="25" t="s">
        <v>78</v>
      </c>
      <c r="J2616" s="28">
        <f>(H2616*I2616)</f>
        <v>87500</v>
      </c>
      <c r="K2616" s="20">
        <v>1</v>
      </c>
      <c r="L2616" s="20" t="s">
        <v>43</v>
      </c>
      <c r="M2616" s="20" t="s">
        <v>51</v>
      </c>
      <c r="N2616" s="20">
        <v>2</v>
      </c>
      <c r="O2616" s="24">
        <v>144</v>
      </c>
      <c r="P2616" s="24">
        <v>100</v>
      </c>
      <c r="Q2616" s="25">
        <v>7700</v>
      </c>
      <c r="R2616" s="90">
        <f>(O2616*Q2616)</f>
        <v>1108800</v>
      </c>
      <c r="S2616" s="20">
        <v>5</v>
      </c>
      <c r="T2616" s="28">
        <f>(R2616*5/100)</f>
        <v>55440</v>
      </c>
      <c r="U2616" s="78">
        <f>(R2616-T2616)</f>
        <v>1053360</v>
      </c>
      <c r="V2616" s="27">
        <f>(J2616+U2616)</f>
        <v>1140860</v>
      </c>
      <c r="W2616" s="26">
        <f>(V2616*100/100)</f>
        <v>1140860</v>
      </c>
      <c r="X2616" s="89">
        <v>0</v>
      </c>
      <c r="Y2616" s="48">
        <f>(W2616-X2616)</f>
        <v>1140860</v>
      </c>
      <c r="Z2616" s="49">
        <v>2.0000000000000001E-4</v>
      </c>
    </row>
    <row r="2617" spans="1:26" s="29" customFormat="1" ht="90.75" customHeight="1" x14ac:dyDescent="0.25">
      <c r="A2617" s="20">
        <v>1389</v>
      </c>
      <c r="B2617" s="20" t="s">
        <v>0</v>
      </c>
      <c r="C2617" s="20">
        <v>33207</v>
      </c>
      <c r="D2617" s="21">
        <v>2</v>
      </c>
      <c r="E2617" s="21">
        <v>1</v>
      </c>
      <c r="F2617" s="22">
        <v>20</v>
      </c>
      <c r="G2617" s="23" t="s">
        <v>56</v>
      </c>
      <c r="H2617" s="36">
        <f>(D2617*100)+(E2617*100)+F2617</f>
        <v>320</v>
      </c>
      <c r="I2617" s="25">
        <v>750</v>
      </c>
      <c r="J2617" s="28">
        <f>(H2617*I2617)</f>
        <v>240000</v>
      </c>
      <c r="K2617" s="20"/>
      <c r="L2617" s="20"/>
      <c r="M2617" s="20"/>
      <c r="N2617" s="20"/>
      <c r="O2617" s="24"/>
      <c r="P2617" s="24"/>
      <c r="Q2617" s="25"/>
      <c r="R2617" s="90"/>
      <c r="S2617" s="20"/>
      <c r="T2617" s="28"/>
      <c r="U2617" s="78"/>
      <c r="V2617" s="20"/>
      <c r="W2617" s="26"/>
      <c r="X2617" s="27"/>
      <c r="Y2617" s="20"/>
      <c r="Z2617" s="20"/>
    </row>
    <row r="2618" spans="1:26" s="29" customFormat="1" ht="90.75" customHeight="1" x14ac:dyDescent="0.25">
      <c r="A2618" s="20"/>
      <c r="B2618" s="20"/>
      <c r="C2618" s="20"/>
      <c r="D2618" s="21"/>
      <c r="E2618" s="21"/>
      <c r="F2618" s="22"/>
      <c r="G2618" s="23"/>
      <c r="H2618" s="36"/>
      <c r="I2618" s="25"/>
      <c r="J2618" s="28"/>
      <c r="K2618" s="20">
        <v>1</v>
      </c>
      <c r="L2618" s="20" t="s">
        <v>16</v>
      </c>
      <c r="M2618" s="20" t="s">
        <v>13</v>
      </c>
      <c r="N2618" s="20">
        <v>2</v>
      </c>
      <c r="O2618" s="24">
        <v>31.5</v>
      </c>
      <c r="P2618" s="24">
        <v>100</v>
      </c>
      <c r="Q2618" s="25">
        <v>6450</v>
      </c>
      <c r="R2618" s="90">
        <f t="shared" ref="R2618:R2623" si="520">(O2618*Q2618)</f>
        <v>203175</v>
      </c>
      <c r="S2618" s="20">
        <v>7</v>
      </c>
      <c r="T2618" s="28">
        <f>(R2618*7/100)</f>
        <v>14222.25</v>
      </c>
      <c r="U2618" s="78">
        <f>(R2618-T2618)</f>
        <v>188952.75</v>
      </c>
      <c r="V2618" s="20"/>
      <c r="W2618" s="26"/>
      <c r="X2618" s="27"/>
      <c r="Y2618" s="20"/>
      <c r="Z2618" s="20"/>
    </row>
    <row r="2619" spans="1:26" s="29" customFormat="1" ht="90.75" customHeight="1" x14ac:dyDescent="0.25">
      <c r="A2619" s="20"/>
      <c r="B2619" s="20"/>
      <c r="C2619" s="20"/>
      <c r="D2619" s="21"/>
      <c r="E2619" s="21"/>
      <c r="F2619" s="22"/>
      <c r="G2619" s="23"/>
      <c r="H2619" s="24"/>
      <c r="I2619" s="25"/>
      <c r="J2619" s="24"/>
      <c r="K2619" s="20">
        <v>2</v>
      </c>
      <c r="L2619" s="20" t="s">
        <v>43</v>
      </c>
      <c r="M2619" s="20" t="s">
        <v>13</v>
      </c>
      <c r="N2619" s="20">
        <v>2</v>
      </c>
      <c r="O2619" s="24">
        <v>256</v>
      </c>
      <c r="P2619" s="24">
        <v>100</v>
      </c>
      <c r="Q2619" s="25">
        <v>7700</v>
      </c>
      <c r="R2619" s="90">
        <f t="shared" si="520"/>
        <v>1971200</v>
      </c>
      <c r="S2619" s="20">
        <v>7</v>
      </c>
      <c r="T2619" s="28">
        <f t="shared" ref="T2619:T2623" si="521">(R2619*7/100)</f>
        <v>137984</v>
      </c>
      <c r="U2619" s="78">
        <f t="shared" ref="U2619:U2623" si="522">(R2619-T2619)</f>
        <v>1833216</v>
      </c>
      <c r="V2619" s="20"/>
      <c r="W2619" s="26"/>
      <c r="X2619" s="27"/>
      <c r="Y2619" s="20"/>
      <c r="Z2619" s="20"/>
    </row>
    <row r="2620" spans="1:26" s="29" customFormat="1" ht="90.75" customHeight="1" x14ac:dyDescent="0.25">
      <c r="A2620" s="20"/>
      <c r="B2620" s="20"/>
      <c r="C2620" s="20"/>
      <c r="D2620" s="21"/>
      <c r="E2620" s="21"/>
      <c r="F2620" s="22"/>
      <c r="G2620" s="23"/>
      <c r="H2620" s="24"/>
      <c r="I2620" s="25"/>
      <c r="J2620" s="24"/>
      <c r="K2620" s="20">
        <v>3</v>
      </c>
      <c r="L2620" s="20" t="s">
        <v>43</v>
      </c>
      <c r="M2620" s="20" t="s">
        <v>13</v>
      </c>
      <c r="N2620" s="20">
        <v>2</v>
      </c>
      <c r="O2620" s="24">
        <v>256</v>
      </c>
      <c r="P2620" s="24">
        <v>100</v>
      </c>
      <c r="Q2620" s="25">
        <v>7700</v>
      </c>
      <c r="R2620" s="90">
        <f t="shared" si="520"/>
        <v>1971200</v>
      </c>
      <c r="S2620" s="20">
        <v>7</v>
      </c>
      <c r="T2620" s="28">
        <f t="shared" si="521"/>
        <v>137984</v>
      </c>
      <c r="U2620" s="78">
        <f t="shared" si="522"/>
        <v>1833216</v>
      </c>
      <c r="V2620" s="20"/>
      <c r="W2620" s="26"/>
      <c r="X2620" s="27"/>
      <c r="Y2620" s="20"/>
      <c r="Z2620" s="20"/>
    </row>
    <row r="2621" spans="1:26" s="29" customFormat="1" ht="90.75" customHeight="1" x14ac:dyDescent="0.25">
      <c r="A2621" s="20"/>
      <c r="B2621" s="20"/>
      <c r="C2621" s="20"/>
      <c r="D2621" s="21"/>
      <c r="E2621" s="21"/>
      <c r="F2621" s="22"/>
      <c r="G2621" s="23"/>
      <c r="H2621" s="24"/>
      <c r="I2621" s="25"/>
      <c r="J2621" s="24"/>
      <c r="K2621" s="20">
        <v>4</v>
      </c>
      <c r="L2621" s="20" t="s">
        <v>16</v>
      </c>
      <c r="M2621" s="20" t="s">
        <v>13</v>
      </c>
      <c r="N2621" s="20">
        <v>2</v>
      </c>
      <c r="O2621" s="24">
        <v>42</v>
      </c>
      <c r="P2621" s="24">
        <v>100</v>
      </c>
      <c r="Q2621" s="25">
        <v>6450</v>
      </c>
      <c r="R2621" s="90">
        <f t="shared" si="520"/>
        <v>270900</v>
      </c>
      <c r="S2621" s="20">
        <v>7</v>
      </c>
      <c r="T2621" s="28">
        <f t="shared" si="521"/>
        <v>18963</v>
      </c>
      <c r="U2621" s="78">
        <f t="shared" si="522"/>
        <v>251937</v>
      </c>
      <c r="V2621" s="20"/>
      <c r="W2621" s="26"/>
      <c r="X2621" s="27"/>
      <c r="Y2621" s="20"/>
      <c r="Z2621" s="20"/>
    </row>
    <row r="2622" spans="1:26" s="29" customFormat="1" ht="90.75" customHeight="1" x14ac:dyDescent="0.25">
      <c r="A2622" s="20"/>
      <c r="B2622" s="20"/>
      <c r="C2622" s="20"/>
      <c r="D2622" s="21"/>
      <c r="E2622" s="21"/>
      <c r="F2622" s="22"/>
      <c r="G2622" s="23"/>
      <c r="H2622" s="24"/>
      <c r="I2622" s="25"/>
      <c r="J2622" s="24"/>
      <c r="K2622" s="20">
        <v>5</v>
      </c>
      <c r="L2622" s="20" t="s">
        <v>16</v>
      </c>
      <c r="M2622" s="20" t="s">
        <v>13</v>
      </c>
      <c r="N2622" s="20">
        <v>2</v>
      </c>
      <c r="O2622" s="24">
        <v>42</v>
      </c>
      <c r="P2622" s="24">
        <v>100</v>
      </c>
      <c r="Q2622" s="25">
        <v>6450</v>
      </c>
      <c r="R2622" s="90">
        <f t="shared" si="520"/>
        <v>270900</v>
      </c>
      <c r="S2622" s="20">
        <v>7</v>
      </c>
      <c r="T2622" s="28">
        <f t="shared" si="521"/>
        <v>18963</v>
      </c>
      <c r="U2622" s="78">
        <f t="shared" si="522"/>
        <v>251937</v>
      </c>
      <c r="V2622" s="20"/>
      <c r="W2622" s="26"/>
      <c r="X2622" s="27"/>
      <c r="Y2622" s="20"/>
      <c r="Z2622" s="20"/>
    </row>
    <row r="2623" spans="1:26" s="29" customFormat="1" ht="90.75" customHeight="1" x14ac:dyDescent="0.25">
      <c r="A2623" s="20"/>
      <c r="B2623" s="20"/>
      <c r="C2623" s="20"/>
      <c r="D2623" s="21"/>
      <c r="E2623" s="21"/>
      <c r="F2623" s="22"/>
      <c r="G2623" s="23"/>
      <c r="H2623" s="24"/>
      <c r="I2623" s="25"/>
      <c r="J2623" s="24"/>
      <c r="K2623" s="20">
        <v>6</v>
      </c>
      <c r="L2623" s="20" t="s">
        <v>16</v>
      </c>
      <c r="M2623" s="20" t="s">
        <v>13</v>
      </c>
      <c r="N2623" s="20">
        <v>2</v>
      </c>
      <c r="O2623" s="24">
        <v>42</v>
      </c>
      <c r="P2623" s="24">
        <v>100</v>
      </c>
      <c r="Q2623" s="25">
        <v>6450</v>
      </c>
      <c r="R2623" s="90">
        <f t="shared" si="520"/>
        <v>270900</v>
      </c>
      <c r="S2623" s="20">
        <v>7</v>
      </c>
      <c r="T2623" s="28">
        <f t="shared" si="521"/>
        <v>18963</v>
      </c>
      <c r="U2623" s="78">
        <f t="shared" si="522"/>
        <v>251937</v>
      </c>
      <c r="V2623" s="20"/>
      <c r="W2623" s="26"/>
      <c r="X2623" s="27"/>
      <c r="Y2623" s="20"/>
      <c r="Z2623" s="20"/>
    </row>
    <row r="2624" spans="1:26" s="29" customFormat="1" ht="90.75" customHeight="1" x14ac:dyDescent="0.25">
      <c r="A2624" s="20"/>
      <c r="B2624" s="20"/>
      <c r="C2624" s="20"/>
      <c r="D2624" s="21"/>
      <c r="E2624" s="21"/>
      <c r="F2624" s="22"/>
      <c r="G2624" s="23"/>
      <c r="H2624" s="24"/>
      <c r="I2624" s="25"/>
      <c r="J2624" s="24"/>
      <c r="K2624" s="20"/>
      <c r="L2624" s="20"/>
      <c r="M2624" s="20"/>
      <c r="N2624" s="20"/>
      <c r="O2624" s="24"/>
      <c r="P2624" s="24"/>
      <c r="Q2624" s="25"/>
      <c r="R2624" s="24"/>
      <c r="S2624" s="20"/>
      <c r="T2624" s="27"/>
      <c r="U2624" s="78">
        <f>SUM(U2618:U2623)</f>
        <v>4611195.75</v>
      </c>
      <c r="V2624" s="27">
        <f>(J2617+U2624)</f>
        <v>4851195.75</v>
      </c>
      <c r="W2624" s="26">
        <f>(V2624*100/100)</f>
        <v>4851195.75</v>
      </c>
      <c r="X2624" s="89">
        <v>0</v>
      </c>
      <c r="Y2624" s="48">
        <f>(W2624-X2624)</f>
        <v>4851195.75</v>
      </c>
      <c r="Z2624" s="49">
        <v>2.0000000000000001E-4</v>
      </c>
    </row>
    <row r="2625" spans="1:26" s="29" customFormat="1" ht="90.75" customHeight="1" x14ac:dyDescent="0.25">
      <c r="A2625" s="20">
        <v>1390</v>
      </c>
      <c r="B2625" s="20" t="s">
        <v>0</v>
      </c>
      <c r="C2625" s="20">
        <v>33208</v>
      </c>
      <c r="D2625" s="21">
        <v>1</v>
      </c>
      <c r="E2625" s="21">
        <v>2</v>
      </c>
      <c r="F2625" s="22">
        <v>76</v>
      </c>
      <c r="G2625" s="23" t="s">
        <v>56</v>
      </c>
      <c r="H2625" s="36">
        <f>(D2625*400)+(E2625*100)+F2625</f>
        <v>676</v>
      </c>
      <c r="I2625" s="40">
        <v>875</v>
      </c>
      <c r="J2625" s="28">
        <f t="shared" ref="J2625:J2627" si="523">(H2625*I2625)</f>
        <v>591500</v>
      </c>
      <c r="K2625" s="30"/>
      <c r="L2625" s="31"/>
      <c r="M2625" s="32"/>
      <c r="N2625" s="33"/>
      <c r="O2625" s="90"/>
      <c r="P2625" s="35"/>
      <c r="Q2625" s="36"/>
      <c r="R2625" s="36"/>
      <c r="S2625" s="37"/>
      <c r="T2625" s="28"/>
      <c r="U2625" s="36"/>
      <c r="V2625" s="36"/>
      <c r="W2625" s="36"/>
      <c r="X2625" s="28"/>
      <c r="Y2625" s="28"/>
      <c r="Z2625" s="20"/>
    </row>
    <row r="2626" spans="1:26" s="29" customFormat="1" ht="90.75" customHeight="1" x14ac:dyDescent="0.25">
      <c r="A2626" s="20"/>
      <c r="B2626" s="20"/>
      <c r="C2626" s="20"/>
      <c r="D2626" s="21"/>
      <c r="E2626" s="21"/>
      <c r="F2626" s="22"/>
      <c r="G2626" s="23"/>
      <c r="H2626" s="36">
        <v>660.25</v>
      </c>
      <c r="I2626" s="40">
        <v>875</v>
      </c>
      <c r="J2626" s="28">
        <f t="shared" si="523"/>
        <v>577718.75</v>
      </c>
      <c r="K2626" s="30">
        <v>1</v>
      </c>
      <c r="L2626" s="31" t="s">
        <v>215</v>
      </c>
      <c r="M2626" s="32" t="s">
        <v>13</v>
      </c>
      <c r="N2626" s="33">
        <v>2</v>
      </c>
      <c r="O2626" s="90">
        <v>127.5</v>
      </c>
      <c r="P2626" s="35">
        <v>100</v>
      </c>
      <c r="Q2626" s="36">
        <v>6450</v>
      </c>
      <c r="R2626" s="36">
        <f t="shared" ref="R2626:R2631" si="524">(O2626*Q2626)</f>
        <v>822375</v>
      </c>
      <c r="S2626" s="37">
        <v>10</v>
      </c>
      <c r="T2626" s="28">
        <f>(R2626*10/100)</f>
        <v>82237.5</v>
      </c>
      <c r="U2626" s="36">
        <f t="shared" ref="U2626:U2627" si="525">(R2626-T2626)</f>
        <v>740137.5</v>
      </c>
      <c r="V2626" s="36">
        <f>(J2626+U2626)</f>
        <v>1317856.25</v>
      </c>
      <c r="W2626" s="26">
        <f>(V2626*100/100)</f>
        <v>1317856.25</v>
      </c>
      <c r="X2626" s="28">
        <v>10000000</v>
      </c>
      <c r="Y2626" s="28"/>
      <c r="Z2626" s="20"/>
    </row>
    <row r="2627" spans="1:26" s="29" customFormat="1" ht="90.75" customHeight="1" x14ac:dyDescent="0.25">
      <c r="A2627" s="20"/>
      <c r="B2627" s="20"/>
      <c r="C2627" s="20"/>
      <c r="D2627" s="21"/>
      <c r="E2627" s="21"/>
      <c r="F2627" s="22"/>
      <c r="G2627" s="23"/>
      <c r="H2627" s="36">
        <v>15.75</v>
      </c>
      <c r="I2627" s="40">
        <v>875</v>
      </c>
      <c r="J2627" s="28">
        <f t="shared" si="523"/>
        <v>13781.25</v>
      </c>
      <c r="K2627" s="30">
        <v>2</v>
      </c>
      <c r="L2627" s="31" t="s">
        <v>215</v>
      </c>
      <c r="M2627" s="32" t="s">
        <v>13</v>
      </c>
      <c r="N2627" s="33">
        <v>3</v>
      </c>
      <c r="O2627" s="90">
        <v>63</v>
      </c>
      <c r="P2627" s="35">
        <v>100</v>
      </c>
      <c r="Q2627" s="36">
        <v>6450</v>
      </c>
      <c r="R2627" s="36">
        <f t="shared" si="524"/>
        <v>406350</v>
      </c>
      <c r="S2627" s="37">
        <v>7</v>
      </c>
      <c r="T2627" s="28">
        <f>(R2627*7/100)</f>
        <v>28444.5</v>
      </c>
      <c r="U2627" s="36">
        <f t="shared" si="525"/>
        <v>377905.5</v>
      </c>
      <c r="V2627" s="36">
        <f>(J2627+U2627)</f>
        <v>391686.75</v>
      </c>
      <c r="W2627" s="36">
        <f>(V2627*100/100)</f>
        <v>391686.75</v>
      </c>
      <c r="X2627" s="28">
        <v>0</v>
      </c>
      <c r="Y2627" s="28">
        <f>(W2627-X2627)</f>
        <v>391686.75</v>
      </c>
      <c r="Z2627" s="49">
        <v>2.0000000000000001E-4</v>
      </c>
    </row>
    <row r="2628" spans="1:26" s="29" customFormat="1" ht="90.75" customHeight="1" x14ac:dyDescent="0.25">
      <c r="A2628" s="20">
        <v>1391</v>
      </c>
      <c r="B2628" s="20" t="s">
        <v>0</v>
      </c>
      <c r="C2628" s="20">
        <v>33209</v>
      </c>
      <c r="D2628" s="21">
        <v>1</v>
      </c>
      <c r="E2628" s="21">
        <v>2</v>
      </c>
      <c r="F2628" s="22">
        <v>84</v>
      </c>
      <c r="G2628" s="23" t="s">
        <v>56</v>
      </c>
      <c r="H2628" s="36">
        <f>(D2628*100)+(E2628*100)+F2628</f>
        <v>384</v>
      </c>
      <c r="I2628" s="25">
        <v>875</v>
      </c>
      <c r="J2628" s="28">
        <f>(H2628*I2628)</f>
        <v>336000</v>
      </c>
      <c r="K2628" s="20">
        <v>1</v>
      </c>
      <c r="L2628" s="20" t="s">
        <v>16</v>
      </c>
      <c r="M2628" s="20" t="s">
        <v>13</v>
      </c>
      <c r="N2628" s="20">
        <v>2</v>
      </c>
      <c r="O2628" s="24">
        <v>75.599999999999994</v>
      </c>
      <c r="P2628" s="35">
        <v>100</v>
      </c>
      <c r="Q2628" s="36">
        <v>6450</v>
      </c>
      <c r="R2628" s="90">
        <f t="shared" si="524"/>
        <v>487619.99999999994</v>
      </c>
      <c r="S2628" s="20">
        <v>7</v>
      </c>
      <c r="T2628" s="28">
        <f t="shared" ref="T2628:T2631" si="526">(R2628*7/100)</f>
        <v>34133.399999999994</v>
      </c>
      <c r="U2628" s="78">
        <f>(R2628-T2628)</f>
        <v>453486.6</v>
      </c>
      <c r="V2628" s="20"/>
      <c r="W2628" s="26"/>
      <c r="X2628" s="27"/>
      <c r="Y2628" s="20"/>
      <c r="Z2628" s="20"/>
    </row>
    <row r="2629" spans="1:26" s="29" customFormat="1" ht="90.75" customHeight="1" x14ac:dyDescent="0.25">
      <c r="A2629" s="20"/>
      <c r="B2629" s="20"/>
      <c r="C2629" s="20"/>
      <c r="D2629" s="21"/>
      <c r="E2629" s="21"/>
      <c r="F2629" s="22"/>
      <c r="G2629" s="23"/>
      <c r="H2629" s="24"/>
      <c r="I2629" s="25"/>
      <c r="J2629" s="24"/>
      <c r="K2629" s="20">
        <v>2</v>
      </c>
      <c r="L2629" s="20" t="s">
        <v>16</v>
      </c>
      <c r="M2629" s="20" t="s">
        <v>13</v>
      </c>
      <c r="N2629" s="20">
        <v>2</v>
      </c>
      <c r="O2629" s="24">
        <v>75.599999999999994</v>
      </c>
      <c r="P2629" s="35">
        <v>100</v>
      </c>
      <c r="Q2629" s="36">
        <v>6450</v>
      </c>
      <c r="R2629" s="90">
        <f t="shared" si="524"/>
        <v>487619.99999999994</v>
      </c>
      <c r="S2629" s="20">
        <v>7</v>
      </c>
      <c r="T2629" s="28">
        <f t="shared" si="526"/>
        <v>34133.399999999994</v>
      </c>
      <c r="U2629" s="78">
        <f t="shared" ref="U2629:U2631" si="527">(R2629-T2629)</f>
        <v>453486.6</v>
      </c>
      <c r="V2629" s="20"/>
      <c r="W2629" s="26"/>
      <c r="X2629" s="27"/>
      <c r="Y2629" s="20"/>
      <c r="Z2629" s="20"/>
    </row>
    <row r="2630" spans="1:26" s="29" customFormat="1" ht="90.75" customHeight="1" x14ac:dyDescent="0.25">
      <c r="A2630" s="20"/>
      <c r="B2630" s="20"/>
      <c r="C2630" s="20"/>
      <c r="D2630" s="21"/>
      <c r="E2630" s="21"/>
      <c r="F2630" s="22"/>
      <c r="G2630" s="23"/>
      <c r="H2630" s="24"/>
      <c r="I2630" s="25"/>
      <c r="J2630" s="24"/>
      <c r="K2630" s="20">
        <v>3</v>
      </c>
      <c r="L2630" s="20" t="s">
        <v>16</v>
      </c>
      <c r="M2630" s="20" t="s">
        <v>13</v>
      </c>
      <c r="N2630" s="20">
        <v>2</v>
      </c>
      <c r="O2630" s="24">
        <v>75.599999999999994</v>
      </c>
      <c r="P2630" s="35">
        <v>100</v>
      </c>
      <c r="Q2630" s="36">
        <v>6450</v>
      </c>
      <c r="R2630" s="90">
        <f t="shared" si="524"/>
        <v>487619.99999999994</v>
      </c>
      <c r="S2630" s="20">
        <v>7</v>
      </c>
      <c r="T2630" s="28">
        <f t="shared" si="526"/>
        <v>34133.399999999994</v>
      </c>
      <c r="U2630" s="78">
        <f t="shared" si="527"/>
        <v>453486.6</v>
      </c>
      <c r="V2630" s="20"/>
      <c r="W2630" s="26"/>
      <c r="X2630" s="27"/>
      <c r="Y2630" s="20"/>
      <c r="Z2630" s="20"/>
    </row>
    <row r="2631" spans="1:26" s="29" customFormat="1" ht="90.75" customHeight="1" x14ac:dyDescent="0.25">
      <c r="A2631" s="20"/>
      <c r="B2631" s="20"/>
      <c r="C2631" s="20"/>
      <c r="D2631" s="21"/>
      <c r="E2631" s="21"/>
      <c r="F2631" s="22"/>
      <c r="G2631" s="23"/>
      <c r="H2631" s="24"/>
      <c r="I2631" s="25"/>
      <c r="J2631" s="24"/>
      <c r="K2631" s="20">
        <v>3</v>
      </c>
      <c r="L2631" s="20" t="s">
        <v>16</v>
      </c>
      <c r="M2631" s="20" t="s">
        <v>13</v>
      </c>
      <c r="N2631" s="20">
        <v>2</v>
      </c>
      <c r="O2631" s="24">
        <v>75.599999999999994</v>
      </c>
      <c r="P2631" s="35">
        <v>100</v>
      </c>
      <c r="Q2631" s="36">
        <v>6450</v>
      </c>
      <c r="R2631" s="90">
        <f t="shared" si="524"/>
        <v>487619.99999999994</v>
      </c>
      <c r="S2631" s="20">
        <v>7</v>
      </c>
      <c r="T2631" s="28">
        <f t="shared" si="526"/>
        <v>34133.399999999994</v>
      </c>
      <c r="U2631" s="78">
        <f t="shared" si="527"/>
        <v>453486.6</v>
      </c>
      <c r="V2631" s="20"/>
      <c r="W2631" s="26"/>
      <c r="X2631" s="27"/>
      <c r="Y2631" s="20"/>
      <c r="Z2631" s="20"/>
    </row>
    <row r="2632" spans="1:26" s="29" customFormat="1" ht="90.75" customHeight="1" x14ac:dyDescent="0.25">
      <c r="A2632" s="20"/>
      <c r="B2632" s="20"/>
      <c r="C2632" s="20"/>
      <c r="D2632" s="21"/>
      <c r="E2632" s="21"/>
      <c r="F2632" s="22"/>
      <c r="G2632" s="23"/>
      <c r="H2632" s="24"/>
      <c r="I2632" s="25"/>
      <c r="J2632" s="24"/>
      <c r="K2632" s="20"/>
      <c r="L2632" s="20"/>
      <c r="M2632" s="20"/>
      <c r="N2632" s="20"/>
      <c r="O2632" s="24"/>
      <c r="P2632" s="24"/>
      <c r="Q2632" s="25"/>
      <c r="R2632" s="24"/>
      <c r="S2632" s="20"/>
      <c r="T2632" s="27"/>
      <c r="U2632" s="78">
        <f>SUM(U2628:U2631)</f>
        <v>1813946.4</v>
      </c>
      <c r="V2632" s="27">
        <f>(J2628+U2632)</f>
        <v>2149946.4</v>
      </c>
      <c r="W2632" s="26">
        <f>(V2632*100/100)</f>
        <v>2149946.4</v>
      </c>
      <c r="X2632" s="28">
        <v>0</v>
      </c>
      <c r="Y2632" s="28">
        <f>(W2632-X2632)</f>
        <v>2149946.4</v>
      </c>
      <c r="Z2632" s="49">
        <v>2.0000000000000001E-4</v>
      </c>
    </row>
    <row r="2633" spans="1:26" s="29" customFormat="1" ht="90.75" customHeight="1" x14ac:dyDescent="0.25">
      <c r="A2633" s="20">
        <v>1392</v>
      </c>
      <c r="B2633" s="20" t="s">
        <v>0</v>
      </c>
      <c r="C2633" s="20">
        <v>46637</v>
      </c>
      <c r="D2633" s="21">
        <v>0</v>
      </c>
      <c r="E2633" s="21">
        <v>3</v>
      </c>
      <c r="F2633" s="22">
        <v>50</v>
      </c>
      <c r="G2633" s="23" t="s">
        <v>211</v>
      </c>
      <c r="H2633" s="36">
        <f t="shared" ref="H2633" si="528">(D2633*400)+(E2633*100)+F2633</f>
        <v>350</v>
      </c>
      <c r="I2633" s="25" t="s">
        <v>78</v>
      </c>
      <c r="J2633" s="28">
        <f>(H2633*I2633)</f>
        <v>306250</v>
      </c>
      <c r="K2633" s="20"/>
      <c r="L2633" s="20"/>
      <c r="M2633" s="20"/>
      <c r="N2633" s="20"/>
      <c r="O2633" s="24"/>
      <c r="P2633" s="24"/>
      <c r="Q2633" s="25"/>
      <c r="R2633" s="24"/>
      <c r="S2633" s="20"/>
      <c r="T2633" s="27"/>
      <c r="U2633" s="20"/>
      <c r="V2633" s="20"/>
      <c r="W2633" s="26"/>
      <c r="X2633" s="27"/>
      <c r="Y2633" s="20"/>
      <c r="Z2633" s="20"/>
    </row>
    <row r="2634" spans="1:26" s="29" customFormat="1" ht="90.75" customHeight="1" x14ac:dyDescent="0.25">
      <c r="A2634" s="20"/>
      <c r="B2634" s="20"/>
      <c r="C2634" s="20"/>
      <c r="D2634" s="21"/>
      <c r="E2634" s="21"/>
      <c r="F2634" s="22"/>
      <c r="G2634" s="23"/>
      <c r="H2634" s="36">
        <v>336.5</v>
      </c>
      <c r="I2634" s="40">
        <v>875</v>
      </c>
      <c r="J2634" s="28">
        <f t="shared" ref="J2634" si="529">(H2634*I2634)</f>
        <v>294437.5</v>
      </c>
      <c r="K2634" s="37">
        <v>1</v>
      </c>
      <c r="L2634" s="31" t="s">
        <v>215</v>
      </c>
      <c r="M2634" s="32" t="s">
        <v>13</v>
      </c>
      <c r="N2634" s="33">
        <v>5</v>
      </c>
      <c r="O2634" s="82">
        <v>139.5</v>
      </c>
      <c r="P2634" s="82">
        <v>100</v>
      </c>
      <c r="Q2634" s="90">
        <v>6450</v>
      </c>
      <c r="R2634" s="36">
        <f>(O2634*Q2634)</f>
        <v>899775</v>
      </c>
      <c r="S2634" s="37">
        <v>42</v>
      </c>
      <c r="T2634" s="28">
        <f>(R2634*74/100)</f>
        <v>665833.5</v>
      </c>
      <c r="U2634" s="36">
        <f>(R2634-T2634)</f>
        <v>233941.5</v>
      </c>
      <c r="V2634" s="36">
        <f>(J2634+U2634)</f>
        <v>528379</v>
      </c>
      <c r="W2634" s="26">
        <f>(V2634*100/100)</f>
        <v>528379</v>
      </c>
      <c r="X2634" s="28"/>
      <c r="Y2634" s="28"/>
      <c r="Z2634" s="20"/>
    </row>
    <row r="2635" spans="1:26" s="29" customFormat="1" ht="90.75" customHeight="1" x14ac:dyDescent="0.25">
      <c r="A2635" s="20"/>
      <c r="B2635" s="20"/>
      <c r="C2635" s="20"/>
      <c r="D2635" s="21"/>
      <c r="E2635" s="21"/>
      <c r="F2635" s="22"/>
      <c r="G2635" s="23"/>
      <c r="H2635" s="36"/>
      <c r="I2635" s="40"/>
      <c r="J2635" s="28"/>
      <c r="K2635" s="37"/>
      <c r="L2635" s="31" t="s">
        <v>69</v>
      </c>
      <c r="M2635" s="32"/>
      <c r="N2635" s="33">
        <v>2</v>
      </c>
      <c r="O2635" s="82">
        <v>112.5</v>
      </c>
      <c r="P2635" s="82">
        <v>80.650000000000006</v>
      </c>
      <c r="Q2635" s="90"/>
      <c r="R2635" s="36"/>
      <c r="S2635" s="37"/>
      <c r="T2635" s="28"/>
      <c r="U2635" s="36"/>
      <c r="V2635" s="36"/>
      <c r="W2635" s="36">
        <f>(W2634*80.65/100)</f>
        <v>426137.66350000002</v>
      </c>
      <c r="X2635" s="28">
        <v>50000000</v>
      </c>
      <c r="Y2635" s="28"/>
      <c r="Z2635" s="20"/>
    </row>
    <row r="2636" spans="1:26" s="29" customFormat="1" ht="90.75" customHeight="1" x14ac:dyDescent="0.25">
      <c r="A2636" s="20"/>
      <c r="B2636" s="20"/>
      <c r="C2636" s="20"/>
      <c r="D2636" s="21"/>
      <c r="E2636" s="21"/>
      <c r="F2636" s="22"/>
      <c r="G2636" s="23"/>
      <c r="H2636" s="36"/>
      <c r="I2636" s="40"/>
      <c r="J2636" s="28"/>
      <c r="K2636" s="37"/>
      <c r="L2636" s="31" t="s">
        <v>61</v>
      </c>
      <c r="M2636" s="32"/>
      <c r="N2636" s="33">
        <v>3</v>
      </c>
      <c r="O2636" s="82">
        <v>27</v>
      </c>
      <c r="P2636" s="82">
        <v>19.350000000000001</v>
      </c>
      <c r="Q2636" s="90"/>
      <c r="R2636" s="36"/>
      <c r="S2636" s="37"/>
      <c r="T2636" s="28"/>
      <c r="U2636" s="36"/>
      <c r="V2636" s="36"/>
      <c r="W2636" s="36">
        <f>(W2634*19.35/100)</f>
        <v>102241.3365</v>
      </c>
      <c r="X2636" s="28">
        <v>0</v>
      </c>
      <c r="Y2636" s="28">
        <f>(W2636-X2636)</f>
        <v>102241.3365</v>
      </c>
      <c r="Z2636" s="49">
        <v>3.0000000000000001E-3</v>
      </c>
    </row>
    <row r="2637" spans="1:26" s="29" customFormat="1" ht="90.75" customHeight="1" x14ac:dyDescent="0.25">
      <c r="A2637" s="20"/>
      <c r="B2637" s="20"/>
      <c r="C2637" s="20"/>
      <c r="D2637" s="21"/>
      <c r="E2637" s="21"/>
      <c r="F2637" s="22"/>
      <c r="G2637" s="23"/>
      <c r="H2637" s="36">
        <f>(O2637*0.25)</f>
        <v>13.5</v>
      </c>
      <c r="I2637" s="40">
        <v>875</v>
      </c>
      <c r="J2637" s="28">
        <f>(H2637*I2637)</f>
        <v>11812.5</v>
      </c>
      <c r="K2637" s="37">
        <v>2</v>
      </c>
      <c r="L2637" s="31" t="s">
        <v>224</v>
      </c>
      <c r="M2637" s="32"/>
      <c r="N2637" s="33">
        <v>3</v>
      </c>
      <c r="O2637" s="82">
        <v>54</v>
      </c>
      <c r="P2637" s="86">
        <v>100</v>
      </c>
      <c r="Q2637" s="36">
        <v>2550</v>
      </c>
      <c r="R2637" s="36">
        <f>(O2637*Q2637)</f>
        <v>137700</v>
      </c>
      <c r="S2637" s="37">
        <v>7</v>
      </c>
      <c r="T2637" s="28">
        <f>(R2637*25/100)</f>
        <v>34425</v>
      </c>
      <c r="U2637" s="36">
        <f>(R2637-T2637)</f>
        <v>103275</v>
      </c>
      <c r="V2637" s="36">
        <f>(J2637+U2637)</f>
        <v>115087.5</v>
      </c>
      <c r="W2637" s="36">
        <f>(V2637*100/100)</f>
        <v>115087.5</v>
      </c>
      <c r="X2637" s="28">
        <v>0</v>
      </c>
      <c r="Y2637" s="28">
        <f>(W2637-X2637)</f>
        <v>115087.5</v>
      </c>
      <c r="Z2637" s="49">
        <v>3.0000000000000001E-3</v>
      </c>
    </row>
    <row r="2638" spans="1:26" s="29" customFormat="1" ht="90.75" customHeight="1" x14ac:dyDescent="0.25">
      <c r="A2638" s="20">
        <v>1393</v>
      </c>
      <c r="B2638" s="20" t="s">
        <v>0</v>
      </c>
      <c r="C2638" s="20">
        <v>46638</v>
      </c>
      <c r="D2638" s="21">
        <v>1</v>
      </c>
      <c r="E2638" s="21">
        <v>1</v>
      </c>
      <c r="F2638" s="22">
        <v>6</v>
      </c>
      <c r="G2638" s="23" t="s">
        <v>56</v>
      </c>
      <c r="H2638" s="36">
        <f t="shared" ref="H2638:H2639" si="530">(D2638*400)+(E2638*100)+F2638</f>
        <v>506</v>
      </c>
      <c r="I2638" s="25">
        <v>875</v>
      </c>
      <c r="J2638" s="28">
        <f>(H2638*I2638)</f>
        <v>442750</v>
      </c>
      <c r="K2638" s="20">
        <v>1</v>
      </c>
      <c r="L2638" s="31" t="s">
        <v>43</v>
      </c>
      <c r="M2638" s="20" t="s">
        <v>13</v>
      </c>
      <c r="N2638" s="20">
        <v>2</v>
      </c>
      <c r="O2638" s="24">
        <v>560</v>
      </c>
      <c r="P2638" s="24">
        <v>100</v>
      </c>
      <c r="Q2638" s="25">
        <v>7700</v>
      </c>
      <c r="R2638" s="36">
        <f>(O2638*Q2638)</f>
        <v>4312000</v>
      </c>
      <c r="S2638" s="20">
        <v>4</v>
      </c>
      <c r="T2638" s="28">
        <f>(R2638*4/100)</f>
        <v>172480</v>
      </c>
      <c r="U2638" s="78">
        <f>(R2638-T2638)</f>
        <v>4139520</v>
      </c>
      <c r="V2638" s="36">
        <f>(J2638+U2638)</f>
        <v>4582270</v>
      </c>
      <c r="W2638" s="36">
        <f>(V2638*100/100)</f>
        <v>4582270</v>
      </c>
      <c r="X2638" s="28">
        <v>0</v>
      </c>
      <c r="Y2638" s="28">
        <f>(W2638-X2638)</f>
        <v>4582270</v>
      </c>
      <c r="Z2638" s="49">
        <v>2.0000000000000001E-4</v>
      </c>
    </row>
    <row r="2639" spans="1:26" s="29" customFormat="1" ht="90.75" customHeight="1" x14ac:dyDescent="0.25">
      <c r="A2639" s="20">
        <v>1394</v>
      </c>
      <c r="B2639" s="20" t="s">
        <v>0</v>
      </c>
      <c r="C2639" s="20">
        <v>13888</v>
      </c>
      <c r="D2639" s="21">
        <v>0</v>
      </c>
      <c r="E2639" s="21">
        <v>2</v>
      </c>
      <c r="F2639" s="22">
        <v>33</v>
      </c>
      <c r="G2639" s="23" t="s">
        <v>56</v>
      </c>
      <c r="H2639" s="36">
        <f t="shared" si="530"/>
        <v>233</v>
      </c>
      <c r="I2639" s="40">
        <v>1000</v>
      </c>
      <c r="J2639" s="65">
        <f>(H2639*I2639)</f>
        <v>233000</v>
      </c>
      <c r="K2639" s="33">
        <v>1</v>
      </c>
      <c r="L2639" s="31" t="s">
        <v>215</v>
      </c>
      <c r="M2639" s="112" t="s">
        <v>13</v>
      </c>
      <c r="N2639" s="30">
        <v>2</v>
      </c>
      <c r="O2639" s="90">
        <v>180</v>
      </c>
      <c r="P2639" s="82"/>
      <c r="Q2639" s="83"/>
      <c r="R2639" s="33"/>
      <c r="S2639" s="33"/>
      <c r="T2639" s="89"/>
      <c r="U2639" s="33"/>
      <c r="V2639" s="90"/>
      <c r="W2639" s="90"/>
      <c r="X2639" s="89"/>
      <c r="Y2639" s="48"/>
      <c r="Z2639" s="53"/>
    </row>
    <row r="2640" spans="1:26" s="29" customFormat="1" ht="90.75" customHeight="1" x14ac:dyDescent="0.25">
      <c r="A2640" s="20"/>
      <c r="B2640" s="20"/>
      <c r="C2640" s="20"/>
      <c r="D2640" s="21"/>
      <c r="E2640" s="21"/>
      <c r="F2640" s="22"/>
      <c r="G2640" s="23"/>
      <c r="H2640" s="36">
        <v>200.38</v>
      </c>
      <c r="I2640" s="40">
        <v>1000</v>
      </c>
      <c r="J2640" s="28">
        <f>(H2640*I2640)</f>
        <v>200380</v>
      </c>
      <c r="K2640" s="30"/>
      <c r="L2640" s="31"/>
      <c r="M2640" s="32"/>
      <c r="N2640" s="33"/>
      <c r="O2640" s="34"/>
      <c r="P2640" s="35"/>
      <c r="Q2640" s="36"/>
      <c r="R2640" s="36"/>
      <c r="S2640" s="37"/>
      <c r="T2640" s="28"/>
      <c r="U2640" s="36"/>
      <c r="V2640" s="36"/>
      <c r="W2640" s="36"/>
      <c r="X2640" s="28"/>
      <c r="Y2640" s="28"/>
      <c r="Z2640" s="49"/>
    </row>
    <row r="2641" spans="1:26" s="29" customFormat="1" ht="90.75" customHeight="1" x14ac:dyDescent="0.25">
      <c r="A2641" s="20"/>
      <c r="B2641" s="20"/>
      <c r="C2641" s="20"/>
      <c r="D2641" s="21"/>
      <c r="E2641" s="21"/>
      <c r="F2641" s="22"/>
      <c r="G2641" s="23"/>
      <c r="H2641" s="36"/>
      <c r="I2641" s="40"/>
      <c r="J2641" s="28"/>
      <c r="K2641" s="30">
        <v>1</v>
      </c>
      <c r="L2641" s="31" t="s">
        <v>215</v>
      </c>
      <c r="M2641" s="32" t="s">
        <v>13</v>
      </c>
      <c r="N2641" s="33">
        <v>2</v>
      </c>
      <c r="O2641" s="34">
        <v>180</v>
      </c>
      <c r="P2641" s="35">
        <v>100</v>
      </c>
      <c r="Q2641" s="36">
        <v>6450</v>
      </c>
      <c r="R2641" s="36">
        <f t="shared" ref="R2641:R2645" si="531">(O2641*Q2641)</f>
        <v>1161000</v>
      </c>
      <c r="S2641" s="37">
        <v>32</v>
      </c>
      <c r="T2641" s="28">
        <f>(R2641*54/100)</f>
        <v>626940</v>
      </c>
      <c r="U2641" s="36">
        <f t="shared" ref="U2641:U2645" si="532">(R2641-T2641)</f>
        <v>534060</v>
      </c>
      <c r="V2641" s="36"/>
      <c r="W2641" s="36"/>
      <c r="X2641" s="28"/>
      <c r="Y2641" s="28"/>
      <c r="Z2641" s="20"/>
    </row>
    <row r="2642" spans="1:26" s="29" customFormat="1" ht="90.75" customHeight="1" x14ac:dyDescent="0.25">
      <c r="A2642" s="20"/>
      <c r="B2642" s="20"/>
      <c r="C2642" s="20"/>
      <c r="D2642" s="21"/>
      <c r="E2642" s="21"/>
      <c r="F2642" s="22"/>
      <c r="G2642" s="23"/>
      <c r="H2642" s="36"/>
      <c r="I2642" s="40"/>
      <c r="J2642" s="28"/>
      <c r="K2642" s="30">
        <v>2</v>
      </c>
      <c r="L2642" s="31" t="s">
        <v>31</v>
      </c>
      <c r="M2642" s="32"/>
      <c r="N2642" s="33">
        <v>2</v>
      </c>
      <c r="O2642" s="34">
        <v>24.5</v>
      </c>
      <c r="P2642" s="35">
        <v>100</v>
      </c>
      <c r="Q2642" s="36">
        <v>2550</v>
      </c>
      <c r="R2642" s="36">
        <f t="shared" si="531"/>
        <v>62475</v>
      </c>
      <c r="S2642" s="37">
        <v>32</v>
      </c>
      <c r="T2642" s="28">
        <f>(R2642*54/100)</f>
        <v>33736.5</v>
      </c>
      <c r="U2642" s="36">
        <f t="shared" si="532"/>
        <v>28738.5</v>
      </c>
      <c r="V2642" s="36"/>
      <c r="W2642" s="36"/>
      <c r="X2642" s="28"/>
      <c r="Y2642" s="28"/>
      <c r="Z2642" s="20"/>
    </row>
    <row r="2643" spans="1:26" s="29" customFormat="1" ht="90.75" customHeight="1" x14ac:dyDescent="0.25">
      <c r="A2643" s="20"/>
      <c r="B2643" s="20"/>
      <c r="C2643" s="20"/>
      <c r="D2643" s="21"/>
      <c r="E2643" s="21"/>
      <c r="F2643" s="22"/>
      <c r="G2643" s="23"/>
      <c r="H2643" s="36"/>
      <c r="I2643" s="40"/>
      <c r="J2643" s="28"/>
      <c r="K2643" s="30"/>
      <c r="L2643" s="31"/>
      <c r="M2643" s="32"/>
      <c r="N2643" s="33"/>
      <c r="O2643" s="34"/>
      <c r="P2643" s="35"/>
      <c r="Q2643" s="36"/>
      <c r="R2643" s="36"/>
      <c r="S2643" s="37"/>
      <c r="T2643" s="28"/>
      <c r="U2643" s="36">
        <f>SUM(U2641:U2642)</f>
        <v>562798.5</v>
      </c>
      <c r="V2643" s="36">
        <f>(J2640+U2643)</f>
        <v>763178.5</v>
      </c>
      <c r="W2643" s="36">
        <f>(V2643*100/100)</f>
        <v>763178.5</v>
      </c>
      <c r="X2643" s="28">
        <v>50000000</v>
      </c>
      <c r="Y2643" s="28"/>
      <c r="Z2643" s="20"/>
    </row>
    <row r="2644" spans="1:26" s="29" customFormat="1" ht="90.75" customHeight="1" x14ac:dyDescent="0.25">
      <c r="A2644" s="20"/>
      <c r="B2644" s="20"/>
      <c r="C2644" s="20"/>
      <c r="D2644" s="21"/>
      <c r="E2644" s="21"/>
      <c r="F2644" s="22"/>
      <c r="G2644" s="23"/>
      <c r="H2644" s="36">
        <v>25.5</v>
      </c>
      <c r="I2644" s="40">
        <v>1000</v>
      </c>
      <c r="J2644" s="28">
        <f t="shared" ref="J2644:J2646" si="533">(H2644*I2644)</f>
        <v>25500</v>
      </c>
      <c r="K2644" s="30">
        <v>3</v>
      </c>
      <c r="L2644" s="31" t="s">
        <v>43</v>
      </c>
      <c r="M2644" s="32" t="s">
        <v>13</v>
      </c>
      <c r="N2644" s="33">
        <v>2</v>
      </c>
      <c r="O2644" s="34">
        <v>102</v>
      </c>
      <c r="P2644" s="35">
        <v>100</v>
      </c>
      <c r="Q2644" s="36">
        <v>7700</v>
      </c>
      <c r="R2644" s="36">
        <f t="shared" si="531"/>
        <v>785400</v>
      </c>
      <c r="S2644" s="37">
        <v>12</v>
      </c>
      <c r="T2644" s="28">
        <f>(R2644*14/100)</f>
        <v>109956</v>
      </c>
      <c r="U2644" s="36">
        <f t="shared" si="532"/>
        <v>675444</v>
      </c>
      <c r="V2644" s="36">
        <f>(J2644+U2644)</f>
        <v>700944</v>
      </c>
      <c r="W2644" s="36">
        <f>(V2644*100/100)</f>
        <v>700944</v>
      </c>
      <c r="X2644" s="28">
        <v>0</v>
      </c>
      <c r="Y2644" s="28">
        <f>(W2644-X2644)</f>
        <v>700944</v>
      </c>
      <c r="Z2644" s="49">
        <v>2.0000000000000001E-4</v>
      </c>
    </row>
    <row r="2645" spans="1:26" s="29" customFormat="1" ht="90.75" customHeight="1" x14ac:dyDescent="0.25">
      <c r="A2645" s="20"/>
      <c r="B2645" s="20"/>
      <c r="C2645" s="20"/>
      <c r="D2645" s="21"/>
      <c r="E2645" s="21"/>
      <c r="F2645" s="22"/>
      <c r="G2645" s="23"/>
      <c r="H2645" s="36">
        <v>4.5</v>
      </c>
      <c r="I2645" s="40">
        <v>1000</v>
      </c>
      <c r="J2645" s="28">
        <f t="shared" si="533"/>
        <v>4500</v>
      </c>
      <c r="K2645" s="30">
        <v>4</v>
      </c>
      <c r="L2645" s="31" t="s">
        <v>43</v>
      </c>
      <c r="M2645" s="32" t="s">
        <v>13</v>
      </c>
      <c r="N2645" s="33">
        <v>2</v>
      </c>
      <c r="O2645" s="34">
        <v>18</v>
      </c>
      <c r="P2645" s="35">
        <v>100</v>
      </c>
      <c r="Q2645" s="36">
        <v>7700</v>
      </c>
      <c r="R2645" s="36">
        <f t="shared" si="531"/>
        <v>138600</v>
      </c>
      <c r="S2645" s="37">
        <v>12</v>
      </c>
      <c r="T2645" s="28">
        <f>(R2645*14/100)</f>
        <v>19404</v>
      </c>
      <c r="U2645" s="36">
        <f t="shared" si="532"/>
        <v>119196</v>
      </c>
      <c r="V2645" s="36">
        <f>(J2645+U2645)</f>
        <v>123696</v>
      </c>
      <c r="W2645" s="36">
        <f>(V2645*100/100)</f>
        <v>123696</v>
      </c>
      <c r="X2645" s="28">
        <v>0</v>
      </c>
      <c r="Y2645" s="28">
        <f>(W2645-X2645)</f>
        <v>123696</v>
      </c>
      <c r="Z2645" s="49">
        <v>2.0000000000000001E-4</v>
      </c>
    </row>
    <row r="2646" spans="1:26" s="29" customFormat="1" ht="90.75" customHeight="1" x14ac:dyDescent="0.25">
      <c r="A2646" s="20">
        <v>1395</v>
      </c>
      <c r="B2646" s="20" t="s">
        <v>0</v>
      </c>
      <c r="C2646" s="20">
        <v>13889</v>
      </c>
      <c r="D2646" s="21">
        <v>1</v>
      </c>
      <c r="E2646" s="21">
        <v>1</v>
      </c>
      <c r="F2646" s="22">
        <v>10</v>
      </c>
      <c r="G2646" s="23" t="s">
        <v>56</v>
      </c>
      <c r="H2646" s="36">
        <f>(D2646*400)+(E2646*100)+F2646</f>
        <v>510</v>
      </c>
      <c r="I2646" s="40" t="s">
        <v>23</v>
      </c>
      <c r="J2646" s="65">
        <f t="shared" si="533"/>
        <v>510000</v>
      </c>
      <c r="K2646" s="30">
        <v>1</v>
      </c>
      <c r="L2646" s="31" t="s">
        <v>43</v>
      </c>
      <c r="M2646" s="32" t="s">
        <v>13</v>
      </c>
      <c r="N2646" s="33">
        <v>3</v>
      </c>
      <c r="O2646" s="34">
        <v>273</v>
      </c>
      <c r="P2646" s="35">
        <v>100</v>
      </c>
      <c r="Q2646" s="36">
        <v>7700</v>
      </c>
      <c r="R2646" s="36">
        <f>(O2646*Q2646)</f>
        <v>2102100</v>
      </c>
      <c r="S2646" s="37">
        <v>31</v>
      </c>
      <c r="T2646" s="28">
        <f>(R2646*52/100)</f>
        <v>1093092</v>
      </c>
      <c r="U2646" s="36">
        <f>(R2646-T2646)</f>
        <v>1009008</v>
      </c>
      <c r="V2646" s="36">
        <f>(J2646+U2646)</f>
        <v>1519008</v>
      </c>
      <c r="W2646" s="36">
        <f>(V2646)</f>
        <v>1519008</v>
      </c>
      <c r="X2646" s="28">
        <v>0</v>
      </c>
      <c r="Y2646" s="28">
        <f>(W2646)</f>
        <v>1519008</v>
      </c>
      <c r="Z2646" s="49">
        <v>2.0000000000000001E-4</v>
      </c>
    </row>
    <row r="2647" spans="1:26" s="29" customFormat="1" ht="90.75" customHeight="1" x14ac:dyDescent="0.25">
      <c r="A2647" s="20">
        <v>1396</v>
      </c>
      <c r="B2647" s="20" t="s">
        <v>0</v>
      </c>
      <c r="C2647" s="20">
        <v>46657</v>
      </c>
      <c r="D2647" s="21">
        <v>0</v>
      </c>
      <c r="E2647" s="21">
        <v>1</v>
      </c>
      <c r="F2647" s="22">
        <v>30</v>
      </c>
      <c r="G2647" s="23" t="s">
        <v>210</v>
      </c>
      <c r="H2647" s="36">
        <f t="shared" ref="H2647:H2649" si="534">(D2647*400)+(E2647*100)+F2647</f>
        <v>130</v>
      </c>
      <c r="I2647" s="25" t="s">
        <v>23</v>
      </c>
      <c r="J2647" s="24">
        <f>(H2647*I2647)</f>
        <v>130000</v>
      </c>
      <c r="K2647" s="20"/>
      <c r="L2647" s="20" t="s">
        <v>2</v>
      </c>
      <c r="M2647" s="20" t="s">
        <v>2</v>
      </c>
      <c r="N2647" s="20"/>
      <c r="O2647" s="24"/>
      <c r="P2647" s="24"/>
      <c r="Q2647" s="25"/>
      <c r="R2647" s="24"/>
      <c r="S2647" s="20" t="s">
        <v>2</v>
      </c>
      <c r="T2647" s="27"/>
      <c r="U2647" s="20"/>
      <c r="V2647" s="27">
        <f>(J2647+U2647)</f>
        <v>130000</v>
      </c>
      <c r="W2647" s="26">
        <f>(V2647*100/100)</f>
        <v>130000</v>
      </c>
      <c r="X2647" s="28">
        <v>0</v>
      </c>
      <c r="Y2647" s="28">
        <f>(W2647)</f>
        <v>130000</v>
      </c>
      <c r="Z2647" s="49">
        <v>3.0000000000000001E-3</v>
      </c>
    </row>
    <row r="2648" spans="1:26" s="29" customFormat="1" ht="90.75" customHeight="1" x14ac:dyDescent="0.25">
      <c r="A2648" s="20">
        <v>1397</v>
      </c>
      <c r="B2648" s="20" t="s">
        <v>0</v>
      </c>
      <c r="C2648" s="20">
        <v>46658</v>
      </c>
      <c r="D2648" s="21">
        <v>0</v>
      </c>
      <c r="E2648" s="21">
        <v>1</v>
      </c>
      <c r="F2648" s="22">
        <v>13</v>
      </c>
      <c r="G2648" s="23" t="s">
        <v>209</v>
      </c>
      <c r="H2648" s="36">
        <f t="shared" si="534"/>
        <v>113</v>
      </c>
      <c r="I2648" s="25" t="s">
        <v>23</v>
      </c>
      <c r="J2648" s="24">
        <f t="shared" ref="J2648:J2649" si="535">(H2648*I2648)</f>
        <v>113000</v>
      </c>
      <c r="K2648" s="20">
        <v>1</v>
      </c>
      <c r="L2648" s="20" t="s">
        <v>31</v>
      </c>
      <c r="M2648" s="20" t="s">
        <v>51</v>
      </c>
      <c r="N2648" s="20">
        <v>3</v>
      </c>
      <c r="O2648" s="24">
        <v>192</v>
      </c>
      <c r="P2648" s="24">
        <v>100</v>
      </c>
      <c r="Q2648" s="25">
        <v>2550</v>
      </c>
      <c r="R2648" s="24">
        <f>(O2648*Q2648)</f>
        <v>489600</v>
      </c>
      <c r="S2648" s="20">
        <v>3</v>
      </c>
      <c r="T2648" s="24">
        <f>(R2648*3/100)</f>
        <v>14688</v>
      </c>
      <c r="U2648" s="27">
        <f>(R2648-T2648)</f>
        <v>474912</v>
      </c>
      <c r="V2648" s="27">
        <f>(J2648+U2648)</f>
        <v>587912</v>
      </c>
      <c r="W2648" s="26">
        <f>(V2648*100/100)</f>
        <v>587912</v>
      </c>
      <c r="X2648" s="28">
        <v>0</v>
      </c>
      <c r="Y2648" s="28">
        <f>(W2648)</f>
        <v>587912</v>
      </c>
      <c r="Z2648" s="49">
        <v>3.0000000000000001E-3</v>
      </c>
    </row>
    <row r="2649" spans="1:26" s="29" customFormat="1" ht="90.75" customHeight="1" x14ac:dyDescent="0.25">
      <c r="A2649" s="20">
        <v>1398</v>
      </c>
      <c r="B2649" s="20" t="s">
        <v>0</v>
      </c>
      <c r="C2649" s="20">
        <v>46659</v>
      </c>
      <c r="D2649" s="21">
        <v>0</v>
      </c>
      <c r="E2649" s="21">
        <v>1</v>
      </c>
      <c r="F2649" s="22">
        <v>5</v>
      </c>
      <c r="G2649" s="23" t="s">
        <v>56</v>
      </c>
      <c r="H2649" s="36">
        <f t="shared" si="534"/>
        <v>105</v>
      </c>
      <c r="I2649" s="25" t="s">
        <v>23</v>
      </c>
      <c r="J2649" s="24">
        <f t="shared" si="535"/>
        <v>105000</v>
      </c>
      <c r="K2649" s="20"/>
      <c r="L2649" s="20"/>
      <c r="M2649" s="20"/>
      <c r="N2649" s="20"/>
      <c r="O2649" s="24"/>
      <c r="P2649" s="24"/>
      <c r="Q2649" s="25"/>
      <c r="R2649" s="24"/>
      <c r="S2649" s="20"/>
      <c r="T2649" s="24"/>
      <c r="U2649" s="27"/>
      <c r="V2649" s="20"/>
      <c r="W2649" s="26"/>
      <c r="X2649" s="27"/>
      <c r="Y2649" s="20"/>
      <c r="Z2649" s="20"/>
    </row>
    <row r="2650" spans="1:26" s="29" customFormat="1" ht="90.75" customHeight="1" x14ac:dyDescent="0.25">
      <c r="A2650" s="20"/>
      <c r="B2650" s="20"/>
      <c r="C2650" s="20"/>
      <c r="D2650" s="21"/>
      <c r="E2650" s="21"/>
      <c r="F2650" s="22"/>
      <c r="G2650" s="23"/>
      <c r="H2650" s="36"/>
      <c r="I2650" s="25"/>
      <c r="J2650" s="24"/>
      <c r="K2650" s="20">
        <v>1</v>
      </c>
      <c r="L2650" s="20" t="s">
        <v>16</v>
      </c>
      <c r="M2650" s="20" t="s">
        <v>51</v>
      </c>
      <c r="N2650" s="20">
        <v>2</v>
      </c>
      <c r="O2650" s="24">
        <v>96</v>
      </c>
      <c r="P2650" s="24">
        <v>100</v>
      </c>
      <c r="Q2650" s="25">
        <v>6450</v>
      </c>
      <c r="R2650" s="24">
        <f t="shared" ref="R2650:R2651" si="536">(O2650*Q2650)</f>
        <v>619200</v>
      </c>
      <c r="S2650" s="20">
        <v>5</v>
      </c>
      <c r="T2650" s="24">
        <f t="shared" ref="T2650:T2651" si="537">(R2650*3/100)</f>
        <v>18576</v>
      </c>
      <c r="U2650" s="27">
        <f t="shared" ref="U2650:U2651" si="538">(R2650-T2650)</f>
        <v>600624</v>
      </c>
      <c r="V2650" s="20"/>
      <c r="W2650" s="26"/>
      <c r="X2650" s="27"/>
      <c r="Y2650" s="20"/>
      <c r="Z2650" s="20"/>
    </row>
    <row r="2651" spans="1:26" s="29" customFormat="1" ht="90.75" customHeight="1" x14ac:dyDescent="0.25">
      <c r="A2651" s="20"/>
      <c r="B2651" s="20"/>
      <c r="C2651" s="20"/>
      <c r="D2651" s="21"/>
      <c r="E2651" s="21"/>
      <c r="F2651" s="22"/>
      <c r="G2651" s="23"/>
      <c r="H2651" s="24"/>
      <c r="I2651" s="25"/>
      <c r="J2651" s="24"/>
      <c r="K2651" s="20">
        <v>2</v>
      </c>
      <c r="L2651" s="20" t="s">
        <v>16</v>
      </c>
      <c r="M2651" s="20" t="s">
        <v>51</v>
      </c>
      <c r="N2651" s="20">
        <v>2</v>
      </c>
      <c r="O2651" s="24">
        <v>96</v>
      </c>
      <c r="P2651" s="24">
        <v>100</v>
      </c>
      <c r="Q2651" s="25">
        <v>6450</v>
      </c>
      <c r="R2651" s="24">
        <f t="shared" si="536"/>
        <v>619200</v>
      </c>
      <c r="S2651" s="20">
        <v>5</v>
      </c>
      <c r="T2651" s="24">
        <f t="shared" si="537"/>
        <v>18576</v>
      </c>
      <c r="U2651" s="27">
        <f t="shared" si="538"/>
        <v>600624</v>
      </c>
      <c r="V2651" s="20"/>
      <c r="W2651" s="26"/>
      <c r="X2651" s="27"/>
      <c r="Y2651" s="20"/>
      <c r="Z2651" s="20"/>
    </row>
    <row r="2652" spans="1:26" s="29" customFormat="1" ht="90.75" customHeight="1" x14ac:dyDescent="0.25">
      <c r="A2652" s="20"/>
      <c r="B2652" s="20"/>
      <c r="C2652" s="20"/>
      <c r="D2652" s="21"/>
      <c r="E2652" s="21"/>
      <c r="F2652" s="22"/>
      <c r="G2652" s="23"/>
      <c r="H2652" s="24"/>
      <c r="I2652" s="25"/>
      <c r="J2652" s="24"/>
      <c r="K2652" s="20"/>
      <c r="L2652" s="20"/>
      <c r="M2652" s="20"/>
      <c r="N2652" s="20"/>
      <c r="O2652" s="24"/>
      <c r="P2652" s="24"/>
      <c r="Q2652" s="25"/>
      <c r="R2652" s="24"/>
      <c r="S2652" s="20"/>
      <c r="T2652" s="24"/>
      <c r="U2652" s="27">
        <f>SUM(U2650:U2651)</f>
        <v>1201248</v>
      </c>
      <c r="V2652" s="27">
        <f>(J2649+U2652)</f>
        <v>1306248</v>
      </c>
      <c r="W2652" s="26">
        <f>(V2652*100/100)</f>
        <v>1306248</v>
      </c>
      <c r="X2652" s="28">
        <v>0</v>
      </c>
      <c r="Y2652" s="28">
        <f>(W2652)</f>
        <v>1306248</v>
      </c>
      <c r="Z2652" s="49">
        <v>2.0000000000000001E-4</v>
      </c>
    </row>
    <row r="2653" spans="1:26" s="29" customFormat="1" ht="90.75" customHeight="1" x14ac:dyDescent="0.25">
      <c r="A2653" s="20">
        <v>1399</v>
      </c>
      <c r="B2653" s="20" t="s">
        <v>0</v>
      </c>
      <c r="C2653" s="20">
        <v>48644</v>
      </c>
      <c r="D2653" s="21">
        <v>0</v>
      </c>
      <c r="E2653" s="21">
        <v>2</v>
      </c>
      <c r="F2653" s="22">
        <v>12.4</v>
      </c>
      <c r="G2653" s="23" t="s">
        <v>210</v>
      </c>
      <c r="H2653" s="36">
        <f t="shared" ref="H2653:H2662" si="539">(D2653*400)+(E2653*100)+F2653</f>
        <v>212.4</v>
      </c>
      <c r="I2653" s="25" t="s">
        <v>9</v>
      </c>
      <c r="J2653" s="24">
        <f>(H2653*I2653)</f>
        <v>63720</v>
      </c>
      <c r="K2653" s="20"/>
      <c r="L2653" s="20"/>
      <c r="M2653" s="20"/>
      <c r="N2653" s="20"/>
      <c r="O2653" s="24"/>
      <c r="P2653" s="24"/>
      <c r="Q2653" s="25"/>
      <c r="R2653" s="24"/>
      <c r="S2653" s="20" t="s">
        <v>2</v>
      </c>
      <c r="T2653" s="27"/>
      <c r="U2653" s="20"/>
      <c r="V2653" s="27">
        <f t="shared" ref="V2653:V2661" si="540">(J2653+U2653)</f>
        <v>63720</v>
      </c>
      <c r="W2653" s="26">
        <f t="shared" ref="W2653:W2661" si="541">(V2653*100/100)</f>
        <v>63720</v>
      </c>
      <c r="X2653" s="28">
        <v>0</v>
      </c>
      <c r="Y2653" s="28">
        <f t="shared" ref="Y2653:Y2661" si="542">(W2653)</f>
        <v>63720</v>
      </c>
      <c r="Z2653" s="49">
        <v>3.0000000000000001E-3</v>
      </c>
    </row>
    <row r="2654" spans="1:26" s="29" customFormat="1" ht="90.75" customHeight="1" x14ac:dyDescent="0.25">
      <c r="A2654" s="20">
        <v>1400</v>
      </c>
      <c r="B2654" s="20" t="s">
        <v>0</v>
      </c>
      <c r="C2654" s="20">
        <v>67761</v>
      </c>
      <c r="D2654" s="21">
        <v>0</v>
      </c>
      <c r="E2654" s="21">
        <v>0</v>
      </c>
      <c r="F2654" s="22">
        <v>57.1</v>
      </c>
      <c r="G2654" s="23" t="s">
        <v>210</v>
      </c>
      <c r="H2654" s="36">
        <f t="shared" si="539"/>
        <v>57.1</v>
      </c>
      <c r="I2654" s="25" t="s">
        <v>9</v>
      </c>
      <c r="J2654" s="24">
        <f t="shared" ref="J2654:J2662" si="543">(H2654*I2654)</f>
        <v>17130</v>
      </c>
      <c r="K2654" s="20"/>
      <c r="L2654" s="20"/>
      <c r="M2654" s="20"/>
      <c r="N2654" s="20"/>
      <c r="O2654" s="24"/>
      <c r="P2654" s="24"/>
      <c r="Q2654" s="25"/>
      <c r="R2654" s="24"/>
      <c r="S2654" s="20"/>
      <c r="T2654" s="27"/>
      <c r="U2654" s="20"/>
      <c r="V2654" s="27">
        <f t="shared" si="540"/>
        <v>17130</v>
      </c>
      <c r="W2654" s="26">
        <f t="shared" si="541"/>
        <v>17130</v>
      </c>
      <c r="X2654" s="28">
        <v>0</v>
      </c>
      <c r="Y2654" s="28">
        <f t="shared" si="542"/>
        <v>17130</v>
      </c>
      <c r="Z2654" s="49">
        <v>3.0000000000000001E-3</v>
      </c>
    </row>
    <row r="2655" spans="1:26" s="29" customFormat="1" ht="90.75" customHeight="1" x14ac:dyDescent="0.25">
      <c r="A2655" s="20">
        <v>1401</v>
      </c>
      <c r="B2655" s="20" t="s">
        <v>0</v>
      </c>
      <c r="C2655" s="20">
        <v>67762</v>
      </c>
      <c r="D2655" s="21">
        <v>0</v>
      </c>
      <c r="E2655" s="21">
        <v>0</v>
      </c>
      <c r="F2655" s="22">
        <v>57.1</v>
      </c>
      <c r="G2655" s="23" t="s">
        <v>210</v>
      </c>
      <c r="H2655" s="36">
        <f t="shared" si="539"/>
        <v>57.1</v>
      </c>
      <c r="I2655" s="25" t="s">
        <v>9</v>
      </c>
      <c r="J2655" s="24">
        <f t="shared" si="543"/>
        <v>17130</v>
      </c>
      <c r="K2655" s="20"/>
      <c r="L2655" s="20"/>
      <c r="M2655" s="20"/>
      <c r="N2655" s="20"/>
      <c r="O2655" s="24"/>
      <c r="P2655" s="24"/>
      <c r="Q2655" s="25"/>
      <c r="R2655" s="24"/>
      <c r="S2655" s="20"/>
      <c r="T2655" s="27"/>
      <c r="U2655" s="20"/>
      <c r="V2655" s="27">
        <f t="shared" si="540"/>
        <v>17130</v>
      </c>
      <c r="W2655" s="26">
        <f t="shared" si="541"/>
        <v>17130</v>
      </c>
      <c r="X2655" s="28">
        <v>0</v>
      </c>
      <c r="Y2655" s="28">
        <f t="shared" si="542"/>
        <v>17130</v>
      </c>
      <c r="Z2655" s="49">
        <v>3.0000000000000001E-3</v>
      </c>
    </row>
    <row r="2656" spans="1:26" s="29" customFormat="1" ht="90.75" customHeight="1" x14ac:dyDescent="0.25">
      <c r="A2656" s="20">
        <v>1402</v>
      </c>
      <c r="B2656" s="20" t="s">
        <v>0</v>
      </c>
      <c r="C2656" s="20">
        <v>67763</v>
      </c>
      <c r="D2656" s="21">
        <v>0</v>
      </c>
      <c r="E2656" s="21">
        <v>0</v>
      </c>
      <c r="F2656" s="22">
        <v>57.1</v>
      </c>
      <c r="G2656" s="23" t="s">
        <v>210</v>
      </c>
      <c r="H2656" s="36">
        <f t="shared" si="539"/>
        <v>57.1</v>
      </c>
      <c r="I2656" s="25" t="s">
        <v>9</v>
      </c>
      <c r="J2656" s="24">
        <f t="shared" si="543"/>
        <v>17130</v>
      </c>
      <c r="K2656" s="20"/>
      <c r="L2656" s="20"/>
      <c r="M2656" s="20"/>
      <c r="N2656" s="20"/>
      <c r="O2656" s="24"/>
      <c r="P2656" s="24"/>
      <c r="Q2656" s="25"/>
      <c r="R2656" s="24"/>
      <c r="S2656" s="20"/>
      <c r="T2656" s="27"/>
      <c r="U2656" s="20"/>
      <c r="V2656" s="27">
        <f t="shared" si="540"/>
        <v>17130</v>
      </c>
      <c r="W2656" s="26">
        <f t="shared" si="541"/>
        <v>17130</v>
      </c>
      <c r="X2656" s="28">
        <v>0</v>
      </c>
      <c r="Y2656" s="28">
        <f t="shared" si="542"/>
        <v>17130</v>
      </c>
      <c r="Z2656" s="49">
        <v>3.0000000000000001E-3</v>
      </c>
    </row>
    <row r="2657" spans="1:26" s="29" customFormat="1" ht="90.75" customHeight="1" x14ac:dyDescent="0.25">
      <c r="A2657" s="20">
        <v>1403</v>
      </c>
      <c r="B2657" s="20" t="s">
        <v>0</v>
      </c>
      <c r="C2657" s="20">
        <v>67764</v>
      </c>
      <c r="D2657" s="21">
        <v>0</v>
      </c>
      <c r="E2657" s="21">
        <v>0</v>
      </c>
      <c r="F2657" s="22">
        <v>69.7</v>
      </c>
      <c r="G2657" s="23" t="s">
        <v>210</v>
      </c>
      <c r="H2657" s="36">
        <f t="shared" si="539"/>
        <v>69.7</v>
      </c>
      <c r="I2657" s="25" t="s">
        <v>9</v>
      </c>
      <c r="J2657" s="24">
        <f t="shared" si="543"/>
        <v>20910</v>
      </c>
      <c r="K2657" s="20"/>
      <c r="L2657" s="20"/>
      <c r="M2657" s="20"/>
      <c r="N2657" s="20"/>
      <c r="O2657" s="24"/>
      <c r="P2657" s="24"/>
      <c r="Q2657" s="25"/>
      <c r="R2657" s="24"/>
      <c r="S2657" s="20"/>
      <c r="T2657" s="27"/>
      <c r="U2657" s="20"/>
      <c r="V2657" s="27">
        <f t="shared" si="540"/>
        <v>20910</v>
      </c>
      <c r="W2657" s="26">
        <f t="shared" si="541"/>
        <v>20910</v>
      </c>
      <c r="X2657" s="28">
        <v>0</v>
      </c>
      <c r="Y2657" s="28">
        <f t="shared" si="542"/>
        <v>20910</v>
      </c>
      <c r="Z2657" s="49">
        <v>3.0000000000000001E-3</v>
      </c>
    </row>
    <row r="2658" spans="1:26" s="29" customFormat="1" ht="90.75" customHeight="1" x14ac:dyDescent="0.25">
      <c r="A2658" s="20">
        <v>1404</v>
      </c>
      <c r="B2658" s="20" t="s">
        <v>0</v>
      </c>
      <c r="C2658" s="20">
        <v>67765</v>
      </c>
      <c r="D2658" s="21">
        <v>0</v>
      </c>
      <c r="E2658" s="21">
        <v>0</v>
      </c>
      <c r="F2658" s="22">
        <v>83.6</v>
      </c>
      <c r="G2658" s="23" t="s">
        <v>210</v>
      </c>
      <c r="H2658" s="36">
        <f t="shared" si="539"/>
        <v>83.6</v>
      </c>
      <c r="I2658" s="25" t="s">
        <v>9</v>
      </c>
      <c r="J2658" s="24">
        <f t="shared" si="543"/>
        <v>25080</v>
      </c>
      <c r="K2658" s="20"/>
      <c r="L2658" s="20"/>
      <c r="M2658" s="20"/>
      <c r="N2658" s="20"/>
      <c r="O2658" s="24"/>
      <c r="P2658" s="24"/>
      <c r="Q2658" s="25"/>
      <c r="R2658" s="24"/>
      <c r="S2658" s="20"/>
      <c r="T2658" s="27"/>
      <c r="U2658" s="20"/>
      <c r="V2658" s="27">
        <f t="shared" si="540"/>
        <v>25080</v>
      </c>
      <c r="W2658" s="26">
        <f t="shared" si="541"/>
        <v>25080</v>
      </c>
      <c r="X2658" s="28">
        <v>0</v>
      </c>
      <c r="Y2658" s="28">
        <f t="shared" si="542"/>
        <v>25080</v>
      </c>
      <c r="Z2658" s="49">
        <v>3.0000000000000001E-3</v>
      </c>
    </row>
    <row r="2659" spans="1:26" s="29" customFormat="1" ht="90.75" customHeight="1" x14ac:dyDescent="0.25">
      <c r="A2659" s="20">
        <v>1405</v>
      </c>
      <c r="B2659" s="20" t="s">
        <v>0</v>
      </c>
      <c r="C2659" s="20">
        <v>67766</v>
      </c>
      <c r="D2659" s="21">
        <v>0</v>
      </c>
      <c r="E2659" s="21">
        <v>0</v>
      </c>
      <c r="F2659" s="22">
        <v>76.400000000000006</v>
      </c>
      <c r="G2659" s="23" t="s">
        <v>210</v>
      </c>
      <c r="H2659" s="36">
        <f t="shared" si="539"/>
        <v>76.400000000000006</v>
      </c>
      <c r="I2659" s="25" t="s">
        <v>9</v>
      </c>
      <c r="J2659" s="24">
        <f t="shared" si="543"/>
        <v>22920</v>
      </c>
      <c r="K2659" s="20"/>
      <c r="L2659" s="20"/>
      <c r="M2659" s="20"/>
      <c r="N2659" s="20"/>
      <c r="O2659" s="24"/>
      <c r="P2659" s="24"/>
      <c r="Q2659" s="25"/>
      <c r="R2659" s="24"/>
      <c r="S2659" s="20"/>
      <c r="T2659" s="27"/>
      <c r="U2659" s="20"/>
      <c r="V2659" s="27">
        <f t="shared" si="540"/>
        <v>22920</v>
      </c>
      <c r="W2659" s="26">
        <f t="shared" si="541"/>
        <v>22920</v>
      </c>
      <c r="X2659" s="28">
        <v>0</v>
      </c>
      <c r="Y2659" s="28">
        <f t="shared" si="542"/>
        <v>22920</v>
      </c>
      <c r="Z2659" s="49">
        <v>3.0000000000000001E-3</v>
      </c>
    </row>
    <row r="2660" spans="1:26" s="29" customFormat="1" ht="90.75" customHeight="1" x14ac:dyDescent="0.25">
      <c r="A2660" s="20">
        <v>1406</v>
      </c>
      <c r="B2660" s="20" t="s">
        <v>0</v>
      </c>
      <c r="C2660" s="20">
        <v>67767</v>
      </c>
      <c r="D2660" s="21">
        <v>0</v>
      </c>
      <c r="E2660" s="21">
        <v>0</v>
      </c>
      <c r="F2660" s="22">
        <v>57.4</v>
      </c>
      <c r="G2660" s="23" t="s">
        <v>56</v>
      </c>
      <c r="H2660" s="36">
        <f t="shared" si="539"/>
        <v>57.4</v>
      </c>
      <c r="I2660" s="25" t="s">
        <v>9</v>
      </c>
      <c r="J2660" s="24">
        <f t="shared" si="543"/>
        <v>17220</v>
      </c>
      <c r="K2660" s="20">
        <v>1</v>
      </c>
      <c r="L2660" s="20" t="s">
        <v>16</v>
      </c>
      <c r="M2660" s="20" t="s">
        <v>13</v>
      </c>
      <c r="N2660" s="20">
        <v>2</v>
      </c>
      <c r="O2660" s="24">
        <v>54</v>
      </c>
      <c r="P2660" s="24">
        <v>100</v>
      </c>
      <c r="Q2660" s="25">
        <v>6450</v>
      </c>
      <c r="R2660" s="24">
        <f>(O2660*Q2660)</f>
        <v>348300</v>
      </c>
      <c r="S2660" s="20">
        <v>1</v>
      </c>
      <c r="T2660" s="24">
        <f>(R2660*1/100)</f>
        <v>3483</v>
      </c>
      <c r="U2660" s="27">
        <f>(R2660-T2660)</f>
        <v>344817</v>
      </c>
      <c r="V2660" s="27">
        <f>(J2660+U2660)</f>
        <v>362037</v>
      </c>
      <c r="W2660" s="26">
        <f>(V2660*100/100)</f>
        <v>362037</v>
      </c>
      <c r="X2660" s="28">
        <v>0</v>
      </c>
      <c r="Y2660" s="28">
        <f t="shared" si="542"/>
        <v>362037</v>
      </c>
      <c r="Z2660" s="49">
        <v>3.0000000000000001E-3</v>
      </c>
    </row>
    <row r="2661" spans="1:26" s="29" customFormat="1" ht="90.75" customHeight="1" x14ac:dyDescent="0.25">
      <c r="A2661" s="20">
        <v>1407</v>
      </c>
      <c r="B2661" s="20" t="s">
        <v>0</v>
      </c>
      <c r="C2661" s="20">
        <v>67768</v>
      </c>
      <c r="D2661" s="21">
        <v>0</v>
      </c>
      <c r="E2661" s="21">
        <v>0</v>
      </c>
      <c r="F2661" s="22">
        <v>57.4</v>
      </c>
      <c r="G2661" s="23" t="s">
        <v>56</v>
      </c>
      <c r="H2661" s="36">
        <f t="shared" si="539"/>
        <v>57.4</v>
      </c>
      <c r="I2661" s="25">
        <v>300</v>
      </c>
      <c r="J2661" s="24">
        <f t="shared" si="543"/>
        <v>17220</v>
      </c>
      <c r="K2661" s="20">
        <v>1</v>
      </c>
      <c r="L2661" s="20" t="s">
        <v>16</v>
      </c>
      <c r="M2661" s="20" t="s">
        <v>13</v>
      </c>
      <c r="N2661" s="20">
        <v>2</v>
      </c>
      <c r="O2661" s="24">
        <v>54</v>
      </c>
      <c r="P2661" s="24">
        <v>100</v>
      </c>
      <c r="Q2661" s="25">
        <v>6450</v>
      </c>
      <c r="R2661" s="24">
        <f>(O2661*Q2661)</f>
        <v>348300</v>
      </c>
      <c r="S2661" s="20">
        <v>1</v>
      </c>
      <c r="T2661" s="24">
        <f>(R2661*1/100)</f>
        <v>3483</v>
      </c>
      <c r="U2661" s="27">
        <f>(R2661-T2661)</f>
        <v>344817</v>
      </c>
      <c r="V2661" s="27">
        <f t="shared" si="540"/>
        <v>362037</v>
      </c>
      <c r="W2661" s="26">
        <f t="shared" si="541"/>
        <v>362037</v>
      </c>
      <c r="X2661" s="28">
        <v>0</v>
      </c>
      <c r="Y2661" s="28">
        <f t="shared" si="542"/>
        <v>362037</v>
      </c>
      <c r="Z2661" s="49">
        <v>3.0000000000000001E-3</v>
      </c>
    </row>
    <row r="2662" spans="1:26" s="29" customFormat="1" ht="90.75" customHeight="1" x14ac:dyDescent="0.25">
      <c r="A2662" s="20">
        <v>1408</v>
      </c>
      <c r="B2662" s="20" t="s">
        <v>0</v>
      </c>
      <c r="C2662" s="20">
        <v>14931</v>
      </c>
      <c r="D2662" s="21">
        <v>2</v>
      </c>
      <c r="E2662" s="21">
        <v>2</v>
      </c>
      <c r="F2662" s="22">
        <v>33</v>
      </c>
      <c r="G2662" s="23" t="s">
        <v>211</v>
      </c>
      <c r="H2662" s="36">
        <f t="shared" si="539"/>
        <v>1033</v>
      </c>
      <c r="I2662" s="25">
        <v>750</v>
      </c>
      <c r="J2662" s="24">
        <f t="shared" si="543"/>
        <v>774750</v>
      </c>
      <c r="K2662" s="37">
        <v>1</v>
      </c>
      <c r="L2662" s="31" t="s">
        <v>215</v>
      </c>
      <c r="M2662" s="31" t="s">
        <v>13</v>
      </c>
      <c r="N2662" s="41">
        <v>5</v>
      </c>
      <c r="O2662" s="46">
        <v>186</v>
      </c>
      <c r="P2662" s="86">
        <v>100</v>
      </c>
      <c r="Q2662" s="36">
        <v>6450</v>
      </c>
      <c r="R2662" s="36">
        <f>(O2662*Q2662)</f>
        <v>1199700</v>
      </c>
      <c r="S2662" s="37">
        <v>9</v>
      </c>
      <c r="T2662" s="28">
        <f>(R2662*9/100)</f>
        <v>107973</v>
      </c>
      <c r="U2662" s="36">
        <f>(R2662-T2662)</f>
        <v>1091727</v>
      </c>
      <c r="V2662" s="36">
        <f>(J2662+U2662)</f>
        <v>1866477</v>
      </c>
      <c r="W2662" s="36">
        <f>(V2662*100/100)</f>
        <v>1866477</v>
      </c>
      <c r="X2662" s="28"/>
      <c r="Y2662" s="28"/>
      <c r="Z2662" s="20"/>
    </row>
    <row r="2663" spans="1:26" s="29" customFormat="1" ht="90.75" customHeight="1" x14ac:dyDescent="0.25">
      <c r="A2663" s="20"/>
      <c r="B2663" s="20"/>
      <c r="C2663" s="20"/>
      <c r="D2663" s="21"/>
      <c r="E2663" s="21"/>
      <c r="F2663" s="22"/>
      <c r="G2663" s="23"/>
      <c r="H2663" s="24"/>
      <c r="I2663" s="25"/>
      <c r="J2663" s="24"/>
      <c r="K2663" s="37"/>
      <c r="L2663" s="31" t="s">
        <v>42</v>
      </c>
      <c r="M2663" s="31"/>
      <c r="N2663" s="41">
        <v>2</v>
      </c>
      <c r="O2663" s="46">
        <v>152</v>
      </c>
      <c r="P2663" s="86">
        <v>81.72</v>
      </c>
      <c r="Q2663" s="36"/>
      <c r="R2663" s="36"/>
      <c r="S2663" s="37"/>
      <c r="T2663" s="28"/>
      <c r="U2663" s="36"/>
      <c r="V2663" s="36"/>
      <c r="W2663" s="36">
        <f>(W2662*81.72/100)</f>
        <v>1525285.0044</v>
      </c>
      <c r="X2663" s="28">
        <v>50000000</v>
      </c>
      <c r="Y2663" s="28"/>
      <c r="Z2663" s="49"/>
    </row>
    <row r="2664" spans="1:26" s="29" customFormat="1" ht="90.75" customHeight="1" x14ac:dyDescent="0.25">
      <c r="A2664" s="20"/>
      <c r="B2664" s="20"/>
      <c r="C2664" s="20"/>
      <c r="D2664" s="21"/>
      <c r="E2664" s="21"/>
      <c r="F2664" s="22"/>
      <c r="G2664" s="23"/>
      <c r="H2664" s="24"/>
      <c r="I2664" s="25"/>
      <c r="J2664" s="24"/>
      <c r="K2664" s="37"/>
      <c r="L2664" s="31" t="s">
        <v>36</v>
      </c>
      <c r="M2664" s="31" t="s">
        <v>13</v>
      </c>
      <c r="N2664" s="41">
        <v>3</v>
      </c>
      <c r="O2664" s="46">
        <v>34</v>
      </c>
      <c r="P2664" s="86">
        <v>18.28</v>
      </c>
      <c r="Q2664" s="36"/>
      <c r="R2664" s="36"/>
      <c r="S2664" s="37"/>
      <c r="T2664" s="28"/>
      <c r="U2664" s="36"/>
      <c r="V2664" s="36"/>
      <c r="W2664" s="36">
        <f>(W2662*18.28/100)</f>
        <v>341191.99560000002</v>
      </c>
      <c r="X2664" s="28">
        <v>0</v>
      </c>
      <c r="Y2664" s="28">
        <f>(W2664-X2664)</f>
        <v>341191.99560000002</v>
      </c>
      <c r="Z2664" s="49">
        <v>3.0000000000000001E-3</v>
      </c>
    </row>
    <row r="2665" spans="1:26" s="29" customFormat="1" ht="90.75" customHeight="1" x14ac:dyDescent="0.25">
      <c r="A2665" s="20">
        <v>1409</v>
      </c>
      <c r="B2665" s="20" t="s">
        <v>0</v>
      </c>
      <c r="C2665" s="20">
        <v>11322</v>
      </c>
      <c r="D2665" s="21">
        <v>2</v>
      </c>
      <c r="E2665" s="21">
        <v>3</v>
      </c>
      <c r="F2665" s="22">
        <v>84</v>
      </c>
      <c r="G2665" s="23" t="s">
        <v>56</v>
      </c>
      <c r="H2665" s="36">
        <f t="shared" ref="H2665" si="544">(D2665*400)+(E2665*100)+F2665</f>
        <v>1184</v>
      </c>
      <c r="I2665" s="25" t="s">
        <v>75</v>
      </c>
      <c r="J2665" s="24">
        <f t="shared" ref="J2665" si="545">(H2665*I2665)</f>
        <v>740000</v>
      </c>
      <c r="K2665" s="20"/>
      <c r="L2665" s="20"/>
      <c r="M2665" s="20"/>
      <c r="N2665" s="20"/>
      <c r="O2665" s="24"/>
      <c r="P2665" s="24"/>
      <c r="Q2665" s="25"/>
      <c r="R2665" s="24"/>
      <c r="S2665" s="20"/>
      <c r="T2665" s="27"/>
      <c r="U2665" s="20"/>
      <c r="V2665" s="20"/>
      <c r="W2665" s="26"/>
      <c r="X2665" s="27"/>
      <c r="Y2665" s="20"/>
      <c r="Z2665" s="20"/>
    </row>
    <row r="2666" spans="1:26" s="29" customFormat="1" ht="90.75" customHeight="1" x14ac:dyDescent="0.25">
      <c r="A2666" s="20"/>
      <c r="B2666" s="20"/>
      <c r="C2666" s="20"/>
      <c r="D2666" s="21"/>
      <c r="E2666" s="21"/>
      <c r="F2666" s="22"/>
      <c r="G2666" s="23"/>
      <c r="H2666" s="24"/>
      <c r="I2666" s="25"/>
      <c r="J2666" s="24"/>
      <c r="K2666" s="31">
        <v>1</v>
      </c>
      <c r="L2666" s="31" t="s">
        <v>215</v>
      </c>
      <c r="M2666" s="31" t="s">
        <v>40</v>
      </c>
      <c r="N2666" s="51">
        <v>2</v>
      </c>
      <c r="O2666" s="48">
        <v>28</v>
      </c>
      <c r="P2666" s="43">
        <v>100</v>
      </c>
      <c r="Q2666" s="48">
        <v>6450</v>
      </c>
      <c r="R2666" s="48">
        <f t="shared" ref="R2666:R2675" si="546">(O2666*Q2666)</f>
        <v>180600</v>
      </c>
      <c r="S2666" s="31">
        <v>5</v>
      </c>
      <c r="T2666" s="45">
        <f>(R2666*15/100)</f>
        <v>27090</v>
      </c>
      <c r="U2666" s="36">
        <f>(R2666-T2666)</f>
        <v>153510</v>
      </c>
      <c r="V2666" s="36"/>
      <c r="W2666" s="36"/>
      <c r="X2666" s="28"/>
      <c r="Y2666" s="28"/>
      <c r="Z2666" s="20"/>
    </row>
    <row r="2667" spans="1:26" s="29" customFormat="1" ht="90.75" customHeight="1" x14ac:dyDescent="0.25">
      <c r="A2667" s="20"/>
      <c r="B2667" s="20"/>
      <c r="C2667" s="20"/>
      <c r="D2667" s="21"/>
      <c r="E2667" s="21"/>
      <c r="F2667" s="22"/>
      <c r="G2667" s="23"/>
      <c r="H2667" s="24"/>
      <c r="I2667" s="25"/>
      <c r="J2667" s="24"/>
      <c r="K2667" s="31"/>
      <c r="L2667" s="31" t="s">
        <v>31</v>
      </c>
      <c r="M2667" s="31"/>
      <c r="N2667" s="51">
        <v>2</v>
      </c>
      <c r="O2667" s="48">
        <v>18</v>
      </c>
      <c r="P2667" s="43">
        <v>100</v>
      </c>
      <c r="Q2667" s="48">
        <v>2550</v>
      </c>
      <c r="R2667" s="48">
        <f t="shared" si="546"/>
        <v>45900</v>
      </c>
      <c r="S2667" s="31"/>
      <c r="T2667" s="45">
        <f t="shared" ref="T2667:T2675" si="547">(R2667*15/100)</f>
        <v>6885</v>
      </c>
      <c r="U2667" s="36">
        <f t="shared" ref="U2667:U2675" si="548">(R2667-T2667)</f>
        <v>39015</v>
      </c>
      <c r="V2667" s="36"/>
      <c r="W2667" s="36"/>
      <c r="X2667" s="28"/>
      <c r="Y2667" s="28"/>
      <c r="Z2667" s="20"/>
    </row>
    <row r="2668" spans="1:26" s="29" customFormat="1" ht="90.75" customHeight="1" x14ac:dyDescent="0.25">
      <c r="A2668" s="20"/>
      <c r="B2668" s="20"/>
      <c r="C2668" s="20"/>
      <c r="D2668" s="21"/>
      <c r="E2668" s="21"/>
      <c r="F2668" s="22"/>
      <c r="G2668" s="23"/>
      <c r="H2668" s="24"/>
      <c r="I2668" s="25"/>
      <c r="J2668" s="24"/>
      <c r="K2668" s="31">
        <v>2</v>
      </c>
      <c r="L2668" s="31" t="s">
        <v>215</v>
      </c>
      <c r="M2668" s="31" t="s">
        <v>40</v>
      </c>
      <c r="N2668" s="51">
        <v>2</v>
      </c>
      <c r="O2668" s="48">
        <v>28</v>
      </c>
      <c r="P2668" s="43">
        <v>100</v>
      </c>
      <c r="Q2668" s="48">
        <v>6450</v>
      </c>
      <c r="R2668" s="48">
        <f t="shared" si="546"/>
        <v>180600</v>
      </c>
      <c r="S2668" s="31">
        <v>5</v>
      </c>
      <c r="T2668" s="45">
        <f t="shared" si="547"/>
        <v>27090</v>
      </c>
      <c r="U2668" s="36">
        <f t="shared" si="548"/>
        <v>153510</v>
      </c>
      <c r="V2668" s="36"/>
      <c r="W2668" s="36"/>
      <c r="X2668" s="28"/>
      <c r="Y2668" s="28"/>
      <c r="Z2668" s="20"/>
    </row>
    <row r="2669" spans="1:26" s="29" customFormat="1" ht="90.75" customHeight="1" x14ac:dyDescent="0.25">
      <c r="A2669" s="20"/>
      <c r="B2669" s="20"/>
      <c r="C2669" s="20"/>
      <c r="D2669" s="21"/>
      <c r="E2669" s="21"/>
      <c r="F2669" s="22"/>
      <c r="G2669" s="23"/>
      <c r="H2669" s="24"/>
      <c r="I2669" s="25"/>
      <c r="J2669" s="24"/>
      <c r="K2669" s="31"/>
      <c r="L2669" s="31" t="s">
        <v>31</v>
      </c>
      <c r="M2669" s="31"/>
      <c r="N2669" s="51">
        <v>2</v>
      </c>
      <c r="O2669" s="48">
        <v>18</v>
      </c>
      <c r="P2669" s="43">
        <v>100</v>
      </c>
      <c r="Q2669" s="48">
        <v>2550</v>
      </c>
      <c r="R2669" s="48">
        <f t="shared" si="546"/>
        <v>45900</v>
      </c>
      <c r="S2669" s="31"/>
      <c r="T2669" s="45">
        <f t="shared" si="547"/>
        <v>6885</v>
      </c>
      <c r="U2669" s="36">
        <f t="shared" si="548"/>
        <v>39015</v>
      </c>
      <c r="V2669" s="36"/>
      <c r="W2669" s="36"/>
      <c r="X2669" s="28"/>
      <c r="Y2669" s="28"/>
      <c r="Z2669" s="20"/>
    </row>
    <row r="2670" spans="1:26" s="29" customFormat="1" ht="90.75" customHeight="1" x14ac:dyDescent="0.25">
      <c r="A2670" s="20"/>
      <c r="B2670" s="20"/>
      <c r="C2670" s="20"/>
      <c r="D2670" s="21"/>
      <c r="E2670" s="21"/>
      <c r="F2670" s="22"/>
      <c r="G2670" s="23"/>
      <c r="H2670" s="24"/>
      <c r="I2670" s="25"/>
      <c r="J2670" s="24"/>
      <c r="K2670" s="31">
        <v>3</v>
      </c>
      <c r="L2670" s="31" t="s">
        <v>215</v>
      </c>
      <c r="M2670" s="31" t="s">
        <v>40</v>
      </c>
      <c r="N2670" s="51">
        <v>2</v>
      </c>
      <c r="O2670" s="48">
        <v>28</v>
      </c>
      <c r="P2670" s="43">
        <v>100</v>
      </c>
      <c r="Q2670" s="48">
        <v>6450</v>
      </c>
      <c r="R2670" s="48">
        <f t="shared" si="546"/>
        <v>180600</v>
      </c>
      <c r="S2670" s="31">
        <v>5</v>
      </c>
      <c r="T2670" s="45">
        <f t="shared" si="547"/>
        <v>27090</v>
      </c>
      <c r="U2670" s="36">
        <f t="shared" si="548"/>
        <v>153510</v>
      </c>
      <c r="V2670" s="36"/>
      <c r="W2670" s="36"/>
      <c r="X2670" s="28"/>
      <c r="Y2670" s="28"/>
      <c r="Z2670" s="20"/>
    </row>
    <row r="2671" spans="1:26" s="29" customFormat="1" ht="90.75" customHeight="1" x14ac:dyDescent="0.25">
      <c r="A2671" s="20"/>
      <c r="B2671" s="20"/>
      <c r="C2671" s="20"/>
      <c r="D2671" s="21"/>
      <c r="E2671" s="21"/>
      <c r="F2671" s="22"/>
      <c r="G2671" s="23"/>
      <c r="H2671" s="24"/>
      <c r="I2671" s="25"/>
      <c r="J2671" s="24"/>
      <c r="K2671" s="31"/>
      <c r="L2671" s="31" t="s">
        <v>31</v>
      </c>
      <c r="M2671" s="31"/>
      <c r="N2671" s="51">
        <v>2</v>
      </c>
      <c r="O2671" s="48">
        <v>18</v>
      </c>
      <c r="P2671" s="43">
        <v>100</v>
      </c>
      <c r="Q2671" s="48">
        <v>2550</v>
      </c>
      <c r="R2671" s="48">
        <f t="shared" si="546"/>
        <v>45900</v>
      </c>
      <c r="S2671" s="31"/>
      <c r="T2671" s="45">
        <f t="shared" si="547"/>
        <v>6885</v>
      </c>
      <c r="U2671" s="36">
        <f t="shared" si="548"/>
        <v>39015</v>
      </c>
      <c r="V2671" s="36"/>
      <c r="W2671" s="36"/>
      <c r="X2671" s="28"/>
      <c r="Y2671" s="28"/>
      <c r="Z2671" s="20"/>
    </row>
    <row r="2672" spans="1:26" s="29" customFormat="1" ht="90.75" customHeight="1" x14ac:dyDescent="0.25">
      <c r="A2672" s="20"/>
      <c r="B2672" s="20"/>
      <c r="C2672" s="20"/>
      <c r="D2672" s="21"/>
      <c r="E2672" s="21"/>
      <c r="F2672" s="22"/>
      <c r="G2672" s="23"/>
      <c r="H2672" s="24"/>
      <c r="I2672" s="25"/>
      <c r="J2672" s="24"/>
      <c r="K2672" s="31">
        <v>4</v>
      </c>
      <c r="L2672" s="31" t="s">
        <v>215</v>
      </c>
      <c r="M2672" s="31" t="s">
        <v>40</v>
      </c>
      <c r="N2672" s="51">
        <v>2</v>
      </c>
      <c r="O2672" s="48">
        <v>28</v>
      </c>
      <c r="P2672" s="43">
        <v>100</v>
      </c>
      <c r="Q2672" s="48">
        <v>6450</v>
      </c>
      <c r="R2672" s="48">
        <f t="shared" si="546"/>
        <v>180600</v>
      </c>
      <c r="S2672" s="31">
        <v>5</v>
      </c>
      <c r="T2672" s="45">
        <f t="shared" si="547"/>
        <v>27090</v>
      </c>
      <c r="U2672" s="36">
        <f t="shared" si="548"/>
        <v>153510</v>
      </c>
      <c r="V2672" s="36"/>
      <c r="W2672" s="36"/>
      <c r="X2672" s="28"/>
      <c r="Y2672" s="28"/>
      <c r="Z2672" s="20"/>
    </row>
    <row r="2673" spans="1:26" s="29" customFormat="1" ht="90.75" customHeight="1" x14ac:dyDescent="0.25">
      <c r="A2673" s="20"/>
      <c r="B2673" s="20"/>
      <c r="C2673" s="20"/>
      <c r="D2673" s="21"/>
      <c r="E2673" s="21"/>
      <c r="F2673" s="22"/>
      <c r="G2673" s="23"/>
      <c r="H2673" s="24"/>
      <c r="I2673" s="25"/>
      <c r="J2673" s="24"/>
      <c r="K2673" s="31"/>
      <c r="L2673" s="31" t="s">
        <v>31</v>
      </c>
      <c r="M2673" s="31"/>
      <c r="N2673" s="51">
        <v>2</v>
      </c>
      <c r="O2673" s="48">
        <v>18</v>
      </c>
      <c r="P2673" s="43">
        <v>100</v>
      </c>
      <c r="Q2673" s="48">
        <v>2550</v>
      </c>
      <c r="R2673" s="48">
        <f t="shared" si="546"/>
        <v>45900</v>
      </c>
      <c r="S2673" s="31"/>
      <c r="T2673" s="45">
        <f t="shared" si="547"/>
        <v>6885</v>
      </c>
      <c r="U2673" s="36">
        <f t="shared" si="548"/>
        <v>39015</v>
      </c>
      <c r="V2673" s="36"/>
      <c r="W2673" s="36"/>
      <c r="X2673" s="28"/>
      <c r="Y2673" s="28"/>
      <c r="Z2673" s="20"/>
    </row>
    <row r="2674" spans="1:26" s="29" customFormat="1" ht="90.75" customHeight="1" x14ac:dyDescent="0.25">
      <c r="A2674" s="20"/>
      <c r="B2674" s="20"/>
      <c r="C2674" s="20"/>
      <c r="D2674" s="21"/>
      <c r="E2674" s="21"/>
      <c r="F2674" s="22"/>
      <c r="G2674" s="23"/>
      <c r="H2674" s="24"/>
      <c r="I2674" s="25"/>
      <c r="J2674" s="24"/>
      <c r="K2674" s="31">
        <v>5</v>
      </c>
      <c r="L2674" s="31" t="s">
        <v>215</v>
      </c>
      <c r="M2674" s="31" t="s">
        <v>40</v>
      </c>
      <c r="N2674" s="51">
        <v>2</v>
      </c>
      <c r="O2674" s="48">
        <v>28</v>
      </c>
      <c r="P2674" s="43">
        <v>100</v>
      </c>
      <c r="Q2674" s="48">
        <v>6450</v>
      </c>
      <c r="R2674" s="48">
        <f t="shared" si="546"/>
        <v>180600</v>
      </c>
      <c r="S2674" s="31">
        <v>5</v>
      </c>
      <c r="T2674" s="45">
        <f t="shared" si="547"/>
        <v>27090</v>
      </c>
      <c r="U2674" s="36">
        <f t="shared" si="548"/>
        <v>153510</v>
      </c>
      <c r="V2674" s="36"/>
      <c r="W2674" s="36"/>
      <c r="X2674" s="28"/>
      <c r="Y2674" s="28"/>
      <c r="Z2674" s="20"/>
    </row>
    <row r="2675" spans="1:26" s="29" customFormat="1" ht="90.75" customHeight="1" x14ac:dyDescent="0.25">
      <c r="A2675" s="20"/>
      <c r="B2675" s="20"/>
      <c r="C2675" s="20"/>
      <c r="D2675" s="21"/>
      <c r="E2675" s="21"/>
      <c r="F2675" s="22"/>
      <c r="G2675" s="23"/>
      <c r="H2675" s="24"/>
      <c r="I2675" s="25"/>
      <c r="J2675" s="24"/>
      <c r="K2675" s="31"/>
      <c r="L2675" s="31" t="s">
        <v>31</v>
      </c>
      <c r="M2675" s="31"/>
      <c r="N2675" s="51">
        <v>2</v>
      </c>
      <c r="O2675" s="48">
        <v>18</v>
      </c>
      <c r="P2675" s="43">
        <v>100</v>
      </c>
      <c r="Q2675" s="48">
        <v>2550</v>
      </c>
      <c r="R2675" s="48">
        <f t="shared" si="546"/>
        <v>45900</v>
      </c>
      <c r="S2675" s="31"/>
      <c r="T2675" s="45">
        <f t="shared" si="547"/>
        <v>6885</v>
      </c>
      <c r="U2675" s="36">
        <f t="shared" si="548"/>
        <v>39015</v>
      </c>
      <c r="V2675" s="36"/>
      <c r="W2675" s="36"/>
      <c r="X2675" s="28"/>
      <c r="Y2675" s="28"/>
      <c r="Z2675" s="20"/>
    </row>
    <row r="2676" spans="1:26" s="29" customFormat="1" ht="90.75" customHeight="1" x14ac:dyDescent="0.25">
      <c r="A2676" s="20"/>
      <c r="B2676" s="20"/>
      <c r="C2676" s="20"/>
      <c r="D2676" s="21"/>
      <c r="E2676" s="21"/>
      <c r="F2676" s="22"/>
      <c r="G2676" s="23"/>
      <c r="H2676" s="24"/>
      <c r="I2676" s="25"/>
      <c r="J2676" s="24"/>
      <c r="K2676" s="41"/>
      <c r="L2676" s="31"/>
      <c r="M2676" s="43"/>
      <c r="N2676" s="30"/>
      <c r="O2676" s="48"/>
      <c r="P2676" s="86"/>
      <c r="Q2676" s="44"/>
      <c r="R2676" s="41"/>
      <c r="S2676" s="41"/>
      <c r="T2676" s="47"/>
      <c r="U2676" s="48">
        <f>SUM(U2666:U2675)</f>
        <v>962625</v>
      </c>
      <c r="V2676" s="48">
        <f>(J2665+U2676)</f>
        <v>1702625</v>
      </c>
      <c r="W2676" s="48">
        <f>(V2676*100/100)</f>
        <v>1702625</v>
      </c>
      <c r="X2676" s="47">
        <v>0</v>
      </c>
      <c r="Y2676" s="48">
        <f>(W2676-X2676)</f>
        <v>1702625</v>
      </c>
      <c r="Z2676" s="49">
        <v>2.0000000000000001E-4</v>
      </c>
    </row>
    <row r="2677" spans="1:26" s="29" customFormat="1" ht="90.75" customHeight="1" x14ac:dyDescent="0.25">
      <c r="A2677" s="20">
        <v>1410</v>
      </c>
      <c r="B2677" s="20" t="s">
        <v>0</v>
      </c>
      <c r="C2677" s="20">
        <v>7955</v>
      </c>
      <c r="D2677" s="21">
        <v>0</v>
      </c>
      <c r="E2677" s="21">
        <v>3</v>
      </c>
      <c r="F2677" s="22">
        <v>7</v>
      </c>
      <c r="G2677" s="23" t="s">
        <v>211</v>
      </c>
      <c r="H2677" s="36">
        <f t="shared" ref="H2677" si="549">(D2677*400)+(E2677*100)+F2677</f>
        <v>307</v>
      </c>
      <c r="I2677" s="25" t="s">
        <v>78</v>
      </c>
      <c r="J2677" s="24">
        <f t="shared" ref="J2677" si="550">(H2677*I2677)</f>
        <v>268625</v>
      </c>
      <c r="K2677" s="20"/>
      <c r="L2677" s="20"/>
      <c r="M2677" s="20"/>
      <c r="N2677" s="20"/>
      <c r="O2677" s="24"/>
      <c r="P2677" s="24"/>
      <c r="Q2677" s="25"/>
      <c r="R2677" s="24"/>
      <c r="S2677" s="20"/>
      <c r="T2677" s="27"/>
      <c r="U2677" s="20"/>
      <c r="V2677" s="20"/>
      <c r="W2677" s="26"/>
      <c r="X2677" s="27"/>
      <c r="Y2677" s="20"/>
      <c r="Z2677" s="20"/>
    </row>
    <row r="2678" spans="1:26" s="29" customFormat="1" ht="90.75" customHeight="1" x14ac:dyDescent="0.25">
      <c r="A2678" s="20"/>
      <c r="B2678" s="20"/>
      <c r="C2678" s="20"/>
      <c r="D2678" s="21"/>
      <c r="E2678" s="21"/>
      <c r="F2678" s="22"/>
      <c r="G2678" s="23"/>
      <c r="H2678" s="36">
        <v>278.87</v>
      </c>
      <c r="I2678" s="40">
        <v>875</v>
      </c>
      <c r="J2678" s="28">
        <f>(H2678*I2678)</f>
        <v>244011.25</v>
      </c>
      <c r="K2678" s="37">
        <v>1</v>
      </c>
      <c r="L2678" s="31" t="s">
        <v>215</v>
      </c>
      <c r="M2678" s="32" t="s">
        <v>40</v>
      </c>
      <c r="N2678" s="33">
        <v>2</v>
      </c>
      <c r="O2678" s="34">
        <v>86.4</v>
      </c>
      <c r="P2678" s="35">
        <v>100</v>
      </c>
      <c r="Q2678" s="36">
        <v>6450</v>
      </c>
      <c r="R2678" s="36">
        <f>(O2678*Q2678)</f>
        <v>557280</v>
      </c>
      <c r="S2678" s="37">
        <v>32</v>
      </c>
      <c r="T2678" s="28">
        <f>(R2678*93/100)</f>
        <v>518270.4</v>
      </c>
      <c r="U2678" s="36">
        <f>(R2678-T2678)</f>
        <v>39009.599999999977</v>
      </c>
      <c r="V2678" s="36"/>
      <c r="W2678" s="36"/>
      <c r="X2678" s="28"/>
      <c r="Y2678" s="28"/>
      <c r="Z2678" s="20"/>
    </row>
    <row r="2679" spans="1:26" s="29" customFormat="1" ht="90.75" customHeight="1" x14ac:dyDescent="0.25">
      <c r="A2679" s="20"/>
      <c r="B2679" s="20"/>
      <c r="C2679" s="20"/>
      <c r="D2679" s="21"/>
      <c r="E2679" s="21"/>
      <c r="F2679" s="22"/>
      <c r="G2679" s="23"/>
      <c r="H2679" s="36"/>
      <c r="I2679" s="40"/>
      <c r="J2679" s="28"/>
      <c r="K2679" s="37">
        <v>2</v>
      </c>
      <c r="L2679" s="31" t="s">
        <v>31</v>
      </c>
      <c r="M2679" s="32"/>
      <c r="N2679" s="33">
        <v>2</v>
      </c>
      <c r="O2679" s="34">
        <v>22</v>
      </c>
      <c r="P2679" s="35">
        <v>100</v>
      </c>
      <c r="Q2679" s="36">
        <v>2550</v>
      </c>
      <c r="R2679" s="36">
        <f>(O2679*Q2679)</f>
        <v>56100</v>
      </c>
      <c r="S2679" s="37">
        <v>32</v>
      </c>
      <c r="T2679" s="28">
        <f>(R2679*93/100)</f>
        <v>52173</v>
      </c>
      <c r="U2679" s="36">
        <f>(R2679-T2679)</f>
        <v>3927</v>
      </c>
      <c r="V2679" s="36"/>
      <c r="W2679" s="36"/>
      <c r="X2679" s="28"/>
      <c r="Y2679" s="28"/>
      <c r="Z2679" s="20"/>
    </row>
    <row r="2680" spans="1:26" s="29" customFormat="1" ht="90.75" customHeight="1" x14ac:dyDescent="0.25">
      <c r="A2680" s="20"/>
      <c r="B2680" s="20"/>
      <c r="C2680" s="20"/>
      <c r="D2680" s="21"/>
      <c r="E2680" s="21"/>
      <c r="F2680" s="22"/>
      <c r="G2680" s="23"/>
      <c r="H2680" s="36"/>
      <c r="I2680" s="40"/>
      <c r="J2680" s="28"/>
      <c r="K2680" s="37"/>
      <c r="L2680" s="31"/>
      <c r="M2680" s="32"/>
      <c r="N2680" s="33"/>
      <c r="O2680" s="34"/>
      <c r="P2680" s="35"/>
      <c r="Q2680" s="36"/>
      <c r="R2680" s="36"/>
      <c r="S2680" s="37"/>
      <c r="T2680" s="28"/>
      <c r="U2680" s="36">
        <f>(U2678+U2679)</f>
        <v>42936.599999999977</v>
      </c>
      <c r="V2680" s="36">
        <f>(J2678+U2680)</f>
        <v>286947.84999999998</v>
      </c>
      <c r="W2680" s="36">
        <f>(V2680*100/100)</f>
        <v>286947.84999999998</v>
      </c>
      <c r="X2680" s="28">
        <v>1000000</v>
      </c>
      <c r="Y2680" s="28"/>
      <c r="Z2680" s="49"/>
    </row>
    <row r="2681" spans="1:26" s="29" customFormat="1" ht="90.75" customHeight="1" x14ac:dyDescent="0.25">
      <c r="A2681" s="20"/>
      <c r="B2681" s="20"/>
      <c r="C2681" s="20"/>
      <c r="D2681" s="21"/>
      <c r="E2681" s="21"/>
      <c r="F2681" s="22"/>
      <c r="G2681" s="23"/>
      <c r="H2681" s="36">
        <f>(O2681*0.25)</f>
        <v>28.125</v>
      </c>
      <c r="I2681" s="40">
        <v>875</v>
      </c>
      <c r="J2681" s="28">
        <f>(H2681*I2681)</f>
        <v>24609.375</v>
      </c>
      <c r="K2681" s="37">
        <v>3</v>
      </c>
      <c r="L2681" s="31" t="s">
        <v>29</v>
      </c>
      <c r="M2681" s="32" t="s">
        <v>13</v>
      </c>
      <c r="N2681" s="33">
        <v>3</v>
      </c>
      <c r="O2681" s="34">
        <v>112.5</v>
      </c>
      <c r="P2681" s="35">
        <v>100</v>
      </c>
      <c r="Q2681" s="36">
        <v>5550</v>
      </c>
      <c r="R2681" s="36">
        <f>(O2681*Q2681)</f>
        <v>624375</v>
      </c>
      <c r="S2681" s="37">
        <v>12</v>
      </c>
      <c r="T2681" s="28">
        <f>(R2681*14/100)</f>
        <v>87412.5</v>
      </c>
      <c r="U2681" s="36">
        <f>(R2681-T2681)</f>
        <v>536962.5</v>
      </c>
      <c r="V2681" s="36">
        <f>(J2681+U2681)</f>
        <v>561571.875</v>
      </c>
      <c r="W2681" s="36">
        <f>(V2681*100/100)</f>
        <v>561571.875</v>
      </c>
      <c r="X2681" s="28">
        <v>0</v>
      </c>
      <c r="Y2681" s="28">
        <f>(W2681-X2681)</f>
        <v>561571.875</v>
      </c>
      <c r="Z2681" s="49">
        <v>3.0000000000000001E-3</v>
      </c>
    </row>
    <row r="2682" spans="1:26" s="29" customFormat="1" ht="90.75" customHeight="1" x14ac:dyDescent="0.25">
      <c r="A2682" s="20">
        <v>1411</v>
      </c>
      <c r="B2682" s="20" t="s">
        <v>0</v>
      </c>
      <c r="C2682" s="20">
        <v>7957</v>
      </c>
      <c r="D2682" s="21">
        <v>0</v>
      </c>
      <c r="E2682" s="21">
        <v>3</v>
      </c>
      <c r="F2682" s="22">
        <v>85</v>
      </c>
      <c r="G2682" s="23" t="s">
        <v>209</v>
      </c>
      <c r="H2682" s="36">
        <f t="shared" ref="H2682:H2713" si="551">(D2682*400)+(E2682*100)+F2682</f>
        <v>385</v>
      </c>
      <c r="I2682" s="25" t="s">
        <v>79</v>
      </c>
      <c r="J2682" s="24">
        <f t="shared" ref="J2682:J2713" si="552">(H2682*I2682)</f>
        <v>250250</v>
      </c>
      <c r="K2682" s="20">
        <v>1</v>
      </c>
      <c r="L2682" s="20" t="s">
        <v>15</v>
      </c>
      <c r="M2682" s="20" t="s">
        <v>51</v>
      </c>
      <c r="N2682" s="20">
        <v>3</v>
      </c>
      <c r="O2682" s="24">
        <v>120</v>
      </c>
      <c r="P2682" s="24">
        <v>100</v>
      </c>
      <c r="Q2682" s="25">
        <v>5950</v>
      </c>
      <c r="R2682" s="24">
        <f>(O2682*Q2682)</f>
        <v>714000</v>
      </c>
      <c r="S2682" s="20">
        <v>4</v>
      </c>
      <c r="T2682" s="24">
        <f>(R2682*4/100)</f>
        <v>28560</v>
      </c>
      <c r="U2682" s="27">
        <f>(R2682-T2682)</f>
        <v>685440</v>
      </c>
      <c r="V2682" s="26">
        <f>(J2682+U2682)</f>
        <v>935690</v>
      </c>
      <c r="W2682" s="26">
        <f>(V2682*100/100)</f>
        <v>935690</v>
      </c>
      <c r="X2682" s="28">
        <v>0</v>
      </c>
      <c r="Y2682" s="28">
        <f>(W2682-X2682)</f>
        <v>935690</v>
      </c>
      <c r="Z2682" s="49">
        <v>3.0000000000000001E-3</v>
      </c>
    </row>
    <row r="2683" spans="1:26" s="29" customFormat="1" ht="90.75" customHeight="1" x14ac:dyDescent="0.25">
      <c r="A2683" s="20">
        <v>1412</v>
      </c>
      <c r="B2683" s="20" t="s">
        <v>0</v>
      </c>
      <c r="C2683" s="20">
        <v>42020</v>
      </c>
      <c r="D2683" s="21">
        <v>0</v>
      </c>
      <c r="E2683" s="21">
        <v>0</v>
      </c>
      <c r="F2683" s="22">
        <v>38.299999999999997</v>
      </c>
      <c r="G2683" s="23" t="s">
        <v>56</v>
      </c>
      <c r="H2683" s="36">
        <f t="shared" si="551"/>
        <v>38.299999999999997</v>
      </c>
      <c r="I2683" s="25" t="s">
        <v>77</v>
      </c>
      <c r="J2683" s="24">
        <f t="shared" si="552"/>
        <v>28724.999999999996</v>
      </c>
      <c r="K2683" s="20"/>
      <c r="L2683" s="20"/>
      <c r="M2683" s="20"/>
      <c r="N2683" s="20"/>
      <c r="O2683" s="24"/>
      <c r="P2683" s="24"/>
      <c r="Q2683" s="25"/>
      <c r="R2683" s="24"/>
      <c r="S2683" s="20" t="s">
        <v>2</v>
      </c>
      <c r="T2683" s="27"/>
      <c r="U2683" s="20"/>
      <c r="V2683" s="27">
        <f t="shared" ref="V2683:V2711" si="553">(J2683+U2683)</f>
        <v>28724.999999999996</v>
      </c>
      <c r="W2683" s="26">
        <f t="shared" ref="W2683:W2712" si="554">(V2683*100/100)</f>
        <v>28724.999999999996</v>
      </c>
      <c r="X2683" s="28">
        <v>0</v>
      </c>
      <c r="Y2683" s="28">
        <f t="shared" ref="Y2683:Y2712" si="555">(W2683)</f>
        <v>28724.999999999996</v>
      </c>
      <c r="Z2683" s="49">
        <v>3.0000000000000001E-3</v>
      </c>
    </row>
    <row r="2684" spans="1:26" s="29" customFormat="1" ht="90.75" customHeight="1" x14ac:dyDescent="0.25">
      <c r="A2684" s="20">
        <v>1413</v>
      </c>
      <c r="B2684" s="20" t="s">
        <v>0</v>
      </c>
      <c r="C2684" s="20">
        <v>63764</v>
      </c>
      <c r="D2684" s="21">
        <v>0</v>
      </c>
      <c r="E2684" s="21">
        <v>3</v>
      </c>
      <c r="F2684" s="22">
        <v>0.8</v>
      </c>
      <c r="G2684" s="23" t="s">
        <v>56</v>
      </c>
      <c r="H2684" s="36">
        <f t="shared" si="551"/>
        <v>300.8</v>
      </c>
      <c r="I2684" s="25">
        <v>750</v>
      </c>
      <c r="J2684" s="24">
        <f t="shared" si="552"/>
        <v>225600</v>
      </c>
      <c r="K2684" s="20"/>
      <c r="L2684" s="20"/>
      <c r="M2684" s="20"/>
      <c r="N2684" s="20"/>
      <c r="O2684" s="24"/>
      <c r="P2684" s="24"/>
      <c r="Q2684" s="25"/>
      <c r="R2684" s="24"/>
      <c r="S2684" s="20"/>
      <c r="T2684" s="27"/>
      <c r="U2684" s="20"/>
      <c r="V2684" s="27">
        <f t="shared" si="553"/>
        <v>225600</v>
      </c>
      <c r="W2684" s="26">
        <f t="shared" si="554"/>
        <v>225600</v>
      </c>
      <c r="X2684" s="28">
        <v>0</v>
      </c>
      <c r="Y2684" s="28">
        <f t="shared" si="555"/>
        <v>225600</v>
      </c>
      <c r="Z2684" s="49">
        <v>3.0000000000000001E-3</v>
      </c>
    </row>
    <row r="2685" spans="1:26" s="29" customFormat="1" ht="90.75" customHeight="1" x14ac:dyDescent="0.25">
      <c r="A2685" s="20">
        <v>1414</v>
      </c>
      <c r="B2685" s="20" t="s">
        <v>0</v>
      </c>
      <c r="C2685" s="20">
        <v>63765</v>
      </c>
      <c r="D2685" s="21">
        <v>1</v>
      </c>
      <c r="E2685" s="21">
        <v>0</v>
      </c>
      <c r="F2685" s="22">
        <v>43.5</v>
      </c>
      <c r="G2685" s="23" t="s">
        <v>56</v>
      </c>
      <c r="H2685" s="36">
        <f t="shared" si="551"/>
        <v>443.5</v>
      </c>
      <c r="I2685" s="25">
        <v>750</v>
      </c>
      <c r="J2685" s="24">
        <f t="shared" si="552"/>
        <v>332625</v>
      </c>
      <c r="K2685" s="20"/>
      <c r="L2685" s="20"/>
      <c r="M2685" s="20"/>
      <c r="N2685" s="20"/>
      <c r="O2685" s="24"/>
      <c r="P2685" s="24"/>
      <c r="Q2685" s="25"/>
      <c r="R2685" s="24"/>
      <c r="S2685" s="20"/>
      <c r="T2685" s="27"/>
      <c r="U2685" s="20"/>
      <c r="V2685" s="27">
        <f t="shared" si="553"/>
        <v>332625</v>
      </c>
      <c r="W2685" s="26">
        <f t="shared" si="554"/>
        <v>332625</v>
      </c>
      <c r="X2685" s="28">
        <v>0</v>
      </c>
      <c r="Y2685" s="28">
        <f t="shared" si="555"/>
        <v>332625</v>
      </c>
      <c r="Z2685" s="49">
        <v>3.0000000000000001E-3</v>
      </c>
    </row>
    <row r="2686" spans="1:26" s="29" customFormat="1" ht="90.75" customHeight="1" x14ac:dyDescent="0.25">
      <c r="A2686" s="20">
        <v>1415</v>
      </c>
      <c r="B2686" s="20" t="s">
        <v>0</v>
      </c>
      <c r="C2686" s="20">
        <v>63766</v>
      </c>
      <c r="D2686" s="21">
        <v>0</v>
      </c>
      <c r="E2686" s="21">
        <v>0</v>
      </c>
      <c r="F2686" s="22">
        <v>22.5</v>
      </c>
      <c r="G2686" s="23" t="s">
        <v>56</v>
      </c>
      <c r="H2686" s="36">
        <f t="shared" si="551"/>
        <v>22.5</v>
      </c>
      <c r="I2686" s="25">
        <v>750</v>
      </c>
      <c r="J2686" s="24">
        <f t="shared" si="552"/>
        <v>16875</v>
      </c>
      <c r="K2686" s="20"/>
      <c r="L2686" s="20"/>
      <c r="M2686" s="20"/>
      <c r="N2686" s="20"/>
      <c r="O2686" s="24"/>
      <c r="P2686" s="24"/>
      <c r="Q2686" s="25"/>
      <c r="R2686" s="24"/>
      <c r="S2686" s="20"/>
      <c r="T2686" s="27"/>
      <c r="U2686" s="20"/>
      <c r="V2686" s="27">
        <f t="shared" si="553"/>
        <v>16875</v>
      </c>
      <c r="W2686" s="26">
        <f t="shared" si="554"/>
        <v>16875</v>
      </c>
      <c r="X2686" s="28">
        <v>0</v>
      </c>
      <c r="Y2686" s="28">
        <f t="shared" si="555"/>
        <v>16875</v>
      </c>
      <c r="Z2686" s="49">
        <v>3.0000000000000001E-3</v>
      </c>
    </row>
    <row r="2687" spans="1:26" s="29" customFormat="1" ht="90.75" customHeight="1" x14ac:dyDescent="0.25">
      <c r="A2687" s="20">
        <v>1416</v>
      </c>
      <c r="B2687" s="20" t="s">
        <v>0</v>
      </c>
      <c r="C2687" s="20">
        <v>63767</v>
      </c>
      <c r="D2687" s="21">
        <v>0</v>
      </c>
      <c r="E2687" s="21">
        <v>0</v>
      </c>
      <c r="F2687" s="22">
        <v>22.5</v>
      </c>
      <c r="G2687" s="23" t="s">
        <v>56</v>
      </c>
      <c r="H2687" s="36">
        <f t="shared" si="551"/>
        <v>22.5</v>
      </c>
      <c r="I2687" s="25">
        <v>750</v>
      </c>
      <c r="J2687" s="24">
        <f t="shared" si="552"/>
        <v>16875</v>
      </c>
      <c r="K2687" s="20"/>
      <c r="L2687" s="20"/>
      <c r="M2687" s="20"/>
      <c r="N2687" s="20"/>
      <c r="O2687" s="24"/>
      <c r="P2687" s="24"/>
      <c r="Q2687" s="25"/>
      <c r="R2687" s="24"/>
      <c r="S2687" s="20"/>
      <c r="T2687" s="27"/>
      <c r="U2687" s="20"/>
      <c r="V2687" s="27">
        <f t="shared" si="553"/>
        <v>16875</v>
      </c>
      <c r="W2687" s="26">
        <f t="shared" si="554"/>
        <v>16875</v>
      </c>
      <c r="X2687" s="28">
        <v>0</v>
      </c>
      <c r="Y2687" s="28">
        <f t="shared" si="555"/>
        <v>16875</v>
      </c>
      <c r="Z2687" s="49">
        <v>3.0000000000000001E-3</v>
      </c>
    </row>
    <row r="2688" spans="1:26" s="29" customFormat="1" ht="90.75" customHeight="1" x14ac:dyDescent="0.25">
      <c r="A2688" s="20">
        <v>1417</v>
      </c>
      <c r="B2688" s="20" t="s">
        <v>0</v>
      </c>
      <c r="C2688" s="20">
        <v>66172</v>
      </c>
      <c r="D2688" s="21">
        <v>0</v>
      </c>
      <c r="E2688" s="21">
        <v>2</v>
      </c>
      <c r="F2688" s="22">
        <v>45</v>
      </c>
      <c r="G2688" s="23" t="s">
        <v>56</v>
      </c>
      <c r="H2688" s="36">
        <f t="shared" si="551"/>
        <v>245</v>
      </c>
      <c r="I2688" s="25">
        <v>750</v>
      </c>
      <c r="J2688" s="24">
        <f t="shared" si="552"/>
        <v>183750</v>
      </c>
      <c r="K2688" s="20"/>
      <c r="L2688" s="20"/>
      <c r="M2688" s="20"/>
      <c r="N2688" s="20"/>
      <c r="O2688" s="24"/>
      <c r="P2688" s="24"/>
      <c r="Q2688" s="25"/>
      <c r="R2688" s="24"/>
      <c r="S2688" s="20"/>
      <c r="T2688" s="27"/>
      <c r="U2688" s="20"/>
      <c r="V2688" s="27">
        <f t="shared" si="553"/>
        <v>183750</v>
      </c>
      <c r="W2688" s="26">
        <f t="shared" si="554"/>
        <v>183750</v>
      </c>
      <c r="X2688" s="28">
        <v>0</v>
      </c>
      <c r="Y2688" s="28">
        <f t="shared" si="555"/>
        <v>183750</v>
      </c>
      <c r="Z2688" s="49">
        <v>3.0000000000000001E-3</v>
      </c>
    </row>
    <row r="2689" spans="1:26" s="29" customFormat="1" ht="90.75" customHeight="1" x14ac:dyDescent="0.25">
      <c r="A2689" s="20">
        <v>1418</v>
      </c>
      <c r="B2689" s="20" t="s">
        <v>0</v>
      </c>
      <c r="C2689" s="20">
        <v>66173</v>
      </c>
      <c r="D2689" s="21">
        <v>0</v>
      </c>
      <c r="E2689" s="21">
        <v>0</v>
      </c>
      <c r="F2689" s="22">
        <v>66.5</v>
      </c>
      <c r="G2689" s="23" t="s">
        <v>56</v>
      </c>
      <c r="H2689" s="36">
        <f t="shared" si="551"/>
        <v>66.5</v>
      </c>
      <c r="I2689" s="25">
        <v>750</v>
      </c>
      <c r="J2689" s="24">
        <f t="shared" si="552"/>
        <v>49875</v>
      </c>
      <c r="K2689" s="20"/>
      <c r="L2689" s="20"/>
      <c r="M2689" s="20"/>
      <c r="N2689" s="20"/>
      <c r="O2689" s="24"/>
      <c r="P2689" s="24"/>
      <c r="Q2689" s="25"/>
      <c r="R2689" s="24"/>
      <c r="S2689" s="20"/>
      <c r="T2689" s="27"/>
      <c r="U2689" s="20"/>
      <c r="V2689" s="27">
        <f t="shared" si="553"/>
        <v>49875</v>
      </c>
      <c r="W2689" s="26">
        <f t="shared" si="554"/>
        <v>49875</v>
      </c>
      <c r="X2689" s="28">
        <v>0</v>
      </c>
      <c r="Y2689" s="28">
        <f t="shared" si="555"/>
        <v>49875</v>
      </c>
      <c r="Z2689" s="49">
        <v>3.0000000000000001E-3</v>
      </c>
    </row>
    <row r="2690" spans="1:26" s="29" customFormat="1" ht="90.75" customHeight="1" x14ac:dyDescent="0.25">
      <c r="A2690" s="20">
        <v>1419</v>
      </c>
      <c r="B2690" s="20" t="s">
        <v>0</v>
      </c>
      <c r="C2690" s="20">
        <v>66174</v>
      </c>
      <c r="D2690" s="21">
        <v>0</v>
      </c>
      <c r="E2690" s="21">
        <v>0</v>
      </c>
      <c r="F2690" s="22">
        <v>56.9</v>
      </c>
      <c r="G2690" s="23" t="s">
        <v>56</v>
      </c>
      <c r="H2690" s="36">
        <f t="shared" si="551"/>
        <v>56.9</v>
      </c>
      <c r="I2690" s="25">
        <v>750</v>
      </c>
      <c r="J2690" s="24">
        <f t="shared" si="552"/>
        <v>42675</v>
      </c>
      <c r="K2690" s="20"/>
      <c r="L2690" s="20"/>
      <c r="M2690" s="20"/>
      <c r="N2690" s="20"/>
      <c r="O2690" s="24"/>
      <c r="P2690" s="24"/>
      <c r="Q2690" s="25"/>
      <c r="R2690" s="24"/>
      <c r="S2690" s="20"/>
      <c r="T2690" s="27"/>
      <c r="U2690" s="20"/>
      <c r="V2690" s="27">
        <f t="shared" si="553"/>
        <v>42675</v>
      </c>
      <c r="W2690" s="26">
        <f t="shared" si="554"/>
        <v>42675</v>
      </c>
      <c r="X2690" s="28">
        <v>0</v>
      </c>
      <c r="Y2690" s="28">
        <f t="shared" si="555"/>
        <v>42675</v>
      </c>
      <c r="Z2690" s="49">
        <v>3.0000000000000001E-3</v>
      </c>
    </row>
    <row r="2691" spans="1:26" s="29" customFormat="1" ht="90.75" customHeight="1" x14ac:dyDescent="0.25">
      <c r="A2691" s="20">
        <v>1420</v>
      </c>
      <c r="B2691" s="20" t="s">
        <v>0</v>
      </c>
      <c r="C2691" s="20">
        <v>66175</v>
      </c>
      <c r="D2691" s="21">
        <v>0</v>
      </c>
      <c r="E2691" s="21">
        <v>0</v>
      </c>
      <c r="F2691" s="22">
        <v>56.8</v>
      </c>
      <c r="G2691" s="23" t="s">
        <v>56</v>
      </c>
      <c r="H2691" s="36">
        <f t="shared" si="551"/>
        <v>56.8</v>
      </c>
      <c r="I2691" s="25">
        <v>750</v>
      </c>
      <c r="J2691" s="24">
        <f t="shared" si="552"/>
        <v>42600</v>
      </c>
      <c r="K2691" s="20"/>
      <c r="L2691" s="20"/>
      <c r="M2691" s="20"/>
      <c r="N2691" s="20"/>
      <c r="O2691" s="24"/>
      <c r="P2691" s="24"/>
      <c r="Q2691" s="25"/>
      <c r="R2691" s="24"/>
      <c r="S2691" s="20"/>
      <c r="T2691" s="27"/>
      <c r="U2691" s="20"/>
      <c r="V2691" s="27">
        <f t="shared" si="553"/>
        <v>42600</v>
      </c>
      <c r="W2691" s="26">
        <f t="shared" si="554"/>
        <v>42600</v>
      </c>
      <c r="X2691" s="28">
        <v>0</v>
      </c>
      <c r="Y2691" s="28">
        <f t="shared" si="555"/>
        <v>42600</v>
      </c>
      <c r="Z2691" s="49">
        <v>3.0000000000000001E-3</v>
      </c>
    </row>
    <row r="2692" spans="1:26" s="29" customFormat="1" ht="90.75" customHeight="1" x14ac:dyDescent="0.25">
      <c r="A2692" s="20">
        <v>1421</v>
      </c>
      <c r="B2692" s="20" t="s">
        <v>0</v>
      </c>
      <c r="C2692" s="20">
        <v>66176</v>
      </c>
      <c r="D2692" s="21">
        <v>0</v>
      </c>
      <c r="E2692" s="21">
        <v>0</v>
      </c>
      <c r="F2692" s="22">
        <v>56.7</v>
      </c>
      <c r="G2692" s="23" t="s">
        <v>56</v>
      </c>
      <c r="H2692" s="36">
        <f t="shared" si="551"/>
        <v>56.7</v>
      </c>
      <c r="I2692" s="25">
        <v>750</v>
      </c>
      <c r="J2692" s="24">
        <f t="shared" si="552"/>
        <v>42525</v>
      </c>
      <c r="K2692" s="20"/>
      <c r="L2692" s="20"/>
      <c r="M2692" s="20"/>
      <c r="N2692" s="20"/>
      <c r="O2692" s="24"/>
      <c r="P2692" s="24"/>
      <c r="Q2692" s="25"/>
      <c r="R2692" s="24"/>
      <c r="S2692" s="20"/>
      <c r="T2692" s="27"/>
      <c r="U2692" s="20"/>
      <c r="V2692" s="27">
        <f t="shared" si="553"/>
        <v>42525</v>
      </c>
      <c r="W2692" s="26">
        <f t="shared" si="554"/>
        <v>42525</v>
      </c>
      <c r="X2692" s="28">
        <v>0</v>
      </c>
      <c r="Y2692" s="28">
        <f t="shared" si="555"/>
        <v>42525</v>
      </c>
      <c r="Z2692" s="49">
        <v>3.0000000000000001E-3</v>
      </c>
    </row>
    <row r="2693" spans="1:26" s="29" customFormat="1" ht="90.75" customHeight="1" x14ac:dyDescent="0.25">
      <c r="A2693" s="20">
        <v>1422</v>
      </c>
      <c r="B2693" s="20" t="s">
        <v>0</v>
      </c>
      <c r="C2693" s="20">
        <v>66177</v>
      </c>
      <c r="D2693" s="21">
        <v>0</v>
      </c>
      <c r="E2693" s="21">
        <v>0</v>
      </c>
      <c r="F2693" s="22">
        <v>56.7</v>
      </c>
      <c r="G2693" s="23" t="s">
        <v>56</v>
      </c>
      <c r="H2693" s="36">
        <f t="shared" si="551"/>
        <v>56.7</v>
      </c>
      <c r="I2693" s="25">
        <v>750</v>
      </c>
      <c r="J2693" s="24">
        <f t="shared" si="552"/>
        <v>42525</v>
      </c>
      <c r="K2693" s="20"/>
      <c r="L2693" s="20"/>
      <c r="M2693" s="20"/>
      <c r="N2693" s="20"/>
      <c r="O2693" s="24"/>
      <c r="P2693" s="24"/>
      <c r="Q2693" s="25"/>
      <c r="R2693" s="24"/>
      <c r="S2693" s="20"/>
      <c r="T2693" s="27"/>
      <c r="U2693" s="20"/>
      <c r="V2693" s="27">
        <f t="shared" si="553"/>
        <v>42525</v>
      </c>
      <c r="W2693" s="26">
        <f t="shared" si="554"/>
        <v>42525</v>
      </c>
      <c r="X2693" s="28">
        <v>0</v>
      </c>
      <c r="Y2693" s="28">
        <f t="shared" si="555"/>
        <v>42525</v>
      </c>
      <c r="Z2693" s="49">
        <v>3.0000000000000001E-3</v>
      </c>
    </row>
    <row r="2694" spans="1:26" s="29" customFormat="1" ht="90.75" customHeight="1" x14ac:dyDescent="0.25">
      <c r="A2694" s="20">
        <v>1423</v>
      </c>
      <c r="B2694" s="20" t="s">
        <v>0</v>
      </c>
      <c r="C2694" s="20">
        <v>66178</v>
      </c>
      <c r="D2694" s="21">
        <v>0</v>
      </c>
      <c r="E2694" s="21">
        <v>0</v>
      </c>
      <c r="F2694" s="22">
        <v>64.3</v>
      </c>
      <c r="G2694" s="23" t="s">
        <v>56</v>
      </c>
      <c r="H2694" s="36">
        <f t="shared" si="551"/>
        <v>64.3</v>
      </c>
      <c r="I2694" s="25">
        <v>750</v>
      </c>
      <c r="J2694" s="24">
        <f t="shared" si="552"/>
        <v>48225</v>
      </c>
      <c r="K2694" s="20"/>
      <c r="L2694" s="20"/>
      <c r="M2694" s="20"/>
      <c r="N2694" s="20"/>
      <c r="O2694" s="24"/>
      <c r="P2694" s="24"/>
      <c r="Q2694" s="25"/>
      <c r="R2694" s="24"/>
      <c r="S2694" s="20"/>
      <c r="T2694" s="27"/>
      <c r="U2694" s="20"/>
      <c r="V2694" s="27">
        <f t="shared" si="553"/>
        <v>48225</v>
      </c>
      <c r="W2694" s="26">
        <f t="shared" si="554"/>
        <v>48225</v>
      </c>
      <c r="X2694" s="28">
        <v>0</v>
      </c>
      <c r="Y2694" s="28">
        <f t="shared" si="555"/>
        <v>48225</v>
      </c>
      <c r="Z2694" s="49">
        <v>3.0000000000000001E-3</v>
      </c>
    </row>
    <row r="2695" spans="1:26" s="29" customFormat="1" ht="90.75" customHeight="1" x14ac:dyDescent="0.25">
      <c r="A2695" s="20">
        <v>1424</v>
      </c>
      <c r="B2695" s="20" t="s">
        <v>0</v>
      </c>
      <c r="C2695" s="20">
        <v>66179</v>
      </c>
      <c r="D2695" s="21">
        <v>0</v>
      </c>
      <c r="E2695" s="21">
        <v>0</v>
      </c>
      <c r="F2695" s="22">
        <v>33.9</v>
      </c>
      <c r="G2695" s="23" t="s">
        <v>56</v>
      </c>
      <c r="H2695" s="36">
        <f t="shared" si="551"/>
        <v>33.9</v>
      </c>
      <c r="I2695" s="25">
        <v>750</v>
      </c>
      <c r="J2695" s="24">
        <f t="shared" si="552"/>
        <v>25425</v>
      </c>
      <c r="K2695" s="20"/>
      <c r="L2695" s="20"/>
      <c r="M2695" s="20"/>
      <c r="N2695" s="20"/>
      <c r="O2695" s="24"/>
      <c r="P2695" s="24"/>
      <c r="Q2695" s="25"/>
      <c r="R2695" s="24"/>
      <c r="S2695" s="20"/>
      <c r="T2695" s="27"/>
      <c r="U2695" s="20"/>
      <c r="V2695" s="27">
        <f t="shared" si="553"/>
        <v>25425</v>
      </c>
      <c r="W2695" s="26">
        <f t="shared" si="554"/>
        <v>25425</v>
      </c>
      <c r="X2695" s="28">
        <v>0</v>
      </c>
      <c r="Y2695" s="28">
        <f t="shared" si="555"/>
        <v>25425</v>
      </c>
      <c r="Z2695" s="49">
        <v>3.0000000000000001E-3</v>
      </c>
    </row>
    <row r="2696" spans="1:26" s="29" customFormat="1" ht="90.75" customHeight="1" x14ac:dyDescent="0.25">
      <c r="A2696" s="20">
        <v>1425</v>
      </c>
      <c r="B2696" s="20" t="s">
        <v>0</v>
      </c>
      <c r="C2696" s="20">
        <v>66180</v>
      </c>
      <c r="D2696" s="21">
        <v>0</v>
      </c>
      <c r="E2696" s="21">
        <v>0</v>
      </c>
      <c r="F2696" s="22">
        <v>21.4</v>
      </c>
      <c r="G2696" s="23" t="s">
        <v>56</v>
      </c>
      <c r="H2696" s="36">
        <f t="shared" si="551"/>
        <v>21.4</v>
      </c>
      <c r="I2696" s="25">
        <v>750</v>
      </c>
      <c r="J2696" s="24">
        <f t="shared" si="552"/>
        <v>16049.999999999998</v>
      </c>
      <c r="K2696" s="20"/>
      <c r="L2696" s="20"/>
      <c r="M2696" s="20"/>
      <c r="N2696" s="20"/>
      <c r="O2696" s="24"/>
      <c r="P2696" s="24"/>
      <c r="Q2696" s="25"/>
      <c r="R2696" s="24"/>
      <c r="S2696" s="20"/>
      <c r="T2696" s="27"/>
      <c r="U2696" s="20"/>
      <c r="V2696" s="27">
        <f t="shared" si="553"/>
        <v>16049.999999999998</v>
      </c>
      <c r="W2696" s="26">
        <f t="shared" si="554"/>
        <v>16049.999999999998</v>
      </c>
      <c r="X2696" s="28">
        <v>0</v>
      </c>
      <c r="Y2696" s="28">
        <f t="shared" si="555"/>
        <v>16049.999999999998</v>
      </c>
      <c r="Z2696" s="49">
        <v>3.0000000000000001E-3</v>
      </c>
    </row>
    <row r="2697" spans="1:26" s="29" customFormat="1" ht="90.75" customHeight="1" x14ac:dyDescent="0.25">
      <c r="A2697" s="20">
        <v>1426</v>
      </c>
      <c r="B2697" s="20" t="s">
        <v>0</v>
      </c>
      <c r="C2697" s="20">
        <v>66181</v>
      </c>
      <c r="D2697" s="21">
        <v>0</v>
      </c>
      <c r="E2697" s="21">
        <v>0</v>
      </c>
      <c r="F2697" s="22">
        <v>21.4</v>
      </c>
      <c r="G2697" s="23" t="s">
        <v>56</v>
      </c>
      <c r="H2697" s="36">
        <f t="shared" si="551"/>
        <v>21.4</v>
      </c>
      <c r="I2697" s="25">
        <v>750</v>
      </c>
      <c r="J2697" s="24">
        <f t="shared" si="552"/>
        <v>16049.999999999998</v>
      </c>
      <c r="K2697" s="20"/>
      <c r="L2697" s="20"/>
      <c r="M2697" s="20"/>
      <c r="N2697" s="20"/>
      <c r="O2697" s="24"/>
      <c r="P2697" s="24"/>
      <c r="Q2697" s="25"/>
      <c r="R2697" s="24"/>
      <c r="S2697" s="20"/>
      <c r="T2697" s="27"/>
      <c r="U2697" s="20"/>
      <c r="V2697" s="27">
        <f t="shared" si="553"/>
        <v>16049.999999999998</v>
      </c>
      <c r="W2697" s="26">
        <f t="shared" si="554"/>
        <v>16049.999999999998</v>
      </c>
      <c r="X2697" s="28">
        <v>0</v>
      </c>
      <c r="Y2697" s="28">
        <f t="shared" si="555"/>
        <v>16049.999999999998</v>
      </c>
      <c r="Z2697" s="49">
        <v>3.0000000000000001E-3</v>
      </c>
    </row>
    <row r="2698" spans="1:26" s="29" customFormat="1" ht="90.75" customHeight="1" x14ac:dyDescent="0.25">
      <c r="A2698" s="20">
        <v>1427</v>
      </c>
      <c r="B2698" s="20" t="s">
        <v>0</v>
      </c>
      <c r="C2698" s="20">
        <v>66182</v>
      </c>
      <c r="D2698" s="21">
        <v>0</v>
      </c>
      <c r="E2698" s="21">
        <v>0</v>
      </c>
      <c r="F2698" s="22">
        <v>21.4</v>
      </c>
      <c r="G2698" s="23" t="s">
        <v>56</v>
      </c>
      <c r="H2698" s="36">
        <f t="shared" si="551"/>
        <v>21.4</v>
      </c>
      <c r="I2698" s="25">
        <v>750</v>
      </c>
      <c r="J2698" s="24">
        <f t="shared" si="552"/>
        <v>16049.999999999998</v>
      </c>
      <c r="K2698" s="20"/>
      <c r="L2698" s="20"/>
      <c r="M2698" s="20"/>
      <c r="N2698" s="20"/>
      <c r="O2698" s="24"/>
      <c r="P2698" s="24"/>
      <c r="Q2698" s="25"/>
      <c r="R2698" s="24"/>
      <c r="S2698" s="20"/>
      <c r="T2698" s="27"/>
      <c r="U2698" s="20"/>
      <c r="V2698" s="27">
        <f t="shared" si="553"/>
        <v>16049.999999999998</v>
      </c>
      <c r="W2698" s="26">
        <f t="shared" si="554"/>
        <v>16049.999999999998</v>
      </c>
      <c r="X2698" s="28">
        <v>0</v>
      </c>
      <c r="Y2698" s="28">
        <f t="shared" si="555"/>
        <v>16049.999999999998</v>
      </c>
      <c r="Z2698" s="49">
        <v>3.0000000000000001E-3</v>
      </c>
    </row>
    <row r="2699" spans="1:26" s="29" customFormat="1" ht="90.75" customHeight="1" x14ac:dyDescent="0.25">
      <c r="A2699" s="20">
        <v>1428</v>
      </c>
      <c r="B2699" s="20" t="s">
        <v>0</v>
      </c>
      <c r="C2699" s="20">
        <v>66183</v>
      </c>
      <c r="D2699" s="21">
        <v>0</v>
      </c>
      <c r="E2699" s="21">
        <v>0</v>
      </c>
      <c r="F2699" s="22">
        <v>21.4</v>
      </c>
      <c r="G2699" s="23" t="s">
        <v>56</v>
      </c>
      <c r="H2699" s="36">
        <f t="shared" si="551"/>
        <v>21.4</v>
      </c>
      <c r="I2699" s="25">
        <v>750</v>
      </c>
      <c r="J2699" s="24">
        <f t="shared" si="552"/>
        <v>16049.999999999998</v>
      </c>
      <c r="K2699" s="20"/>
      <c r="L2699" s="20"/>
      <c r="M2699" s="20"/>
      <c r="N2699" s="20"/>
      <c r="O2699" s="24"/>
      <c r="P2699" s="24"/>
      <c r="Q2699" s="25"/>
      <c r="R2699" s="24"/>
      <c r="S2699" s="20"/>
      <c r="T2699" s="27"/>
      <c r="U2699" s="20"/>
      <c r="V2699" s="27">
        <f t="shared" si="553"/>
        <v>16049.999999999998</v>
      </c>
      <c r="W2699" s="26">
        <f t="shared" si="554"/>
        <v>16049.999999999998</v>
      </c>
      <c r="X2699" s="28">
        <v>0</v>
      </c>
      <c r="Y2699" s="28">
        <f t="shared" si="555"/>
        <v>16049.999999999998</v>
      </c>
      <c r="Z2699" s="49">
        <v>3.0000000000000001E-3</v>
      </c>
    </row>
    <row r="2700" spans="1:26" s="29" customFormat="1" ht="90.75" customHeight="1" x14ac:dyDescent="0.25">
      <c r="A2700" s="20">
        <v>1429</v>
      </c>
      <c r="B2700" s="20" t="s">
        <v>0</v>
      </c>
      <c r="C2700" s="20">
        <v>66184</v>
      </c>
      <c r="D2700" s="21">
        <v>0</v>
      </c>
      <c r="E2700" s="21">
        <v>0</v>
      </c>
      <c r="F2700" s="22">
        <v>21.4</v>
      </c>
      <c r="G2700" s="23" t="s">
        <v>56</v>
      </c>
      <c r="H2700" s="36">
        <f t="shared" si="551"/>
        <v>21.4</v>
      </c>
      <c r="I2700" s="25">
        <v>750</v>
      </c>
      <c r="J2700" s="24">
        <f t="shared" si="552"/>
        <v>16049.999999999998</v>
      </c>
      <c r="K2700" s="20"/>
      <c r="L2700" s="20"/>
      <c r="M2700" s="20"/>
      <c r="N2700" s="20"/>
      <c r="O2700" s="24"/>
      <c r="P2700" s="24"/>
      <c r="Q2700" s="25"/>
      <c r="R2700" s="24"/>
      <c r="S2700" s="20"/>
      <c r="T2700" s="27"/>
      <c r="U2700" s="20"/>
      <c r="V2700" s="27">
        <f t="shared" si="553"/>
        <v>16049.999999999998</v>
      </c>
      <c r="W2700" s="26">
        <f t="shared" si="554"/>
        <v>16049.999999999998</v>
      </c>
      <c r="X2700" s="28">
        <v>0</v>
      </c>
      <c r="Y2700" s="28">
        <f t="shared" si="555"/>
        <v>16049.999999999998</v>
      </c>
      <c r="Z2700" s="49">
        <v>3.0000000000000001E-3</v>
      </c>
    </row>
    <row r="2701" spans="1:26" s="29" customFormat="1" ht="90.75" customHeight="1" x14ac:dyDescent="0.25">
      <c r="A2701" s="20">
        <v>1430</v>
      </c>
      <c r="B2701" s="20" t="s">
        <v>0</v>
      </c>
      <c r="C2701" s="20">
        <v>66185</v>
      </c>
      <c r="D2701" s="21">
        <v>0</v>
      </c>
      <c r="E2701" s="21">
        <v>0</v>
      </c>
      <c r="F2701" s="22">
        <v>21.4</v>
      </c>
      <c r="G2701" s="23" t="s">
        <v>56</v>
      </c>
      <c r="H2701" s="36">
        <f t="shared" si="551"/>
        <v>21.4</v>
      </c>
      <c r="I2701" s="25">
        <v>750</v>
      </c>
      <c r="J2701" s="24">
        <f t="shared" si="552"/>
        <v>16049.999999999998</v>
      </c>
      <c r="K2701" s="20"/>
      <c r="L2701" s="20"/>
      <c r="M2701" s="20"/>
      <c r="N2701" s="20"/>
      <c r="O2701" s="24"/>
      <c r="P2701" s="24"/>
      <c r="Q2701" s="25"/>
      <c r="R2701" s="24"/>
      <c r="S2701" s="20"/>
      <c r="T2701" s="27"/>
      <c r="U2701" s="20"/>
      <c r="V2701" s="27">
        <f t="shared" si="553"/>
        <v>16049.999999999998</v>
      </c>
      <c r="W2701" s="26">
        <f t="shared" si="554"/>
        <v>16049.999999999998</v>
      </c>
      <c r="X2701" s="28">
        <v>0</v>
      </c>
      <c r="Y2701" s="28">
        <f t="shared" si="555"/>
        <v>16049.999999999998</v>
      </c>
      <c r="Z2701" s="49">
        <v>3.0000000000000001E-3</v>
      </c>
    </row>
    <row r="2702" spans="1:26" s="29" customFormat="1" ht="90.75" customHeight="1" x14ac:dyDescent="0.25">
      <c r="A2702" s="20">
        <v>1431</v>
      </c>
      <c r="B2702" s="20" t="s">
        <v>0</v>
      </c>
      <c r="C2702" s="20">
        <v>66186</v>
      </c>
      <c r="D2702" s="21">
        <v>0</v>
      </c>
      <c r="E2702" s="21">
        <v>0</v>
      </c>
      <c r="F2702" s="22">
        <v>21.4</v>
      </c>
      <c r="G2702" s="23" t="s">
        <v>56</v>
      </c>
      <c r="H2702" s="36">
        <f t="shared" si="551"/>
        <v>21.4</v>
      </c>
      <c r="I2702" s="25">
        <v>750</v>
      </c>
      <c r="J2702" s="24">
        <f t="shared" si="552"/>
        <v>16049.999999999998</v>
      </c>
      <c r="K2702" s="20"/>
      <c r="L2702" s="20"/>
      <c r="M2702" s="20"/>
      <c r="N2702" s="20"/>
      <c r="O2702" s="24"/>
      <c r="P2702" s="24"/>
      <c r="Q2702" s="25"/>
      <c r="R2702" s="24"/>
      <c r="S2702" s="20"/>
      <c r="T2702" s="27"/>
      <c r="U2702" s="20"/>
      <c r="V2702" s="27">
        <f t="shared" si="553"/>
        <v>16049.999999999998</v>
      </c>
      <c r="W2702" s="26">
        <f t="shared" si="554"/>
        <v>16049.999999999998</v>
      </c>
      <c r="X2702" s="28">
        <v>0</v>
      </c>
      <c r="Y2702" s="28">
        <f t="shared" si="555"/>
        <v>16049.999999999998</v>
      </c>
      <c r="Z2702" s="49">
        <v>3.0000000000000001E-3</v>
      </c>
    </row>
    <row r="2703" spans="1:26" s="29" customFormat="1" ht="90.75" customHeight="1" x14ac:dyDescent="0.25">
      <c r="A2703" s="20">
        <v>1432</v>
      </c>
      <c r="B2703" s="20" t="s">
        <v>0</v>
      </c>
      <c r="C2703" s="20">
        <v>66187</v>
      </c>
      <c r="D2703" s="21">
        <v>0</v>
      </c>
      <c r="E2703" s="21">
        <v>0</v>
      </c>
      <c r="F2703" s="22">
        <v>21.4</v>
      </c>
      <c r="G2703" s="23" t="s">
        <v>56</v>
      </c>
      <c r="H2703" s="36">
        <f t="shared" si="551"/>
        <v>21.4</v>
      </c>
      <c r="I2703" s="25">
        <v>750</v>
      </c>
      <c r="J2703" s="24">
        <f t="shared" si="552"/>
        <v>16049.999999999998</v>
      </c>
      <c r="K2703" s="20"/>
      <c r="L2703" s="20"/>
      <c r="M2703" s="20"/>
      <c r="N2703" s="20"/>
      <c r="O2703" s="24"/>
      <c r="P2703" s="24"/>
      <c r="Q2703" s="25"/>
      <c r="R2703" s="24"/>
      <c r="S2703" s="20"/>
      <c r="T2703" s="27"/>
      <c r="U2703" s="20"/>
      <c r="V2703" s="27">
        <f t="shared" si="553"/>
        <v>16049.999999999998</v>
      </c>
      <c r="W2703" s="26">
        <f t="shared" si="554"/>
        <v>16049.999999999998</v>
      </c>
      <c r="X2703" s="28">
        <v>0</v>
      </c>
      <c r="Y2703" s="28">
        <f t="shared" si="555"/>
        <v>16049.999999999998</v>
      </c>
      <c r="Z2703" s="49">
        <v>3.0000000000000001E-3</v>
      </c>
    </row>
    <row r="2704" spans="1:26" s="29" customFormat="1" ht="90.75" customHeight="1" x14ac:dyDescent="0.25">
      <c r="A2704" s="20">
        <v>1433</v>
      </c>
      <c r="B2704" s="20" t="s">
        <v>0</v>
      </c>
      <c r="C2704" s="20">
        <v>66188</v>
      </c>
      <c r="D2704" s="21">
        <v>0</v>
      </c>
      <c r="E2704" s="21">
        <v>0</v>
      </c>
      <c r="F2704" s="22">
        <v>64.2</v>
      </c>
      <c r="G2704" s="23" t="s">
        <v>56</v>
      </c>
      <c r="H2704" s="36">
        <f t="shared" si="551"/>
        <v>64.2</v>
      </c>
      <c r="I2704" s="25">
        <v>750</v>
      </c>
      <c r="J2704" s="24">
        <f t="shared" si="552"/>
        <v>48150</v>
      </c>
      <c r="K2704" s="20"/>
      <c r="L2704" s="20"/>
      <c r="M2704" s="20"/>
      <c r="N2704" s="20"/>
      <c r="O2704" s="24"/>
      <c r="P2704" s="24"/>
      <c r="Q2704" s="25"/>
      <c r="R2704" s="24"/>
      <c r="S2704" s="20"/>
      <c r="T2704" s="27"/>
      <c r="U2704" s="20"/>
      <c r="V2704" s="27">
        <f t="shared" si="553"/>
        <v>48150</v>
      </c>
      <c r="W2704" s="26">
        <f t="shared" si="554"/>
        <v>48150</v>
      </c>
      <c r="X2704" s="28">
        <v>0</v>
      </c>
      <c r="Y2704" s="28">
        <f t="shared" si="555"/>
        <v>48150</v>
      </c>
      <c r="Z2704" s="49">
        <v>3.0000000000000001E-3</v>
      </c>
    </row>
    <row r="2705" spans="1:26" s="29" customFormat="1" ht="90.75" customHeight="1" x14ac:dyDescent="0.25">
      <c r="A2705" s="20">
        <v>1434</v>
      </c>
      <c r="B2705" s="20" t="s">
        <v>0</v>
      </c>
      <c r="C2705" s="20">
        <v>66189</v>
      </c>
      <c r="D2705" s="21">
        <v>0</v>
      </c>
      <c r="E2705" s="21">
        <v>0</v>
      </c>
      <c r="F2705" s="22">
        <v>56.3</v>
      </c>
      <c r="G2705" s="23" t="s">
        <v>56</v>
      </c>
      <c r="H2705" s="36">
        <f t="shared" si="551"/>
        <v>56.3</v>
      </c>
      <c r="I2705" s="25">
        <v>750</v>
      </c>
      <c r="J2705" s="24">
        <f t="shared" si="552"/>
        <v>42225</v>
      </c>
      <c r="K2705" s="20"/>
      <c r="L2705" s="20"/>
      <c r="M2705" s="20"/>
      <c r="N2705" s="20"/>
      <c r="O2705" s="24"/>
      <c r="P2705" s="24"/>
      <c r="Q2705" s="25"/>
      <c r="R2705" s="24"/>
      <c r="S2705" s="20"/>
      <c r="T2705" s="27"/>
      <c r="U2705" s="20"/>
      <c r="V2705" s="27">
        <f t="shared" si="553"/>
        <v>42225</v>
      </c>
      <c r="W2705" s="26">
        <f t="shared" si="554"/>
        <v>42225</v>
      </c>
      <c r="X2705" s="28">
        <v>0</v>
      </c>
      <c r="Y2705" s="28">
        <f t="shared" si="555"/>
        <v>42225</v>
      </c>
      <c r="Z2705" s="49">
        <v>3.0000000000000001E-3</v>
      </c>
    </row>
    <row r="2706" spans="1:26" s="29" customFormat="1" ht="90.75" customHeight="1" x14ac:dyDescent="0.25">
      <c r="A2706" s="20">
        <v>1435</v>
      </c>
      <c r="B2706" s="20" t="s">
        <v>0</v>
      </c>
      <c r="C2706" s="20">
        <v>66190</v>
      </c>
      <c r="D2706" s="21">
        <v>0</v>
      </c>
      <c r="E2706" s="21">
        <v>0</v>
      </c>
      <c r="F2706" s="22">
        <v>56.5</v>
      </c>
      <c r="G2706" s="23" t="s">
        <v>56</v>
      </c>
      <c r="H2706" s="36">
        <f t="shared" si="551"/>
        <v>56.5</v>
      </c>
      <c r="I2706" s="25">
        <v>750</v>
      </c>
      <c r="J2706" s="24">
        <f t="shared" si="552"/>
        <v>42375</v>
      </c>
      <c r="K2706" s="20"/>
      <c r="L2706" s="20"/>
      <c r="M2706" s="20"/>
      <c r="N2706" s="20"/>
      <c r="O2706" s="24"/>
      <c r="P2706" s="24"/>
      <c r="Q2706" s="25"/>
      <c r="R2706" s="24"/>
      <c r="S2706" s="20"/>
      <c r="T2706" s="27"/>
      <c r="U2706" s="20"/>
      <c r="V2706" s="27">
        <f t="shared" si="553"/>
        <v>42375</v>
      </c>
      <c r="W2706" s="26">
        <f t="shared" si="554"/>
        <v>42375</v>
      </c>
      <c r="X2706" s="28">
        <v>0</v>
      </c>
      <c r="Y2706" s="28">
        <f t="shared" si="555"/>
        <v>42375</v>
      </c>
      <c r="Z2706" s="49">
        <v>3.0000000000000001E-3</v>
      </c>
    </row>
    <row r="2707" spans="1:26" s="29" customFormat="1" ht="90.75" customHeight="1" x14ac:dyDescent="0.25">
      <c r="A2707" s="20">
        <v>1436</v>
      </c>
      <c r="B2707" s="20" t="s">
        <v>0</v>
      </c>
      <c r="C2707" s="20">
        <v>66191</v>
      </c>
      <c r="D2707" s="21">
        <v>0</v>
      </c>
      <c r="E2707" s="21">
        <v>0</v>
      </c>
      <c r="F2707" s="22">
        <v>56.6</v>
      </c>
      <c r="G2707" s="23" t="s">
        <v>56</v>
      </c>
      <c r="H2707" s="36">
        <f t="shared" si="551"/>
        <v>56.6</v>
      </c>
      <c r="I2707" s="25">
        <v>750</v>
      </c>
      <c r="J2707" s="24">
        <f t="shared" si="552"/>
        <v>42450</v>
      </c>
      <c r="K2707" s="20"/>
      <c r="L2707" s="20"/>
      <c r="M2707" s="20"/>
      <c r="N2707" s="20"/>
      <c r="O2707" s="24"/>
      <c r="P2707" s="24"/>
      <c r="Q2707" s="25"/>
      <c r="R2707" s="24"/>
      <c r="S2707" s="20"/>
      <c r="T2707" s="27"/>
      <c r="U2707" s="20"/>
      <c r="V2707" s="27">
        <f t="shared" si="553"/>
        <v>42450</v>
      </c>
      <c r="W2707" s="26">
        <f t="shared" si="554"/>
        <v>42450</v>
      </c>
      <c r="X2707" s="28">
        <v>0</v>
      </c>
      <c r="Y2707" s="28">
        <f t="shared" si="555"/>
        <v>42450</v>
      </c>
      <c r="Z2707" s="49">
        <v>3.0000000000000001E-3</v>
      </c>
    </row>
    <row r="2708" spans="1:26" s="29" customFormat="1" ht="90.75" customHeight="1" x14ac:dyDescent="0.25">
      <c r="A2708" s="20">
        <v>1437</v>
      </c>
      <c r="B2708" s="20" t="s">
        <v>0</v>
      </c>
      <c r="C2708" s="20">
        <v>66192</v>
      </c>
      <c r="D2708" s="21">
        <v>0</v>
      </c>
      <c r="E2708" s="21">
        <v>0</v>
      </c>
      <c r="F2708" s="22">
        <v>56.8</v>
      </c>
      <c r="G2708" s="23" t="s">
        <v>56</v>
      </c>
      <c r="H2708" s="36">
        <f t="shared" si="551"/>
        <v>56.8</v>
      </c>
      <c r="I2708" s="25">
        <v>750</v>
      </c>
      <c r="J2708" s="24">
        <f t="shared" si="552"/>
        <v>42600</v>
      </c>
      <c r="K2708" s="20"/>
      <c r="L2708" s="20"/>
      <c r="M2708" s="20"/>
      <c r="N2708" s="20"/>
      <c r="O2708" s="24"/>
      <c r="P2708" s="24"/>
      <c r="Q2708" s="25"/>
      <c r="R2708" s="24"/>
      <c r="S2708" s="20"/>
      <c r="T2708" s="27"/>
      <c r="U2708" s="20"/>
      <c r="V2708" s="27">
        <f t="shared" si="553"/>
        <v>42600</v>
      </c>
      <c r="W2708" s="26">
        <f t="shared" si="554"/>
        <v>42600</v>
      </c>
      <c r="X2708" s="28">
        <v>0</v>
      </c>
      <c r="Y2708" s="28">
        <f t="shared" si="555"/>
        <v>42600</v>
      </c>
      <c r="Z2708" s="49">
        <v>3.0000000000000001E-3</v>
      </c>
    </row>
    <row r="2709" spans="1:26" s="29" customFormat="1" ht="90.75" customHeight="1" x14ac:dyDescent="0.25">
      <c r="A2709" s="20">
        <v>1438</v>
      </c>
      <c r="B2709" s="20" t="s">
        <v>0</v>
      </c>
      <c r="C2709" s="20">
        <v>66193</v>
      </c>
      <c r="D2709" s="21">
        <v>0</v>
      </c>
      <c r="E2709" s="21">
        <v>0</v>
      </c>
      <c r="F2709" s="22">
        <v>73.7</v>
      </c>
      <c r="G2709" s="23" t="s">
        <v>56</v>
      </c>
      <c r="H2709" s="36">
        <f t="shared" si="551"/>
        <v>73.7</v>
      </c>
      <c r="I2709" s="25">
        <v>750</v>
      </c>
      <c r="J2709" s="24">
        <f t="shared" si="552"/>
        <v>55275</v>
      </c>
      <c r="K2709" s="20"/>
      <c r="L2709" s="20"/>
      <c r="M2709" s="20"/>
      <c r="N2709" s="20"/>
      <c r="O2709" s="24"/>
      <c r="P2709" s="24"/>
      <c r="Q2709" s="25"/>
      <c r="R2709" s="24"/>
      <c r="S2709" s="20"/>
      <c r="T2709" s="27"/>
      <c r="U2709" s="20"/>
      <c r="V2709" s="27">
        <f t="shared" si="553"/>
        <v>55275</v>
      </c>
      <c r="W2709" s="26">
        <f t="shared" si="554"/>
        <v>55275</v>
      </c>
      <c r="X2709" s="28">
        <v>0</v>
      </c>
      <c r="Y2709" s="28">
        <f t="shared" si="555"/>
        <v>55275</v>
      </c>
      <c r="Z2709" s="49">
        <v>3.0000000000000001E-3</v>
      </c>
    </row>
    <row r="2710" spans="1:26" s="29" customFormat="1" ht="90.75" customHeight="1" x14ac:dyDescent="0.25">
      <c r="A2710" s="20">
        <v>1439</v>
      </c>
      <c r="B2710" s="20" t="s">
        <v>0</v>
      </c>
      <c r="C2710" s="20">
        <v>46076</v>
      </c>
      <c r="D2710" s="21">
        <v>0</v>
      </c>
      <c r="E2710" s="21">
        <v>0</v>
      </c>
      <c r="F2710" s="22">
        <v>11</v>
      </c>
      <c r="G2710" s="23" t="s">
        <v>56</v>
      </c>
      <c r="H2710" s="36">
        <f t="shared" si="551"/>
        <v>11</v>
      </c>
      <c r="I2710" s="25" t="s">
        <v>23</v>
      </c>
      <c r="J2710" s="24">
        <f t="shared" si="552"/>
        <v>11000</v>
      </c>
      <c r="K2710" s="20"/>
      <c r="L2710" s="20"/>
      <c r="M2710" s="20"/>
      <c r="N2710" s="20"/>
      <c r="O2710" s="24"/>
      <c r="P2710" s="24"/>
      <c r="Q2710" s="25"/>
      <c r="R2710" s="24"/>
      <c r="S2710" s="20"/>
      <c r="T2710" s="27"/>
      <c r="U2710" s="20"/>
      <c r="V2710" s="27">
        <f t="shared" si="553"/>
        <v>11000</v>
      </c>
      <c r="W2710" s="26">
        <f t="shared" si="554"/>
        <v>11000</v>
      </c>
      <c r="X2710" s="28">
        <v>0</v>
      </c>
      <c r="Y2710" s="28">
        <f t="shared" si="555"/>
        <v>11000</v>
      </c>
      <c r="Z2710" s="49">
        <v>3.0000000000000001E-3</v>
      </c>
    </row>
    <row r="2711" spans="1:26" s="29" customFormat="1" ht="90.75" customHeight="1" x14ac:dyDescent="0.25">
      <c r="A2711" s="20">
        <v>1440</v>
      </c>
      <c r="B2711" s="20" t="s">
        <v>0</v>
      </c>
      <c r="C2711" s="20">
        <v>52092</v>
      </c>
      <c r="D2711" s="21">
        <v>0</v>
      </c>
      <c r="E2711" s="21">
        <v>1</v>
      </c>
      <c r="F2711" s="22">
        <v>12</v>
      </c>
      <c r="G2711" s="23" t="s">
        <v>56</v>
      </c>
      <c r="H2711" s="36">
        <f t="shared" si="551"/>
        <v>112</v>
      </c>
      <c r="I2711" s="25">
        <v>1000</v>
      </c>
      <c r="J2711" s="24">
        <f t="shared" si="552"/>
        <v>112000</v>
      </c>
      <c r="K2711" s="20"/>
      <c r="L2711" s="20"/>
      <c r="M2711" s="20"/>
      <c r="N2711" s="20"/>
      <c r="O2711" s="24"/>
      <c r="P2711" s="24"/>
      <c r="Q2711" s="25"/>
      <c r="R2711" s="24"/>
      <c r="S2711" s="20"/>
      <c r="T2711" s="27"/>
      <c r="U2711" s="20"/>
      <c r="V2711" s="27">
        <f t="shared" si="553"/>
        <v>112000</v>
      </c>
      <c r="W2711" s="26">
        <f t="shared" si="554"/>
        <v>112000</v>
      </c>
      <c r="X2711" s="28">
        <v>0</v>
      </c>
      <c r="Y2711" s="28">
        <f t="shared" si="555"/>
        <v>112000</v>
      </c>
      <c r="Z2711" s="49">
        <v>3.0000000000000001E-3</v>
      </c>
    </row>
    <row r="2712" spans="1:26" s="29" customFormat="1" ht="90.75" customHeight="1" x14ac:dyDescent="0.25">
      <c r="A2712" s="20">
        <v>1441</v>
      </c>
      <c r="B2712" s="20" t="s">
        <v>0</v>
      </c>
      <c r="C2712" s="20">
        <v>52090</v>
      </c>
      <c r="D2712" s="21">
        <v>0</v>
      </c>
      <c r="E2712" s="21">
        <v>0</v>
      </c>
      <c r="F2712" s="22">
        <v>63</v>
      </c>
      <c r="G2712" s="23" t="s">
        <v>56</v>
      </c>
      <c r="H2712" s="36">
        <f t="shared" si="551"/>
        <v>63</v>
      </c>
      <c r="I2712" s="25">
        <v>1000</v>
      </c>
      <c r="J2712" s="24">
        <f t="shared" si="552"/>
        <v>63000</v>
      </c>
      <c r="K2712" s="20">
        <v>1</v>
      </c>
      <c r="L2712" s="20" t="s">
        <v>16</v>
      </c>
      <c r="M2712" s="20" t="s">
        <v>51</v>
      </c>
      <c r="N2712" s="20">
        <v>2</v>
      </c>
      <c r="O2712" s="24">
        <v>91</v>
      </c>
      <c r="P2712" s="24">
        <v>100</v>
      </c>
      <c r="Q2712" s="25">
        <v>6450</v>
      </c>
      <c r="R2712" s="24">
        <f>(O2712*Q2712)</f>
        <v>586950</v>
      </c>
      <c r="S2712" s="20">
        <v>5</v>
      </c>
      <c r="T2712" s="24">
        <f>(R2712*5/100)</f>
        <v>29347.5</v>
      </c>
      <c r="U2712" s="27">
        <f>(R2712-T2712)</f>
        <v>557602.5</v>
      </c>
      <c r="V2712" s="27">
        <f>(J2712+U2712)</f>
        <v>620602.5</v>
      </c>
      <c r="W2712" s="26">
        <f t="shared" si="554"/>
        <v>620602.5</v>
      </c>
      <c r="X2712" s="28">
        <v>0</v>
      </c>
      <c r="Y2712" s="28">
        <f t="shared" si="555"/>
        <v>620602.5</v>
      </c>
      <c r="Z2712" s="49">
        <v>2.0000000000000001E-4</v>
      </c>
    </row>
    <row r="2713" spans="1:26" s="29" customFormat="1" ht="90.75" customHeight="1" x14ac:dyDescent="0.25">
      <c r="A2713" s="20">
        <v>1442</v>
      </c>
      <c r="B2713" s="20" t="s">
        <v>0</v>
      </c>
      <c r="C2713" s="20">
        <v>24896</v>
      </c>
      <c r="D2713" s="21">
        <v>0</v>
      </c>
      <c r="E2713" s="21">
        <v>3</v>
      </c>
      <c r="F2713" s="22">
        <v>0</v>
      </c>
      <c r="G2713" s="23" t="s">
        <v>56</v>
      </c>
      <c r="H2713" s="36">
        <f t="shared" si="551"/>
        <v>300</v>
      </c>
      <c r="I2713" s="25">
        <v>875</v>
      </c>
      <c r="J2713" s="24">
        <f t="shared" si="552"/>
        <v>262500</v>
      </c>
      <c r="K2713" s="20"/>
      <c r="L2713" s="20"/>
      <c r="M2713" s="20"/>
      <c r="N2713" s="20"/>
      <c r="O2713" s="24"/>
      <c r="P2713" s="24"/>
      <c r="Q2713" s="25"/>
      <c r="R2713" s="24"/>
      <c r="S2713" s="20"/>
      <c r="T2713" s="27"/>
      <c r="U2713" s="20"/>
      <c r="V2713" s="20"/>
      <c r="W2713" s="26"/>
      <c r="X2713" s="27"/>
      <c r="Y2713" s="20"/>
      <c r="Z2713" s="20"/>
    </row>
    <row r="2714" spans="1:26" s="29" customFormat="1" ht="90.75" customHeight="1" x14ac:dyDescent="0.25">
      <c r="A2714" s="20"/>
      <c r="B2714" s="20"/>
      <c r="C2714" s="20"/>
      <c r="D2714" s="21"/>
      <c r="E2714" s="21"/>
      <c r="F2714" s="22"/>
      <c r="G2714" s="23"/>
      <c r="H2714" s="24"/>
      <c r="I2714" s="25"/>
      <c r="J2714" s="24"/>
      <c r="K2714" s="37">
        <v>1</v>
      </c>
      <c r="L2714" s="31" t="s">
        <v>43</v>
      </c>
      <c r="M2714" s="32" t="s">
        <v>24</v>
      </c>
      <c r="N2714" s="33">
        <v>3</v>
      </c>
      <c r="O2714" s="82">
        <v>450</v>
      </c>
      <c r="P2714" s="86">
        <v>100</v>
      </c>
      <c r="Q2714" s="36">
        <v>7700</v>
      </c>
      <c r="R2714" s="36">
        <f>(O2714*Q2714)</f>
        <v>3465000</v>
      </c>
      <c r="S2714" s="37">
        <v>5</v>
      </c>
      <c r="T2714" s="28">
        <f>(R2714*5/100)</f>
        <v>173250</v>
      </c>
      <c r="U2714" s="36">
        <f>(R2714-T2714)</f>
        <v>3291750</v>
      </c>
      <c r="V2714" s="90"/>
      <c r="W2714" s="90"/>
      <c r="X2714" s="89"/>
      <c r="Y2714" s="48"/>
      <c r="Z2714" s="53"/>
    </row>
    <row r="2715" spans="1:26" s="29" customFormat="1" ht="90.75" customHeight="1" x14ac:dyDescent="0.25">
      <c r="A2715" s="20"/>
      <c r="B2715" s="20"/>
      <c r="C2715" s="20"/>
      <c r="D2715" s="21"/>
      <c r="E2715" s="21"/>
      <c r="F2715" s="22"/>
      <c r="G2715" s="23"/>
      <c r="H2715" s="24"/>
      <c r="I2715" s="25"/>
      <c r="J2715" s="24"/>
      <c r="K2715" s="37">
        <v>2</v>
      </c>
      <c r="L2715" s="31" t="s">
        <v>43</v>
      </c>
      <c r="M2715" s="32" t="s">
        <v>13</v>
      </c>
      <c r="N2715" s="33">
        <v>3</v>
      </c>
      <c r="O2715" s="82">
        <v>288</v>
      </c>
      <c r="P2715" s="86">
        <v>100</v>
      </c>
      <c r="Q2715" s="36">
        <v>7700</v>
      </c>
      <c r="R2715" s="36">
        <f>(O2715*Q2715)</f>
        <v>2217600</v>
      </c>
      <c r="S2715" s="37">
        <v>5</v>
      </c>
      <c r="T2715" s="28">
        <f>(R2715*5/100)</f>
        <v>110880</v>
      </c>
      <c r="U2715" s="36">
        <f t="shared" ref="U2715:U2716" si="556">(R2715-T2715)</f>
        <v>2106720</v>
      </c>
      <c r="V2715" s="90"/>
      <c r="W2715" s="90"/>
      <c r="X2715" s="89"/>
      <c r="Y2715" s="48"/>
      <c r="Z2715" s="53"/>
    </row>
    <row r="2716" spans="1:26" s="29" customFormat="1" ht="90.75" customHeight="1" x14ac:dyDescent="0.25">
      <c r="A2716" s="20"/>
      <c r="B2716" s="20"/>
      <c r="C2716" s="20"/>
      <c r="D2716" s="21"/>
      <c r="E2716" s="21"/>
      <c r="F2716" s="22"/>
      <c r="G2716" s="23"/>
      <c r="H2716" s="24"/>
      <c r="I2716" s="25"/>
      <c r="J2716" s="24"/>
      <c r="K2716" s="37">
        <v>3</v>
      </c>
      <c r="L2716" s="31" t="s">
        <v>43</v>
      </c>
      <c r="M2716" s="32" t="s">
        <v>13</v>
      </c>
      <c r="N2716" s="33">
        <v>3</v>
      </c>
      <c r="O2716" s="82">
        <v>204</v>
      </c>
      <c r="P2716" s="86">
        <v>100</v>
      </c>
      <c r="Q2716" s="36">
        <v>7700</v>
      </c>
      <c r="R2716" s="36">
        <f>(O2716*Q2716)</f>
        <v>1570800</v>
      </c>
      <c r="S2716" s="37">
        <v>12</v>
      </c>
      <c r="T2716" s="28">
        <f>(R2716*14/100)</f>
        <v>219912</v>
      </c>
      <c r="U2716" s="36">
        <f t="shared" si="556"/>
        <v>1350888</v>
      </c>
      <c r="V2716" s="90"/>
      <c r="W2716" s="90"/>
      <c r="X2716" s="89"/>
      <c r="Y2716" s="48"/>
      <c r="Z2716" s="53"/>
    </row>
    <row r="2717" spans="1:26" s="29" customFormat="1" ht="90.75" customHeight="1" x14ac:dyDescent="0.25">
      <c r="A2717" s="20"/>
      <c r="B2717" s="20"/>
      <c r="C2717" s="20"/>
      <c r="D2717" s="21"/>
      <c r="E2717" s="21"/>
      <c r="F2717" s="22"/>
      <c r="G2717" s="23"/>
      <c r="H2717" s="24"/>
      <c r="I2717" s="25"/>
      <c r="J2717" s="24"/>
      <c r="K2717" s="33"/>
      <c r="L2717" s="31"/>
      <c r="M2717" s="112"/>
      <c r="N2717" s="30"/>
      <c r="O2717" s="90"/>
      <c r="P2717" s="82"/>
      <c r="Q2717" s="83"/>
      <c r="R2717" s="33"/>
      <c r="S2717" s="33"/>
      <c r="T2717" s="89"/>
      <c r="U2717" s="90">
        <f>(U2714+U2715+U2716)</f>
        <v>6749358</v>
      </c>
      <c r="V2717" s="90">
        <f>(J2713+U2717)</f>
        <v>7011858</v>
      </c>
      <c r="W2717" s="90">
        <f>(V2717*100/100)</f>
        <v>7011858</v>
      </c>
      <c r="X2717" s="89">
        <v>0</v>
      </c>
      <c r="Y2717" s="48">
        <f>(W2717-X2717)</f>
        <v>7011858</v>
      </c>
      <c r="Z2717" s="49">
        <v>2.0000000000000001E-4</v>
      </c>
    </row>
    <row r="2718" spans="1:26" s="29" customFormat="1" ht="90.75" customHeight="1" x14ac:dyDescent="0.25">
      <c r="A2718" s="20">
        <v>1443</v>
      </c>
      <c r="B2718" s="20" t="s">
        <v>0</v>
      </c>
      <c r="C2718" s="20">
        <v>21942</v>
      </c>
      <c r="D2718" s="21">
        <v>1</v>
      </c>
      <c r="E2718" s="21">
        <v>0</v>
      </c>
      <c r="F2718" s="22">
        <v>77</v>
      </c>
      <c r="G2718" s="23" t="s">
        <v>56</v>
      </c>
      <c r="H2718" s="36">
        <f t="shared" ref="H2718" si="557">(D2718*400)+(E2718*100)+F2718</f>
        <v>477</v>
      </c>
      <c r="I2718" s="25">
        <v>875</v>
      </c>
      <c r="J2718" s="24">
        <f t="shared" ref="J2718" si="558">(H2718*I2718)</f>
        <v>417375</v>
      </c>
      <c r="K2718" s="20">
        <v>1</v>
      </c>
      <c r="L2718" s="20" t="s">
        <v>43</v>
      </c>
      <c r="M2718" s="20" t="s">
        <v>13</v>
      </c>
      <c r="N2718" s="20">
        <v>2</v>
      </c>
      <c r="O2718" s="24">
        <v>392</v>
      </c>
      <c r="P2718" s="24">
        <v>100</v>
      </c>
      <c r="Q2718" s="25">
        <v>7700</v>
      </c>
      <c r="R2718" s="36">
        <f>(O2718*Q2718)</f>
        <v>3018400</v>
      </c>
      <c r="S2718" s="20">
        <v>6</v>
      </c>
      <c r="T2718" s="28">
        <f>(R2718*6/100)</f>
        <v>181104</v>
      </c>
      <c r="U2718" s="78">
        <f>(R2718-T2718)</f>
        <v>2837296</v>
      </c>
      <c r="V2718" s="27">
        <f>(J2718+U2718)</f>
        <v>3254671</v>
      </c>
      <c r="W2718" s="26">
        <f>(V2718*100/100)</f>
        <v>3254671</v>
      </c>
      <c r="X2718" s="89">
        <v>0</v>
      </c>
      <c r="Y2718" s="48">
        <f>(W2718-X2718)</f>
        <v>3254671</v>
      </c>
      <c r="Z2718" s="49">
        <v>2.0000000000000001E-4</v>
      </c>
    </row>
    <row r="2719" spans="1:26" s="29" customFormat="1" ht="90.75" customHeight="1" x14ac:dyDescent="0.25">
      <c r="A2719" s="20">
        <v>1444</v>
      </c>
      <c r="B2719" s="20" t="s">
        <v>0</v>
      </c>
      <c r="C2719" s="20">
        <v>30771</v>
      </c>
      <c r="D2719" s="21">
        <v>5</v>
      </c>
      <c r="E2719" s="21">
        <v>0</v>
      </c>
      <c r="F2719" s="22">
        <v>0</v>
      </c>
      <c r="G2719" s="23" t="s">
        <v>211</v>
      </c>
      <c r="H2719" s="36">
        <f t="shared" ref="H2719" si="559">(D2719*400)+(E2719*100)+F2719</f>
        <v>2000</v>
      </c>
      <c r="I2719" s="25">
        <v>750</v>
      </c>
      <c r="J2719" s="24">
        <f t="shared" ref="J2719" si="560">(H2719*I2719)</f>
        <v>1500000</v>
      </c>
      <c r="K2719" s="20"/>
      <c r="L2719" s="20"/>
      <c r="M2719" s="20"/>
      <c r="N2719" s="20"/>
      <c r="O2719" s="24"/>
      <c r="P2719" s="24"/>
      <c r="Q2719" s="25"/>
      <c r="R2719" s="24"/>
      <c r="S2719" s="20" t="s">
        <v>2</v>
      </c>
      <c r="T2719" s="27"/>
      <c r="U2719" s="20"/>
      <c r="V2719" s="20"/>
      <c r="W2719" s="26"/>
      <c r="X2719" s="27"/>
      <c r="Y2719" s="20"/>
      <c r="Z2719" s="20"/>
    </row>
    <row r="2720" spans="1:26" s="29" customFormat="1" ht="90.75" customHeight="1" x14ac:dyDescent="0.25">
      <c r="A2720" s="20"/>
      <c r="B2720" s="20"/>
      <c r="C2720" s="20"/>
      <c r="D2720" s="21"/>
      <c r="E2720" s="21"/>
      <c r="F2720" s="22"/>
      <c r="G2720" s="23"/>
      <c r="H2720" s="36">
        <v>1952.45</v>
      </c>
      <c r="I2720" s="40">
        <v>750</v>
      </c>
      <c r="J2720" s="28">
        <f>(H2720*I2720)</f>
        <v>1464337.5</v>
      </c>
      <c r="K2720" s="37"/>
      <c r="L2720" s="31"/>
      <c r="M2720" s="32"/>
      <c r="N2720" s="33"/>
      <c r="O2720" s="82"/>
      <c r="P2720" s="86"/>
      <c r="Q2720" s="36"/>
      <c r="R2720" s="36"/>
      <c r="S2720" s="30"/>
      <c r="T2720" s="28"/>
      <c r="U2720" s="36"/>
      <c r="V2720" s="28"/>
      <c r="W2720" s="28"/>
      <c r="X2720" s="28"/>
      <c r="Y2720" s="28"/>
      <c r="Z2720" s="27"/>
    </row>
    <row r="2721" spans="1:26" s="29" customFormat="1" ht="90.75" customHeight="1" x14ac:dyDescent="0.25">
      <c r="A2721" s="20"/>
      <c r="B2721" s="20"/>
      <c r="C2721" s="20"/>
      <c r="D2721" s="21"/>
      <c r="E2721" s="21"/>
      <c r="F2721" s="22"/>
      <c r="G2721" s="23"/>
      <c r="H2721" s="36"/>
      <c r="I2721" s="40"/>
      <c r="J2721" s="28"/>
      <c r="K2721" s="37">
        <v>1</v>
      </c>
      <c r="L2721" s="31" t="s">
        <v>215</v>
      </c>
      <c r="M2721" s="32" t="s">
        <v>13</v>
      </c>
      <c r="N2721" s="33">
        <v>2</v>
      </c>
      <c r="O2721" s="82">
        <v>80.5</v>
      </c>
      <c r="P2721" s="86">
        <v>100</v>
      </c>
      <c r="Q2721" s="36">
        <v>6450</v>
      </c>
      <c r="R2721" s="36">
        <f t="shared" ref="R2721:R2728" si="561">(O2721*Q2721)</f>
        <v>519225</v>
      </c>
      <c r="S2721" s="30">
        <v>26</v>
      </c>
      <c r="T2721" s="28">
        <f>(R2721*42/100)</f>
        <v>218074.5</v>
      </c>
      <c r="U2721" s="36">
        <f t="shared" ref="U2721:U2728" si="562">(R2721-T2721)</f>
        <v>301150.5</v>
      </c>
      <c r="V2721" s="28"/>
      <c r="W2721" s="28"/>
      <c r="X2721" s="28"/>
      <c r="Y2721" s="28"/>
      <c r="Z2721" s="27"/>
    </row>
    <row r="2722" spans="1:26" s="29" customFormat="1" ht="90.75" customHeight="1" x14ac:dyDescent="0.25">
      <c r="A2722" s="20"/>
      <c r="B2722" s="20"/>
      <c r="C2722" s="20"/>
      <c r="D2722" s="21"/>
      <c r="E2722" s="21"/>
      <c r="F2722" s="22"/>
      <c r="G2722" s="23"/>
      <c r="H2722" s="36"/>
      <c r="I2722" s="40"/>
      <c r="J2722" s="28"/>
      <c r="K2722" s="37">
        <v>2</v>
      </c>
      <c r="L2722" s="31" t="s">
        <v>31</v>
      </c>
      <c r="M2722" s="32"/>
      <c r="N2722" s="33"/>
      <c r="O2722" s="82">
        <v>36</v>
      </c>
      <c r="P2722" s="86">
        <v>100</v>
      </c>
      <c r="Q2722" s="36">
        <v>2550</v>
      </c>
      <c r="R2722" s="36">
        <f t="shared" si="561"/>
        <v>91800</v>
      </c>
      <c r="S2722" s="30">
        <v>7</v>
      </c>
      <c r="T2722" s="28">
        <f>(R2722*7/100)</f>
        <v>6426</v>
      </c>
      <c r="U2722" s="36">
        <f t="shared" si="562"/>
        <v>85374</v>
      </c>
      <c r="V2722" s="28"/>
      <c r="W2722" s="28"/>
      <c r="X2722" s="28"/>
      <c r="Y2722" s="28"/>
      <c r="Z2722" s="27"/>
    </row>
    <row r="2723" spans="1:26" s="29" customFormat="1" ht="90.75" customHeight="1" x14ac:dyDescent="0.25">
      <c r="A2723" s="20"/>
      <c r="B2723" s="20"/>
      <c r="C2723" s="20"/>
      <c r="D2723" s="21"/>
      <c r="E2723" s="21"/>
      <c r="F2723" s="22"/>
      <c r="G2723" s="23"/>
      <c r="H2723" s="36"/>
      <c r="I2723" s="40"/>
      <c r="J2723" s="28"/>
      <c r="K2723" s="37">
        <v>3</v>
      </c>
      <c r="L2723" s="31" t="s">
        <v>29</v>
      </c>
      <c r="M2723" s="32"/>
      <c r="N2723" s="33"/>
      <c r="O2723" s="82">
        <v>42</v>
      </c>
      <c r="P2723" s="86">
        <v>100</v>
      </c>
      <c r="Q2723" s="36">
        <v>5550</v>
      </c>
      <c r="R2723" s="36">
        <f t="shared" si="561"/>
        <v>233100</v>
      </c>
      <c r="S2723" s="30">
        <v>26</v>
      </c>
      <c r="T2723" s="28">
        <f>(R2723*42/100)</f>
        <v>97902</v>
      </c>
      <c r="U2723" s="36">
        <f t="shared" si="562"/>
        <v>135198</v>
      </c>
      <c r="V2723" s="28"/>
      <c r="W2723" s="28"/>
      <c r="X2723" s="28"/>
      <c r="Y2723" s="28"/>
      <c r="Z2723" s="27"/>
    </row>
    <row r="2724" spans="1:26" s="29" customFormat="1" ht="90.75" customHeight="1" x14ac:dyDescent="0.25">
      <c r="A2724" s="20"/>
      <c r="B2724" s="20"/>
      <c r="C2724" s="20"/>
      <c r="D2724" s="21"/>
      <c r="E2724" s="21"/>
      <c r="F2724" s="22"/>
      <c r="G2724" s="23"/>
      <c r="H2724" s="36"/>
      <c r="I2724" s="40"/>
      <c r="J2724" s="28"/>
      <c r="K2724" s="37"/>
      <c r="L2724" s="31"/>
      <c r="M2724" s="32"/>
      <c r="N2724" s="33"/>
      <c r="O2724" s="82"/>
      <c r="P2724" s="86"/>
      <c r="Q2724" s="36"/>
      <c r="R2724" s="36"/>
      <c r="S2724" s="30"/>
      <c r="T2724" s="28"/>
      <c r="U2724" s="36">
        <f>(U2721+U2722+U2723)</f>
        <v>521722.5</v>
      </c>
      <c r="V2724" s="28">
        <f>(J2720+U2724)</f>
        <v>1986060</v>
      </c>
      <c r="W2724" s="28">
        <f>(V2724*100/100)</f>
        <v>1986060</v>
      </c>
      <c r="X2724" s="28">
        <v>50000000</v>
      </c>
      <c r="Y2724" s="28"/>
      <c r="Z2724" s="49"/>
    </row>
    <row r="2725" spans="1:26" s="29" customFormat="1" ht="90.75" customHeight="1" x14ac:dyDescent="0.25">
      <c r="A2725" s="20"/>
      <c r="B2725" s="20"/>
      <c r="C2725" s="20"/>
      <c r="D2725" s="21"/>
      <c r="E2725" s="21"/>
      <c r="F2725" s="22"/>
      <c r="G2725" s="23"/>
      <c r="H2725" s="36">
        <f>(O2725*0.25)</f>
        <v>26.55</v>
      </c>
      <c r="I2725" s="40">
        <v>750</v>
      </c>
      <c r="J2725" s="28">
        <f t="shared" ref="J2725:J2730" si="563">(H2725*I2725)</f>
        <v>19912.5</v>
      </c>
      <c r="K2725" s="37">
        <v>4</v>
      </c>
      <c r="L2725" s="31" t="s">
        <v>29</v>
      </c>
      <c r="M2725" s="32"/>
      <c r="N2725" s="33"/>
      <c r="O2725" s="82">
        <v>106.2</v>
      </c>
      <c r="P2725" s="86">
        <v>100</v>
      </c>
      <c r="Q2725" s="36">
        <v>5550</v>
      </c>
      <c r="R2725" s="36">
        <f>(O2725*Q2725)</f>
        <v>589410</v>
      </c>
      <c r="S2725" s="30">
        <v>7</v>
      </c>
      <c r="T2725" s="28">
        <f>(R2725*7/100)</f>
        <v>41258.699999999997</v>
      </c>
      <c r="U2725" s="36">
        <f t="shared" si="562"/>
        <v>548151.30000000005</v>
      </c>
      <c r="V2725" s="28">
        <f>(J2725+U2725)</f>
        <v>568063.80000000005</v>
      </c>
      <c r="W2725" s="28">
        <f>(V2725*100/100)</f>
        <v>568063.80000000005</v>
      </c>
      <c r="X2725" s="28">
        <v>0</v>
      </c>
      <c r="Y2725" s="28">
        <f>(W2725-X2725)</f>
        <v>568063.80000000005</v>
      </c>
      <c r="Z2725" s="49">
        <v>3.0000000000000001E-3</v>
      </c>
    </row>
    <row r="2726" spans="1:26" s="29" customFormat="1" ht="90.75" customHeight="1" x14ac:dyDescent="0.25">
      <c r="A2726" s="20"/>
      <c r="B2726" s="20"/>
      <c r="C2726" s="20"/>
      <c r="D2726" s="21"/>
      <c r="E2726" s="21"/>
      <c r="F2726" s="22"/>
      <c r="G2726" s="23"/>
      <c r="H2726" s="36">
        <f>(O2726*0.25)</f>
        <v>7.5</v>
      </c>
      <c r="I2726" s="40">
        <v>750</v>
      </c>
      <c r="J2726" s="28">
        <f t="shared" si="563"/>
        <v>5625</v>
      </c>
      <c r="K2726" s="37">
        <v>5</v>
      </c>
      <c r="L2726" s="31" t="s">
        <v>215</v>
      </c>
      <c r="M2726" s="32" t="s">
        <v>102</v>
      </c>
      <c r="N2726" s="33"/>
      <c r="O2726" s="82">
        <v>30</v>
      </c>
      <c r="P2726" s="86">
        <v>100</v>
      </c>
      <c r="Q2726" s="36">
        <v>6450</v>
      </c>
      <c r="R2726" s="36">
        <f t="shared" si="561"/>
        <v>193500</v>
      </c>
      <c r="S2726" s="30">
        <v>5</v>
      </c>
      <c r="T2726" s="28">
        <f>(R2726*5/100)</f>
        <v>9675</v>
      </c>
      <c r="U2726" s="36">
        <f t="shared" si="562"/>
        <v>183825</v>
      </c>
      <c r="V2726" s="28">
        <f>(J2726+U2726)</f>
        <v>189450</v>
      </c>
      <c r="W2726" s="28">
        <f>(V2726*100/100)</f>
        <v>189450</v>
      </c>
      <c r="X2726" s="28">
        <v>0</v>
      </c>
      <c r="Y2726" s="28">
        <f>(W2726-X2726)</f>
        <v>189450</v>
      </c>
      <c r="Z2726" s="49">
        <v>2.0000000000000001E-4</v>
      </c>
    </row>
    <row r="2727" spans="1:26" s="29" customFormat="1" ht="90.75" customHeight="1" x14ac:dyDescent="0.25">
      <c r="A2727" s="20"/>
      <c r="B2727" s="20"/>
      <c r="C2727" s="20"/>
      <c r="D2727" s="21"/>
      <c r="E2727" s="21"/>
      <c r="F2727" s="22"/>
      <c r="G2727" s="23"/>
      <c r="H2727" s="36">
        <f>(O2727*0.25)</f>
        <v>7.5</v>
      </c>
      <c r="I2727" s="40">
        <v>750</v>
      </c>
      <c r="J2727" s="28">
        <f t="shared" si="563"/>
        <v>5625</v>
      </c>
      <c r="K2727" s="37">
        <v>6</v>
      </c>
      <c r="L2727" s="31" t="s">
        <v>215</v>
      </c>
      <c r="M2727" s="32" t="s">
        <v>102</v>
      </c>
      <c r="N2727" s="33"/>
      <c r="O2727" s="82">
        <v>30</v>
      </c>
      <c r="P2727" s="86">
        <v>100</v>
      </c>
      <c r="Q2727" s="36">
        <v>6450</v>
      </c>
      <c r="R2727" s="36">
        <f t="shared" si="561"/>
        <v>193500</v>
      </c>
      <c r="S2727" s="30">
        <v>5</v>
      </c>
      <c r="T2727" s="28">
        <f>(R2727*5/100)</f>
        <v>9675</v>
      </c>
      <c r="U2727" s="36">
        <f t="shared" si="562"/>
        <v>183825</v>
      </c>
      <c r="V2727" s="28">
        <f>(J2727+U2727)</f>
        <v>189450</v>
      </c>
      <c r="W2727" s="28">
        <f>(V2727*100/100)</f>
        <v>189450</v>
      </c>
      <c r="X2727" s="28">
        <v>0</v>
      </c>
      <c r="Y2727" s="28">
        <f>(W2727-X2727)</f>
        <v>189450</v>
      </c>
      <c r="Z2727" s="49">
        <v>2.0000000000000001E-4</v>
      </c>
    </row>
    <row r="2728" spans="1:26" s="29" customFormat="1" ht="90.75" customHeight="1" x14ac:dyDescent="0.25">
      <c r="A2728" s="20"/>
      <c r="B2728" s="20"/>
      <c r="C2728" s="20"/>
      <c r="D2728" s="21"/>
      <c r="E2728" s="21"/>
      <c r="F2728" s="22"/>
      <c r="G2728" s="23"/>
      <c r="H2728" s="36">
        <f>(O2728*0.25)</f>
        <v>6</v>
      </c>
      <c r="I2728" s="40">
        <v>750</v>
      </c>
      <c r="J2728" s="28">
        <f t="shared" si="563"/>
        <v>4500</v>
      </c>
      <c r="K2728" s="37">
        <v>7</v>
      </c>
      <c r="L2728" s="31" t="s">
        <v>215</v>
      </c>
      <c r="M2728" s="32" t="s">
        <v>102</v>
      </c>
      <c r="N2728" s="33"/>
      <c r="O2728" s="82">
        <v>24</v>
      </c>
      <c r="P2728" s="86">
        <v>100</v>
      </c>
      <c r="Q2728" s="36">
        <v>6450</v>
      </c>
      <c r="R2728" s="36">
        <f t="shared" si="561"/>
        <v>154800</v>
      </c>
      <c r="S2728" s="30">
        <v>5</v>
      </c>
      <c r="T2728" s="28">
        <f>(R2728*5/100)</f>
        <v>7740</v>
      </c>
      <c r="U2728" s="36">
        <f t="shared" si="562"/>
        <v>147060</v>
      </c>
      <c r="V2728" s="28">
        <f>(J2728+U2728)</f>
        <v>151560</v>
      </c>
      <c r="W2728" s="28">
        <f>(V2728*100/100)</f>
        <v>151560</v>
      </c>
      <c r="X2728" s="28">
        <v>0</v>
      </c>
      <c r="Y2728" s="28">
        <f>(W2728-X2728)</f>
        <v>151560</v>
      </c>
      <c r="Z2728" s="49">
        <v>2.0000000000000001E-4</v>
      </c>
    </row>
    <row r="2729" spans="1:26" s="29" customFormat="1" ht="90.75" customHeight="1" x14ac:dyDescent="0.25">
      <c r="A2729" s="20">
        <v>1445</v>
      </c>
      <c r="B2729" s="20" t="s">
        <v>0</v>
      </c>
      <c r="C2729" s="20">
        <v>30772</v>
      </c>
      <c r="D2729" s="21">
        <v>1</v>
      </c>
      <c r="E2729" s="21">
        <v>2</v>
      </c>
      <c r="F2729" s="22">
        <v>0</v>
      </c>
      <c r="G2729" s="23" t="s">
        <v>211</v>
      </c>
      <c r="H2729" s="36">
        <f>(D2729*400)+(E2729*100)+F2729</f>
        <v>600</v>
      </c>
      <c r="I2729" s="40" t="s">
        <v>77</v>
      </c>
      <c r="J2729" s="65">
        <f t="shared" si="563"/>
        <v>450000</v>
      </c>
      <c r="K2729" s="30"/>
      <c r="L2729" s="20"/>
      <c r="M2729" s="35"/>
      <c r="N2729" s="30"/>
      <c r="O2729" s="36"/>
      <c r="P2729" s="86"/>
      <c r="Q2729" s="40"/>
      <c r="R2729" s="84"/>
      <c r="S2729" s="84"/>
      <c r="T2729" s="28"/>
      <c r="U2729" s="84"/>
      <c r="V2729" s="36"/>
      <c r="W2729" s="36"/>
      <c r="X2729" s="28"/>
      <c r="Y2729" s="26"/>
      <c r="Z2729" s="53"/>
    </row>
    <row r="2730" spans="1:26" s="29" customFormat="1" ht="90.75" customHeight="1" x14ac:dyDescent="0.25">
      <c r="A2730" s="20"/>
      <c r="B2730" s="20"/>
      <c r="C2730" s="20"/>
      <c r="D2730" s="21"/>
      <c r="E2730" s="21"/>
      <c r="F2730" s="22"/>
      <c r="G2730" s="23"/>
      <c r="H2730" s="36">
        <v>343.5</v>
      </c>
      <c r="I2730" s="40" t="s">
        <v>77</v>
      </c>
      <c r="J2730" s="65">
        <f t="shared" si="563"/>
        <v>257625</v>
      </c>
      <c r="K2730" s="30">
        <v>1</v>
      </c>
      <c r="L2730" s="20" t="s">
        <v>137</v>
      </c>
      <c r="M2730" s="35" t="s">
        <v>24</v>
      </c>
      <c r="N2730" s="30"/>
      <c r="O2730" s="36">
        <v>180</v>
      </c>
      <c r="P2730" s="86">
        <v>100</v>
      </c>
      <c r="Q2730" s="40">
        <v>6450</v>
      </c>
      <c r="R2730" s="36">
        <f>(O2730*Q2730)</f>
        <v>1161000</v>
      </c>
      <c r="S2730" s="84">
        <v>7</v>
      </c>
      <c r="T2730" s="28">
        <f>(R2730*7/100)</f>
        <v>81270</v>
      </c>
      <c r="U2730" s="36">
        <f>(R2730-T2730)</f>
        <v>1079730</v>
      </c>
      <c r="V2730" s="36"/>
      <c r="W2730" s="36"/>
      <c r="X2730" s="28"/>
      <c r="Y2730" s="26"/>
      <c r="Z2730" s="53"/>
    </row>
    <row r="2731" spans="1:26" s="29" customFormat="1" ht="90.75" customHeight="1" x14ac:dyDescent="0.25">
      <c r="A2731" s="20"/>
      <c r="B2731" s="20"/>
      <c r="C2731" s="20"/>
      <c r="D2731" s="21"/>
      <c r="E2731" s="21"/>
      <c r="F2731" s="22"/>
      <c r="G2731" s="23"/>
      <c r="H2731" s="36"/>
      <c r="I2731" s="40"/>
      <c r="J2731" s="65"/>
      <c r="K2731" s="30">
        <v>2</v>
      </c>
      <c r="L2731" s="20" t="s">
        <v>31</v>
      </c>
      <c r="M2731" s="35"/>
      <c r="N2731" s="30"/>
      <c r="O2731" s="36">
        <v>504</v>
      </c>
      <c r="P2731" s="86">
        <v>100</v>
      </c>
      <c r="Q2731" s="40">
        <v>2550</v>
      </c>
      <c r="R2731" s="36">
        <f t="shared" ref="R2731:R2737" si="564">(O2731*Q2731)</f>
        <v>1285200</v>
      </c>
      <c r="S2731" s="84">
        <v>7</v>
      </c>
      <c r="T2731" s="28">
        <f t="shared" ref="T2731:T2735" si="565">(R2731*7/100)</f>
        <v>89964</v>
      </c>
      <c r="U2731" s="36">
        <f t="shared" ref="U2731:U2737" si="566">(R2731-T2731)</f>
        <v>1195236</v>
      </c>
      <c r="V2731" s="36"/>
      <c r="W2731" s="36"/>
      <c r="X2731" s="28"/>
      <c r="Y2731" s="26"/>
      <c r="Z2731" s="53"/>
    </row>
    <row r="2732" spans="1:26" s="29" customFormat="1" ht="90.75" customHeight="1" x14ac:dyDescent="0.25">
      <c r="A2732" s="20"/>
      <c r="B2732" s="20"/>
      <c r="C2732" s="20"/>
      <c r="D2732" s="21"/>
      <c r="E2732" s="21"/>
      <c r="F2732" s="22"/>
      <c r="G2732" s="23"/>
      <c r="H2732" s="36"/>
      <c r="I2732" s="40"/>
      <c r="J2732" s="65"/>
      <c r="K2732" s="30">
        <v>3</v>
      </c>
      <c r="L2732" s="20" t="s">
        <v>138</v>
      </c>
      <c r="M2732" s="35"/>
      <c r="N2732" s="30"/>
      <c r="O2732" s="36">
        <v>282.13</v>
      </c>
      <c r="P2732" s="86">
        <v>100</v>
      </c>
      <c r="Q2732" s="40">
        <v>282.13</v>
      </c>
      <c r="R2732" s="36">
        <f t="shared" si="564"/>
        <v>79597.336899999995</v>
      </c>
      <c r="S2732" s="84">
        <v>7</v>
      </c>
      <c r="T2732" s="28">
        <f t="shared" si="565"/>
        <v>5571.8135829999992</v>
      </c>
      <c r="U2732" s="36">
        <f t="shared" si="566"/>
        <v>74025.523316999999</v>
      </c>
      <c r="V2732" s="36"/>
      <c r="W2732" s="36"/>
      <c r="X2732" s="28"/>
      <c r="Y2732" s="26"/>
      <c r="Z2732" s="53"/>
    </row>
    <row r="2733" spans="1:26" s="29" customFormat="1" ht="90.75" customHeight="1" x14ac:dyDescent="0.25">
      <c r="A2733" s="20"/>
      <c r="B2733" s="20"/>
      <c r="C2733" s="20"/>
      <c r="D2733" s="21"/>
      <c r="E2733" s="21"/>
      <c r="F2733" s="22"/>
      <c r="G2733" s="23"/>
      <c r="H2733" s="36"/>
      <c r="I2733" s="40"/>
      <c r="J2733" s="65"/>
      <c r="K2733" s="30">
        <v>4</v>
      </c>
      <c r="L2733" s="20" t="s">
        <v>137</v>
      </c>
      <c r="M2733" s="35" t="s">
        <v>13</v>
      </c>
      <c r="N2733" s="30"/>
      <c r="O2733" s="36">
        <v>52.5</v>
      </c>
      <c r="P2733" s="86">
        <v>100</v>
      </c>
      <c r="Q2733" s="40">
        <v>6450</v>
      </c>
      <c r="R2733" s="36">
        <f t="shared" si="564"/>
        <v>338625</v>
      </c>
      <c r="S2733" s="84">
        <v>7</v>
      </c>
      <c r="T2733" s="28">
        <f t="shared" si="565"/>
        <v>23703.75</v>
      </c>
      <c r="U2733" s="36">
        <f t="shared" si="566"/>
        <v>314921.25</v>
      </c>
      <c r="V2733" s="36"/>
      <c r="W2733" s="36"/>
      <c r="X2733" s="28"/>
      <c r="Y2733" s="26"/>
      <c r="Z2733" s="53"/>
    </row>
    <row r="2734" spans="1:26" s="29" customFormat="1" ht="90.75" customHeight="1" x14ac:dyDescent="0.25">
      <c r="A2734" s="20"/>
      <c r="B2734" s="20"/>
      <c r="C2734" s="20"/>
      <c r="D2734" s="21"/>
      <c r="E2734" s="21"/>
      <c r="F2734" s="22"/>
      <c r="G2734" s="23"/>
      <c r="H2734" s="36"/>
      <c r="I2734" s="40"/>
      <c r="J2734" s="65"/>
      <c r="K2734" s="30">
        <v>5</v>
      </c>
      <c r="L2734" s="20" t="s">
        <v>137</v>
      </c>
      <c r="M2734" s="35" t="s">
        <v>24</v>
      </c>
      <c r="N2734" s="30"/>
      <c r="O2734" s="36">
        <v>168</v>
      </c>
      <c r="P2734" s="86">
        <v>100</v>
      </c>
      <c r="Q2734" s="40">
        <v>6450</v>
      </c>
      <c r="R2734" s="36">
        <f t="shared" si="564"/>
        <v>1083600</v>
      </c>
      <c r="S2734" s="84">
        <v>7</v>
      </c>
      <c r="T2734" s="28">
        <f t="shared" si="565"/>
        <v>75852</v>
      </c>
      <c r="U2734" s="36">
        <f t="shared" si="566"/>
        <v>1007748</v>
      </c>
      <c r="V2734" s="36"/>
      <c r="W2734" s="36"/>
      <c r="X2734" s="28"/>
      <c r="Y2734" s="26"/>
      <c r="Z2734" s="53"/>
    </row>
    <row r="2735" spans="1:26" s="29" customFormat="1" ht="90.75" customHeight="1" x14ac:dyDescent="0.25">
      <c r="A2735" s="20"/>
      <c r="B2735" s="20"/>
      <c r="C2735" s="20"/>
      <c r="D2735" s="21"/>
      <c r="E2735" s="21"/>
      <c r="F2735" s="22"/>
      <c r="G2735" s="23"/>
      <c r="H2735" s="36"/>
      <c r="I2735" s="40"/>
      <c r="J2735" s="65"/>
      <c r="K2735" s="30">
        <v>6</v>
      </c>
      <c r="L2735" s="20" t="s">
        <v>17</v>
      </c>
      <c r="M2735" s="35" t="s">
        <v>51</v>
      </c>
      <c r="N2735" s="30"/>
      <c r="O2735" s="36">
        <v>12</v>
      </c>
      <c r="P2735" s="86">
        <v>100</v>
      </c>
      <c r="Q2735" s="40">
        <v>5900</v>
      </c>
      <c r="R2735" s="36">
        <f t="shared" si="564"/>
        <v>70800</v>
      </c>
      <c r="S2735" s="84">
        <v>7</v>
      </c>
      <c r="T2735" s="28">
        <f t="shared" si="565"/>
        <v>4956</v>
      </c>
      <c r="U2735" s="36">
        <f t="shared" si="566"/>
        <v>65844</v>
      </c>
      <c r="V2735" s="36"/>
      <c r="W2735" s="36"/>
      <c r="X2735" s="28"/>
      <c r="Y2735" s="26"/>
      <c r="Z2735" s="53"/>
    </row>
    <row r="2736" spans="1:26" s="29" customFormat="1" ht="90.75" customHeight="1" x14ac:dyDescent="0.25">
      <c r="A2736" s="20"/>
      <c r="B2736" s="20"/>
      <c r="C2736" s="20"/>
      <c r="D2736" s="21"/>
      <c r="E2736" s="21"/>
      <c r="F2736" s="22"/>
      <c r="G2736" s="23"/>
      <c r="H2736" s="36"/>
      <c r="I2736" s="40"/>
      <c r="J2736" s="65"/>
      <c r="K2736" s="30"/>
      <c r="L2736" s="20"/>
      <c r="M2736" s="35"/>
      <c r="N2736" s="30"/>
      <c r="O2736" s="36"/>
      <c r="P2736" s="86"/>
      <c r="Q2736" s="40"/>
      <c r="R2736" s="36"/>
      <c r="S2736" s="84"/>
      <c r="T2736" s="28"/>
      <c r="U2736" s="36">
        <f>(U2730+U2731+U2732+U2733+U2734+U2735)</f>
        <v>3737504.7733169999</v>
      </c>
      <c r="V2736" s="36">
        <f>(J2736+U2736)</f>
        <v>3737504.7733169999</v>
      </c>
      <c r="W2736" s="36">
        <f>(V2736*100/100)</f>
        <v>3737504.7733169999</v>
      </c>
      <c r="X2736" s="28">
        <v>50000000</v>
      </c>
      <c r="Y2736" s="26">
        <v>0</v>
      </c>
      <c r="Z2736" s="49"/>
    </row>
    <row r="2737" spans="1:26" s="29" customFormat="1" ht="90.75" customHeight="1" x14ac:dyDescent="0.25">
      <c r="A2737" s="20"/>
      <c r="B2737" s="20"/>
      <c r="C2737" s="20"/>
      <c r="D2737" s="21"/>
      <c r="E2737" s="21"/>
      <c r="F2737" s="22"/>
      <c r="G2737" s="23"/>
      <c r="H2737" s="36">
        <v>256.5</v>
      </c>
      <c r="I2737" s="40" t="s">
        <v>77</v>
      </c>
      <c r="J2737" s="65">
        <f>(H2737*I2737)</f>
        <v>192375</v>
      </c>
      <c r="K2737" s="30">
        <v>1</v>
      </c>
      <c r="L2737" s="20" t="s">
        <v>48</v>
      </c>
      <c r="M2737" s="35" t="s">
        <v>51</v>
      </c>
      <c r="N2737" s="30">
        <v>5</v>
      </c>
      <c r="O2737" s="36">
        <v>1026</v>
      </c>
      <c r="P2737" s="86">
        <v>100</v>
      </c>
      <c r="Q2737" s="40">
        <v>3500</v>
      </c>
      <c r="R2737" s="36">
        <f t="shared" si="564"/>
        <v>3591000</v>
      </c>
      <c r="S2737" s="84">
        <v>7</v>
      </c>
      <c r="T2737" s="28">
        <f t="shared" ref="T2737" si="567">(R2737*7/100)</f>
        <v>251370</v>
      </c>
      <c r="U2737" s="36">
        <f t="shared" si="566"/>
        <v>3339630</v>
      </c>
      <c r="V2737" s="36">
        <f>(J2737+U2737)</f>
        <v>3532005</v>
      </c>
      <c r="W2737" s="36">
        <f>(V2737*100/100)</f>
        <v>3532005</v>
      </c>
      <c r="X2737" s="28">
        <v>0</v>
      </c>
      <c r="Y2737" s="26">
        <f>(W2737-X2737)</f>
        <v>3532005</v>
      </c>
      <c r="Z2737" s="49">
        <v>3.0000000000000001E-3</v>
      </c>
    </row>
    <row r="2738" spans="1:26" s="29" customFormat="1" ht="90.75" customHeight="1" x14ac:dyDescent="0.25">
      <c r="A2738" s="20">
        <v>1446</v>
      </c>
      <c r="B2738" s="20" t="s">
        <v>0</v>
      </c>
      <c r="C2738" s="20">
        <v>41793</v>
      </c>
      <c r="D2738" s="21">
        <v>0</v>
      </c>
      <c r="E2738" s="21">
        <v>2</v>
      </c>
      <c r="F2738" s="22">
        <v>72</v>
      </c>
      <c r="G2738" s="23" t="s">
        <v>209</v>
      </c>
      <c r="H2738" s="36">
        <f t="shared" ref="H2738:H2740" si="568">(D2738*400)+(E2738*100)+F2738</f>
        <v>272</v>
      </c>
      <c r="I2738" s="25">
        <v>1000</v>
      </c>
      <c r="J2738" s="24">
        <f t="shared" ref="J2738:J2740" si="569">(H2738*I2738)</f>
        <v>272000</v>
      </c>
      <c r="K2738" s="20">
        <v>1</v>
      </c>
      <c r="L2738" s="20" t="s">
        <v>16</v>
      </c>
      <c r="M2738" s="20" t="s">
        <v>24</v>
      </c>
      <c r="N2738" s="20">
        <v>2</v>
      </c>
      <c r="O2738" s="24">
        <v>1080</v>
      </c>
      <c r="P2738" s="24">
        <v>100</v>
      </c>
      <c r="Q2738" s="25">
        <v>6450</v>
      </c>
      <c r="R2738" s="24">
        <f t="shared" ref="R2738" si="570">(O2738*Q2738)</f>
        <v>6966000</v>
      </c>
      <c r="S2738" s="20">
        <v>7</v>
      </c>
      <c r="T2738" s="24">
        <f>(R2738*7/100)</f>
        <v>487620</v>
      </c>
      <c r="U2738" s="27">
        <f>(R2738-T2738)</f>
        <v>6478380</v>
      </c>
      <c r="V2738" s="27">
        <f>(J2738+U2738)</f>
        <v>6750380</v>
      </c>
      <c r="W2738" s="26">
        <f>(V2738*100/100)</f>
        <v>6750380</v>
      </c>
      <c r="X2738" s="28">
        <v>0</v>
      </c>
      <c r="Y2738" s="26">
        <f>(W2738-X2738)</f>
        <v>6750380</v>
      </c>
      <c r="Z2738" s="49">
        <v>2.0000000000000001E-4</v>
      </c>
    </row>
    <row r="2739" spans="1:26" s="29" customFormat="1" ht="90.75" customHeight="1" x14ac:dyDescent="0.25">
      <c r="A2739" s="20">
        <v>1447</v>
      </c>
      <c r="B2739" s="20" t="s">
        <v>0</v>
      </c>
      <c r="C2739" s="20">
        <v>7985</v>
      </c>
      <c r="D2739" s="21">
        <v>2</v>
      </c>
      <c r="E2739" s="21">
        <v>0</v>
      </c>
      <c r="F2739" s="22">
        <v>42</v>
      </c>
      <c r="G2739" s="23" t="s">
        <v>210</v>
      </c>
      <c r="H2739" s="77">
        <f t="shared" si="568"/>
        <v>842</v>
      </c>
      <c r="I2739" s="25" t="s">
        <v>77</v>
      </c>
      <c r="J2739" s="28">
        <f t="shared" si="569"/>
        <v>631500</v>
      </c>
      <c r="K2739" s="20"/>
      <c r="L2739" s="20"/>
      <c r="M2739" s="20"/>
      <c r="N2739" s="20"/>
      <c r="O2739" s="24"/>
      <c r="P2739" s="24"/>
      <c r="Q2739" s="25"/>
      <c r="R2739" s="24"/>
      <c r="S2739" s="20"/>
      <c r="T2739" s="27"/>
      <c r="U2739" s="77"/>
      <c r="V2739" s="77">
        <f>(J2739+U2739)</f>
        <v>631500</v>
      </c>
      <c r="W2739" s="77">
        <f>(V2739*100/100)</f>
        <v>631500</v>
      </c>
      <c r="X2739" s="28">
        <v>0</v>
      </c>
      <c r="Y2739" s="28">
        <f>(W2739-X2739)</f>
        <v>631500</v>
      </c>
      <c r="Z2739" s="49">
        <v>3.0000000000000001E-3</v>
      </c>
    </row>
    <row r="2740" spans="1:26" s="29" customFormat="1" ht="90.75" customHeight="1" x14ac:dyDescent="0.25">
      <c r="A2740" s="20">
        <v>1448</v>
      </c>
      <c r="B2740" s="20" t="s">
        <v>0</v>
      </c>
      <c r="C2740" s="20">
        <v>25156</v>
      </c>
      <c r="D2740" s="21">
        <v>2</v>
      </c>
      <c r="E2740" s="21">
        <v>3</v>
      </c>
      <c r="F2740" s="22">
        <v>92</v>
      </c>
      <c r="G2740" s="23" t="s">
        <v>211</v>
      </c>
      <c r="H2740" s="77">
        <f t="shared" si="568"/>
        <v>1192</v>
      </c>
      <c r="I2740" s="40">
        <v>625</v>
      </c>
      <c r="J2740" s="28">
        <f t="shared" si="569"/>
        <v>745000</v>
      </c>
      <c r="K2740" s="37"/>
      <c r="L2740" s="20"/>
      <c r="M2740" s="37"/>
      <c r="N2740" s="30"/>
      <c r="O2740" s="77"/>
      <c r="P2740" s="35"/>
      <c r="Q2740" s="40"/>
      <c r="R2740" s="77"/>
      <c r="S2740" s="37"/>
      <c r="T2740" s="28"/>
      <c r="U2740" s="77"/>
      <c r="V2740" s="77"/>
      <c r="W2740" s="77"/>
      <c r="X2740" s="28"/>
      <c r="Y2740" s="28"/>
      <c r="Z2740" s="20"/>
    </row>
    <row r="2741" spans="1:26" s="29" customFormat="1" ht="90.75" customHeight="1" x14ac:dyDescent="0.25">
      <c r="A2741" s="20"/>
      <c r="B2741" s="20"/>
      <c r="C2741" s="20"/>
      <c r="D2741" s="21"/>
      <c r="E2741" s="21"/>
      <c r="F2741" s="22"/>
      <c r="G2741" s="23"/>
      <c r="H2741" s="77">
        <f>(O2741*0.25)</f>
        <v>27.5625</v>
      </c>
      <c r="I2741" s="40">
        <v>625</v>
      </c>
      <c r="J2741" s="28">
        <f t="shared" ref="J2741" si="571">(H2741*I2741)</f>
        <v>17226.5625</v>
      </c>
      <c r="K2741" s="37">
        <v>1</v>
      </c>
      <c r="L2741" s="20" t="s">
        <v>215</v>
      </c>
      <c r="M2741" s="37" t="s">
        <v>13</v>
      </c>
      <c r="N2741" s="30">
        <v>3</v>
      </c>
      <c r="O2741" s="77">
        <v>110.25</v>
      </c>
      <c r="P2741" s="35">
        <v>100</v>
      </c>
      <c r="Q2741" s="40">
        <v>6450</v>
      </c>
      <c r="R2741" s="77">
        <f>(O2741*Q2741)</f>
        <v>711112.5</v>
      </c>
      <c r="S2741" s="37">
        <v>5</v>
      </c>
      <c r="T2741" s="28">
        <f>(R2741*5/100)</f>
        <v>35555.625</v>
      </c>
      <c r="U2741" s="77">
        <f>(R2741-T2741)</f>
        <v>675556.875</v>
      </c>
      <c r="V2741" s="77">
        <f>(J2741+U2741)</f>
        <v>692783.4375</v>
      </c>
      <c r="W2741" s="77">
        <f>(V2741*100/100)</f>
        <v>692783.4375</v>
      </c>
      <c r="X2741" s="28">
        <v>0</v>
      </c>
      <c r="Y2741" s="28">
        <f>(W2741-X2741)</f>
        <v>692783.4375</v>
      </c>
      <c r="Z2741" s="49">
        <v>3.0000000000000001E-3</v>
      </c>
    </row>
    <row r="2742" spans="1:26" s="29" customFormat="1" ht="90.75" customHeight="1" x14ac:dyDescent="0.25">
      <c r="A2742" s="20"/>
      <c r="B2742" s="20"/>
      <c r="C2742" s="20"/>
      <c r="D2742" s="21"/>
      <c r="E2742" s="21"/>
      <c r="F2742" s="22"/>
      <c r="G2742" s="23"/>
      <c r="H2742" s="77">
        <f t="shared" ref="H2742:H2745" si="572">(O2742*0.25)</f>
        <v>12.25</v>
      </c>
      <c r="I2742" s="40">
        <v>625</v>
      </c>
      <c r="J2742" s="28">
        <f t="shared" ref="J2742:J2745" si="573">(H2742*I2742)</f>
        <v>7656.25</v>
      </c>
      <c r="K2742" s="37">
        <v>2</v>
      </c>
      <c r="L2742" s="20" t="s">
        <v>215</v>
      </c>
      <c r="M2742" s="37" t="s">
        <v>13</v>
      </c>
      <c r="N2742" s="30">
        <v>3</v>
      </c>
      <c r="O2742" s="77">
        <v>49</v>
      </c>
      <c r="P2742" s="35">
        <v>100</v>
      </c>
      <c r="Q2742" s="40">
        <v>6450</v>
      </c>
      <c r="R2742" s="77">
        <f t="shared" ref="R2742:R2745" si="574">(O2742*Q2742)</f>
        <v>316050</v>
      </c>
      <c r="S2742" s="37">
        <v>5</v>
      </c>
      <c r="T2742" s="28">
        <f t="shared" ref="T2742:T2745" si="575">(R2742*5/100)</f>
        <v>15802.5</v>
      </c>
      <c r="U2742" s="77">
        <f t="shared" ref="U2742:U2745" si="576">(R2742-T2742)</f>
        <v>300247.5</v>
      </c>
      <c r="V2742" s="77">
        <f t="shared" ref="V2742:V2745" si="577">(J2742+U2742)</f>
        <v>307903.75</v>
      </c>
      <c r="W2742" s="77">
        <f t="shared" ref="W2742:W2745" si="578">(V2742*100/100)</f>
        <v>307903.75</v>
      </c>
      <c r="X2742" s="28">
        <v>0</v>
      </c>
      <c r="Y2742" s="28">
        <f t="shared" ref="Y2742:Y2745" si="579">(W2742-X2742)</f>
        <v>307903.75</v>
      </c>
      <c r="Z2742" s="49">
        <v>2.0000000000000001E-4</v>
      </c>
    </row>
    <row r="2743" spans="1:26" s="29" customFormat="1" ht="90.75" customHeight="1" x14ac:dyDescent="0.25">
      <c r="A2743" s="20"/>
      <c r="B2743" s="20"/>
      <c r="C2743" s="20"/>
      <c r="D2743" s="21"/>
      <c r="E2743" s="21"/>
      <c r="F2743" s="22"/>
      <c r="G2743" s="23"/>
      <c r="H2743" s="77">
        <f t="shared" si="572"/>
        <v>12.25</v>
      </c>
      <c r="I2743" s="40">
        <v>625</v>
      </c>
      <c r="J2743" s="28">
        <f t="shared" si="573"/>
        <v>7656.25</v>
      </c>
      <c r="K2743" s="37">
        <v>3</v>
      </c>
      <c r="L2743" s="20" t="s">
        <v>215</v>
      </c>
      <c r="M2743" s="37" t="s">
        <v>13</v>
      </c>
      <c r="N2743" s="30">
        <v>3</v>
      </c>
      <c r="O2743" s="77">
        <v>49</v>
      </c>
      <c r="P2743" s="35">
        <v>100</v>
      </c>
      <c r="Q2743" s="40">
        <v>6450</v>
      </c>
      <c r="R2743" s="77">
        <f t="shared" si="574"/>
        <v>316050</v>
      </c>
      <c r="S2743" s="37">
        <v>5</v>
      </c>
      <c r="T2743" s="28">
        <f t="shared" si="575"/>
        <v>15802.5</v>
      </c>
      <c r="U2743" s="77">
        <f t="shared" si="576"/>
        <v>300247.5</v>
      </c>
      <c r="V2743" s="77">
        <f t="shared" si="577"/>
        <v>307903.75</v>
      </c>
      <c r="W2743" s="77">
        <f t="shared" si="578"/>
        <v>307903.75</v>
      </c>
      <c r="X2743" s="28">
        <v>0</v>
      </c>
      <c r="Y2743" s="28">
        <f t="shared" si="579"/>
        <v>307903.75</v>
      </c>
      <c r="Z2743" s="49">
        <v>2.0000000000000001E-4</v>
      </c>
    </row>
    <row r="2744" spans="1:26" s="29" customFormat="1" ht="90.75" customHeight="1" x14ac:dyDescent="0.25">
      <c r="A2744" s="20"/>
      <c r="B2744" s="20"/>
      <c r="C2744" s="20"/>
      <c r="D2744" s="21"/>
      <c r="E2744" s="21"/>
      <c r="F2744" s="22"/>
      <c r="G2744" s="23"/>
      <c r="H2744" s="77">
        <f t="shared" si="572"/>
        <v>12.25</v>
      </c>
      <c r="I2744" s="40">
        <v>625</v>
      </c>
      <c r="J2744" s="28">
        <f t="shared" si="573"/>
        <v>7656.25</v>
      </c>
      <c r="K2744" s="37">
        <v>4</v>
      </c>
      <c r="L2744" s="20" t="s">
        <v>215</v>
      </c>
      <c r="M2744" s="37" t="s">
        <v>13</v>
      </c>
      <c r="N2744" s="30">
        <v>3</v>
      </c>
      <c r="O2744" s="77">
        <v>49</v>
      </c>
      <c r="P2744" s="35">
        <v>100</v>
      </c>
      <c r="Q2744" s="40">
        <v>6450</v>
      </c>
      <c r="R2744" s="77">
        <f t="shared" si="574"/>
        <v>316050</v>
      </c>
      <c r="S2744" s="37">
        <v>5</v>
      </c>
      <c r="T2744" s="28">
        <f t="shared" si="575"/>
        <v>15802.5</v>
      </c>
      <c r="U2744" s="77">
        <f t="shared" si="576"/>
        <v>300247.5</v>
      </c>
      <c r="V2744" s="77">
        <f t="shared" si="577"/>
        <v>307903.75</v>
      </c>
      <c r="W2744" s="77">
        <f t="shared" si="578"/>
        <v>307903.75</v>
      </c>
      <c r="X2744" s="28">
        <v>0</v>
      </c>
      <c r="Y2744" s="28">
        <f t="shared" si="579"/>
        <v>307903.75</v>
      </c>
      <c r="Z2744" s="49">
        <v>2.0000000000000001E-4</v>
      </c>
    </row>
    <row r="2745" spans="1:26" s="29" customFormat="1" ht="90.75" customHeight="1" x14ac:dyDescent="0.25">
      <c r="A2745" s="20"/>
      <c r="B2745" s="20"/>
      <c r="C2745" s="20"/>
      <c r="D2745" s="21"/>
      <c r="E2745" s="21"/>
      <c r="F2745" s="22"/>
      <c r="G2745" s="23"/>
      <c r="H2745" s="77">
        <f t="shared" si="572"/>
        <v>12.25</v>
      </c>
      <c r="I2745" s="40">
        <v>625</v>
      </c>
      <c r="J2745" s="28">
        <f t="shared" si="573"/>
        <v>7656.25</v>
      </c>
      <c r="K2745" s="37">
        <v>5</v>
      </c>
      <c r="L2745" s="20" t="s">
        <v>215</v>
      </c>
      <c r="M2745" s="37" t="s">
        <v>13</v>
      </c>
      <c r="N2745" s="30">
        <v>3</v>
      </c>
      <c r="O2745" s="77">
        <v>49</v>
      </c>
      <c r="P2745" s="35">
        <v>100</v>
      </c>
      <c r="Q2745" s="40">
        <v>6450</v>
      </c>
      <c r="R2745" s="77">
        <f t="shared" si="574"/>
        <v>316050</v>
      </c>
      <c r="S2745" s="37">
        <v>5</v>
      </c>
      <c r="T2745" s="28">
        <f t="shared" si="575"/>
        <v>15802.5</v>
      </c>
      <c r="U2745" s="77">
        <f t="shared" si="576"/>
        <v>300247.5</v>
      </c>
      <c r="V2745" s="77">
        <f t="shared" si="577"/>
        <v>307903.75</v>
      </c>
      <c r="W2745" s="77">
        <f t="shared" si="578"/>
        <v>307903.75</v>
      </c>
      <c r="X2745" s="28">
        <v>0</v>
      </c>
      <c r="Y2745" s="28">
        <f t="shared" si="579"/>
        <v>307903.75</v>
      </c>
      <c r="Z2745" s="49">
        <v>2.0000000000000001E-4</v>
      </c>
    </row>
    <row r="2746" spans="1:26" s="29" customFormat="1" ht="90.75" customHeight="1" x14ac:dyDescent="0.25">
      <c r="A2746" s="20">
        <v>1449</v>
      </c>
      <c r="B2746" s="20" t="s">
        <v>0</v>
      </c>
      <c r="C2746" s="20">
        <v>18833</v>
      </c>
      <c r="D2746" s="21">
        <v>9</v>
      </c>
      <c r="E2746" s="21">
        <v>2</v>
      </c>
      <c r="F2746" s="22">
        <v>43</v>
      </c>
      <c r="G2746" s="23" t="s">
        <v>211</v>
      </c>
      <c r="H2746" s="77">
        <f t="shared" ref="H2746" si="580">(D2746*400)+(E2746*100)+F2746</f>
        <v>3843</v>
      </c>
      <c r="I2746" s="25" t="s">
        <v>9</v>
      </c>
      <c r="J2746" s="28">
        <f t="shared" ref="J2746" si="581">(H2746*I2746)</f>
        <v>1152900</v>
      </c>
      <c r="K2746" s="20"/>
      <c r="L2746" s="20"/>
      <c r="M2746" s="20"/>
      <c r="N2746" s="20"/>
      <c r="O2746" s="24"/>
      <c r="P2746" s="24"/>
      <c r="Q2746" s="25"/>
      <c r="R2746" s="24"/>
      <c r="S2746" s="20"/>
      <c r="T2746" s="27"/>
      <c r="U2746" s="20"/>
      <c r="V2746" s="20"/>
      <c r="W2746" s="26"/>
      <c r="X2746" s="27"/>
      <c r="Y2746" s="20"/>
      <c r="Z2746" s="20"/>
    </row>
    <row r="2747" spans="1:26" s="29" customFormat="1" ht="90.75" customHeight="1" x14ac:dyDescent="0.25">
      <c r="A2747" s="20"/>
      <c r="B2747" s="20"/>
      <c r="C2747" s="20"/>
      <c r="D2747" s="21"/>
      <c r="E2747" s="21"/>
      <c r="F2747" s="22"/>
      <c r="G2747" s="23"/>
      <c r="H2747" s="77">
        <v>3787</v>
      </c>
      <c r="I2747" s="25" t="s">
        <v>9</v>
      </c>
      <c r="J2747" s="28">
        <f t="shared" ref="J2747" si="582">(H2747*I2747)</f>
        <v>1136100</v>
      </c>
      <c r="K2747" s="20"/>
      <c r="L2747" s="20"/>
      <c r="M2747" s="20"/>
      <c r="N2747" s="20"/>
      <c r="O2747" s="24"/>
      <c r="P2747" s="24"/>
      <c r="Q2747" s="25"/>
      <c r="R2747" s="24"/>
      <c r="S2747" s="20"/>
      <c r="T2747" s="27"/>
      <c r="U2747" s="20"/>
      <c r="V2747" s="20"/>
      <c r="W2747" s="26"/>
      <c r="X2747" s="27"/>
      <c r="Y2747" s="20"/>
      <c r="Z2747" s="20"/>
    </row>
    <row r="2748" spans="1:26" s="29" customFormat="1" ht="90.75" customHeight="1" x14ac:dyDescent="0.25">
      <c r="A2748" s="20"/>
      <c r="B2748" s="20"/>
      <c r="C2748" s="20"/>
      <c r="D2748" s="21"/>
      <c r="E2748" s="21"/>
      <c r="F2748" s="22"/>
      <c r="G2748" s="23"/>
      <c r="H2748" s="24"/>
      <c r="I2748" s="25"/>
      <c r="J2748" s="24"/>
      <c r="K2748" s="30">
        <v>1</v>
      </c>
      <c r="L2748" s="31" t="s">
        <v>18</v>
      </c>
      <c r="M2748" s="112" t="s">
        <v>129</v>
      </c>
      <c r="N2748" s="30"/>
      <c r="O2748" s="90">
        <v>1080</v>
      </c>
      <c r="P2748" s="86">
        <v>100</v>
      </c>
      <c r="Q2748" s="36">
        <v>7750</v>
      </c>
      <c r="R2748" s="36">
        <f>(O2748*Q2748)</f>
        <v>8370000</v>
      </c>
      <c r="S2748" s="84">
        <v>4</v>
      </c>
      <c r="T2748" s="28">
        <f>(R2748*4/100)</f>
        <v>334800</v>
      </c>
      <c r="U2748" s="36">
        <f>(R2748-T2748)</f>
        <v>8035200</v>
      </c>
      <c r="V2748" s="36"/>
      <c r="W2748" s="36"/>
      <c r="X2748" s="28"/>
      <c r="Y2748" s="26"/>
      <c r="Z2748" s="53"/>
    </row>
    <row r="2749" spans="1:26" s="29" customFormat="1" ht="90.75" customHeight="1" x14ac:dyDescent="0.25">
      <c r="A2749" s="20"/>
      <c r="B2749" s="20"/>
      <c r="C2749" s="20"/>
      <c r="D2749" s="21"/>
      <c r="E2749" s="21"/>
      <c r="F2749" s="22"/>
      <c r="G2749" s="23"/>
      <c r="H2749" s="24"/>
      <c r="I2749" s="25"/>
      <c r="J2749" s="24"/>
      <c r="K2749" s="30">
        <v>2</v>
      </c>
      <c r="L2749" s="31" t="s">
        <v>31</v>
      </c>
      <c r="M2749" s="112"/>
      <c r="N2749" s="30"/>
      <c r="O2749" s="90">
        <v>180</v>
      </c>
      <c r="P2749" s="86">
        <v>100</v>
      </c>
      <c r="Q2749" s="36">
        <v>2550</v>
      </c>
      <c r="R2749" s="36">
        <f t="shared" ref="R2749:R2752" si="583">(O2749*Q2749)</f>
        <v>459000</v>
      </c>
      <c r="S2749" s="84">
        <v>4</v>
      </c>
      <c r="T2749" s="28">
        <f t="shared" ref="T2749:T2750" si="584">(R2749*4/100)</f>
        <v>18360</v>
      </c>
      <c r="U2749" s="36">
        <f t="shared" ref="U2749:U2752" si="585">(R2749-T2749)</f>
        <v>440640</v>
      </c>
      <c r="V2749" s="36"/>
      <c r="W2749" s="36"/>
      <c r="X2749" s="28"/>
      <c r="Y2749" s="26"/>
      <c r="Z2749" s="53"/>
    </row>
    <row r="2750" spans="1:26" s="29" customFormat="1" ht="90.75" customHeight="1" x14ac:dyDescent="0.25">
      <c r="A2750" s="20"/>
      <c r="B2750" s="20"/>
      <c r="C2750" s="20"/>
      <c r="D2750" s="21"/>
      <c r="E2750" s="21"/>
      <c r="F2750" s="22"/>
      <c r="G2750" s="23"/>
      <c r="H2750" s="24"/>
      <c r="I2750" s="25"/>
      <c r="J2750" s="24"/>
      <c r="K2750" s="30">
        <v>3</v>
      </c>
      <c r="L2750" s="31" t="s">
        <v>31</v>
      </c>
      <c r="M2750" s="112"/>
      <c r="N2750" s="30"/>
      <c r="O2750" s="90">
        <v>288</v>
      </c>
      <c r="P2750" s="86">
        <v>100</v>
      </c>
      <c r="Q2750" s="36">
        <v>2550</v>
      </c>
      <c r="R2750" s="36">
        <f t="shared" si="583"/>
        <v>734400</v>
      </c>
      <c r="S2750" s="84">
        <v>4</v>
      </c>
      <c r="T2750" s="28">
        <f t="shared" si="584"/>
        <v>29376</v>
      </c>
      <c r="U2750" s="36">
        <f t="shared" si="585"/>
        <v>705024</v>
      </c>
      <c r="V2750" s="36"/>
      <c r="W2750" s="36"/>
      <c r="X2750" s="28"/>
      <c r="Y2750" s="26"/>
      <c r="Z2750" s="53"/>
    </row>
    <row r="2751" spans="1:26" s="29" customFormat="1" ht="90.75" customHeight="1" x14ac:dyDescent="0.25">
      <c r="A2751" s="20"/>
      <c r="B2751" s="20"/>
      <c r="C2751" s="20"/>
      <c r="D2751" s="21"/>
      <c r="E2751" s="21"/>
      <c r="F2751" s="22"/>
      <c r="G2751" s="23"/>
      <c r="H2751" s="24"/>
      <c r="I2751" s="25"/>
      <c r="J2751" s="24"/>
      <c r="K2751" s="30">
        <v>4</v>
      </c>
      <c r="L2751" s="31" t="s">
        <v>215</v>
      </c>
      <c r="M2751" s="43" t="s">
        <v>13</v>
      </c>
      <c r="N2751" s="30"/>
      <c r="O2751" s="48">
        <v>112.5</v>
      </c>
      <c r="P2751" s="86">
        <v>100</v>
      </c>
      <c r="Q2751" s="44">
        <v>6450</v>
      </c>
      <c r="R2751" s="36">
        <f t="shared" si="583"/>
        <v>725625</v>
      </c>
      <c r="S2751" s="84">
        <v>12</v>
      </c>
      <c r="T2751" s="28">
        <f>(R2751*14/100)</f>
        <v>101587.5</v>
      </c>
      <c r="U2751" s="36">
        <f t="shared" si="585"/>
        <v>624037.5</v>
      </c>
      <c r="V2751" s="36"/>
      <c r="W2751" s="36"/>
      <c r="X2751" s="28"/>
      <c r="Y2751" s="26"/>
      <c r="Z2751" s="53"/>
    </row>
    <row r="2752" spans="1:26" s="29" customFormat="1" ht="90.75" customHeight="1" x14ac:dyDescent="0.25">
      <c r="A2752" s="20"/>
      <c r="B2752" s="20"/>
      <c r="C2752" s="20"/>
      <c r="D2752" s="21"/>
      <c r="E2752" s="21"/>
      <c r="F2752" s="22"/>
      <c r="G2752" s="23"/>
      <c r="H2752" s="24"/>
      <c r="I2752" s="25"/>
      <c r="J2752" s="24"/>
      <c r="K2752" s="30">
        <v>5</v>
      </c>
      <c r="L2752" s="31" t="s">
        <v>43</v>
      </c>
      <c r="M2752" s="43" t="s">
        <v>13</v>
      </c>
      <c r="N2752" s="30"/>
      <c r="O2752" s="48">
        <v>320</v>
      </c>
      <c r="P2752" s="86">
        <v>100</v>
      </c>
      <c r="Q2752" s="48">
        <v>7700</v>
      </c>
      <c r="R2752" s="36">
        <f t="shared" si="583"/>
        <v>2464000</v>
      </c>
      <c r="S2752" s="84">
        <v>2</v>
      </c>
      <c r="T2752" s="28">
        <f>(R2752*4/100)</f>
        <v>98560</v>
      </c>
      <c r="U2752" s="36">
        <f t="shared" si="585"/>
        <v>2365440</v>
      </c>
      <c r="V2752" s="36"/>
      <c r="W2752" s="36"/>
      <c r="X2752" s="28"/>
      <c r="Y2752" s="26"/>
      <c r="Z2752" s="53"/>
    </row>
    <row r="2753" spans="1:26" s="29" customFormat="1" ht="90.75" customHeight="1" x14ac:dyDescent="0.25">
      <c r="A2753" s="20"/>
      <c r="B2753" s="20"/>
      <c r="C2753" s="20"/>
      <c r="D2753" s="21"/>
      <c r="E2753" s="21"/>
      <c r="F2753" s="22"/>
      <c r="G2753" s="23"/>
      <c r="H2753" s="24"/>
      <c r="I2753" s="25"/>
      <c r="J2753" s="24"/>
      <c r="K2753" s="30"/>
      <c r="L2753" s="31"/>
      <c r="M2753" s="43"/>
      <c r="N2753" s="30"/>
      <c r="O2753" s="48"/>
      <c r="P2753" s="86"/>
      <c r="Q2753" s="48"/>
      <c r="R2753" s="36"/>
      <c r="S2753" s="84"/>
      <c r="T2753" s="28"/>
      <c r="U2753" s="36">
        <f>SUM(U2748:U2752)</f>
        <v>12170341.5</v>
      </c>
      <c r="V2753" s="36">
        <f>(J2747+U2753)</f>
        <v>13306441.5</v>
      </c>
      <c r="W2753" s="36">
        <f>(V2753*100/100)</f>
        <v>13306441.5</v>
      </c>
      <c r="X2753" s="28">
        <v>0</v>
      </c>
      <c r="Y2753" s="28">
        <f t="shared" ref="Y2753" si="586">(W2753-X2753)</f>
        <v>13306441.5</v>
      </c>
      <c r="Z2753" s="49">
        <v>2.0000000000000001E-4</v>
      </c>
    </row>
    <row r="2754" spans="1:26" s="29" customFormat="1" ht="90.75" customHeight="1" x14ac:dyDescent="0.25">
      <c r="A2754" s="20"/>
      <c r="B2754" s="20"/>
      <c r="C2754" s="20"/>
      <c r="D2754" s="21"/>
      <c r="E2754" s="21"/>
      <c r="F2754" s="22"/>
      <c r="G2754" s="23"/>
      <c r="H2754" s="24">
        <f>(O2754*0.25)</f>
        <v>56</v>
      </c>
      <c r="I2754" s="25" t="s">
        <v>9</v>
      </c>
      <c r="J2754" s="28">
        <f t="shared" ref="J2754" si="587">(H2754*I2754)</f>
        <v>16800</v>
      </c>
      <c r="K2754" s="30">
        <v>6</v>
      </c>
      <c r="L2754" s="31" t="s">
        <v>43</v>
      </c>
      <c r="M2754" s="43" t="s">
        <v>13</v>
      </c>
      <c r="N2754" s="30"/>
      <c r="O2754" s="48">
        <v>224</v>
      </c>
      <c r="P2754" s="86">
        <v>100</v>
      </c>
      <c r="Q2754" s="44">
        <v>7700</v>
      </c>
      <c r="R2754" s="36">
        <f>(O2754*Q2754)</f>
        <v>1724800</v>
      </c>
      <c r="S2754" s="84">
        <v>4</v>
      </c>
      <c r="T2754" s="28">
        <f>(R2754*4/100)</f>
        <v>68992</v>
      </c>
      <c r="U2754" s="36">
        <f>(R2754-T2754)</f>
        <v>1655808</v>
      </c>
      <c r="V2754" s="36">
        <f>(J2754+U2754)</f>
        <v>1672608</v>
      </c>
      <c r="W2754" s="36">
        <f>(V2754*100/100)</f>
        <v>1672608</v>
      </c>
      <c r="X2754" s="28">
        <v>0</v>
      </c>
      <c r="Y2754" s="28">
        <f>(W2754-X2754)</f>
        <v>1672608</v>
      </c>
      <c r="Z2754" s="49">
        <v>3.0000000000000001E-3</v>
      </c>
    </row>
    <row r="2755" spans="1:26" s="29" customFormat="1" ht="90.75" customHeight="1" x14ac:dyDescent="0.25">
      <c r="A2755" s="20">
        <v>1450</v>
      </c>
      <c r="B2755" s="20" t="s">
        <v>0</v>
      </c>
      <c r="C2755" s="20">
        <v>7972</v>
      </c>
      <c r="D2755" s="21">
        <v>15</v>
      </c>
      <c r="E2755" s="21">
        <v>3</v>
      </c>
      <c r="F2755" s="22">
        <v>72</v>
      </c>
      <c r="G2755" s="23" t="s">
        <v>209</v>
      </c>
      <c r="H2755" s="36">
        <v>351</v>
      </c>
      <c r="I2755" s="40">
        <v>625</v>
      </c>
      <c r="J2755" s="28">
        <f>(H2755*I2755)</f>
        <v>219375</v>
      </c>
      <c r="K2755" s="37"/>
      <c r="L2755" s="31"/>
      <c r="M2755" s="31"/>
      <c r="N2755" s="41"/>
      <c r="O2755" s="46"/>
      <c r="P2755" s="86"/>
      <c r="Q2755" s="36"/>
      <c r="R2755" s="36"/>
      <c r="S2755" s="37"/>
      <c r="T2755" s="28"/>
      <c r="U2755" s="36"/>
      <c r="V2755" s="36"/>
      <c r="W2755" s="36"/>
      <c r="X2755" s="28"/>
      <c r="Y2755" s="28"/>
      <c r="Z2755" s="20"/>
    </row>
    <row r="2756" spans="1:26" s="29" customFormat="1" ht="90.75" customHeight="1" x14ac:dyDescent="0.25">
      <c r="A2756" s="20"/>
      <c r="B2756" s="20"/>
      <c r="C2756" s="20"/>
      <c r="D2756" s="21"/>
      <c r="E2756" s="21"/>
      <c r="F2756" s="22"/>
      <c r="G2756" s="23"/>
      <c r="H2756" s="36">
        <v>87.75</v>
      </c>
      <c r="I2756" s="40">
        <v>625</v>
      </c>
      <c r="J2756" s="28">
        <f>(H2756*I2756)</f>
        <v>54843.75</v>
      </c>
      <c r="K2756" s="37">
        <v>1</v>
      </c>
      <c r="L2756" s="31" t="s">
        <v>36</v>
      </c>
      <c r="M2756" s="31" t="s">
        <v>140</v>
      </c>
      <c r="N2756" s="41">
        <v>3</v>
      </c>
      <c r="O2756" s="46">
        <v>275</v>
      </c>
      <c r="P2756" s="86">
        <v>100</v>
      </c>
      <c r="Q2756" s="36">
        <v>5550</v>
      </c>
      <c r="R2756" s="36">
        <f>(O2756*Q2756)</f>
        <v>1526250</v>
      </c>
      <c r="S2756" s="37">
        <v>7</v>
      </c>
      <c r="T2756" s="28">
        <f>(R2756*25/100)</f>
        <v>381562.5</v>
      </c>
      <c r="U2756" s="36">
        <f>(R2756-T2756)</f>
        <v>1144687.5</v>
      </c>
      <c r="V2756" s="36"/>
      <c r="W2756" s="36"/>
      <c r="X2756" s="28"/>
      <c r="Y2756" s="28"/>
      <c r="Z2756" s="20"/>
    </row>
    <row r="2757" spans="1:26" s="29" customFormat="1" ht="90.75" customHeight="1" x14ac:dyDescent="0.25">
      <c r="A2757" s="20"/>
      <c r="B2757" s="20"/>
      <c r="C2757" s="20"/>
      <c r="D2757" s="21"/>
      <c r="E2757" s="21"/>
      <c r="F2757" s="22"/>
      <c r="G2757" s="23"/>
      <c r="H2757" s="36"/>
      <c r="I2757" s="40"/>
      <c r="J2757" s="28"/>
      <c r="K2757" s="37">
        <v>2</v>
      </c>
      <c r="L2757" s="31" t="s">
        <v>31</v>
      </c>
      <c r="M2757" s="31"/>
      <c r="N2757" s="41"/>
      <c r="O2757" s="46">
        <v>44</v>
      </c>
      <c r="P2757" s="86">
        <v>100</v>
      </c>
      <c r="Q2757" s="36">
        <v>2550</v>
      </c>
      <c r="R2757" s="36">
        <f>(O2757*Q2757)</f>
        <v>112200</v>
      </c>
      <c r="S2757" s="37">
        <v>7</v>
      </c>
      <c r="T2757" s="28">
        <f>(R2757*20/100)</f>
        <v>22440</v>
      </c>
      <c r="U2757" s="36">
        <f t="shared" ref="U2757:U2758" si="588">(R2757-T2757)</f>
        <v>89760</v>
      </c>
      <c r="V2757" s="36"/>
      <c r="W2757" s="36"/>
      <c r="X2757" s="28"/>
      <c r="Y2757" s="28"/>
      <c r="Z2757" s="20"/>
    </row>
    <row r="2758" spans="1:26" s="29" customFormat="1" ht="90.75" customHeight="1" x14ac:dyDescent="0.25">
      <c r="A2758" s="20"/>
      <c r="B2758" s="20"/>
      <c r="C2758" s="20"/>
      <c r="D2758" s="21"/>
      <c r="E2758" s="21"/>
      <c r="F2758" s="22"/>
      <c r="G2758" s="23"/>
      <c r="H2758" s="36"/>
      <c r="I2758" s="40"/>
      <c r="J2758" s="28"/>
      <c r="K2758" s="37">
        <v>3</v>
      </c>
      <c r="L2758" s="31" t="s">
        <v>31</v>
      </c>
      <c r="M2758" s="31"/>
      <c r="N2758" s="41"/>
      <c r="O2758" s="46">
        <v>32</v>
      </c>
      <c r="P2758" s="86">
        <v>100</v>
      </c>
      <c r="Q2758" s="36">
        <v>2550</v>
      </c>
      <c r="R2758" s="36">
        <f>(O2758*Q2758)</f>
        <v>81600</v>
      </c>
      <c r="S2758" s="37">
        <v>7</v>
      </c>
      <c r="T2758" s="28">
        <f>(R2758*20/100)</f>
        <v>16320</v>
      </c>
      <c r="U2758" s="36">
        <f t="shared" si="588"/>
        <v>65280</v>
      </c>
      <c r="V2758" s="36"/>
      <c r="W2758" s="36"/>
      <c r="X2758" s="28"/>
      <c r="Y2758" s="28"/>
      <c r="Z2758" s="20"/>
    </row>
    <row r="2759" spans="1:26" s="29" customFormat="1" ht="90.75" customHeight="1" x14ac:dyDescent="0.25">
      <c r="A2759" s="20"/>
      <c r="B2759" s="20"/>
      <c r="C2759" s="20"/>
      <c r="D2759" s="21"/>
      <c r="E2759" s="21"/>
      <c r="F2759" s="22"/>
      <c r="G2759" s="23"/>
      <c r="H2759" s="36"/>
      <c r="I2759" s="40"/>
      <c r="J2759" s="28"/>
      <c r="K2759" s="37"/>
      <c r="L2759" s="31"/>
      <c r="M2759" s="31"/>
      <c r="N2759" s="41"/>
      <c r="O2759" s="46"/>
      <c r="P2759" s="86"/>
      <c r="Q2759" s="36"/>
      <c r="R2759" s="36"/>
      <c r="S2759" s="37"/>
      <c r="T2759" s="28"/>
      <c r="U2759" s="36">
        <f>(U2756+U2757+U2758)</f>
        <v>1299727.5</v>
      </c>
      <c r="V2759" s="36">
        <f>(J2756+U2759)</f>
        <v>1354571.25</v>
      </c>
      <c r="W2759" s="36">
        <f>(V2759*100/100)</f>
        <v>1354571.25</v>
      </c>
      <c r="X2759" s="28">
        <v>0</v>
      </c>
      <c r="Y2759" s="28">
        <f>(W2759-X2759)</f>
        <v>1354571.25</v>
      </c>
      <c r="Z2759" s="49">
        <v>3.0000000000000001E-3</v>
      </c>
    </row>
    <row r="2760" spans="1:26" s="29" customFormat="1" ht="90.75" customHeight="1" x14ac:dyDescent="0.25">
      <c r="A2760" s="20"/>
      <c r="B2760" s="20"/>
      <c r="C2760" s="20"/>
      <c r="D2760" s="21"/>
      <c r="E2760" s="21"/>
      <c r="F2760" s="22"/>
      <c r="G2760" s="23"/>
      <c r="H2760" s="24"/>
      <c r="I2760" s="25"/>
      <c r="J2760" s="24"/>
      <c r="K2760" s="20">
        <v>3</v>
      </c>
      <c r="L2760" s="20" t="s">
        <v>31</v>
      </c>
      <c r="M2760" s="20"/>
      <c r="N2760" s="20"/>
      <c r="O2760" s="24">
        <v>32</v>
      </c>
      <c r="P2760" s="24"/>
      <c r="Q2760" s="25"/>
      <c r="R2760" s="24"/>
      <c r="S2760" s="20">
        <v>7</v>
      </c>
      <c r="T2760" s="27"/>
      <c r="U2760" s="20"/>
      <c r="V2760" s="20"/>
      <c r="W2760" s="26"/>
      <c r="X2760" s="27"/>
      <c r="Y2760" s="20"/>
      <c r="Z2760" s="20"/>
    </row>
    <row r="2761" spans="1:26" s="29" customFormat="1" ht="90.75" customHeight="1" x14ac:dyDescent="0.25">
      <c r="A2761" s="20">
        <v>1451</v>
      </c>
      <c r="B2761" s="20" t="s">
        <v>0</v>
      </c>
      <c r="C2761" s="20">
        <v>32903</v>
      </c>
      <c r="D2761" s="21">
        <v>0</v>
      </c>
      <c r="E2761" s="21">
        <v>1</v>
      </c>
      <c r="F2761" s="22">
        <v>27</v>
      </c>
      <c r="G2761" s="23" t="s">
        <v>211</v>
      </c>
      <c r="H2761" s="24">
        <f>(D2761*400)+(E2761*100)+F2761</f>
        <v>127</v>
      </c>
      <c r="I2761" s="25" t="s">
        <v>9</v>
      </c>
      <c r="J2761" s="24">
        <f>(H2761*I2761)</f>
        <v>38100</v>
      </c>
      <c r="K2761" s="20"/>
      <c r="L2761" s="20"/>
      <c r="M2761" s="20"/>
      <c r="N2761" s="20"/>
      <c r="O2761" s="24"/>
      <c r="P2761" s="24"/>
      <c r="Q2761" s="25"/>
      <c r="R2761" s="24"/>
      <c r="S2761" s="20"/>
      <c r="T2761" s="27"/>
      <c r="U2761" s="20"/>
      <c r="V2761" s="20"/>
      <c r="W2761" s="26"/>
      <c r="X2761" s="27"/>
      <c r="Y2761" s="20"/>
      <c r="Z2761" s="20"/>
    </row>
    <row r="2762" spans="1:26" s="29" customFormat="1" ht="90.75" customHeight="1" x14ac:dyDescent="0.25">
      <c r="A2762" s="20"/>
      <c r="B2762" s="20"/>
      <c r="C2762" s="20"/>
      <c r="D2762" s="21"/>
      <c r="E2762" s="21"/>
      <c r="F2762" s="22"/>
      <c r="G2762" s="23"/>
      <c r="H2762" s="24"/>
      <c r="I2762" s="25"/>
      <c r="J2762" s="24"/>
      <c r="K2762" s="20">
        <v>1</v>
      </c>
      <c r="L2762" s="20" t="s">
        <v>16</v>
      </c>
      <c r="M2762" s="20" t="s">
        <v>46</v>
      </c>
      <c r="N2762" s="20">
        <v>2</v>
      </c>
      <c r="O2762" s="24">
        <v>96</v>
      </c>
      <c r="P2762" s="24">
        <v>100</v>
      </c>
      <c r="Q2762" s="25">
        <v>6450</v>
      </c>
      <c r="R2762" s="24">
        <f>(O2762*Q2762)</f>
        <v>619200</v>
      </c>
      <c r="S2762" s="20">
        <v>20</v>
      </c>
      <c r="T2762" s="24">
        <f>(R2762*93/100)</f>
        <v>575856</v>
      </c>
      <c r="U2762" s="26">
        <f>(R2762-T2762)</f>
        <v>43344</v>
      </c>
      <c r="V2762" s="27">
        <f>(J2761+U2762)</f>
        <v>81444</v>
      </c>
      <c r="W2762" s="26">
        <f>(V2762*100/100)</f>
        <v>81444</v>
      </c>
      <c r="X2762" s="27"/>
      <c r="Y2762" s="20"/>
      <c r="Z2762" s="20"/>
    </row>
    <row r="2763" spans="1:26" s="29" customFormat="1" ht="90.75" customHeight="1" x14ac:dyDescent="0.25">
      <c r="A2763" s="20"/>
      <c r="B2763" s="20"/>
      <c r="C2763" s="20"/>
      <c r="D2763" s="21"/>
      <c r="E2763" s="21"/>
      <c r="F2763" s="22"/>
      <c r="G2763" s="23"/>
      <c r="H2763" s="24"/>
      <c r="I2763" s="25"/>
      <c r="J2763" s="24"/>
      <c r="K2763" s="20"/>
      <c r="L2763" s="20"/>
      <c r="M2763" s="20"/>
      <c r="N2763" s="20"/>
      <c r="O2763" s="24">
        <v>87</v>
      </c>
      <c r="P2763" s="24">
        <v>90.62</v>
      </c>
      <c r="Q2763" s="25"/>
      <c r="R2763" s="24"/>
      <c r="S2763" s="20"/>
      <c r="T2763" s="24"/>
      <c r="U2763" s="26"/>
      <c r="V2763" s="27"/>
      <c r="W2763" s="26">
        <f>(W2762*90.62/100)</f>
        <v>73804.552800000005</v>
      </c>
      <c r="X2763" s="24">
        <v>50000000</v>
      </c>
      <c r="Y2763" s="20"/>
      <c r="Z2763" s="20"/>
    </row>
    <row r="2764" spans="1:26" s="29" customFormat="1" ht="90.75" customHeight="1" x14ac:dyDescent="0.25">
      <c r="A2764" s="20"/>
      <c r="B2764" s="20"/>
      <c r="C2764" s="20"/>
      <c r="D2764" s="21"/>
      <c r="E2764" s="21"/>
      <c r="F2764" s="22"/>
      <c r="G2764" s="23"/>
      <c r="H2764" s="24"/>
      <c r="I2764" s="25"/>
      <c r="J2764" s="24"/>
      <c r="K2764" s="20">
        <v>2</v>
      </c>
      <c r="L2764" s="20" t="s">
        <v>61</v>
      </c>
      <c r="M2764" s="20" t="s">
        <v>46</v>
      </c>
      <c r="N2764" s="20">
        <v>3</v>
      </c>
      <c r="O2764" s="24">
        <v>9</v>
      </c>
      <c r="P2764" s="24">
        <v>9.3800000000000008</v>
      </c>
      <c r="Q2764" s="25"/>
      <c r="R2764" s="24"/>
      <c r="S2764" s="20"/>
      <c r="T2764" s="27"/>
      <c r="U2764" s="20"/>
      <c r="V2764" s="20"/>
      <c r="W2764" s="26">
        <f>(W2762*9.38/100)</f>
        <v>7639.4472000000005</v>
      </c>
      <c r="X2764" s="28">
        <v>0</v>
      </c>
      <c r="Y2764" s="26">
        <f>(W2764-X1111)</f>
        <v>7639.4472000000005</v>
      </c>
      <c r="Z2764" s="49">
        <v>3.0000000000000001E-3</v>
      </c>
    </row>
    <row r="2765" spans="1:26" s="29" customFormat="1" ht="90.75" customHeight="1" x14ac:dyDescent="0.25">
      <c r="A2765" s="20">
        <v>1452</v>
      </c>
      <c r="B2765" s="20" t="s">
        <v>0</v>
      </c>
      <c r="C2765" s="20">
        <v>44450</v>
      </c>
      <c r="D2765" s="21">
        <v>0</v>
      </c>
      <c r="E2765" s="21">
        <v>0</v>
      </c>
      <c r="F2765" s="22">
        <v>84</v>
      </c>
      <c r="G2765" s="23" t="s">
        <v>209</v>
      </c>
      <c r="H2765" s="24">
        <f>(D2765*400)+(E2765*100)+F2765</f>
        <v>84</v>
      </c>
      <c r="I2765" s="25" t="s">
        <v>9</v>
      </c>
      <c r="J2765" s="24">
        <f>(H2765*I2765)</f>
        <v>25200</v>
      </c>
      <c r="K2765" s="20"/>
      <c r="L2765" s="20"/>
      <c r="M2765" s="20"/>
      <c r="N2765" s="20"/>
      <c r="O2765" s="24"/>
      <c r="P2765" s="24"/>
      <c r="Q2765" s="25"/>
      <c r="R2765" s="24"/>
      <c r="S2765" s="20"/>
      <c r="T2765" s="27"/>
      <c r="U2765" s="20"/>
      <c r="V2765" s="20"/>
      <c r="W2765" s="26"/>
      <c r="X2765" s="27"/>
      <c r="Y2765" s="20"/>
      <c r="Z2765" s="20"/>
    </row>
    <row r="2766" spans="1:26" s="29" customFormat="1" ht="90.75" customHeight="1" x14ac:dyDescent="0.25">
      <c r="A2766" s="20"/>
      <c r="B2766" s="20"/>
      <c r="C2766" s="20"/>
      <c r="D2766" s="21"/>
      <c r="E2766" s="21"/>
      <c r="F2766" s="22"/>
      <c r="G2766" s="23"/>
      <c r="H2766" s="24">
        <v>18</v>
      </c>
      <c r="I2766" s="25" t="s">
        <v>9</v>
      </c>
      <c r="J2766" s="24">
        <f>(H2766*I2766)</f>
        <v>5400</v>
      </c>
      <c r="K2766" s="20">
        <v>1</v>
      </c>
      <c r="L2766" s="20" t="s">
        <v>141</v>
      </c>
      <c r="M2766" s="20" t="s">
        <v>51</v>
      </c>
      <c r="N2766" s="20">
        <v>3</v>
      </c>
      <c r="O2766" s="24">
        <v>72</v>
      </c>
      <c r="P2766" s="24">
        <v>100</v>
      </c>
      <c r="Q2766" s="25">
        <v>2550</v>
      </c>
      <c r="R2766" s="24">
        <f>(O2766*Q2766)</f>
        <v>183600</v>
      </c>
      <c r="S2766" s="20">
        <v>1</v>
      </c>
      <c r="T2766" s="24">
        <f>(R2766*1/100)</f>
        <v>1836</v>
      </c>
      <c r="U2766" s="27">
        <f>(R2766-T2766)</f>
        <v>181764</v>
      </c>
      <c r="V2766" s="27">
        <f>(J2766+U2766)</f>
        <v>187164</v>
      </c>
      <c r="W2766" s="26">
        <f>(V2766*100/100)</f>
        <v>187164</v>
      </c>
      <c r="X2766" s="28">
        <v>0</v>
      </c>
      <c r="Y2766" s="26">
        <f>(W2766-X1113)</f>
        <v>187164</v>
      </c>
      <c r="Z2766" s="49">
        <v>3.0000000000000001E-3</v>
      </c>
    </row>
    <row r="2767" spans="1:26" s="29" customFormat="1" ht="90.75" customHeight="1" x14ac:dyDescent="0.25">
      <c r="A2767" s="20">
        <v>1453</v>
      </c>
      <c r="B2767" s="20" t="s">
        <v>0</v>
      </c>
      <c r="C2767" s="20">
        <v>7973</v>
      </c>
      <c r="D2767" s="21">
        <v>1</v>
      </c>
      <c r="E2767" s="21">
        <v>1</v>
      </c>
      <c r="F2767" s="22">
        <v>85</v>
      </c>
      <c r="G2767" s="23" t="s">
        <v>56</v>
      </c>
      <c r="H2767" s="24">
        <f>(D2767*400)+(E2767*100)+F2767</f>
        <v>585</v>
      </c>
      <c r="I2767" s="25" t="s">
        <v>9</v>
      </c>
      <c r="J2767" s="24">
        <f>(H2767*I2767)</f>
        <v>175500</v>
      </c>
      <c r="K2767" s="20"/>
      <c r="L2767" s="20"/>
      <c r="M2767" s="20"/>
      <c r="N2767" s="20"/>
      <c r="O2767" s="24"/>
      <c r="P2767" s="24"/>
      <c r="Q2767" s="25"/>
      <c r="R2767" s="24"/>
      <c r="S2767" s="20"/>
      <c r="T2767" s="27"/>
      <c r="U2767" s="20"/>
      <c r="V2767" s="20"/>
      <c r="W2767" s="26"/>
      <c r="X2767" s="27"/>
      <c r="Y2767" s="20"/>
      <c r="Z2767" s="20"/>
    </row>
    <row r="2768" spans="1:26" s="29" customFormat="1" ht="90.75" customHeight="1" x14ac:dyDescent="0.25">
      <c r="A2768" s="20"/>
      <c r="B2768" s="20"/>
      <c r="C2768" s="20"/>
      <c r="D2768" s="21"/>
      <c r="E2768" s="21"/>
      <c r="F2768" s="22"/>
      <c r="G2768" s="23"/>
      <c r="H2768" s="24"/>
      <c r="I2768" s="25"/>
      <c r="J2768" s="24"/>
      <c r="K2768" s="20">
        <v>1</v>
      </c>
      <c r="L2768" s="20" t="s">
        <v>43</v>
      </c>
      <c r="M2768" s="20" t="s">
        <v>13</v>
      </c>
      <c r="N2768" s="20">
        <v>2</v>
      </c>
      <c r="O2768" s="24">
        <v>336</v>
      </c>
      <c r="P2768" s="24">
        <v>100</v>
      </c>
      <c r="Q2768" s="25">
        <v>7700</v>
      </c>
      <c r="R2768" s="24">
        <f t="shared" ref="R2768:R2771" si="589">(O2768*Q2768)</f>
        <v>2587200</v>
      </c>
      <c r="S2768" s="20">
        <v>8</v>
      </c>
      <c r="T2768" s="24">
        <f>(R2768*8/100)</f>
        <v>206976</v>
      </c>
      <c r="U2768" s="27">
        <f>(R2768-T2768)</f>
        <v>2380224</v>
      </c>
      <c r="V2768" s="20"/>
      <c r="W2768" s="26"/>
      <c r="X2768" s="27"/>
      <c r="Y2768" s="20"/>
      <c r="Z2768" s="20"/>
    </row>
    <row r="2769" spans="1:26" s="29" customFormat="1" ht="90.75" customHeight="1" x14ac:dyDescent="0.25">
      <c r="A2769" s="20"/>
      <c r="B2769" s="20"/>
      <c r="C2769" s="20"/>
      <c r="D2769" s="21"/>
      <c r="E2769" s="21"/>
      <c r="F2769" s="22"/>
      <c r="G2769" s="23"/>
      <c r="H2769" s="24"/>
      <c r="I2769" s="25"/>
      <c r="J2769" s="24"/>
      <c r="K2769" s="20">
        <v>2</v>
      </c>
      <c r="L2769" s="20" t="s">
        <v>43</v>
      </c>
      <c r="M2769" s="20" t="s">
        <v>13</v>
      </c>
      <c r="N2769" s="20">
        <v>2</v>
      </c>
      <c r="O2769" s="24">
        <v>176</v>
      </c>
      <c r="P2769" s="24">
        <v>100</v>
      </c>
      <c r="Q2769" s="25">
        <v>7700</v>
      </c>
      <c r="R2769" s="24">
        <f t="shared" si="589"/>
        <v>1355200</v>
      </c>
      <c r="S2769" s="20">
        <v>7</v>
      </c>
      <c r="T2769" s="24">
        <f>(R2769*7/100)</f>
        <v>94864</v>
      </c>
      <c r="U2769" s="27">
        <f t="shared" ref="U2769:U2771" si="590">(R2769-T2769)</f>
        <v>1260336</v>
      </c>
      <c r="V2769" s="20"/>
      <c r="W2769" s="26"/>
      <c r="X2769" s="27"/>
      <c r="Y2769" s="20"/>
      <c r="Z2769" s="20"/>
    </row>
    <row r="2770" spans="1:26" s="29" customFormat="1" ht="90.75" customHeight="1" x14ac:dyDescent="0.25">
      <c r="A2770" s="20"/>
      <c r="B2770" s="20"/>
      <c r="C2770" s="20"/>
      <c r="D2770" s="21"/>
      <c r="E2770" s="21"/>
      <c r="F2770" s="22"/>
      <c r="G2770" s="23"/>
      <c r="H2770" s="24"/>
      <c r="I2770" s="25"/>
      <c r="J2770" s="24"/>
      <c r="K2770" s="20">
        <v>3</v>
      </c>
      <c r="L2770" s="20" t="s">
        <v>43</v>
      </c>
      <c r="M2770" s="20" t="s">
        <v>13</v>
      </c>
      <c r="N2770" s="20">
        <v>2</v>
      </c>
      <c r="O2770" s="24">
        <v>216</v>
      </c>
      <c r="P2770" s="24">
        <v>100</v>
      </c>
      <c r="Q2770" s="25">
        <v>7700</v>
      </c>
      <c r="R2770" s="24">
        <f t="shared" si="589"/>
        <v>1663200</v>
      </c>
      <c r="S2770" s="20">
        <v>7</v>
      </c>
      <c r="T2770" s="24">
        <f>(R2770*7/100)</f>
        <v>116424</v>
      </c>
      <c r="U2770" s="27">
        <f t="shared" si="590"/>
        <v>1546776</v>
      </c>
      <c r="V2770" s="20"/>
      <c r="W2770" s="26"/>
      <c r="X2770" s="27"/>
      <c r="Y2770" s="20"/>
      <c r="Z2770" s="20"/>
    </row>
    <row r="2771" spans="1:26" s="29" customFormat="1" ht="90.75" customHeight="1" x14ac:dyDescent="0.25">
      <c r="A2771" s="20"/>
      <c r="B2771" s="20"/>
      <c r="C2771" s="20"/>
      <c r="D2771" s="21"/>
      <c r="E2771" s="21"/>
      <c r="F2771" s="22"/>
      <c r="G2771" s="23"/>
      <c r="H2771" s="24"/>
      <c r="I2771" s="25"/>
      <c r="J2771" s="24"/>
      <c r="K2771" s="20">
        <v>4</v>
      </c>
      <c r="L2771" s="20" t="s">
        <v>16</v>
      </c>
      <c r="M2771" s="20" t="s">
        <v>13</v>
      </c>
      <c r="N2771" s="20">
        <v>2</v>
      </c>
      <c r="O2771" s="24">
        <v>102.9</v>
      </c>
      <c r="P2771" s="24">
        <v>100</v>
      </c>
      <c r="Q2771" s="25">
        <v>6450</v>
      </c>
      <c r="R2771" s="24">
        <f t="shared" si="589"/>
        <v>663705</v>
      </c>
      <c r="S2771" s="20">
        <v>23</v>
      </c>
      <c r="T2771" s="24">
        <f>(R2771*36/100)</f>
        <v>238933.8</v>
      </c>
      <c r="U2771" s="27">
        <f t="shared" si="590"/>
        <v>424771.2</v>
      </c>
      <c r="V2771" s="20"/>
      <c r="W2771" s="26"/>
      <c r="X2771" s="27"/>
      <c r="Y2771" s="20"/>
      <c r="Z2771" s="20"/>
    </row>
    <row r="2772" spans="1:26" s="29" customFormat="1" ht="90.75" customHeight="1" x14ac:dyDescent="0.25">
      <c r="A2772" s="20"/>
      <c r="B2772" s="20"/>
      <c r="C2772" s="20"/>
      <c r="D2772" s="21"/>
      <c r="E2772" s="21"/>
      <c r="F2772" s="22"/>
      <c r="G2772" s="23"/>
      <c r="H2772" s="24"/>
      <c r="I2772" s="25"/>
      <c r="J2772" s="24"/>
      <c r="K2772" s="20"/>
      <c r="L2772" s="20"/>
      <c r="M2772" s="20"/>
      <c r="N2772" s="20"/>
      <c r="O2772" s="24"/>
      <c r="P2772" s="24"/>
      <c r="Q2772" s="25"/>
      <c r="R2772" s="24"/>
      <c r="S2772" s="20"/>
      <c r="T2772" s="24"/>
      <c r="U2772" s="27">
        <f>SUM(U2768:U2771)</f>
        <v>5612107.2000000002</v>
      </c>
      <c r="V2772" s="27">
        <f>(J2767+U2772)</f>
        <v>5787607.2000000002</v>
      </c>
      <c r="W2772" s="26">
        <f>(V2772*100/100)</f>
        <v>5787607.2000000002</v>
      </c>
      <c r="X2772" s="28">
        <v>0</v>
      </c>
      <c r="Y2772" s="26">
        <f>(W2772-X1119)</f>
        <v>5787607.2000000002</v>
      </c>
      <c r="Z2772" s="49">
        <v>2.0000000000000001E-4</v>
      </c>
    </row>
    <row r="2773" spans="1:26" s="29" customFormat="1" ht="90.75" customHeight="1" x14ac:dyDescent="0.25">
      <c r="A2773" s="20">
        <v>1454</v>
      </c>
      <c r="B2773" s="20" t="s">
        <v>0</v>
      </c>
      <c r="C2773" s="20">
        <v>7974</v>
      </c>
      <c r="D2773" s="21">
        <v>7</v>
      </c>
      <c r="E2773" s="21">
        <v>1</v>
      </c>
      <c r="F2773" s="22">
        <v>10</v>
      </c>
      <c r="G2773" s="23" t="s">
        <v>56</v>
      </c>
      <c r="H2773" s="24">
        <f>(D2773*400)+(E2773*100)+F2773</f>
        <v>2910</v>
      </c>
      <c r="I2773" s="25" t="s">
        <v>80</v>
      </c>
      <c r="J2773" s="24">
        <f>(H2773*I2773)</f>
        <v>1673250</v>
      </c>
      <c r="K2773" s="20"/>
      <c r="L2773" s="20"/>
      <c r="M2773" s="20"/>
      <c r="N2773" s="20"/>
      <c r="O2773" s="24"/>
      <c r="P2773" s="24"/>
      <c r="Q2773" s="25"/>
      <c r="R2773" s="24"/>
      <c r="S2773" s="20"/>
      <c r="T2773" s="27"/>
      <c r="U2773" s="20"/>
      <c r="V2773" s="20"/>
      <c r="W2773" s="26"/>
      <c r="X2773" s="27"/>
      <c r="Y2773" s="20"/>
      <c r="Z2773" s="20"/>
    </row>
    <row r="2774" spans="1:26" s="29" customFormat="1" ht="90.75" customHeight="1" x14ac:dyDescent="0.25">
      <c r="A2774" s="20"/>
      <c r="B2774" s="20"/>
      <c r="C2774" s="20"/>
      <c r="D2774" s="21"/>
      <c r="E2774" s="21"/>
      <c r="F2774" s="22"/>
      <c r="G2774" s="23"/>
      <c r="H2774" s="24">
        <v>100</v>
      </c>
      <c r="I2774" s="25" t="s">
        <v>80</v>
      </c>
      <c r="J2774" s="24">
        <f>(H2774*I2774)</f>
        <v>57500</v>
      </c>
      <c r="K2774" s="20">
        <v>1</v>
      </c>
      <c r="L2774" s="20" t="s">
        <v>16</v>
      </c>
      <c r="M2774" s="20" t="s">
        <v>13</v>
      </c>
      <c r="N2774" s="20">
        <v>2</v>
      </c>
      <c r="O2774" s="24">
        <v>96</v>
      </c>
      <c r="P2774" s="24">
        <v>100</v>
      </c>
      <c r="Q2774" s="25">
        <v>6450</v>
      </c>
      <c r="R2774" s="24">
        <f t="shared" ref="R2774:R2775" si="591">(O2774*Q2774)</f>
        <v>619200</v>
      </c>
      <c r="S2774" s="20">
        <v>20</v>
      </c>
      <c r="T2774" s="24">
        <f>(R2774*30/100)</f>
        <v>185760</v>
      </c>
      <c r="U2774" s="27">
        <f>(R2774-T2774)</f>
        <v>433440</v>
      </c>
      <c r="V2774" s="20"/>
      <c r="W2774" s="26"/>
      <c r="X2774" s="27"/>
      <c r="Y2774" s="20"/>
      <c r="Z2774" s="20"/>
    </row>
    <row r="2775" spans="1:26" s="29" customFormat="1" ht="90.75" customHeight="1" x14ac:dyDescent="0.25">
      <c r="A2775" s="20"/>
      <c r="B2775" s="20"/>
      <c r="C2775" s="20"/>
      <c r="D2775" s="21"/>
      <c r="E2775" s="21"/>
      <c r="F2775" s="22"/>
      <c r="G2775" s="23"/>
      <c r="H2775" s="24"/>
      <c r="I2775" s="25"/>
      <c r="J2775" s="24"/>
      <c r="K2775" s="20">
        <v>2</v>
      </c>
      <c r="L2775" s="20" t="s">
        <v>31</v>
      </c>
      <c r="M2775" s="20"/>
      <c r="N2775" s="20">
        <v>2</v>
      </c>
      <c r="O2775" s="24">
        <v>19.25</v>
      </c>
      <c r="P2775" s="24">
        <v>100</v>
      </c>
      <c r="Q2775" s="25">
        <v>2550</v>
      </c>
      <c r="R2775" s="24">
        <f t="shared" si="591"/>
        <v>49087.5</v>
      </c>
      <c r="S2775" s="20">
        <v>20</v>
      </c>
      <c r="T2775" s="24">
        <f>(R2775*30/100)</f>
        <v>14726.25</v>
      </c>
      <c r="U2775" s="27">
        <f>(R2775-T2775)</f>
        <v>34361.25</v>
      </c>
      <c r="V2775" s="20"/>
      <c r="W2775" s="26"/>
      <c r="X2775" s="27"/>
      <c r="Y2775" s="20"/>
      <c r="Z2775" s="20"/>
    </row>
    <row r="2776" spans="1:26" s="29" customFormat="1" ht="90.75" customHeight="1" x14ac:dyDescent="0.25">
      <c r="A2776" s="20"/>
      <c r="B2776" s="20"/>
      <c r="C2776" s="20"/>
      <c r="D2776" s="21"/>
      <c r="E2776" s="21"/>
      <c r="F2776" s="22"/>
      <c r="G2776" s="23"/>
      <c r="H2776" s="24"/>
      <c r="I2776" s="25"/>
      <c r="J2776" s="24"/>
      <c r="K2776" s="20"/>
      <c r="L2776" s="20"/>
      <c r="M2776" s="20"/>
      <c r="N2776" s="20"/>
      <c r="O2776" s="24"/>
      <c r="P2776" s="24"/>
      <c r="Q2776" s="25"/>
      <c r="R2776" s="24"/>
      <c r="S2776" s="20"/>
      <c r="T2776" s="27"/>
      <c r="U2776" s="27">
        <f>SUM(U2774:U2775)</f>
        <v>467801.25</v>
      </c>
      <c r="V2776" s="27">
        <f>(J2774+U2776)</f>
        <v>525301.25</v>
      </c>
      <c r="W2776" s="26">
        <f>(V2776*100/100)</f>
        <v>525301.25</v>
      </c>
      <c r="X2776" s="24">
        <v>50000000</v>
      </c>
      <c r="Y2776" s="20"/>
      <c r="Z2776" s="20"/>
    </row>
    <row r="2777" spans="1:26" s="29" customFormat="1" ht="90.75" customHeight="1" x14ac:dyDescent="0.25">
      <c r="A2777" s="20"/>
      <c r="B2777" s="20"/>
      <c r="C2777" s="20"/>
      <c r="D2777" s="21"/>
      <c r="E2777" s="21"/>
      <c r="F2777" s="22"/>
      <c r="G2777" s="23"/>
      <c r="H2777" s="24">
        <v>58.5</v>
      </c>
      <c r="I2777" s="25" t="s">
        <v>80</v>
      </c>
      <c r="J2777" s="24">
        <f>(H2777*I2777)</f>
        <v>33637.5</v>
      </c>
      <c r="K2777" s="20">
        <v>3</v>
      </c>
      <c r="L2777" s="20" t="s">
        <v>43</v>
      </c>
      <c r="M2777" s="20" t="s">
        <v>13</v>
      </c>
      <c r="N2777" s="20">
        <v>2</v>
      </c>
      <c r="O2777" s="24">
        <v>234</v>
      </c>
      <c r="P2777" s="24"/>
      <c r="Q2777" s="25">
        <v>7700</v>
      </c>
      <c r="R2777" s="24">
        <f t="shared" ref="R2777" si="592">(O2777*Q2777)</f>
        <v>1801800</v>
      </c>
      <c r="S2777" s="20">
        <v>1</v>
      </c>
      <c r="T2777" s="24">
        <f>(R2777*1/100)</f>
        <v>18018</v>
      </c>
      <c r="U2777" s="27">
        <f>(R2777-T2777)</f>
        <v>1783782</v>
      </c>
      <c r="V2777" s="27">
        <f>(J2777+U2777)</f>
        <v>1817419.5</v>
      </c>
      <c r="W2777" s="26">
        <f>(V2777*100/100)</f>
        <v>1817419.5</v>
      </c>
      <c r="X2777" s="28">
        <v>0</v>
      </c>
      <c r="Y2777" s="26">
        <f>(W2777-X1123)</f>
        <v>1817419.5</v>
      </c>
      <c r="Z2777" s="49">
        <v>2.0000000000000001E-4</v>
      </c>
    </row>
    <row r="2778" spans="1:26" s="29" customFormat="1" ht="90.75" customHeight="1" x14ac:dyDescent="0.25">
      <c r="A2778" s="20">
        <v>1455</v>
      </c>
      <c r="B2778" s="20" t="s">
        <v>0</v>
      </c>
      <c r="C2778" s="20">
        <v>16302</v>
      </c>
      <c r="D2778" s="21">
        <v>1</v>
      </c>
      <c r="E2778" s="21">
        <v>0</v>
      </c>
      <c r="F2778" s="22">
        <v>0</v>
      </c>
      <c r="G2778" s="23" t="s">
        <v>211</v>
      </c>
      <c r="H2778" s="24">
        <f>(D2778*400)+(E2778*100)+F2778</f>
        <v>400</v>
      </c>
      <c r="I2778" s="25" t="s">
        <v>77</v>
      </c>
      <c r="J2778" s="24">
        <f>(H2778*I2778)</f>
        <v>300000</v>
      </c>
      <c r="K2778" s="20"/>
      <c r="L2778" s="20"/>
      <c r="M2778" s="20"/>
      <c r="N2778" s="20"/>
      <c r="O2778" s="24"/>
      <c r="P2778" s="24"/>
      <c r="Q2778" s="25"/>
      <c r="R2778" s="24"/>
      <c r="S2778" s="20"/>
      <c r="T2778" s="24"/>
      <c r="U2778" s="27"/>
      <c r="V2778" s="27"/>
      <c r="W2778" s="26"/>
      <c r="X2778" s="28"/>
      <c r="Y2778" s="26"/>
      <c r="Z2778" s="49"/>
    </row>
    <row r="2779" spans="1:26" s="29" customFormat="1" ht="90.75" customHeight="1" x14ac:dyDescent="0.25">
      <c r="A2779" s="20"/>
      <c r="B2779" s="20"/>
      <c r="C2779" s="20"/>
      <c r="D2779" s="21"/>
      <c r="E2779" s="21"/>
      <c r="F2779" s="22"/>
      <c r="G2779" s="23"/>
      <c r="H2779" s="24">
        <v>358.75</v>
      </c>
      <c r="I2779" s="25" t="s">
        <v>77</v>
      </c>
      <c r="J2779" s="24">
        <f>(H2779*I2779)</f>
        <v>269062.5</v>
      </c>
      <c r="K2779" s="20">
        <v>1</v>
      </c>
      <c r="L2779" s="20" t="s">
        <v>16</v>
      </c>
      <c r="M2779" s="20" t="s">
        <v>13</v>
      </c>
      <c r="N2779" s="20">
        <v>5</v>
      </c>
      <c r="O2779" s="24">
        <v>392</v>
      </c>
      <c r="P2779" s="24">
        <v>100</v>
      </c>
      <c r="Q2779" s="25">
        <v>6450</v>
      </c>
      <c r="R2779" s="24">
        <f t="shared" ref="R2779" si="593">(O2779*Q2779)</f>
        <v>2528400</v>
      </c>
      <c r="S2779" s="20">
        <v>25</v>
      </c>
      <c r="T2779" s="24">
        <f>(R2779*40/100)</f>
        <v>1011360</v>
      </c>
      <c r="U2779" s="27">
        <f>(R2779-T2779)</f>
        <v>1517040</v>
      </c>
      <c r="V2779" s="27">
        <f>(J2779+U2779)</f>
        <v>1786102.5</v>
      </c>
      <c r="W2779" s="26">
        <f>(V2779*100/100)</f>
        <v>1786102.5</v>
      </c>
      <c r="X2779" s="28"/>
      <c r="Y2779" s="26"/>
      <c r="Z2779" s="49"/>
    </row>
    <row r="2780" spans="1:26" s="29" customFormat="1" ht="90.75" customHeight="1" x14ac:dyDescent="0.25">
      <c r="A2780" s="20"/>
      <c r="B2780" s="20"/>
      <c r="C2780" s="20"/>
      <c r="D2780" s="21"/>
      <c r="E2780" s="21"/>
      <c r="F2780" s="22"/>
      <c r="G2780" s="23"/>
      <c r="H2780" s="24"/>
      <c r="I2780" s="25"/>
      <c r="J2780" s="24"/>
      <c r="K2780" s="20"/>
      <c r="L2780" s="20"/>
      <c r="M2780" s="20"/>
      <c r="N2780" s="20"/>
      <c r="O2780" s="24">
        <v>368</v>
      </c>
      <c r="P2780" s="24">
        <v>93.88</v>
      </c>
      <c r="Q2780" s="25"/>
      <c r="R2780" s="24"/>
      <c r="S2780" s="20"/>
      <c r="T2780" s="24"/>
      <c r="U2780" s="27"/>
      <c r="V2780" s="20"/>
      <c r="W2780" s="26">
        <f>(W2779*93.88/100)</f>
        <v>1676793.0269999998</v>
      </c>
      <c r="X2780" s="24">
        <v>50000000</v>
      </c>
      <c r="Y2780" s="20"/>
      <c r="Z2780" s="20"/>
    </row>
    <row r="2781" spans="1:26" s="29" customFormat="1" ht="90.75" customHeight="1" x14ac:dyDescent="0.25">
      <c r="A2781" s="20"/>
      <c r="B2781" s="20"/>
      <c r="C2781" s="20"/>
      <c r="D2781" s="21"/>
      <c r="E2781" s="21"/>
      <c r="F2781" s="22"/>
      <c r="G2781" s="23"/>
      <c r="H2781" s="24"/>
      <c r="I2781" s="25"/>
      <c r="J2781" s="24"/>
      <c r="K2781" s="20"/>
      <c r="L2781" s="20" t="s">
        <v>36</v>
      </c>
      <c r="M2781" s="20"/>
      <c r="N2781" s="20">
        <v>3</v>
      </c>
      <c r="O2781" s="24">
        <v>24</v>
      </c>
      <c r="P2781" s="24">
        <v>6.12</v>
      </c>
      <c r="Q2781" s="25"/>
      <c r="R2781" s="24"/>
      <c r="S2781" s="20"/>
      <c r="T2781" s="27"/>
      <c r="U2781" s="20"/>
      <c r="V2781" s="20"/>
      <c r="W2781" s="26">
        <f>(W2779*6.12/100)</f>
        <v>109309.47300000001</v>
      </c>
      <c r="X2781" s="28">
        <v>0</v>
      </c>
      <c r="Y2781" s="26">
        <f>(W2781-X2781)</f>
        <v>109309.47300000001</v>
      </c>
      <c r="Z2781" s="49">
        <v>3.0000000000000001E-3</v>
      </c>
    </row>
    <row r="2782" spans="1:26" s="29" customFormat="1" ht="90.75" customHeight="1" x14ac:dyDescent="0.25">
      <c r="A2782" s="20"/>
      <c r="B2782" s="20"/>
      <c r="C2782" s="20"/>
      <c r="D2782" s="21"/>
      <c r="E2782" s="21"/>
      <c r="F2782" s="22"/>
      <c r="G2782" s="23"/>
      <c r="H2782" s="24">
        <v>41.25</v>
      </c>
      <c r="I2782" s="25" t="s">
        <v>77</v>
      </c>
      <c r="J2782" s="24">
        <f>(H2782*I2782)</f>
        <v>30937.5</v>
      </c>
      <c r="K2782" s="20">
        <v>2</v>
      </c>
      <c r="L2782" s="20" t="s">
        <v>43</v>
      </c>
      <c r="M2782" s="20" t="s">
        <v>13</v>
      </c>
      <c r="N2782" s="20">
        <v>2</v>
      </c>
      <c r="O2782" s="24">
        <v>165</v>
      </c>
      <c r="P2782" s="24">
        <v>42.09</v>
      </c>
      <c r="Q2782" s="25">
        <v>7700</v>
      </c>
      <c r="R2782" s="24">
        <f t="shared" ref="R2782" si="594">(O2782*Q2782)</f>
        <v>1270500</v>
      </c>
      <c r="S2782" s="20">
        <v>6</v>
      </c>
      <c r="T2782" s="24">
        <f>(R2782*6/100)</f>
        <v>76230</v>
      </c>
      <c r="U2782" s="27">
        <f>(R2782-T2782)</f>
        <v>1194270</v>
      </c>
      <c r="V2782" s="27">
        <f>(J2782+U2782)</f>
        <v>1225207.5</v>
      </c>
      <c r="W2782" s="26">
        <f>(V2782*100/100)</f>
        <v>1225207.5</v>
      </c>
      <c r="X2782" s="28">
        <v>0</v>
      </c>
      <c r="Y2782" s="26">
        <f>(W2782-X2782)</f>
        <v>1225207.5</v>
      </c>
      <c r="Z2782" s="49">
        <v>2.0000000000000001E-4</v>
      </c>
    </row>
    <row r="2783" spans="1:26" s="29" customFormat="1" ht="90.75" customHeight="1" x14ac:dyDescent="0.25">
      <c r="A2783" s="20">
        <v>1456</v>
      </c>
      <c r="B2783" s="20" t="s">
        <v>0</v>
      </c>
      <c r="C2783" s="20">
        <v>7996</v>
      </c>
      <c r="D2783" s="21">
        <v>1</v>
      </c>
      <c r="E2783" s="21">
        <v>3</v>
      </c>
      <c r="F2783" s="22">
        <v>78.2</v>
      </c>
      <c r="G2783" s="23" t="s">
        <v>56</v>
      </c>
      <c r="H2783" s="24">
        <f>(D2783*400)+(E2783*100)+F2783</f>
        <v>778.2</v>
      </c>
      <c r="I2783" s="25" t="s">
        <v>75</v>
      </c>
      <c r="J2783" s="24">
        <f>(H2783*I2783)</f>
        <v>486375</v>
      </c>
      <c r="K2783" s="20"/>
      <c r="L2783" s="20"/>
      <c r="M2783" s="20"/>
      <c r="N2783" s="20"/>
      <c r="O2783" s="24"/>
      <c r="P2783" s="24"/>
      <c r="Q2783" s="25"/>
      <c r="R2783" s="24"/>
      <c r="S2783" s="20"/>
      <c r="T2783" s="27"/>
      <c r="U2783" s="20"/>
      <c r="V2783" s="20"/>
      <c r="W2783" s="26"/>
      <c r="X2783" s="27"/>
      <c r="Y2783" s="20"/>
      <c r="Z2783" s="20"/>
    </row>
    <row r="2784" spans="1:26" s="29" customFormat="1" ht="90.75" customHeight="1" x14ac:dyDescent="0.25">
      <c r="A2784" s="20"/>
      <c r="B2784" s="20"/>
      <c r="C2784" s="20"/>
      <c r="D2784" s="21"/>
      <c r="E2784" s="21"/>
      <c r="F2784" s="22"/>
      <c r="G2784" s="23"/>
      <c r="H2784" s="24"/>
      <c r="I2784" s="25"/>
      <c r="J2784" s="24"/>
      <c r="K2784" s="20">
        <v>1</v>
      </c>
      <c r="L2784" s="20" t="s">
        <v>43</v>
      </c>
      <c r="M2784" s="20" t="s">
        <v>13</v>
      </c>
      <c r="N2784" s="20">
        <v>2</v>
      </c>
      <c r="O2784" s="24">
        <v>100</v>
      </c>
      <c r="P2784" s="24">
        <v>100</v>
      </c>
      <c r="Q2784" s="25">
        <v>7700</v>
      </c>
      <c r="R2784" s="24">
        <f t="shared" ref="R2784:R2785" si="595">(O2784*Q2784)</f>
        <v>770000</v>
      </c>
      <c r="S2784" s="20">
        <v>7</v>
      </c>
      <c r="T2784" s="24">
        <f>(R2784*7/100)</f>
        <v>53900</v>
      </c>
      <c r="U2784" s="27">
        <f>(R2784-T2784)</f>
        <v>716100</v>
      </c>
      <c r="V2784" s="20"/>
      <c r="W2784" s="26"/>
      <c r="X2784" s="27"/>
      <c r="Y2784" s="20"/>
      <c r="Z2784" s="20"/>
    </row>
    <row r="2785" spans="1:26" s="29" customFormat="1" ht="90.75" customHeight="1" x14ac:dyDescent="0.25">
      <c r="A2785" s="20"/>
      <c r="B2785" s="20"/>
      <c r="C2785" s="20"/>
      <c r="D2785" s="21"/>
      <c r="E2785" s="21"/>
      <c r="F2785" s="22"/>
      <c r="G2785" s="23"/>
      <c r="H2785" s="24"/>
      <c r="I2785" s="25"/>
      <c r="J2785" s="24"/>
      <c r="K2785" s="20">
        <v>2</v>
      </c>
      <c r="L2785" s="20" t="s">
        <v>43</v>
      </c>
      <c r="M2785" s="20" t="s">
        <v>13</v>
      </c>
      <c r="N2785" s="20">
        <v>2</v>
      </c>
      <c r="O2785" s="24">
        <v>208</v>
      </c>
      <c r="P2785" s="24">
        <v>100</v>
      </c>
      <c r="Q2785" s="25">
        <v>7700</v>
      </c>
      <c r="R2785" s="24">
        <f t="shared" si="595"/>
        <v>1601600</v>
      </c>
      <c r="S2785" s="20">
        <v>6</v>
      </c>
      <c r="T2785" s="24">
        <f t="shared" ref="T2785" si="596">(R2785*6/100)</f>
        <v>96096</v>
      </c>
      <c r="U2785" s="27">
        <f>(R2785-T2785)</f>
        <v>1505504</v>
      </c>
      <c r="V2785" s="20"/>
      <c r="W2785" s="26"/>
      <c r="X2785" s="27"/>
      <c r="Y2785" s="20"/>
      <c r="Z2785" s="20"/>
    </row>
    <row r="2786" spans="1:26" s="29" customFormat="1" ht="90.75" customHeight="1" x14ac:dyDescent="0.25">
      <c r="A2786" s="20"/>
      <c r="B2786" s="20"/>
      <c r="C2786" s="20"/>
      <c r="D2786" s="21"/>
      <c r="E2786" s="21"/>
      <c r="F2786" s="22"/>
      <c r="G2786" s="23"/>
      <c r="H2786" s="24"/>
      <c r="I2786" s="25"/>
      <c r="J2786" s="24"/>
      <c r="K2786" s="20"/>
      <c r="L2786" s="20"/>
      <c r="M2786" s="20"/>
      <c r="N2786" s="20"/>
      <c r="O2786" s="24"/>
      <c r="P2786" s="24"/>
      <c r="Q2786" s="25"/>
      <c r="R2786" s="24"/>
      <c r="S2786" s="20"/>
      <c r="T2786" s="27"/>
      <c r="U2786" s="27">
        <f>SUM(U2784:U2785)</f>
        <v>2221604</v>
      </c>
      <c r="V2786" s="27">
        <f>(J2783+U2786)</f>
        <v>2707979</v>
      </c>
      <c r="W2786" s="26">
        <f>(V2786*100/100)</f>
        <v>2707979</v>
      </c>
      <c r="X2786" s="28">
        <v>0</v>
      </c>
      <c r="Y2786" s="26">
        <f t="shared" ref="Y2786:Y2787" si="597">(W2786-X2786)</f>
        <v>2707979</v>
      </c>
      <c r="Z2786" s="49">
        <v>2.0000000000000001E-4</v>
      </c>
    </row>
    <row r="2787" spans="1:26" s="29" customFormat="1" ht="90.75" customHeight="1" x14ac:dyDescent="0.25">
      <c r="A2787" s="20">
        <v>1457</v>
      </c>
      <c r="B2787" s="20" t="s">
        <v>0</v>
      </c>
      <c r="C2787" s="20">
        <v>64736</v>
      </c>
      <c r="D2787" s="21">
        <v>4</v>
      </c>
      <c r="E2787" s="21">
        <v>2</v>
      </c>
      <c r="F2787" s="22">
        <v>73</v>
      </c>
      <c r="G2787" s="23" t="s">
        <v>56</v>
      </c>
      <c r="H2787" s="24">
        <f>(D2787*400)+(E2787*100)+F2787</f>
        <v>1873</v>
      </c>
      <c r="I2787" s="25" t="s">
        <v>75</v>
      </c>
      <c r="J2787" s="24">
        <f>(H2787*I2787)</f>
        <v>1170625</v>
      </c>
      <c r="K2787" s="20">
        <v>1</v>
      </c>
      <c r="L2787" s="20" t="s">
        <v>43</v>
      </c>
      <c r="M2787" s="20" t="s">
        <v>13</v>
      </c>
      <c r="N2787" s="20">
        <v>2</v>
      </c>
      <c r="O2787" s="24">
        <v>200</v>
      </c>
      <c r="P2787" s="24">
        <v>100</v>
      </c>
      <c r="Q2787" s="25">
        <v>7700</v>
      </c>
      <c r="R2787" s="24">
        <f t="shared" ref="R2787" si="598">(O2787*Q2787)</f>
        <v>1540000</v>
      </c>
      <c r="S2787" s="20">
        <v>7</v>
      </c>
      <c r="T2787" s="24">
        <f>(R2787*7/100)</f>
        <v>107800</v>
      </c>
      <c r="U2787" s="27">
        <f>(R2787-T2787)</f>
        <v>1432200</v>
      </c>
      <c r="V2787" s="27">
        <f>(J2787+U2787)</f>
        <v>2602825</v>
      </c>
      <c r="W2787" s="26">
        <f>(V2787*100/100)</f>
        <v>2602825</v>
      </c>
      <c r="X2787" s="28">
        <v>0</v>
      </c>
      <c r="Y2787" s="26">
        <f t="shared" si="597"/>
        <v>2602825</v>
      </c>
      <c r="Z2787" s="49">
        <v>2.0000000000000001E-4</v>
      </c>
    </row>
    <row r="2788" spans="1:26" s="29" customFormat="1" ht="90.75" customHeight="1" x14ac:dyDescent="0.25">
      <c r="A2788" s="20">
        <v>1458</v>
      </c>
      <c r="B2788" s="20" t="s">
        <v>0</v>
      </c>
      <c r="C2788" s="20">
        <v>22518</v>
      </c>
      <c r="D2788" s="21">
        <v>0</v>
      </c>
      <c r="E2788" s="21">
        <v>0</v>
      </c>
      <c r="F2788" s="22">
        <v>54</v>
      </c>
      <c r="G2788" s="23" t="s">
        <v>56</v>
      </c>
      <c r="H2788" s="24">
        <f>(D2788*400)+(E2788*100)+F2788</f>
        <v>54</v>
      </c>
      <c r="I2788" s="25" t="s">
        <v>23</v>
      </c>
      <c r="J2788" s="24">
        <f>(H2788*I2788)</f>
        <v>54000</v>
      </c>
      <c r="K2788" s="20"/>
      <c r="L2788" s="20"/>
      <c r="M2788" s="20"/>
      <c r="N2788" s="20"/>
      <c r="O2788" s="24"/>
      <c r="P2788" s="24"/>
      <c r="Q2788" s="25"/>
      <c r="R2788" s="24"/>
      <c r="S2788" s="20"/>
      <c r="T2788" s="24"/>
      <c r="U2788" s="20"/>
      <c r="V2788" s="20"/>
      <c r="W2788" s="26"/>
      <c r="X2788" s="27"/>
      <c r="Y2788" s="20"/>
      <c r="Z2788" s="20"/>
    </row>
    <row r="2789" spans="1:26" s="29" customFormat="1" ht="90.75" customHeight="1" x14ac:dyDescent="0.25">
      <c r="A2789" s="20"/>
      <c r="B2789" s="20"/>
      <c r="C2789" s="20"/>
      <c r="D2789" s="21"/>
      <c r="E2789" s="21"/>
      <c r="F2789" s="22"/>
      <c r="G2789" s="23"/>
      <c r="H2789" s="24">
        <v>51.75</v>
      </c>
      <c r="I2789" s="25" t="s">
        <v>23</v>
      </c>
      <c r="J2789" s="24">
        <f>(H2789*I2789)</f>
        <v>51750</v>
      </c>
      <c r="K2789" s="20">
        <v>1</v>
      </c>
      <c r="L2789" s="20" t="s">
        <v>16</v>
      </c>
      <c r="M2789" s="20" t="s">
        <v>51</v>
      </c>
      <c r="N2789" s="20">
        <v>2</v>
      </c>
      <c r="O2789" s="24">
        <v>96</v>
      </c>
      <c r="P2789" s="24">
        <v>100</v>
      </c>
      <c r="Q2789" s="25">
        <v>6450</v>
      </c>
      <c r="R2789" s="24">
        <f t="shared" ref="R2789:R2790" si="599">(O2789*Q2789)</f>
        <v>619200</v>
      </c>
      <c r="S2789" s="20">
        <v>20</v>
      </c>
      <c r="T2789" s="24">
        <f>(R2789*30/100)</f>
        <v>185760</v>
      </c>
      <c r="U2789" s="80">
        <f>(R2789-T2789)</f>
        <v>433440</v>
      </c>
      <c r="V2789" s="20"/>
      <c r="W2789" s="26"/>
      <c r="X2789" s="27"/>
      <c r="Y2789" s="20"/>
      <c r="Z2789" s="20"/>
    </row>
    <row r="2790" spans="1:26" s="29" customFormat="1" ht="90.75" customHeight="1" x14ac:dyDescent="0.25">
      <c r="A2790" s="20"/>
      <c r="B2790" s="20"/>
      <c r="C2790" s="20"/>
      <c r="D2790" s="21"/>
      <c r="E2790" s="21"/>
      <c r="F2790" s="22"/>
      <c r="G2790" s="23"/>
      <c r="H2790" s="24"/>
      <c r="I2790" s="25"/>
      <c r="J2790" s="24"/>
      <c r="K2790" s="20">
        <v>2</v>
      </c>
      <c r="L2790" s="20" t="s">
        <v>16</v>
      </c>
      <c r="M2790" s="20" t="s">
        <v>51</v>
      </c>
      <c r="N2790" s="20">
        <v>2</v>
      </c>
      <c r="O2790" s="24">
        <v>16</v>
      </c>
      <c r="P2790" s="24">
        <v>100</v>
      </c>
      <c r="Q2790" s="25">
        <v>6450</v>
      </c>
      <c r="R2790" s="24">
        <f t="shared" si="599"/>
        <v>103200</v>
      </c>
      <c r="S2790" s="20">
        <v>8</v>
      </c>
      <c r="T2790" s="24">
        <f>(R2790*8/100)</f>
        <v>8256</v>
      </c>
      <c r="U2790" s="80">
        <f>(R2790-T2790)</f>
        <v>94944</v>
      </c>
      <c r="V2790" s="20"/>
      <c r="W2790" s="26"/>
      <c r="X2790" s="27"/>
      <c r="Y2790" s="20"/>
      <c r="Z2790" s="20"/>
    </row>
    <row r="2791" spans="1:26" s="29" customFormat="1" ht="90.75" customHeight="1" x14ac:dyDescent="0.25">
      <c r="A2791" s="20"/>
      <c r="B2791" s="20"/>
      <c r="C2791" s="20"/>
      <c r="D2791" s="21"/>
      <c r="E2791" s="21"/>
      <c r="F2791" s="22"/>
      <c r="G2791" s="23"/>
      <c r="H2791" s="24"/>
      <c r="I2791" s="25"/>
      <c r="J2791" s="24"/>
      <c r="K2791" s="20"/>
      <c r="L2791" s="20"/>
      <c r="M2791" s="20"/>
      <c r="N2791" s="20"/>
      <c r="O2791" s="24"/>
      <c r="P2791" s="24"/>
      <c r="Q2791" s="25"/>
      <c r="R2791" s="24"/>
      <c r="S2791" s="20"/>
      <c r="T2791" s="24"/>
      <c r="U2791" s="80">
        <f>SUM(U2789:U2790)</f>
        <v>528384</v>
      </c>
      <c r="V2791" s="80">
        <f>(J2789+U2791)</f>
        <v>580134</v>
      </c>
      <c r="W2791" s="26">
        <f>(V2791*100/100)</f>
        <v>580134</v>
      </c>
      <c r="X2791" s="24">
        <v>50000000</v>
      </c>
      <c r="Y2791" s="20"/>
      <c r="Z2791" s="20"/>
    </row>
    <row r="2792" spans="1:26" s="29" customFormat="1" ht="90.75" customHeight="1" x14ac:dyDescent="0.25">
      <c r="A2792" s="20"/>
      <c r="B2792" s="20"/>
      <c r="C2792" s="20"/>
      <c r="D2792" s="21"/>
      <c r="E2792" s="21"/>
      <c r="F2792" s="22"/>
      <c r="G2792" s="23"/>
      <c r="H2792" s="24">
        <v>2.25</v>
      </c>
      <c r="I2792" s="25" t="s">
        <v>23</v>
      </c>
      <c r="J2792" s="24">
        <f>(H2792*I2792)</f>
        <v>2250</v>
      </c>
      <c r="K2792" s="20">
        <v>3</v>
      </c>
      <c r="L2792" s="20" t="s">
        <v>16</v>
      </c>
      <c r="M2792" s="20"/>
      <c r="N2792" s="20">
        <v>3</v>
      </c>
      <c r="O2792" s="24">
        <v>9</v>
      </c>
      <c r="P2792" s="24">
        <v>100</v>
      </c>
      <c r="Q2792" s="25">
        <v>6450</v>
      </c>
      <c r="R2792" s="24">
        <f t="shared" ref="R2792:R2796" si="600">(O2792*Q2792)</f>
        <v>58050</v>
      </c>
      <c r="S2792" s="20">
        <v>1</v>
      </c>
      <c r="T2792" s="24">
        <f>(R2792*1/100)</f>
        <v>580.5</v>
      </c>
      <c r="U2792" s="80">
        <f>(R2792-T2792)</f>
        <v>57469.5</v>
      </c>
      <c r="V2792" s="80">
        <f>(J2790+U2792)</f>
        <v>57469.5</v>
      </c>
      <c r="W2792" s="26">
        <f>(V2792*100/100)</f>
        <v>57469.5</v>
      </c>
      <c r="X2792" s="28">
        <v>0</v>
      </c>
      <c r="Y2792" s="26">
        <f>(W2792-X1134)</f>
        <v>57469.5</v>
      </c>
      <c r="Z2792" s="49">
        <v>3.0000000000000001E-3</v>
      </c>
    </row>
    <row r="2793" spans="1:26" s="29" customFormat="1" ht="90.75" customHeight="1" x14ac:dyDescent="0.25">
      <c r="A2793" s="20">
        <v>1459</v>
      </c>
      <c r="B2793" s="20" t="s">
        <v>0</v>
      </c>
      <c r="C2793" s="20">
        <v>22519</v>
      </c>
      <c r="D2793" s="21">
        <v>3</v>
      </c>
      <c r="E2793" s="21">
        <v>3</v>
      </c>
      <c r="F2793" s="22">
        <v>97</v>
      </c>
      <c r="G2793" s="23" t="s">
        <v>56</v>
      </c>
      <c r="H2793" s="24">
        <f>(D2793*400)+(E2793*100)+F2793</f>
        <v>1597</v>
      </c>
      <c r="I2793" s="25" t="s">
        <v>78</v>
      </c>
      <c r="J2793" s="24">
        <f>(H2793*I2793)</f>
        <v>1397375</v>
      </c>
      <c r="K2793" s="20"/>
      <c r="L2793" s="20"/>
      <c r="M2793" s="20"/>
      <c r="N2793" s="20"/>
      <c r="O2793" s="24"/>
      <c r="P2793" s="24"/>
      <c r="Q2793" s="25"/>
      <c r="R2793" s="24"/>
      <c r="S2793" s="20"/>
      <c r="T2793" s="27"/>
      <c r="U2793" s="20"/>
      <c r="V2793" s="20"/>
      <c r="W2793" s="26"/>
      <c r="X2793" s="27"/>
      <c r="Y2793" s="20"/>
      <c r="Z2793" s="20"/>
    </row>
    <row r="2794" spans="1:26" s="29" customFormat="1" ht="90.75" customHeight="1" x14ac:dyDescent="0.25">
      <c r="A2794" s="20"/>
      <c r="B2794" s="20"/>
      <c r="C2794" s="20"/>
      <c r="D2794" s="21"/>
      <c r="E2794" s="21"/>
      <c r="F2794" s="22"/>
      <c r="G2794" s="23"/>
      <c r="H2794" s="24">
        <v>48</v>
      </c>
      <c r="I2794" s="25" t="s">
        <v>78</v>
      </c>
      <c r="J2794" s="24">
        <f t="shared" ref="J2794:J2795" si="601">(H2794*I2794)</f>
        <v>42000</v>
      </c>
      <c r="K2794" s="20" t="s">
        <v>142</v>
      </c>
      <c r="L2794" s="20" t="s">
        <v>16</v>
      </c>
      <c r="M2794" s="20" t="s">
        <v>54</v>
      </c>
      <c r="N2794" s="20"/>
      <c r="O2794" s="24">
        <v>192</v>
      </c>
      <c r="P2794" s="24">
        <v>100</v>
      </c>
      <c r="Q2794" s="25">
        <v>6450</v>
      </c>
      <c r="R2794" s="24">
        <f t="shared" si="600"/>
        <v>1238400</v>
      </c>
      <c r="S2794" s="20">
        <v>20</v>
      </c>
      <c r="T2794" s="24">
        <f>(R2794*30/100)</f>
        <v>371520</v>
      </c>
      <c r="U2794" s="27">
        <f t="shared" ref="U2794:U2795" si="602">(R2794-T2794)</f>
        <v>866880</v>
      </c>
      <c r="V2794" s="27">
        <f t="shared" ref="V2794:V2795" si="603">(J2794+U2794)</f>
        <v>908880</v>
      </c>
      <c r="W2794" s="26">
        <f t="shared" ref="W2794:W2795" si="604">(V2794*100/100)</f>
        <v>908880</v>
      </c>
      <c r="X2794" s="24">
        <v>10000000</v>
      </c>
      <c r="Y2794" s="20"/>
      <c r="Z2794" s="20"/>
    </row>
    <row r="2795" spans="1:26" s="29" customFormat="1" ht="90.75" customHeight="1" x14ac:dyDescent="0.25">
      <c r="A2795" s="20"/>
      <c r="B2795" s="20"/>
      <c r="C2795" s="20"/>
      <c r="D2795" s="21"/>
      <c r="E2795" s="21"/>
      <c r="F2795" s="22"/>
      <c r="G2795" s="23"/>
      <c r="H2795" s="24">
        <v>24</v>
      </c>
      <c r="I2795" s="25" t="s">
        <v>78</v>
      </c>
      <c r="J2795" s="24">
        <f t="shared" si="601"/>
        <v>21000</v>
      </c>
      <c r="K2795" s="20" t="s">
        <v>143</v>
      </c>
      <c r="L2795" s="20" t="s">
        <v>16</v>
      </c>
      <c r="M2795" s="20" t="s">
        <v>51</v>
      </c>
      <c r="N2795" s="20"/>
      <c r="O2795" s="24">
        <v>96</v>
      </c>
      <c r="P2795" s="24">
        <v>100</v>
      </c>
      <c r="Q2795" s="25">
        <v>6450</v>
      </c>
      <c r="R2795" s="24">
        <f t="shared" si="600"/>
        <v>619200</v>
      </c>
      <c r="S2795" s="20">
        <v>7</v>
      </c>
      <c r="T2795" s="24">
        <f>(R2795*7/100)</f>
        <v>43344</v>
      </c>
      <c r="U2795" s="27">
        <f t="shared" si="602"/>
        <v>575856</v>
      </c>
      <c r="V2795" s="27">
        <f t="shared" si="603"/>
        <v>596856</v>
      </c>
      <c r="W2795" s="26">
        <f t="shared" si="604"/>
        <v>596856</v>
      </c>
      <c r="X2795" s="24">
        <v>10000000</v>
      </c>
      <c r="Y2795" s="20"/>
      <c r="Z2795" s="20"/>
    </row>
    <row r="2796" spans="1:26" s="29" customFormat="1" ht="90.75" customHeight="1" x14ac:dyDescent="0.25">
      <c r="A2796" s="20"/>
      <c r="B2796" s="20"/>
      <c r="C2796" s="20"/>
      <c r="D2796" s="21"/>
      <c r="E2796" s="21"/>
      <c r="F2796" s="22"/>
      <c r="G2796" s="23"/>
      <c r="H2796" s="24">
        <v>24</v>
      </c>
      <c r="I2796" s="25" t="s">
        <v>78</v>
      </c>
      <c r="J2796" s="24">
        <f>(H2796*I2796)</f>
        <v>21000</v>
      </c>
      <c r="K2796" s="20" t="s">
        <v>144</v>
      </c>
      <c r="L2796" s="20" t="s">
        <v>43</v>
      </c>
      <c r="M2796" s="20" t="s">
        <v>51</v>
      </c>
      <c r="N2796" s="20">
        <v>2</v>
      </c>
      <c r="O2796" s="24">
        <v>96</v>
      </c>
      <c r="P2796" s="24">
        <v>100</v>
      </c>
      <c r="Q2796" s="25">
        <v>7700</v>
      </c>
      <c r="R2796" s="24">
        <f t="shared" si="600"/>
        <v>739200</v>
      </c>
      <c r="S2796" s="20">
        <v>2</v>
      </c>
      <c r="T2796" s="24">
        <f>(R2796*2/100)</f>
        <v>14784</v>
      </c>
      <c r="U2796" s="27">
        <f>(R2796-T2796)</f>
        <v>724416</v>
      </c>
      <c r="V2796" s="27">
        <f>(J2796+U2796)</f>
        <v>745416</v>
      </c>
      <c r="W2796" s="26">
        <f>(V2796*100/100)</f>
        <v>745416</v>
      </c>
      <c r="X2796" s="28">
        <v>0</v>
      </c>
      <c r="Y2796" s="26">
        <f>(W2796-X1138)</f>
        <v>745416</v>
      </c>
      <c r="Z2796" s="49">
        <v>2.0000000000000001E-4</v>
      </c>
    </row>
    <row r="2797" spans="1:26" s="29" customFormat="1" ht="90.75" customHeight="1" x14ac:dyDescent="0.25">
      <c r="A2797" s="20">
        <v>1460</v>
      </c>
      <c r="B2797" s="20" t="s">
        <v>0</v>
      </c>
      <c r="C2797" s="20">
        <v>22521</v>
      </c>
      <c r="D2797" s="21">
        <v>0</v>
      </c>
      <c r="E2797" s="21">
        <v>0</v>
      </c>
      <c r="F2797" s="22">
        <v>95</v>
      </c>
      <c r="G2797" s="23" t="s">
        <v>211</v>
      </c>
      <c r="H2797" s="24">
        <f>(D2797*400)+(E2797*100)+F2797</f>
        <v>95</v>
      </c>
      <c r="I2797" s="25" t="s">
        <v>78</v>
      </c>
      <c r="J2797" s="24">
        <f>(H2797*I2797)</f>
        <v>83125</v>
      </c>
      <c r="K2797" s="20"/>
      <c r="L2797" s="20"/>
      <c r="M2797" s="20"/>
      <c r="N2797" s="20"/>
      <c r="O2797" s="24"/>
      <c r="P2797" s="24"/>
      <c r="Q2797" s="25"/>
      <c r="R2797" s="24"/>
      <c r="S2797" s="20"/>
      <c r="T2797" s="27"/>
      <c r="U2797" s="20"/>
      <c r="V2797" s="20"/>
      <c r="W2797" s="26"/>
      <c r="X2797" s="27"/>
      <c r="Y2797" s="20"/>
      <c r="Z2797" s="20"/>
    </row>
    <row r="2798" spans="1:26" s="29" customFormat="1" ht="90.75" customHeight="1" x14ac:dyDescent="0.25">
      <c r="A2798" s="20"/>
      <c r="B2798" s="20"/>
      <c r="C2798" s="20"/>
      <c r="D2798" s="21"/>
      <c r="E2798" s="21"/>
      <c r="F2798" s="22"/>
      <c r="G2798" s="23"/>
      <c r="H2798" s="24">
        <v>21</v>
      </c>
      <c r="I2798" s="25" t="s">
        <v>78</v>
      </c>
      <c r="J2798" s="24">
        <f>(H2798*I2798)</f>
        <v>18375</v>
      </c>
      <c r="K2798" s="20">
        <v>1</v>
      </c>
      <c r="L2798" s="20" t="s">
        <v>16</v>
      </c>
      <c r="M2798" s="20" t="s">
        <v>51</v>
      </c>
      <c r="N2798" s="20">
        <v>5</v>
      </c>
      <c r="O2798" s="24">
        <v>84</v>
      </c>
      <c r="P2798" s="24">
        <v>100</v>
      </c>
      <c r="Q2798" s="25">
        <v>6450</v>
      </c>
      <c r="R2798" s="24">
        <f t="shared" ref="R2798" si="605">(O2798*Q2798)</f>
        <v>541800</v>
      </c>
      <c r="S2798" s="20">
        <v>10</v>
      </c>
      <c r="T2798" s="24">
        <f>(R2798*10/100)</f>
        <v>54180</v>
      </c>
      <c r="U2798" s="27">
        <f>(R2798-T2798)</f>
        <v>487620</v>
      </c>
      <c r="V2798" s="27">
        <f>(J2798+U2798)</f>
        <v>505995</v>
      </c>
      <c r="W2798" s="26">
        <f>(V2798*100/100)</f>
        <v>505995</v>
      </c>
      <c r="X2798" s="27"/>
      <c r="Y2798" s="20"/>
      <c r="Z2798" s="20"/>
    </row>
    <row r="2799" spans="1:26" s="29" customFormat="1" ht="90.75" customHeight="1" x14ac:dyDescent="0.25">
      <c r="A2799" s="20"/>
      <c r="B2799" s="20"/>
      <c r="C2799" s="20"/>
      <c r="D2799" s="21"/>
      <c r="E2799" s="21"/>
      <c r="F2799" s="22"/>
      <c r="G2799" s="23"/>
      <c r="H2799" s="24"/>
      <c r="I2799" s="25"/>
      <c r="J2799" s="24"/>
      <c r="K2799" s="20"/>
      <c r="L2799" s="20" t="s">
        <v>56</v>
      </c>
      <c r="M2799" s="20"/>
      <c r="N2799" s="20">
        <v>2</v>
      </c>
      <c r="O2799" s="24">
        <v>63</v>
      </c>
      <c r="P2799" s="24">
        <v>75</v>
      </c>
      <c r="Q2799" s="25"/>
      <c r="R2799" s="24"/>
      <c r="S2799" s="20"/>
      <c r="T2799" s="27"/>
      <c r="U2799" s="20"/>
      <c r="V2799" s="20"/>
      <c r="W2799" s="26">
        <f>(W2798*75/100)</f>
        <v>379496.25</v>
      </c>
      <c r="X2799" s="24">
        <v>10000000</v>
      </c>
      <c r="Y2799" s="20"/>
      <c r="Z2799" s="20"/>
    </row>
    <row r="2800" spans="1:26" s="29" customFormat="1" ht="90.75" customHeight="1" x14ac:dyDescent="0.25">
      <c r="A2800" s="20"/>
      <c r="B2800" s="20"/>
      <c r="C2800" s="20"/>
      <c r="D2800" s="21"/>
      <c r="E2800" s="21"/>
      <c r="F2800" s="22"/>
      <c r="G2800" s="23"/>
      <c r="H2800" s="24"/>
      <c r="I2800" s="25"/>
      <c r="J2800" s="24"/>
      <c r="K2800" s="20"/>
      <c r="L2800" s="20" t="s">
        <v>36</v>
      </c>
      <c r="M2800" s="20" t="s">
        <v>51</v>
      </c>
      <c r="N2800" s="20">
        <v>3</v>
      </c>
      <c r="O2800" s="24">
        <v>21</v>
      </c>
      <c r="P2800" s="24">
        <v>25</v>
      </c>
      <c r="Q2800" s="25"/>
      <c r="R2800" s="24"/>
      <c r="S2800" s="20"/>
      <c r="T2800" s="27"/>
      <c r="U2800" s="20"/>
      <c r="V2800" s="20"/>
      <c r="W2800" s="26">
        <f>(W2798*25/100)</f>
        <v>126498.75</v>
      </c>
      <c r="X2800" s="28">
        <v>0</v>
      </c>
      <c r="Y2800" s="26">
        <f>(W2800-X1142)</f>
        <v>126498.75</v>
      </c>
      <c r="Z2800" s="49">
        <v>3.0000000000000001E-3</v>
      </c>
    </row>
    <row r="2801" spans="1:26" s="29" customFormat="1" ht="90.75" customHeight="1" x14ac:dyDescent="0.25">
      <c r="A2801" s="20">
        <v>1461</v>
      </c>
      <c r="B2801" s="20" t="s">
        <v>0</v>
      </c>
      <c r="C2801" s="20">
        <v>43451</v>
      </c>
      <c r="D2801" s="21">
        <v>1</v>
      </c>
      <c r="E2801" s="21">
        <v>1</v>
      </c>
      <c r="F2801" s="22">
        <v>66</v>
      </c>
      <c r="G2801" s="23" t="s">
        <v>56</v>
      </c>
      <c r="H2801" s="36">
        <f>(D2801*400)+(E2801*100)+F2801</f>
        <v>566</v>
      </c>
      <c r="I2801" s="40" t="s">
        <v>9</v>
      </c>
      <c r="J2801" s="65">
        <f t="shared" ref="J2801:J2803" si="606">(H2801*I2801)</f>
        <v>169800</v>
      </c>
      <c r="K2801" s="37">
        <v>1</v>
      </c>
      <c r="L2801" s="20" t="s">
        <v>43</v>
      </c>
      <c r="M2801" s="20" t="s">
        <v>13</v>
      </c>
      <c r="N2801" s="21">
        <v>3</v>
      </c>
      <c r="O2801" s="63">
        <v>512</v>
      </c>
      <c r="P2801" s="35">
        <v>100</v>
      </c>
      <c r="Q2801" s="77">
        <v>7700</v>
      </c>
      <c r="R2801" s="77">
        <f>(O2801*Q2801)</f>
        <v>3942400</v>
      </c>
      <c r="S2801" s="37">
        <v>3</v>
      </c>
      <c r="T2801" s="28">
        <f>(R2801*3/100)</f>
        <v>118272</v>
      </c>
      <c r="U2801" s="77">
        <f>(R2801-T2801)</f>
        <v>3824128</v>
      </c>
      <c r="V2801" s="77">
        <f>(J2801+U2801)</f>
        <v>3993928</v>
      </c>
      <c r="W2801" s="77">
        <f>(V2801*P2801/100)</f>
        <v>3993928</v>
      </c>
      <c r="X2801" s="28">
        <v>0</v>
      </c>
      <c r="Y2801" s="28">
        <f>(W2801-X2801)</f>
        <v>3993928</v>
      </c>
      <c r="Z2801" s="49">
        <v>2.0000000000000001E-4</v>
      </c>
    </row>
    <row r="2802" spans="1:26" s="29" customFormat="1" ht="90.75" customHeight="1" x14ac:dyDescent="0.25">
      <c r="A2802" s="20">
        <v>1462</v>
      </c>
      <c r="B2802" s="20" t="s">
        <v>0</v>
      </c>
      <c r="C2802" s="20">
        <v>18443</v>
      </c>
      <c r="D2802" s="21">
        <v>7</v>
      </c>
      <c r="E2802" s="21">
        <v>2</v>
      </c>
      <c r="F2802" s="22">
        <v>78</v>
      </c>
      <c r="G2802" s="23" t="s">
        <v>211</v>
      </c>
      <c r="H2802" s="36">
        <f>(D2802*400)+(E2802*100)+F2802</f>
        <v>3078</v>
      </c>
      <c r="I2802" s="25" t="s">
        <v>77</v>
      </c>
      <c r="J2802" s="65">
        <f t="shared" si="606"/>
        <v>2308500</v>
      </c>
      <c r="K2802" s="20"/>
      <c r="L2802" s="20"/>
      <c r="M2802" s="20"/>
      <c r="N2802" s="20"/>
      <c r="O2802" s="24"/>
      <c r="P2802" s="24"/>
      <c r="Q2802" s="25"/>
      <c r="R2802" s="24"/>
      <c r="S2802" s="20"/>
      <c r="T2802" s="27"/>
      <c r="U2802" s="20"/>
      <c r="V2802" s="20"/>
      <c r="W2802" s="26"/>
      <c r="X2802" s="27"/>
      <c r="Y2802" s="20"/>
      <c r="Z2802" s="20"/>
    </row>
    <row r="2803" spans="1:26" s="29" customFormat="1" ht="90.75" customHeight="1" x14ac:dyDescent="0.25">
      <c r="A2803" s="20"/>
      <c r="B2803" s="20"/>
      <c r="C2803" s="20"/>
      <c r="D2803" s="21"/>
      <c r="E2803" s="21"/>
      <c r="F2803" s="22"/>
      <c r="G2803" s="23"/>
      <c r="H2803" s="24">
        <v>105</v>
      </c>
      <c r="I2803" s="25" t="s">
        <v>77</v>
      </c>
      <c r="J2803" s="65">
        <f t="shared" si="606"/>
        <v>78750</v>
      </c>
      <c r="K2803" s="20">
        <v>1</v>
      </c>
      <c r="L2803" s="20" t="s">
        <v>16</v>
      </c>
      <c r="M2803" s="20" t="s">
        <v>13</v>
      </c>
      <c r="N2803" s="20">
        <v>2</v>
      </c>
      <c r="O2803" s="24">
        <v>231</v>
      </c>
      <c r="P2803" s="24">
        <v>100</v>
      </c>
      <c r="Q2803" s="25">
        <v>6450</v>
      </c>
      <c r="R2803" s="77">
        <f t="shared" ref="R2803:R2808" si="607">(O2803*Q2803)</f>
        <v>1489950</v>
      </c>
      <c r="S2803" s="20">
        <v>2</v>
      </c>
      <c r="T2803" s="24">
        <f t="shared" ref="T2803:T2806" si="608">(R2803*2/100)</f>
        <v>29799</v>
      </c>
      <c r="U2803" s="27">
        <f t="shared" ref="U2803:U2806" si="609">(R2803-T2803)</f>
        <v>1460151</v>
      </c>
      <c r="V2803" s="20"/>
      <c r="W2803" s="26"/>
      <c r="X2803" s="27"/>
      <c r="Y2803" s="20"/>
      <c r="Z2803" s="20"/>
    </row>
    <row r="2804" spans="1:26" s="29" customFormat="1" ht="90.75" customHeight="1" x14ac:dyDescent="0.25">
      <c r="A2804" s="20"/>
      <c r="B2804" s="20"/>
      <c r="C2804" s="20"/>
      <c r="D2804" s="21"/>
      <c r="E2804" s="21"/>
      <c r="F2804" s="22"/>
      <c r="G2804" s="23"/>
      <c r="H2804" s="24"/>
      <c r="I2804" s="25"/>
      <c r="J2804" s="24"/>
      <c r="K2804" s="20"/>
      <c r="L2804" s="20" t="s">
        <v>31</v>
      </c>
      <c r="M2804" s="20"/>
      <c r="N2804" s="20">
        <v>2</v>
      </c>
      <c r="O2804" s="24">
        <v>45</v>
      </c>
      <c r="P2804" s="24">
        <v>100</v>
      </c>
      <c r="Q2804" s="25">
        <v>2550</v>
      </c>
      <c r="R2804" s="77">
        <f t="shared" si="607"/>
        <v>114750</v>
      </c>
      <c r="S2804" s="20">
        <v>2</v>
      </c>
      <c r="T2804" s="24">
        <f t="shared" si="608"/>
        <v>2295</v>
      </c>
      <c r="U2804" s="27">
        <f t="shared" si="609"/>
        <v>112455</v>
      </c>
      <c r="V2804" s="20"/>
      <c r="W2804" s="26"/>
      <c r="X2804" s="27"/>
      <c r="Y2804" s="20"/>
      <c r="Z2804" s="20"/>
    </row>
    <row r="2805" spans="1:26" s="29" customFormat="1" ht="90.75" customHeight="1" x14ac:dyDescent="0.25">
      <c r="A2805" s="20"/>
      <c r="B2805" s="20"/>
      <c r="C2805" s="20"/>
      <c r="D2805" s="21"/>
      <c r="E2805" s="21"/>
      <c r="F2805" s="22"/>
      <c r="G2805" s="23"/>
      <c r="H2805" s="24"/>
      <c r="I2805" s="25"/>
      <c r="J2805" s="24"/>
      <c r="K2805" s="20"/>
      <c r="L2805" s="20" t="s">
        <v>29</v>
      </c>
      <c r="M2805" s="20"/>
      <c r="N2805" s="20">
        <v>2</v>
      </c>
      <c r="O2805" s="24">
        <v>100</v>
      </c>
      <c r="P2805" s="24"/>
      <c r="Q2805" s="25">
        <v>6450</v>
      </c>
      <c r="R2805" s="77">
        <f t="shared" si="607"/>
        <v>645000</v>
      </c>
      <c r="S2805" s="20">
        <v>2</v>
      </c>
      <c r="T2805" s="24">
        <f t="shared" si="608"/>
        <v>12900</v>
      </c>
      <c r="U2805" s="27">
        <f t="shared" si="609"/>
        <v>632100</v>
      </c>
      <c r="V2805" s="20"/>
      <c r="W2805" s="26"/>
      <c r="X2805" s="27"/>
      <c r="Y2805" s="20"/>
      <c r="Z2805" s="20"/>
    </row>
    <row r="2806" spans="1:26" s="29" customFormat="1" ht="90.75" customHeight="1" x14ac:dyDescent="0.25">
      <c r="A2806" s="20"/>
      <c r="B2806" s="20"/>
      <c r="C2806" s="20"/>
      <c r="D2806" s="21"/>
      <c r="E2806" s="21"/>
      <c r="F2806" s="22"/>
      <c r="G2806" s="23"/>
      <c r="H2806" s="24"/>
      <c r="I2806" s="25"/>
      <c r="J2806" s="24"/>
      <c r="K2806" s="20"/>
      <c r="L2806" s="20" t="s">
        <v>29</v>
      </c>
      <c r="M2806" s="20"/>
      <c r="N2806" s="20">
        <v>2</v>
      </c>
      <c r="O2806" s="24">
        <v>25</v>
      </c>
      <c r="P2806" s="24"/>
      <c r="Q2806" s="25">
        <v>6450</v>
      </c>
      <c r="R2806" s="77">
        <f t="shared" si="607"/>
        <v>161250</v>
      </c>
      <c r="S2806" s="20">
        <v>2</v>
      </c>
      <c r="T2806" s="24">
        <f t="shared" si="608"/>
        <v>3225</v>
      </c>
      <c r="U2806" s="27">
        <f t="shared" si="609"/>
        <v>158025</v>
      </c>
      <c r="V2806" s="20"/>
      <c r="W2806" s="26"/>
      <c r="X2806" s="27"/>
      <c r="Y2806" s="20"/>
      <c r="Z2806" s="20"/>
    </row>
    <row r="2807" spans="1:26" s="29" customFormat="1" ht="90.75" customHeight="1" x14ac:dyDescent="0.25">
      <c r="A2807" s="20"/>
      <c r="B2807" s="20"/>
      <c r="C2807" s="20"/>
      <c r="D2807" s="21"/>
      <c r="E2807" s="21"/>
      <c r="F2807" s="22"/>
      <c r="G2807" s="23"/>
      <c r="H2807" s="24"/>
      <c r="I2807" s="25"/>
      <c r="J2807" s="24"/>
      <c r="K2807" s="20"/>
      <c r="L2807" s="20"/>
      <c r="M2807" s="20"/>
      <c r="N2807" s="20"/>
      <c r="O2807" s="24"/>
      <c r="P2807" s="24"/>
      <c r="Q2807" s="25"/>
      <c r="R2807" s="77"/>
      <c r="S2807" s="20"/>
      <c r="T2807" s="27"/>
      <c r="U2807" s="27">
        <f>SUM(U2803:U2806)</f>
        <v>2362731</v>
      </c>
      <c r="V2807" s="27">
        <f>(J2803+U2807)</f>
        <v>2441481</v>
      </c>
      <c r="W2807" s="26">
        <f>(V2807*100/100)</f>
        <v>2441481</v>
      </c>
      <c r="X2807" s="24">
        <v>50000000</v>
      </c>
      <c r="Y2807" s="20"/>
      <c r="Z2807" s="20"/>
    </row>
    <row r="2808" spans="1:26" s="29" customFormat="1" ht="90.75" customHeight="1" x14ac:dyDescent="0.25">
      <c r="A2808" s="20"/>
      <c r="B2808" s="20"/>
      <c r="C2808" s="20"/>
      <c r="D2808" s="21"/>
      <c r="E2808" s="21"/>
      <c r="F2808" s="22"/>
      <c r="G2808" s="23"/>
      <c r="H2808" s="24">
        <v>16</v>
      </c>
      <c r="I2808" s="25" t="s">
        <v>77</v>
      </c>
      <c r="J2808" s="65">
        <f t="shared" ref="J2808" si="610">(H2808*I2808)</f>
        <v>12000</v>
      </c>
      <c r="K2808" s="20"/>
      <c r="L2808" s="20" t="s">
        <v>16</v>
      </c>
      <c r="M2808" s="20" t="s">
        <v>13</v>
      </c>
      <c r="N2808" s="20">
        <v>5</v>
      </c>
      <c r="O2808" s="24">
        <v>64</v>
      </c>
      <c r="P2808" s="24">
        <v>100</v>
      </c>
      <c r="Q2808" s="25">
        <v>6450</v>
      </c>
      <c r="R2808" s="24">
        <f t="shared" si="607"/>
        <v>412800</v>
      </c>
      <c r="S2808" s="20">
        <v>1</v>
      </c>
      <c r="T2808" s="24">
        <f>(R2808*1/100)</f>
        <v>4128</v>
      </c>
      <c r="U2808" s="80">
        <f>(R2808-T2808)</f>
        <v>408672</v>
      </c>
      <c r="V2808" s="80">
        <f>(J2808+U2808)</f>
        <v>420672</v>
      </c>
      <c r="W2808" s="26">
        <f>(V2808*100/100)</f>
        <v>420672</v>
      </c>
      <c r="X2808" s="27"/>
      <c r="Y2808" s="20"/>
      <c r="Z2808" s="20"/>
    </row>
    <row r="2809" spans="1:26" s="29" customFormat="1" ht="90.75" customHeight="1" x14ac:dyDescent="0.25">
      <c r="A2809" s="20"/>
      <c r="B2809" s="20"/>
      <c r="C2809" s="20"/>
      <c r="D2809" s="21"/>
      <c r="E2809" s="21"/>
      <c r="F2809" s="22"/>
      <c r="G2809" s="23"/>
      <c r="H2809" s="24"/>
      <c r="I2809" s="25"/>
      <c r="J2809" s="65"/>
      <c r="K2809" s="20"/>
      <c r="L2809" s="20"/>
      <c r="M2809" s="20"/>
      <c r="N2809" s="20"/>
      <c r="O2809" s="24">
        <v>56.5</v>
      </c>
      <c r="P2809" s="24">
        <v>88.28</v>
      </c>
      <c r="Q2809" s="25"/>
      <c r="R2809" s="24"/>
      <c r="S2809" s="20"/>
      <c r="T2809" s="24"/>
      <c r="U2809" s="80"/>
      <c r="V2809" s="20"/>
      <c r="W2809" s="26">
        <f>(W2808*88.28/100)</f>
        <v>371369.24160000007</v>
      </c>
      <c r="X2809" s="24">
        <v>50000000</v>
      </c>
      <c r="Y2809" s="20"/>
      <c r="Z2809" s="20"/>
    </row>
    <row r="2810" spans="1:26" s="29" customFormat="1" ht="90.75" customHeight="1" x14ac:dyDescent="0.25">
      <c r="A2810" s="20"/>
      <c r="B2810" s="20"/>
      <c r="C2810" s="20"/>
      <c r="D2810" s="21"/>
      <c r="E2810" s="21"/>
      <c r="F2810" s="22"/>
      <c r="G2810" s="23"/>
      <c r="H2810" s="24"/>
      <c r="I2810" s="25"/>
      <c r="J2810" s="24"/>
      <c r="K2810" s="20"/>
      <c r="L2810" s="20" t="s">
        <v>61</v>
      </c>
      <c r="M2810" s="20"/>
      <c r="N2810" s="20"/>
      <c r="O2810" s="24">
        <v>7.5</v>
      </c>
      <c r="P2810" s="24">
        <v>11.72</v>
      </c>
      <c r="Q2810" s="25"/>
      <c r="R2810" s="24"/>
      <c r="S2810" s="20"/>
      <c r="T2810" s="27"/>
      <c r="U2810" s="20"/>
      <c r="V2810" s="20"/>
      <c r="W2810" s="26">
        <f>(W2808*11.72/100)</f>
        <v>49302.758399999999</v>
      </c>
      <c r="X2810" s="28">
        <v>0</v>
      </c>
      <c r="Y2810" s="28">
        <f>(W2810-X2810)</f>
        <v>49302.758399999999</v>
      </c>
      <c r="Z2810" s="49">
        <v>3.0000000000000001E-3</v>
      </c>
    </row>
    <row r="2811" spans="1:26" s="29" customFormat="1" ht="90.75" customHeight="1" x14ac:dyDescent="0.25">
      <c r="A2811" s="20">
        <v>1463</v>
      </c>
      <c r="B2811" s="20" t="s">
        <v>0</v>
      </c>
      <c r="C2811" s="20">
        <v>21837</v>
      </c>
      <c r="D2811" s="21">
        <v>2</v>
      </c>
      <c r="E2811" s="21">
        <v>0</v>
      </c>
      <c r="F2811" s="22">
        <v>0</v>
      </c>
      <c r="G2811" s="23" t="s">
        <v>211</v>
      </c>
      <c r="H2811" s="36">
        <f>(D2811*400)+(E2811*100)+F2811</f>
        <v>800</v>
      </c>
      <c r="I2811" s="40">
        <v>875</v>
      </c>
      <c r="J2811" s="28">
        <f>(H2811*I2811)</f>
        <v>700000</v>
      </c>
      <c r="K2811" s="37"/>
      <c r="L2811" s="31"/>
      <c r="M2811" s="31"/>
      <c r="N2811" s="41"/>
      <c r="O2811" s="42"/>
      <c r="P2811" s="86"/>
      <c r="Q2811" s="36"/>
      <c r="R2811" s="36"/>
      <c r="S2811" s="37"/>
      <c r="T2811" s="28"/>
      <c r="U2811" s="36"/>
      <c r="V2811" s="36"/>
      <c r="W2811" s="36"/>
      <c r="X2811" s="28"/>
      <c r="Y2811" s="28"/>
      <c r="Z2811" s="20"/>
    </row>
    <row r="2812" spans="1:26" s="29" customFormat="1" ht="90.75" customHeight="1" x14ac:dyDescent="0.25">
      <c r="A2812" s="20"/>
      <c r="B2812" s="20"/>
      <c r="C2812" s="20"/>
      <c r="D2812" s="21"/>
      <c r="E2812" s="21"/>
      <c r="F2812" s="22"/>
      <c r="G2812" s="23"/>
      <c r="H2812" s="36">
        <f>(O2812*0.25)</f>
        <v>64</v>
      </c>
      <c r="I2812" s="40">
        <v>875</v>
      </c>
      <c r="J2812" s="28">
        <f>(H2812*I2812)</f>
        <v>56000</v>
      </c>
      <c r="K2812" s="37">
        <v>1</v>
      </c>
      <c r="L2812" s="31" t="s">
        <v>215</v>
      </c>
      <c r="M2812" s="31" t="s">
        <v>13</v>
      </c>
      <c r="N2812" s="41"/>
      <c r="O2812" s="42">
        <v>256</v>
      </c>
      <c r="P2812" s="86" t="s">
        <v>256</v>
      </c>
      <c r="Q2812" s="36">
        <v>6450</v>
      </c>
      <c r="R2812" s="36">
        <f>(O2812*Q2812)</f>
        <v>1651200</v>
      </c>
      <c r="S2812" s="37">
        <v>32</v>
      </c>
      <c r="T2812" s="28">
        <f>(R2812*54/100)</f>
        <v>891648</v>
      </c>
      <c r="U2812" s="36">
        <f>(R2812-T2812)</f>
        <v>759552</v>
      </c>
      <c r="V2812" s="36">
        <f>(U2812*100/100)</f>
        <v>759552</v>
      </c>
      <c r="W2812" s="26">
        <f>(V2812*100/100)</f>
        <v>759552</v>
      </c>
      <c r="X2812" s="28"/>
      <c r="Y2812" s="28"/>
      <c r="Z2812" s="20"/>
    </row>
    <row r="2813" spans="1:26" s="29" customFormat="1" ht="90.75" customHeight="1" x14ac:dyDescent="0.25">
      <c r="A2813" s="20"/>
      <c r="B2813" s="20"/>
      <c r="C2813" s="20"/>
      <c r="D2813" s="21"/>
      <c r="E2813" s="21"/>
      <c r="F2813" s="22"/>
      <c r="G2813" s="23"/>
      <c r="H2813" s="36"/>
      <c r="I2813" s="40"/>
      <c r="J2813" s="28"/>
      <c r="K2813" s="37"/>
      <c r="L2813" s="31"/>
      <c r="M2813" s="31"/>
      <c r="N2813" s="41">
        <v>2</v>
      </c>
      <c r="O2813" s="42">
        <v>238</v>
      </c>
      <c r="P2813" s="86" t="s">
        <v>262</v>
      </c>
      <c r="Q2813" s="36"/>
      <c r="R2813" s="36"/>
      <c r="S2813" s="37"/>
      <c r="T2813" s="28"/>
      <c r="U2813" s="36"/>
      <c r="V2813" s="36"/>
      <c r="W2813" s="26">
        <f>(W2812*92.97/100)</f>
        <v>706155.49439999997</v>
      </c>
      <c r="X2813" s="28">
        <v>10000000</v>
      </c>
      <c r="Y2813" s="28"/>
      <c r="Z2813" s="20"/>
    </row>
    <row r="2814" spans="1:26" s="29" customFormat="1" ht="90.75" customHeight="1" x14ac:dyDescent="0.25">
      <c r="A2814" s="20"/>
      <c r="B2814" s="20"/>
      <c r="C2814" s="20"/>
      <c r="D2814" s="21"/>
      <c r="E2814" s="21"/>
      <c r="F2814" s="22"/>
      <c r="G2814" s="23"/>
      <c r="H2814" s="36"/>
      <c r="I2814" s="40"/>
      <c r="J2814" s="28"/>
      <c r="K2814" s="37"/>
      <c r="L2814" s="31" t="s">
        <v>61</v>
      </c>
      <c r="M2814" s="31"/>
      <c r="N2814" s="41">
        <v>3</v>
      </c>
      <c r="O2814" s="42">
        <v>18</v>
      </c>
      <c r="P2814" s="86" t="s">
        <v>263</v>
      </c>
      <c r="Q2814" s="36"/>
      <c r="R2814" s="36"/>
      <c r="S2814" s="37"/>
      <c r="T2814" s="28"/>
      <c r="U2814" s="36"/>
      <c r="V2814" s="36"/>
      <c r="W2814" s="26">
        <f>(W2812*7.03/100)</f>
        <v>53396.505600000004</v>
      </c>
      <c r="X2814" s="28">
        <v>0</v>
      </c>
      <c r="Y2814" s="28">
        <f>(W2814-X2814)</f>
        <v>53396.505600000004</v>
      </c>
      <c r="Z2814" s="49">
        <v>3.0000000000000001E-3</v>
      </c>
    </row>
    <row r="2815" spans="1:26" s="29" customFormat="1" ht="90.75" customHeight="1" x14ac:dyDescent="0.25">
      <c r="A2815" s="20">
        <v>1464</v>
      </c>
      <c r="B2815" s="20" t="s">
        <v>0</v>
      </c>
      <c r="C2815" s="20">
        <v>21838</v>
      </c>
      <c r="D2815" s="21">
        <v>1</v>
      </c>
      <c r="E2815" s="21">
        <v>3</v>
      </c>
      <c r="F2815" s="22">
        <v>46</v>
      </c>
      <c r="G2815" s="23" t="s">
        <v>211</v>
      </c>
      <c r="H2815" s="36">
        <f>(D2815*400)+(E2815*100)+F2815</f>
        <v>746</v>
      </c>
      <c r="I2815" s="40">
        <v>875</v>
      </c>
      <c r="J2815" s="28">
        <f>(H2815*I2815)</f>
        <v>652750</v>
      </c>
      <c r="K2815" s="37">
        <v>1</v>
      </c>
      <c r="L2815" s="31" t="s">
        <v>215</v>
      </c>
      <c r="M2815" s="31" t="s">
        <v>13</v>
      </c>
      <c r="N2815" s="41">
        <v>5</v>
      </c>
      <c r="O2815" s="46">
        <v>249</v>
      </c>
      <c r="P2815" s="86">
        <v>100</v>
      </c>
      <c r="Q2815" s="36">
        <v>6450</v>
      </c>
      <c r="R2815" s="36">
        <f t="shared" ref="R2815" si="611">(O2815*Q2815)</f>
        <v>1606050</v>
      </c>
      <c r="S2815" s="37">
        <v>13</v>
      </c>
      <c r="T2815" s="28">
        <f>(R2815*16/100)</f>
        <v>256968</v>
      </c>
      <c r="U2815" s="36">
        <f>(R2815-T2815)</f>
        <v>1349082</v>
      </c>
      <c r="V2815" s="36">
        <f>(J2815+U2815)</f>
        <v>2001832</v>
      </c>
      <c r="W2815" s="26">
        <f>(V2815*100/100)</f>
        <v>2001832</v>
      </c>
      <c r="X2815" s="28"/>
      <c r="Y2815" s="28"/>
      <c r="Z2815" s="49"/>
    </row>
    <row r="2816" spans="1:26" s="29" customFormat="1" ht="90.75" customHeight="1" x14ac:dyDescent="0.25">
      <c r="A2816" s="20"/>
      <c r="B2816" s="20"/>
      <c r="C2816" s="20"/>
      <c r="D2816" s="21"/>
      <c r="E2816" s="21"/>
      <c r="F2816" s="22"/>
      <c r="G2816" s="23"/>
      <c r="H2816" s="36"/>
      <c r="I2816" s="40"/>
      <c r="J2816" s="28"/>
      <c r="K2816" s="37"/>
      <c r="L2816" s="31" t="s">
        <v>69</v>
      </c>
      <c r="M2816" s="31"/>
      <c r="N2816" s="41">
        <v>2</v>
      </c>
      <c r="O2816" s="46">
        <v>225</v>
      </c>
      <c r="P2816" s="86">
        <v>90.36</v>
      </c>
      <c r="Q2816" s="36"/>
      <c r="R2816" s="36"/>
      <c r="S2816" s="37"/>
      <c r="T2816" s="28"/>
      <c r="U2816" s="36"/>
      <c r="V2816" s="36"/>
      <c r="W2816" s="26">
        <f>(W2815*90.36/100)</f>
        <v>1808855.3952000001</v>
      </c>
      <c r="X2816" s="28">
        <v>50000000</v>
      </c>
      <c r="Y2816" s="28"/>
      <c r="Z2816" s="49"/>
    </row>
    <row r="2817" spans="1:26" s="29" customFormat="1" ht="90.75" customHeight="1" x14ac:dyDescent="0.25">
      <c r="A2817" s="20"/>
      <c r="B2817" s="20"/>
      <c r="C2817" s="20"/>
      <c r="D2817" s="21"/>
      <c r="E2817" s="21"/>
      <c r="F2817" s="22"/>
      <c r="G2817" s="23"/>
      <c r="H2817" s="36"/>
      <c r="I2817" s="40"/>
      <c r="J2817" s="28"/>
      <c r="K2817" s="37"/>
      <c r="L2817" s="31" t="s">
        <v>61</v>
      </c>
      <c r="M2817" s="31"/>
      <c r="N2817" s="41">
        <v>3</v>
      </c>
      <c r="O2817" s="48">
        <v>24</v>
      </c>
      <c r="P2817" s="86">
        <v>9.64</v>
      </c>
      <c r="Q2817" s="36"/>
      <c r="R2817" s="36"/>
      <c r="S2817" s="37"/>
      <c r="T2817" s="28"/>
      <c r="U2817" s="36"/>
      <c r="V2817" s="36"/>
      <c r="W2817" s="26">
        <f>(W2815*9.64/100)</f>
        <v>192976.6048</v>
      </c>
      <c r="X2817" s="28">
        <v>0</v>
      </c>
      <c r="Y2817" s="28">
        <f>(W2817-X2817)</f>
        <v>192976.6048</v>
      </c>
      <c r="Z2817" s="49">
        <v>3.0000000000000001E-3</v>
      </c>
    </row>
    <row r="2818" spans="1:26" s="29" customFormat="1" ht="90.75" customHeight="1" x14ac:dyDescent="0.25">
      <c r="A2818" s="20">
        <v>1465</v>
      </c>
      <c r="B2818" s="20" t="s">
        <v>0</v>
      </c>
      <c r="C2818" s="20">
        <v>52449</v>
      </c>
      <c r="D2818" s="21">
        <v>0</v>
      </c>
      <c r="E2818" s="21">
        <v>0</v>
      </c>
      <c r="F2818" s="22">
        <v>71</v>
      </c>
      <c r="G2818" s="23" t="s">
        <v>211</v>
      </c>
      <c r="H2818" s="36">
        <f t="shared" ref="H2818" si="612">(D2818*400)+(E2818*100)+F2818</f>
        <v>71</v>
      </c>
      <c r="I2818" s="40">
        <v>875</v>
      </c>
      <c r="J2818" s="65">
        <f t="shared" ref="J2818" si="613">(H2818*I2818)</f>
        <v>62125</v>
      </c>
      <c r="K2818" s="30"/>
      <c r="L2818" s="20"/>
      <c r="M2818" s="35"/>
      <c r="N2818" s="30"/>
      <c r="O2818" s="36"/>
      <c r="P2818" s="86"/>
      <c r="Q2818" s="40"/>
      <c r="R2818" s="84"/>
      <c r="S2818" s="84"/>
      <c r="T2818" s="28"/>
      <c r="U2818" s="84"/>
      <c r="V2818" s="36"/>
      <c r="W2818" s="36"/>
      <c r="X2818" s="28"/>
      <c r="Y2818" s="26"/>
      <c r="Z2818" s="53"/>
    </row>
    <row r="2819" spans="1:26" s="29" customFormat="1" ht="90.75" customHeight="1" x14ac:dyDescent="0.25">
      <c r="A2819" s="20"/>
      <c r="B2819" s="20"/>
      <c r="C2819" s="20"/>
      <c r="D2819" s="21"/>
      <c r="E2819" s="21"/>
      <c r="F2819" s="22"/>
      <c r="G2819" s="23"/>
      <c r="H2819" s="36"/>
      <c r="I2819" s="44"/>
      <c r="J2819" s="65"/>
      <c r="K2819" s="37">
        <v>1</v>
      </c>
      <c r="L2819" s="31" t="s">
        <v>215</v>
      </c>
      <c r="M2819" s="31" t="s">
        <v>13</v>
      </c>
      <c r="N2819" s="41">
        <v>2</v>
      </c>
      <c r="O2819" s="46">
        <v>172</v>
      </c>
      <c r="P2819" s="86">
        <v>100</v>
      </c>
      <c r="Q2819" s="36">
        <v>6450</v>
      </c>
      <c r="R2819" s="36">
        <f t="shared" ref="R2819" si="614">(O2819*Q2819)</f>
        <v>1109400</v>
      </c>
      <c r="S2819" s="30">
        <v>5</v>
      </c>
      <c r="T2819" s="28">
        <f>(R2819*5/100)</f>
        <v>55470</v>
      </c>
      <c r="U2819" s="36">
        <f t="shared" ref="U2819" si="615">(R2819-T2819)</f>
        <v>1053930</v>
      </c>
      <c r="V2819" s="28">
        <f>(J2819+U2819)</f>
        <v>1053930</v>
      </c>
      <c r="W2819" s="26">
        <f>(V2819*100/100)</f>
        <v>1053930</v>
      </c>
      <c r="X2819" s="28"/>
      <c r="Y2819" s="28"/>
      <c r="Z2819" s="27"/>
    </row>
    <row r="2820" spans="1:26" s="29" customFormat="1" ht="90.75" customHeight="1" x14ac:dyDescent="0.25">
      <c r="A2820" s="20"/>
      <c r="B2820" s="20"/>
      <c r="C2820" s="20"/>
      <c r="D2820" s="21"/>
      <c r="E2820" s="21"/>
      <c r="F2820" s="22"/>
      <c r="G2820" s="23"/>
      <c r="H2820" s="36"/>
      <c r="I2820" s="44"/>
      <c r="J2820" s="65"/>
      <c r="K2820" s="37"/>
      <c r="L2820" s="31" t="s">
        <v>69</v>
      </c>
      <c r="M2820" s="31"/>
      <c r="N2820" s="41"/>
      <c r="O2820" s="46">
        <v>160</v>
      </c>
      <c r="P2820" s="86">
        <v>93.02</v>
      </c>
      <c r="Q2820" s="36"/>
      <c r="R2820" s="36"/>
      <c r="S2820" s="30"/>
      <c r="T2820" s="28"/>
      <c r="U2820" s="36"/>
      <c r="V2820" s="28"/>
      <c r="W2820" s="26">
        <f>(W2819*93.02/100)</f>
        <v>980365.68599999999</v>
      </c>
      <c r="X2820" s="28">
        <v>50000000</v>
      </c>
      <c r="Y2820" s="28"/>
      <c r="Z2820" s="49"/>
    </row>
    <row r="2821" spans="1:26" s="29" customFormat="1" ht="90.75" customHeight="1" x14ac:dyDescent="0.25">
      <c r="A2821" s="20"/>
      <c r="B2821" s="20"/>
      <c r="C2821" s="20"/>
      <c r="D2821" s="21"/>
      <c r="E2821" s="21"/>
      <c r="F2821" s="22"/>
      <c r="G2821" s="23"/>
      <c r="H2821" s="36"/>
      <c r="I2821" s="44"/>
      <c r="J2821" s="65"/>
      <c r="K2821" s="37"/>
      <c r="L2821" s="31" t="s">
        <v>61</v>
      </c>
      <c r="M2821" s="31"/>
      <c r="N2821" s="41">
        <v>3</v>
      </c>
      <c r="O2821" s="46">
        <v>12</v>
      </c>
      <c r="P2821" s="86">
        <v>6.98</v>
      </c>
      <c r="Q2821" s="36"/>
      <c r="R2821" s="36"/>
      <c r="S2821" s="30"/>
      <c r="T2821" s="28"/>
      <c r="U2821" s="36"/>
      <c r="V2821" s="28"/>
      <c r="W2821" s="26">
        <f>(W2819*6.98/100)</f>
        <v>73564.313999999998</v>
      </c>
      <c r="X2821" s="28">
        <v>0</v>
      </c>
      <c r="Y2821" s="28">
        <f>(W2821-X2821)</f>
        <v>73564.313999999998</v>
      </c>
      <c r="Z2821" s="49">
        <v>3.0000000000000001E-3</v>
      </c>
    </row>
    <row r="2822" spans="1:26" s="29" customFormat="1" ht="90.75" customHeight="1" x14ac:dyDescent="0.25">
      <c r="A2822" s="20">
        <v>1466</v>
      </c>
      <c r="B2822" s="20" t="s">
        <v>0</v>
      </c>
      <c r="C2822" s="20">
        <v>52442</v>
      </c>
      <c r="D2822" s="21">
        <v>0</v>
      </c>
      <c r="E2822" s="21">
        <v>0</v>
      </c>
      <c r="F2822" s="22">
        <v>68</v>
      </c>
      <c r="G2822" s="23" t="s">
        <v>211</v>
      </c>
      <c r="H2822" s="36">
        <f t="shared" ref="H2822" si="616">(D2822*400)+(E2822*100)+F2822</f>
        <v>68</v>
      </c>
      <c r="I2822" s="40">
        <v>875</v>
      </c>
      <c r="J2822" s="65">
        <f t="shared" ref="J2822:J2825" si="617">(H2822*I2822)</f>
        <v>59500</v>
      </c>
      <c r="K2822" s="30"/>
      <c r="L2822" s="20"/>
      <c r="M2822" s="35"/>
      <c r="N2822" s="30"/>
      <c r="O2822" s="36"/>
      <c r="P2822" s="86"/>
      <c r="Q2822" s="40"/>
      <c r="R2822" s="84"/>
      <c r="S2822" s="84"/>
      <c r="T2822" s="28"/>
      <c r="U2822" s="84"/>
      <c r="V2822" s="36"/>
      <c r="W2822" s="36"/>
      <c r="X2822" s="28"/>
      <c r="Y2822" s="26"/>
      <c r="Z2822" s="49"/>
    </row>
    <row r="2823" spans="1:26" s="29" customFormat="1" ht="90.75" customHeight="1" x14ac:dyDescent="0.25">
      <c r="A2823" s="20"/>
      <c r="B2823" s="20"/>
      <c r="C2823" s="20"/>
      <c r="D2823" s="21"/>
      <c r="E2823" s="21"/>
      <c r="F2823" s="22"/>
      <c r="G2823" s="23"/>
      <c r="H2823" s="36">
        <v>59.37</v>
      </c>
      <c r="I2823" s="40">
        <v>875</v>
      </c>
      <c r="J2823" s="28">
        <f t="shared" si="617"/>
        <v>51948.75</v>
      </c>
      <c r="K2823" s="37">
        <v>1</v>
      </c>
      <c r="L2823" s="31" t="s">
        <v>15</v>
      </c>
      <c r="M2823" s="31"/>
      <c r="N2823" s="41">
        <v>3</v>
      </c>
      <c r="O2823" s="46">
        <v>147</v>
      </c>
      <c r="P2823" s="86">
        <v>100</v>
      </c>
      <c r="Q2823" s="36">
        <v>5950</v>
      </c>
      <c r="R2823" s="36">
        <f>(O2823*Q2823)</f>
        <v>874650</v>
      </c>
      <c r="S2823" s="30">
        <v>6</v>
      </c>
      <c r="T2823" s="28">
        <f>(R2823*6/100)</f>
        <v>52479</v>
      </c>
      <c r="U2823" s="36">
        <f>(R2823-T2823)</f>
        <v>822171</v>
      </c>
      <c r="V2823" s="28">
        <f>(J2823+U2823)</f>
        <v>874119.75</v>
      </c>
      <c r="W2823" s="28">
        <f>(V2823*100/100)</f>
        <v>874119.75</v>
      </c>
      <c r="X2823" s="28">
        <v>0</v>
      </c>
      <c r="Y2823" s="28">
        <f>(W2823-X2823)</f>
        <v>874119.75</v>
      </c>
      <c r="Z2823" s="49">
        <v>3.0000000000000001E-3</v>
      </c>
    </row>
    <row r="2824" spans="1:26" s="29" customFormat="1" ht="90.75" customHeight="1" x14ac:dyDescent="0.25">
      <c r="A2824" s="20"/>
      <c r="B2824" s="20"/>
      <c r="C2824" s="20"/>
      <c r="D2824" s="21"/>
      <c r="E2824" s="21"/>
      <c r="F2824" s="22"/>
      <c r="G2824" s="23"/>
      <c r="H2824" s="36">
        <f>(O2824*0.25)</f>
        <v>8.625</v>
      </c>
      <c r="I2824" s="40">
        <v>875</v>
      </c>
      <c r="J2824" s="28">
        <f t="shared" si="617"/>
        <v>7546.875</v>
      </c>
      <c r="K2824" s="37">
        <v>2</v>
      </c>
      <c r="L2824" s="31" t="s">
        <v>38</v>
      </c>
      <c r="M2824" s="31"/>
      <c r="N2824" s="41">
        <v>2</v>
      </c>
      <c r="O2824" s="46">
        <v>34.5</v>
      </c>
      <c r="P2824" s="86">
        <v>100</v>
      </c>
      <c r="Q2824" s="36">
        <v>6550</v>
      </c>
      <c r="R2824" s="36">
        <f>(O2824*Q2824)</f>
        <v>225975</v>
      </c>
      <c r="S2824" s="30">
        <v>6</v>
      </c>
      <c r="T2824" s="28">
        <f>(R2824*6/100)</f>
        <v>13558.5</v>
      </c>
      <c r="U2824" s="36">
        <f>(R2824-T2824)</f>
        <v>212416.5</v>
      </c>
      <c r="V2824" s="28">
        <f>(J2824+U2824)</f>
        <v>219963.375</v>
      </c>
      <c r="W2824" s="28">
        <f>(V2824*100/100)</f>
        <v>219963.375</v>
      </c>
      <c r="X2824" s="28">
        <v>0</v>
      </c>
      <c r="Y2824" s="28">
        <f>(W2824-X2824)</f>
        <v>219963.375</v>
      </c>
      <c r="Z2824" s="49">
        <v>2.0000000000000001E-4</v>
      </c>
    </row>
    <row r="2825" spans="1:26" s="29" customFormat="1" ht="90.75" customHeight="1" x14ac:dyDescent="0.25">
      <c r="A2825" s="20">
        <v>1467</v>
      </c>
      <c r="B2825" s="20" t="s">
        <v>0</v>
      </c>
      <c r="C2825" s="20">
        <v>11785</v>
      </c>
      <c r="D2825" s="21">
        <v>1</v>
      </c>
      <c r="E2825" s="21">
        <v>0</v>
      </c>
      <c r="F2825" s="22">
        <v>4</v>
      </c>
      <c r="G2825" s="23" t="s">
        <v>211</v>
      </c>
      <c r="H2825" s="36">
        <f t="shared" ref="H2825" si="618">(D2825*400)+(E2825*100)+F2825</f>
        <v>404</v>
      </c>
      <c r="I2825" s="40" t="s">
        <v>23</v>
      </c>
      <c r="J2825" s="65">
        <f t="shared" si="617"/>
        <v>404000</v>
      </c>
      <c r="K2825" s="30"/>
      <c r="L2825" s="20"/>
      <c r="M2825" s="35"/>
      <c r="N2825" s="30"/>
      <c r="O2825" s="36"/>
      <c r="P2825" s="86"/>
      <c r="Q2825" s="40"/>
      <c r="R2825" s="84"/>
      <c r="S2825" s="84"/>
      <c r="T2825" s="28"/>
      <c r="U2825" s="84"/>
      <c r="V2825" s="36"/>
      <c r="W2825" s="36"/>
      <c r="X2825" s="28"/>
      <c r="Y2825" s="26"/>
      <c r="Z2825" s="53"/>
    </row>
    <row r="2826" spans="1:26" s="29" customFormat="1" ht="90.75" customHeight="1" x14ac:dyDescent="0.25">
      <c r="A2826" s="20"/>
      <c r="B2826" s="20"/>
      <c r="C2826" s="20"/>
      <c r="D2826" s="21"/>
      <c r="E2826" s="21"/>
      <c r="F2826" s="22"/>
      <c r="G2826" s="23"/>
      <c r="H2826" s="36">
        <f>(O2826*0.25)</f>
        <v>47</v>
      </c>
      <c r="I2826" s="40">
        <v>1000</v>
      </c>
      <c r="J2826" s="28">
        <f>(H2826*I2826)</f>
        <v>47000</v>
      </c>
      <c r="K2826" s="37">
        <v>1</v>
      </c>
      <c r="L2826" s="31" t="s">
        <v>215</v>
      </c>
      <c r="M2826" s="31" t="s">
        <v>13</v>
      </c>
      <c r="N2826" s="41">
        <v>2</v>
      </c>
      <c r="O2826" s="46">
        <v>188</v>
      </c>
      <c r="P2826" s="86">
        <v>100</v>
      </c>
      <c r="Q2826" s="36">
        <v>6450</v>
      </c>
      <c r="R2826" s="36">
        <f>(O2826*Q2826)</f>
        <v>1212600</v>
      </c>
      <c r="S2826" s="30">
        <v>3</v>
      </c>
      <c r="T2826" s="28">
        <f>(R2826*3/100)</f>
        <v>36378</v>
      </c>
      <c r="U2826" s="36">
        <f>(R2826-T2826)</f>
        <v>1176222</v>
      </c>
      <c r="V2826" s="36">
        <f>(J2826+U2826)</f>
        <v>1223222</v>
      </c>
      <c r="W2826" s="36">
        <f>(V2826*100/100)</f>
        <v>1223222</v>
      </c>
      <c r="X2826" s="28">
        <v>10000000</v>
      </c>
      <c r="Y2826" s="28"/>
      <c r="Z2826" s="20"/>
    </row>
    <row r="2827" spans="1:26" s="29" customFormat="1" ht="90.75" customHeight="1" x14ac:dyDescent="0.25">
      <c r="A2827" s="20"/>
      <c r="B2827" s="20"/>
      <c r="C2827" s="20"/>
      <c r="D2827" s="21"/>
      <c r="E2827" s="21"/>
      <c r="F2827" s="22"/>
      <c r="G2827" s="23"/>
      <c r="H2827" s="36">
        <f t="shared" ref="H2827:H2828" si="619">(O2827*0.25)</f>
        <v>13.5</v>
      </c>
      <c r="I2827" s="40">
        <v>1000</v>
      </c>
      <c r="J2827" s="28">
        <f t="shared" ref="J2827:J2829" si="620">(H2827*I2827)</f>
        <v>13500</v>
      </c>
      <c r="K2827" s="37">
        <v>2</v>
      </c>
      <c r="L2827" s="31" t="s">
        <v>31</v>
      </c>
      <c r="M2827" s="31"/>
      <c r="N2827" s="41">
        <v>2</v>
      </c>
      <c r="O2827" s="46">
        <v>54</v>
      </c>
      <c r="P2827" s="86">
        <v>100</v>
      </c>
      <c r="Q2827" s="36">
        <v>2550</v>
      </c>
      <c r="R2827" s="36">
        <f t="shared" ref="R2827:R2828" si="621">(O2827*Q2827)</f>
        <v>137700</v>
      </c>
      <c r="S2827" s="30">
        <v>3</v>
      </c>
      <c r="T2827" s="28">
        <f t="shared" ref="T2827:T2828" si="622">(R2827*3/100)</f>
        <v>4131</v>
      </c>
      <c r="U2827" s="36">
        <f t="shared" ref="U2827:U2828" si="623">(R2827-T2827)</f>
        <v>133569</v>
      </c>
      <c r="V2827" s="36">
        <f t="shared" ref="V2827:V2828" si="624">(J2827+U2827)</f>
        <v>147069</v>
      </c>
      <c r="W2827" s="36">
        <f t="shared" ref="W2827:W2828" si="625">(V2827*100/100)</f>
        <v>147069</v>
      </c>
      <c r="X2827" s="28"/>
      <c r="Y2827" s="28"/>
      <c r="Z2827" s="20"/>
    </row>
    <row r="2828" spans="1:26" s="29" customFormat="1" ht="90.75" customHeight="1" x14ac:dyDescent="0.25">
      <c r="A2828" s="20"/>
      <c r="B2828" s="20"/>
      <c r="C2828" s="20"/>
      <c r="D2828" s="21"/>
      <c r="E2828" s="21"/>
      <c r="F2828" s="22"/>
      <c r="G2828" s="23"/>
      <c r="H2828" s="36">
        <f t="shared" si="619"/>
        <v>4</v>
      </c>
      <c r="I2828" s="40">
        <v>1000</v>
      </c>
      <c r="J2828" s="28">
        <f t="shared" si="620"/>
        <v>4000</v>
      </c>
      <c r="K2828" s="37">
        <v>3</v>
      </c>
      <c r="L2828" s="31" t="s">
        <v>196</v>
      </c>
      <c r="M2828" s="31"/>
      <c r="N2828" s="41">
        <v>3</v>
      </c>
      <c r="O2828" s="46">
        <v>16</v>
      </c>
      <c r="P2828" s="86">
        <v>100</v>
      </c>
      <c r="Q2828" s="36">
        <v>5550</v>
      </c>
      <c r="R2828" s="36">
        <f t="shared" si="621"/>
        <v>88800</v>
      </c>
      <c r="S2828" s="30">
        <v>3</v>
      </c>
      <c r="T2828" s="28">
        <f t="shared" si="622"/>
        <v>2664</v>
      </c>
      <c r="U2828" s="36">
        <f t="shared" si="623"/>
        <v>86136</v>
      </c>
      <c r="V2828" s="36">
        <f t="shared" si="624"/>
        <v>90136</v>
      </c>
      <c r="W2828" s="36">
        <f t="shared" si="625"/>
        <v>90136</v>
      </c>
      <c r="X2828" s="28">
        <v>0</v>
      </c>
      <c r="Y2828" s="28">
        <f>(W2828-X2828)</f>
        <v>90136</v>
      </c>
      <c r="Z2828" s="49">
        <v>3.0000000000000001E-3</v>
      </c>
    </row>
    <row r="2829" spans="1:26" s="29" customFormat="1" ht="90.75" customHeight="1" x14ac:dyDescent="0.25">
      <c r="A2829" s="20">
        <v>1468</v>
      </c>
      <c r="B2829" s="20" t="s">
        <v>0</v>
      </c>
      <c r="C2829" s="20">
        <v>22522</v>
      </c>
      <c r="D2829" s="21">
        <v>3</v>
      </c>
      <c r="E2829" s="21">
        <v>0</v>
      </c>
      <c r="F2829" s="22">
        <v>13</v>
      </c>
      <c r="G2829" s="23" t="s">
        <v>56</v>
      </c>
      <c r="H2829" s="36">
        <f>(D2829*400)+(E2829*100)+F2829</f>
        <v>1213</v>
      </c>
      <c r="I2829" s="40">
        <v>875</v>
      </c>
      <c r="J2829" s="65">
        <f t="shared" si="620"/>
        <v>1061375</v>
      </c>
      <c r="K2829" s="30"/>
      <c r="L2829" s="20"/>
      <c r="M2829" s="35"/>
      <c r="N2829" s="30"/>
      <c r="O2829" s="36"/>
      <c r="P2829" s="86"/>
      <c r="Q2829" s="40"/>
      <c r="R2829" s="84"/>
      <c r="S2829" s="84"/>
      <c r="T2829" s="28"/>
      <c r="U2829" s="84"/>
      <c r="V2829" s="36"/>
      <c r="W2829" s="36"/>
      <c r="X2829" s="28"/>
      <c r="Y2829" s="26"/>
      <c r="Z2829" s="53"/>
    </row>
    <row r="2830" spans="1:26" s="29" customFormat="1" ht="90.75" customHeight="1" x14ac:dyDescent="0.25">
      <c r="A2830" s="20"/>
      <c r="B2830" s="20"/>
      <c r="C2830" s="20"/>
      <c r="D2830" s="21"/>
      <c r="E2830" s="21"/>
      <c r="F2830" s="22"/>
      <c r="G2830" s="23"/>
      <c r="H2830" s="36">
        <v>400</v>
      </c>
      <c r="I2830" s="40">
        <v>875</v>
      </c>
      <c r="J2830" s="28">
        <f>(H2830*I2830)</f>
        <v>350000</v>
      </c>
      <c r="K2830" s="37"/>
      <c r="L2830" s="31"/>
      <c r="M2830" s="31"/>
      <c r="N2830" s="41"/>
      <c r="O2830" s="46"/>
      <c r="P2830" s="86"/>
      <c r="Q2830" s="36"/>
      <c r="R2830" s="36"/>
      <c r="S2830" s="37"/>
      <c r="T2830" s="28"/>
      <c r="U2830" s="36"/>
      <c r="V2830" s="36"/>
      <c r="W2830" s="36"/>
      <c r="X2830" s="28"/>
      <c r="Y2830" s="28"/>
      <c r="Z2830" s="20"/>
    </row>
    <row r="2831" spans="1:26" s="29" customFormat="1" ht="90.75" customHeight="1" x14ac:dyDescent="0.25">
      <c r="A2831" s="20"/>
      <c r="B2831" s="20"/>
      <c r="C2831" s="20"/>
      <c r="D2831" s="21"/>
      <c r="E2831" s="21"/>
      <c r="F2831" s="22"/>
      <c r="G2831" s="23"/>
      <c r="H2831" s="36"/>
      <c r="I2831" s="40"/>
      <c r="J2831" s="28"/>
      <c r="K2831" s="37">
        <v>1</v>
      </c>
      <c r="L2831" s="31" t="s">
        <v>215</v>
      </c>
      <c r="M2831" s="31" t="s">
        <v>13</v>
      </c>
      <c r="N2831" s="41">
        <v>2</v>
      </c>
      <c r="O2831" s="46">
        <v>87.5</v>
      </c>
      <c r="P2831" s="86">
        <v>100</v>
      </c>
      <c r="Q2831" s="36">
        <v>6450</v>
      </c>
      <c r="R2831" s="36">
        <f t="shared" ref="R2831:R2838" si="626">(O2831*Q2831)</f>
        <v>564375</v>
      </c>
      <c r="S2831" s="37">
        <v>5</v>
      </c>
      <c r="T2831" s="28">
        <f>(R2831*5/100)</f>
        <v>28218.75</v>
      </c>
      <c r="U2831" s="36">
        <f>(R2831-T2831)</f>
        <v>536156.25</v>
      </c>
      <c r="V2831" s="36"/>
      <c r="W2831" s="36"/>
      <c r="X2831" s="28"/>
      <c r="Y2831" s="28"/>
      <c r="Z2831" s="20"/>
    </row>
    <row r="2832" spans="1:26" s="29" customFormat="1" ht="90.75" customHeight="1" x14ac:dyDescent="0.25">
      <c r="A2832" s="20"/>
      <c r="B2832" s="20"/>
      <c r="C2832" s="20"/>
      <c r="D2832" s="21"/>
      <c r="E2832" s="21"/>
      <c r="F2832" s="22"/>
      <c r="G2832" s="23"/>
      <c r="H2832" s="36"/>
      <c r="I2832" s="40"/>
      <c r="J2832" s="28"/>
      <c r="K2832" s="37">
        <v>2</v>
      </c>
      <c r="L2832" s="31" t="s">
        <v>31</v>
      </c>
      <c r="M2832" s="31"/>
      <c r="N2832" s="41">
        <v>2</v>
      </c>
      <c r="O2832" s="46">
        <v>15.75</v>
      </c>
      <c r="P2832" s="86">
        <v>100</v>
      </c>
      <c r="Q2832" s="36">
        <v>2550</v>
      </c>
      <c r="R2832" s="36">
        <f t="shared" si="626"/>
        <v>40162.5</v>
      </c>
      <c r="S2832" s="37">
        <v>5</v>
      </c>
      <c r="T2832" s="28">
        <f t="shared" ref="T2832:T2834" si="627">(R2832*5/100)</f>
        <v>2008.125</v>
      </c>
      <c r="U2832" s="36">
        <f t="shared" ref="U2832:U2838" si="628">(R2832-T2832)</f>
        <v>38154.375</v>
      </c>
      <c r="V2832" s="36"/>
      <c r="W2832" s="36"/>
      <c r="X2832" s="28"/>
      <c r="Y2832" s="28"/>
      <c r="Z2832" s="20"/>
    </row>
    <row r="2833" spans="1:26" s="29" customFormat="1" ht="90.75" customHeight="1" x14ac:dyDescent="0.25">
      <c r="A2833" s="20"/>
      <c r="B2833" s="20"/>
      <c r="C2833" s="20"/>
      <c r="D2833" s="21"/>
      <c r="E2833" s="21"/>
      <c r="F2833" s="22"/>
      <c r="G2833" s="23"/>
      <c r="H2833" s="36"/>
      <c r="I2833" s="40"/>
      <c r="J2833" s="28"/>
      <c r="K2833" s="37">
        <v>3</v>
      </c>
      <c r="L2833" s="31" t="s">
        <v>31</v>
      </c>
      <c r="M2833" s="31"/>
      <c r="N2833" s="41">
        <v>2</v>
      </c>
      <c r="O2833" s="46">
        <v>130.5</v>
      </c>
      <c r="P2833" s="86">
        <v>100</v>
      </c>
      <c r="Q2833" s="36">
        <v>2550</v>
      </c>
      <c r="R2833" s="36">
        <f t="shared" si="626"/>
        <v>332775</v>
      </c>
      <c r="S2833" s="37">
        <v>5</v>
      </c>
      <c r="T2833" s="28">
        <f t="shared" si="627"/>
        <v>16638.75</v>
      </c>
      <c r="U2833" s="36">
        <f t="shared" si="628"/>
        <v>316136.25</v>
      </c>
      <c r="V2833" s="36"/>
      <c r="W2833" s="36"/>
      <c r="X2833" s="28"/>
      <c r="Y2833" s="28"/>
      <c r="Z2833" s="20"/>
    </row>
    <row r="2834" spans="1:26" s="29" customFormat="1" ht="90.75" customHeight="1" x14ac:dyDescent="0.25">
      <c r="A2834" s="20"/>
      <c r="B2834" s="20"/>
      <c r="C2834" s="20"/>
      <c r="D2834" s="21"/>
      <c r="E2834" s="21"/>
      <c r="F2834" s="22"/>
      <c r="G2834" s="23"/>
      <c r="H2834" s="36"/>
      <c r="I2834" s="40"/>
      <c r="J2834" s="28"/>
      <c r="K2834" s="37">
        <v>4</v>
      </c>
      <c r="L2834" s="31" t="s">
        <v>31</v>
      </c>
      <c r="M2834" s="31"/>
      <c r="N2834" s="41">
        <v>2</v>
      </c>
      <c r="O2834" s="46">
        <v>24</v>
      </c>
      <c r="P2834" s="86">
        <v>100</v>
      </c>
      <c r="Q2834" s="36">
        <v>2550</v>
      </c>
      <c r="R2834" s="36">
        <f t="shared" si="626"/>
        <v>61200</v>
      </c>
      <c r="S2834" s="37">
        <v>5</v>
      </c>
      <c r="T2834" s="28">
        <f t="shared" si="627"/>
        <v>3060</v>
      </c>
      <c r="U2834" s="36">
        <f t="shared" si="628"/>
        <v>58140</v>
      </c>
      <c r="V2834" s="36"/>
      <c r="W2834" s="36"/>
      <c r="X2834" s="28"/>
      <c r="Y2834" s="28"/>
      <c r="Z2834" s="20"/>
    </row>
    <row r="2835" spans="1:26" s="29" customFormat="1" ht="90.75" customHeight="1" x14ac:dyDescent="0.25">
      <c r="A2835" s="20"/>
      <c r="B2835" s="20"/>
      <c r="C2835" s="20"/>
      <c r="D2835" s="21"/>
      <c r="E2835" s="21"/>
      <c r="F2835" s="22"/>
      <c r="G2835" s="23"/>
      <c r="H2835" s="36"/>
      <c r="I2835" s="40"/>
      <c r="J2835" s="28"/>
      <c r="K2835" s="37"/>
      <c r="L2835" s="31"/>
      <c r="M2835" s="31"/>
      <c r="N2835" s="41"/>
      <c r="O2835" s="46"/>
      <c r="P2835" s="86"/>
      <c r="Q2835" s="36"/>
      <c r="R2835" s="36"/>
      <c r="S2835" s="37"/>
      <c r="T2835" s="28"/>
      <c r="U2835" s="36">
        <f>(U2831+U2832+U2833+U2834)</f>
        <v>948586.875</v>
      </c>
      <c r="V2835" s="36">
        <f>(J2830+U2835)</f>
        <v>1298586.875</v>
      </c>
      <c r="W2835" s="36">
        <f>(V2835*100/100)</f>
        <v>1298586.875</v>
      </c>
      <c r="X2835" s="28">
        <v>50000000</v>
      </c>
      <c r="Y2835" s="28"/>
      <c r="Z2835" s="49"/>
    </row>
    <row r="2836" spans="1:26" s="29" customFormat="1" ht="90.75" customHeight="1" x14ac:dyDescent="0.25">
      <c r="A2836" s="20"/>
      <c r="B2836" s="20"/>
      <c r="C2836" s="20"/>
      <c r="D2836" s="21"/>
      <c r="E2836" s="21"/>
      <c r="F2836" s="22"/>
      <c r="G2836" s="23"/>
      <c r="H2836" s="36">
        <v>400</v>
      </c>
      <c r="I2836" s="40">
        <v>875</v>
      </c>
      <c r="J2836" s="28">
        <f>(H2836*I2836)</f>
        <v>350000</v>
      </c>
      <c r="K2836" s="37"/>
      <c r="L2836" s="31"/>
      <c r="M2836" s="31"/>
      <c r="N2836" s="41"/>
      <c r="O2836" s="46"/>
      <c r="P2836" s="86"/>
      <c r="Q2836" s="36"/>
      <c r="R2836" s="36"/>
      <c r="S2836" s="37"/>
      <c r="T2836" s="28"/>
      <c r="U2836" s="36"/>
      <c r="V2836" s="36"/>
      <c r="W2836" s="36"/>
      <c r="X2836" s="28"/>
      <c r="Y2836" s="28"/>
      <c r="Z2836" s="20"/>
    </row>
    <row r="2837" spans="1:26" s="29" customFormat="1" ht="90.75" customHeight="1" x14ac:dyDescent="0.25">
      <c r="A2837" s="20"/>
      <c r="B2837" s="20"/>
      <c r="C2837" s="20"/>
      <c r="D2837" s="21"/>
      <c r="E2837" s="21"/>
      <c r="F2837" s="22"/>
      <c r="G2837" s="23"/>
      <c r="H2837" s="36"/>
      <c r="I2837" s="40"/>
      <c r="J2837" s="28"/>
      <c r="K2837" s="37">
        <v>5</v>
      </c>
      <c r="L2837" s="31" t="s">
        <v>215</v>
      </c>
      <c r="M2837" s="31" t="s">
        <v>13</v>
      </c>
      <c r="N2837" s="41">
        <v>2</v>
      </c>
      <c r="O2837" s="46">
        <v>66</v>
      </c>
      <c r="P2837" s="86">
        <v>100</v>
      </c>
      <c r="Q2837" s="36">
        <v>6450</v>
      </c>
      <c r="R2837" s="36">
        <f t="shared" si="626"/>
        <v>425700</v>
      </c>
      <c r="S2837" s="37">
        <v>7</v>
      </c>
      <c r="T2837" s="28">
        <f>(R2837*7/100)</f>
        <v>29799</v>
      </c>
      <c r="U2837" s="36">
        <f t="shared" si="628"/>
        <v>395901</v>
      </c>
      <c r="V2837" s="36"/>
      <c r="W2837" s="36"/>
      <c r="X2837" s="28"/>
      <c r="Y2837" s="28"/>
      <c r="Z2837" s="20"/>
    </row>
    <row r="2838" spans="1:26" s="29" customFormat="1" ht="90.75" customHeight="1" x14ac:dyDescent="0.25">
      <c r="A2838" s="20"/>
      <c r="B2838" s="20"/>
      <c r="C2838" s="20"/>
      <c r="D2838" s="21"/>
      <c r="E2838" s="21"/>
      <c r="F2838" s="22"/>
      <c r="G2838" s="23"/>
      <c r="H2838" s="36"/>
      <c r="I2838" s="40"/>
      <c r="J2838" s="28"/>
      <c r="K2838" s="37">
        <v>6</v>
      </c>
      <c r="L2838" s="31" t="s">
        <v>31</v>
      </c>
      <c r="M2838" s="31"/>
      <c r="N2838" s="41">
        <v>2</v>
      </c>
      <c r="O2838" s="46">
        <v>27</v>
      </c>
      <c r="P2838" s="86">
        <v>100</v>
      </c>
      <c r="Q2838" s="36">
        <v>2550</v>
      </c>
      <c r="R2838" s="36">
        <f t="shared" si="626"/>
        <v>68850</v>
      </c>
      <c r="S2838" s="37">
        <v>7</v>
      </c>
      <c r="T2838" s="28">
        <f>(R2838*7/100)</f>
        <v>4819.5</v>
      </c>
      <c r="U2838" s="36">
        <f t="shared" si="628"/>
        <v>64030.5</v>
      </c>
      <c r="V2838" s="36"/>
      <c r="W2838" s="36"/>
      <c r="X2838" s="28"/>
      <c r="Y2838" s="28"/>
      <c r="Z2838" s="20"/>
    </row>
    <row r="2839" spans="1:26" s="29" customFormat="1" ht="90.75" customHeight="1" x14ac:dyDescent="0.25">
      <c r="A2839" s="20"/>
      <c r="B2839" s="20"/>
      <c r="C2839" s="20"/>
      <c r="D2839" s="21"/>
      <c r="E2839" s="21"/>
      <c r="F2839" s="22"/>
      <c r="G2839" s="23"/>
      <c r="H2839" s="36"/>
      <c r="I2839" s="40"/>
      <c r="J2839" s="28"/>
      <c r="K2839" s="37"/>
      <c r="L2839" s="31"/>
      <c r="M2839" s="31"/>
      <c r="N2839" s="41"/>
      <c r="O2839" s="46"/>
      <c r="P2839" s="86"/>
      <c r="Q2839" s="36"/>
      <c r="R2839" s="36"/>
      <c r="S2839" s="37"/>
      <c r="T2839" s="28"/>
      <c r="U2839" s="36">
        <f>(U2837+U2838)</f>
        <v>459931.5</v>
      </c>
      <c r="V2839" s="36">
        <f>(J2836+U2839)</f>
        <v>809931.5</v>
      </c>
      <c r="W2839" s="36">
        <f>(V2839*100/100)</f>
        <v>809931.5</v>
      </c>
      <c r="X2839" s="28">
        <v>50000000</v>
      </c>
      <c r="Y2839" s="28"/>
      <c r="Z2839" s="49"/>
    </row>
    <row r="2840" spans="1:26" s="29" customFormat="1" ht="90.75" customHeight="1" x14ac:dyDescent="0.25">
      <c r="A2840" s="20"/>
      <c r="B2840" s="20"/>
      <c r="C2840" s="20"/>
      <c r="D2840" s="21"/>
      <c r="E2840" s="21"/>
      <c r="F2840" s="22"/>
      <c r="G2840" s="23"/>
      <c r="H2840" s="36">
        <v>413</v>
      </c>
      <c r="I2840" s="40">
        <v>875</v>
      </c>
      <c r="J2840" s="28">
        <f>(H2840*I2840)</f>
        <v>361375</v>
      </c>
      <c r="K2840" s="37"/>
      <c r="L2840" s="31"/>
      <c r="M2840" s="31"/>
      <c r="N2840" s="41"/>
      <c r="O2840" s="46"/>
      <c r="P2840" s="86"/>
      <c r="Q2840" s="36"/>
      <c r="R2840" s="36"/>
      <c r="S2840" s="37"/>
      <c r="T2840" s="28"/>
      <c r="U2840" s="36"/>
      <c r="V2840" s="36"/>
      <c r="W2840" s="36"/>
      <c r="X2840" s="28"/>
      <c r="Y2840" s="28"/>
      <c r="Z2840" s="20"/>
    </row>
    <row r="2841" spans="1:26" s="29" customFormat="1" ht="90.75" customHeight="1" x14ac:dyDescent="0.25">
      <c r="A2841" s="20"/>
      <c r="B2841" s="20"/>
      <c r="C2841" s="20"/>
      <c r="D2841" s="21"/>
      <c r="E2841" s="21"/>
      <c r="F2841" s="22"/>
      <c r="G2841" s="23"/>
      <c r="H2841" s="36"/>
      <c r="I2841" s="40"/>
      <c r="J2841" s="28"/>
      <c r="K2841" s="37">
        <v>7</v>
      </c>
      <c r="L2841" s="31" t="s">
        <v>43</v>
      </c>
      <c r="M2841" s="31" t="s">
        <v>13</v>
      </c>
      <c r="N2841" s="41">
        <v>2</v>
      </c>
      <c r="O2841" s="46">
        <v>480</v>
      </c>
      <c r="P2841" s="86">
        <v>100</v>
      </c>
      <c r="Q2841" s="36">
        <v>7700</v>
      </c>
      <c r="R2841" s="36">
        <f>(O2841*Q2841)</f>
        <v>3696000</v>
      </c>
      <c r="S2841" s="37">
        <v>5</v>
      </c>
      <c r="T2841" s="28">
        <f t="shared" ref="T2841" si="629">(R2841*5/100)</f>
        <v>184800</v>
      </c>
      <c r="U2841" s="36">
        <f>(R2841-T2841)</f>
        <v>3511200</v>
      </c>
      <c r="V2841" s="36"/>
      <c r="W2841" s="36"/>
      <c r="X2841" s="28"/>
      <c r="Y2841" s="28"/>
      <c r="Z2841" s="20"/>
    </row>
    <row r="2842" spans="1:26" s="29" customFormat="1" ht="90.75" customHeight="1" x14ac:dyDescent="0.25">
      <c r="A2842" s="20"/>
      <c r="B2842" s="20"/>
      <c r="C2842" s="20"/>
      <c r="D2842" s="21"/>
      <c r="E2842" s="21"/>
      <c r="F2842" s="22"/>
      <c r="G2842" s="23"/>
      <c r="H2842" s="36"/>
      <c r="I2842" s="40"/>
      <c r="J2842" s="28"/>
      <c r="K2842" s="37">
        <v>8</v>
      </c>
      <c r="L2842" s="31" t="s">
        <v>43</v>
      </c>
      <c r="M2842" s="31" t="s">
        <v>13</v>
      </c>
      <c r="N2842" s="41">
        <v>2</v>
      </c>
      <c r="O2842" s="46">
        <v>480</v>
      </c>
      <c r="P2842" s="86">
        <v>100</v>
      </c>
      <c r="Q2842" s="36">
        <v>7700</v>
      </c>
      <c r="R2842" s="36">
        <f>(O2842*Q2842)</f>
        <v>3696000</v>
      </c>
      <c r="S2842" s="37">
        <v>4</v>
      </c>
      <c r="T2842" s="28">
        <f>(R2842*4/100)</f>
        <v>147840</v>
      </c>
      <c r="U2842" s="36">
        <f t="shared" ref="U2842:U2843" si="630">(R2842-T2842)</f>
        <v>3548160</v>
      </c>
      <c r="V2842" s="36"/>
      <c r="W2842" s="36"/>
      <c r="X2842" s="28"/>
      <c r="Y2842" s="28"/>
      <c r="Z2842" s="20"/>
    </row>
    <row r="2843" spans="1:26" s="29" customFormat="1" ht="90.75" customHeight="1" x14ac:dyDescent="0.25">
      <c r="A2843" s="20"/>
      <c r="B2843" s="20"/>
      <c r="C2843" s="20"/>
      <c r="D2843" s="21"/>
      <c r="E2843" s="21"/>
      <c r="F2843" s="22"/>
      <c r="G2843" s="23"/>
      <c r="H2843" s="36"/>
      <c r="I2843" s="40"/>
      <c r="J2843" s="28"/>
      <c r="K2843" s="37">
        <v>9</v>
      </c>
      <c r="L2843" s="31" t="s">
        <v>43</v>
      </c>
      <c r="M2843" s="31" t="s">
        <v>13</v>
      </c>
      <c r="N2843" s="41">
        <v>2</v>
      </c>
      <c r="O2843" s="46">
        <v>288</v>
      </c>
      <c r="P2843" s="86">
        <v>100</v>
      </c>
      <c r="Q2843" s="36">
        <v>7700</v>
      </c>
      <c r="R2843" s="36">
        <f>(O2843*Q2843)</f>
        <v>2217600</v>
      </c>
      <c r="S2843" s="37">
        <v>1</v>
      </c>
      <c r="T2843" s="28">
        <f>(R2843*3/100)</f>
        <v>66528</v>
      </c>
      <c r="U2843" s="36">
        <f t="shared" si="630"/>
        <v>2151072</v>
      </c>
      <c r="V2843" s="36"/>
      <c r="W2843" s="36"/>
      <c r="X2843" s="28"/>
      <c r="Y2843" s="28"/>
      <c r="Z2843" s="20"/>
    </row>
    <row r="2844" spans="1:26" s="29" customFormat="1" ht="90.75" customHeight="1" x14ac:dyDescent="0.25">
      <c r="A2844" s="20"/>
      <c r="B2844" s="20"/>
      <c r="C2844" s="20"/>
      <c r="D2844" s="21"/>
      <c r="E2844" s="21"/>
      <c r="F2844" s="22"/>
      <c r="G2844" s="23"/>
      <c r="H2844" s="36"/>
      <c r="I2844" s="40"/>
      <c r="J2844" s="28"/>
      <c r="K2844" s="37"/>
      <c r="L2844" s="31"/>
      <c r="M2844" s="31"/>
      <c r="N2844" s="41"/>
      <c r="O2844" s="46"/>
      <c r="P2844" s="86"/>
      <c r="Q2844" s="36"/>
      <c r="R2844" s="36"/>
      <c r="S2844" s="37"/>
      <c r="T2844" s="28"/>
      <c r="U2844" s="36">
        <f>SUM(U2841:U2843)</f>
        <v>9210432</v>
      </c>
      <c r="V2844" s="36">
        <f>(J2840+U2844)</f>
        <v>9571807</v>
      </c>
      <c r="W2844" s="36">
        <f>(V2844*100/100)</f>
        <v>9571807</v>
      </c>
      <c r="X2844" s="28">
        <v>0</v>
      </c>
      <c r="Y2844" s="28">
        <f>(W2844-X2844)</f>
        <v>9571807</v>
      </c>
      <c r="Z2844" s="49">
        <v>2.0000000000000001E-4</v>
      </c>
    </row>
    <row r="2845" spans="1:26" s="29" customFormat="1" ht="90.75" customHeight="1" x14ac:dyDescent="0.25">
      <c r="A2845" s="20">
        <v>1469</v>
      </c>
      <c r="B2845" s="20" t="s">
        <v>0</v>
      </c>
      <c r="C2845" s="20">
        <v>48851</v>
      </c>
      <c r="D2845" s="21">
        <v>0</v>
      </c>
      <c r="E2845" s="21">
        <v>0</v>
      </c>
      <c r="F2845" s="22">
        <v>33</v>
      </c>
      <c r="G2845" s="23" t="s">
        <v>56</v>
      </c>
      <c r="H2845" s="36">
        <f t="shared" ref="H2845:H2848" si="631">(D2845*400)+(E2845*100)+F2845</f>
        <v>33</v>
      </c>
      <c r="I2845" s="25">
        <v>875</v>
      </c>
      <c r="J2845" s="65">
        <f t="shared" ref="J2845:J2859" si="632">(H2845*I2845)</f>
        <v>28875</v>
      </c>
      <c r="K2845" s="20">
        <v>1</v>
      </c>
      <c r="L2845" s="20" t="s">
        <v>16</v>
      </c>
      <c r="M2845" s="20" t="s">
        <v>51</v>
      </c>
      <c r="N2845" s="20">
        <v>2</v>
      </c>
      <c r="O2845" s="24">
        <v>72</v>
      </c>
      <c r="P2845" s="86">
        <v>100</v>
      </c>
      <c r="Q2845" s="25">
        <v>6450</v>
      </c>
      <c r="R2845" s="36">
        <f t="shared" ref="R2845:R2847" si="633">(O2845*Q2845)</f>
        <v>464400</v>
      </c>
      <c r="S2845" s="20">
        <v>5</v>
      </c>
      <c r="T2845" s="24">
        <f>(R2845*5/100)</f>
        <v>23220</v>
      </c>
      <c r="U2845" s="78">
        <f>(R2845-T2845)</f>
        <v>441180</v>
      </c>
      <c r="V2845" s="27">
        <f>(J2845+U2845)</f>
        <v>470055</v>
      </c>
      <c r="W2845" s="26">
        <f>(V2845*100/100)</f>
        <v>470055</v>
      </c>
      <c r="X2845" s="28">
        <v>0</v>
      </c>
      <c r="Y2845" s="28">
        <f t="shared" ref="Y2845:Y2847" si="634">(W2845-X2845)</f>
        <v>470055</v>
      </c>
      <c r="Z2845" s="49">
        <v>3.0000000000000001E-3</v>
      </c>
    </row>
    <row r="2846" spans="1:26" s="29" customFormat="1" ht="90.75" customHeight="1" x14ac:dyDescent="0.25">
      <c r="A2846" s="20">
        <v>1470</v>
      </c>
      <c r="B2846" s="20" t="s">
        <v>0</v>
      </c>
      <c r="C2846" s="20">
        <v>53990</v>
      </c>
      <c r="D2846" s="21">
        <v>0</v>
      </c>
      <c r="E2846" s="21">
        <v>0</v>
      </c>
      <c r="F2846" s="22">
        <v>30</v>
      </c>
      <c r="G2846" s="23" t="s">
        <v>56</v>
      </c>
      <c r="H2846" s="36">
        <f t="shared" si="631"/>
        <v>30</v>
      </c>
      <c r="I2846" s="25">
        <v>875</v>
      </c>
      <c r="J2846" s="65">
        <f t="shared" si="632"/>
        <v>26250</v>
      </c>
      <c r="K2846" s="20">
        <v>2</v>
      </c>
      <c r="L2846" s="20" t="s">
        <v>16</v>
      </c>
      <c r="M2846" s="20" t="s">
        <v>51</v>
      </c>
      <c r="N2846" s="20">
        <v>2</v>
      </c>
      <c r="O2846" s="24">
        <v>72</v>
      </c>
      <c r="P2846" s="86">
        <v>100</v>
      </c>
      <c r="Q2846" s="25">
        <v>6450</v>
      </c>
      <c r="R2846" s="36">
        <f t="shared" si="633"/>
        <v>464400</v>
      </c>
      <c r="S2846" s="20">
        <v>5</v>
      </c>
      <c r="T2846" s="24">
        <f>(R2846*5/100)</f>
        <v>23220</v>
      </c>
      <c r="U2846" s="78">
        <f t="shared" ref="U2846:U2847" si="635">(R2846-T2846)</f>
        <v>441180</v>
      </c>
      <c r="V2846" s="27">
        <f t="shared" ref="V2846:V2847" si="636">(J2846+U2846)</f>
        <v>467430</v>
      </c>
      <c r="W2846" s="26">
        <f t="shared" ref="W2846:W2847" si="637">(V2846*100/100)</f>
        <v>467430</v>
      </c>
      <c r="X2846" s="28">
        <v>0</v>
      </c>
      <c r="Y2846" s="28">
        <f t="shared" si="634"/>
        <v>467430</v>
      </c>
      <c r="Z2846" s="49">
        <v>3.0000000000000001E-3</v>
      </c>
    </row>
    <row r="2847" spans="1:26" s="29" customFormat="1" ht="90.75" customHeight="1" x14ac:dyDescent="0.25">
      <c r="A2847" s="20">
        <v>1471</v>
      </c>
      <c r="B2847" s="20" t="s">
        <v>0</v>
      </c>
      <c r="C2847" s="20">
        <v>53991</v>
      </c>
      <c r="D2847" s="21">
        <v>0</v>
      </c>
      <c r="E2847" s="21">
        <v>0</v>
      </c>
      <c r="F2847" s="22">
        <v>25</v>
      </c>
      <c r="G2847" s="23" t="s">
        <v>56</v>
      </c>
      <c r="H2847" s="36">
        <f t="shared" si="631"/>
        <v>25</v>
      </c>
      <c r="I2847" s="25">
        <v>875</v>
      </c>
      <c r="J2847" s="65">
        <f t="shared" si="632"/>
        <v>21875</v>
      </c>
      <c r="K2847" s="20">
        <v>3</v>
      </c>
      <c r="L2847" s="20" t="s">
        <v>16</v>
      </c>
      <c r="M2847" s="20" t="s">
        <v>51</v>
      </c>
      <c r="N2847" s="20">
        <v>2</v>
      </c>
      <c r="O2847" s="24">
        <v>72</v>
      </c>
      <c r="P2847" s="86">
        <v>100</v>
      </c>
      <c r="Q2847" s="25">
        <v>6450</v>
      </c>
      <c r="R2847" s="36">
        <f t="shared" si="633"/>
        <v>464400</v>
      </c>
      <c r="S2847" s="20">
        <v>5</v>
      </c>
      <c r="T2847" s="24">
        <f>(R2847*5/100)</f>
        <v>23220</v>
      </c>
      <c r="U2847" s="78">
        <f t="shared" si="635"/>
        <v>441180</v>
      </c>
      <c r="V2847" s="27">
        <f t="shared" si="636"/>
        <v>463055</v>
      </c>
      <c r="W2847" s="26">
        <f t="shared" si="637"/>
        <v>463055</v>
      </c>
      <c r="X2847" s="28">
        <v>0</v>
      </c>
      <c r="Y2847" s="28">
        <f t="shared" si="634"/>
        <v>463055</v>
      </c>
      <c r="Z2847" s="49">
        <v>3.0000000000000001E-3</v>
      </c>
    </row>
    <row r="2848" spans="1:26" s="29" customFormat="1" ht="90.75" customHeight="1" x14ac:dyDescent="0.25">
      <c r="A2848" s="20">
        <v>1472</v>
      </c>
      <c r="B2848" s="20" t="s">
        <v>0</v>
      </c>
      <c r="C2848" s="20">
        <v>18440</v>
      </c>
      <c r="D2848" s="21">
        <v>3</v>
      </c>
      <c r="E2848" s="21">
        <v>2</v>
      </c>
      <c r="F2848" s="22">
        <v>64</v>
      </c>
      <c r="G2848" s="23" t="s">
        <v>211</v>
      </c>
      <c r="H2848" s="36">
        <f t="shared" si="631"/>
        <v>1464</v>
      </c>
      <c r="I2848" s="25" t="s">
        <v>75</v>
      </c>
      <c r="J2848" s="65">
        <f t="shared" si="632"/>
        <v>915000</v>
      </c>
      <c r="K2848" s="20"/>
      <c r="L2848" s="20"/>
      <c r="M2848" s="20"/>
      <c r="N2848" s="20"/>
      <c r="O2848" s="24"/>
      <c r="P2848" s="24"/>
      <c r="Q2848" s="25"/>
      <c r="R2848" s="24"/>
      <c r="S2848" s="20"/>
      <c r="T2848" s="27"/>
      <c r="U2848" s="20"/>
      <c r="V2848" s="20"/>
      <c r="W2848" s="26"/>
      <c r="X2848" s="27"/>
      <c r="Y2848" s="20"/>
      <c r="Z2848" s="20"/>
    </row>
    <row r="2849" spans="1:26" s="29" customFormat="1" ht="90.75" customHeight="1" x14ac:dyDescent="0.25">
      <c r="A2849" s="20"/>
      <c r="B2849" s="20"/>
      <c r="C2849" s="20"/>
      <c r="D2849" s="21"/>
      <c r="E2849" s="21"/>
      <c r="F2849" s="22"/>
      <c r="G2849" s="23" t="s">
        <v>56</v>
      </c>
      <c r="H2849" s="36">
        <v>1450</v>
      </c>
      <c r="I2849" s="25" t="s">
        <v>75</v>
      </c>
      <c r="J2849" s="65">
        <f t="shared" si="632"/>
        <v>906250</v>
      </c>
      <c r="K2849" s="20">
        <v>1</v>
      </c>
      <c r="L2849" s="20" t="s">
        <v>16</v>
      </c>
      <c r="M2849" s="20" t="s">
        <v>51</v>
      </c>
      <c r="N2849" s="20">
        <v>2</v>
      </c>
      <c r="O2849" s="24">
        <v>64</v>
      </c>
      <c r="P2849" s="24">
        <v>100</v>
      </c>
      <c r="Q2849" s="25">
        <v>6450</v>
      </c>
      <c r="R2849" s="24">
        <f>(O2849*Q2849)</f>
        <v>412800</v>
      </c>
      <c r="S2849" s="20">
        <v>4</v>
      </c>
      <c r="T2849" s="24">
        <f>(R2849*4/100)</f>
        <v>16512</v>
      </c>
      <c r="U2849" s="80">
        <f>(R2849-T2849)</f>
        <v>396288</v>
      </c>
      <c r="V2849" s="20"/>
      <c r="W2849" s="26"/>
      <c r="X2849" s="27"/>
      <c r="Y2849" s="20"/>
      <c r="Z2849" s="20"/>
    </row>
    <row r="2850" spans="1:26" s="29" customFormat="1" ht="90.75" customHeight="1" x14ac:dyDescent="0.25">
      <c r="A2850" s="20"/>
      <c r="B2850" s="20"/>
      <c r="C2850" s="20"/>
      <c r="D2850" s="21"/>
      <c r="E2850" s="21"/>
      <c r="F2850" s="22"/>
      <c r="G2850" s="23"/>
      <c r="H2850" s="36"/>
      <c r="I2850" s="25"/>
      <c r="J2850" s="65"/>
      <c r="K2850" s="20">
        <v>2</v>
      </c>
      <c r="L2850" s="20" t="s">
        <v>16</v>
      </c>
      <c r="M2850" s="20" t="s">
        <v>51</v>
      </c>
      <c r="N2850" s="20">
        <v>2</v>
      </c>
      <c r="O2850" s="24">
        <v>100</v>
      </c>
      <c r="P2850" s="24">
        <v>100</v>
      </c>
      <c r="Q2850" s="25">
        <v>6450</v>
      </c>
      <c r="R2850" s="24">
        <f t="shared" ref="R2850:R2860" si="638">(O2850*Q2850)</f>
        <v>645000</v>
      </c>
      <c r="S2850" s="20">
        <v>4</v>
      </c>
      <c r="T2850" s="24">
        <f t="shared" ref="T2850" si="639">(R2850*4/100)</f>
        <v>25800</v>
      </c>
      <c r="U2850" s="80">
        <f t="shared" ref="U2850:U2859" si="640">(R2850-T2850)</f>
        <v>619200</v>
      </c>
      <c r="V2850" s="20"/>
      <c r="W2850" s="26"/>
      <c r="X2850" s="27"/>
      <c r="Y2850" s="20"/>
      <c r="Z2850" s="20"/>
    </row>
    <row r="2851" spans="1:26" s="29" customFormat="1" ht="90.75" customHeight="1" x14ac:dyDescent="0.25">
      <c r="A2851" s="20"/>
      <c r="B2851" s="20"/>
      <c r="C2851" s="20"/>
      <c r="D2851" s="21"/>
      <c r="E2851" s="21"/>
      <c r="F2851" s="22"/>
      <c r="G2851" s="23"/>
      <c r="H2851" s="36"/>
      <c r="I2851" s="25"/>
      <c r="J2851" s="65"/>
      <c r="K2851" s="20">
        <v>3</v>
      </c>
      <c r="L2851" s="20" t="s">
        <v>16</v>
      </c>
      <c r="M2851" s="20" t="s">
        <v>51</v>
      </c>
      <c r="N2851" s="20">
        <v>2</v>
      </c>
      <c r="O2851" s="24">
        <v>64</v>
      </c>
      <c r="P2851" s="24">
        <v>100</v>
      </c>
      <c r="Q2851" s="25">
        <v>6450</v>
      </c>
      <c r="R2851" s="24">
        <f t="shared" si="638"/>
        <v>412800</v>
      </c>
      <c r="S2851" s="20">
        <v>5</v>
      </c>
      <c r="T2851" s="24">
        <f>(R2851*5/100)</f>
        <v>20640</v>
      </c>
      <c r="U2851" s="80">
        <f t="shared" si="640"/>
        <v>392160</v>
      </c>
      <c r="V2851" s="20"/>
      <c r="W2851" s="26"/>
      <c r="X2851" s="27"/>
      <c r="Y2851" s="20"/>
      <c r="Z2851" s="20"/>
    </row>
    <row r="2852" spans="1:26" s="29" customFormat="1" ht="90.75" customHeight="1" x14ac:dyDescent="0.25">
      <c r="A2852" s="20"/>
      <c r="B2852" s="20"/>
      <c r="C2852" s="20"/>
      <c r="D2852" s="21"/>
      <c r="E2852" s="21"/>
      <c r="F2852" s="22"/>
      <c r="G2852" s="23"/>
      <c r="H2852" s="36"/>
      <c r="I2852" s="25"/>
      <c r="J2852" s="65"/>
      <c r="K2852" s="20">
        <v>4</v>
      </c>
      <c r="L2852" s="20" t="s">
        <v>16</v>
      </c>
      <c r="M2852" s="20" t="s">
        <v>51</v>
      </c>
      <c r="N2852" s="20">
        <v>2</v>
      </c>
      <c r="O2852" s="24">
        <v>80</v>
      </c>
      <c r="P2852" s="24">
        <v>100</v>
      </c>
      <c r="Q2852" s="25">
        <v>6450</v>
      </c>
      <c r="R2852" s="24">
        <f t="shared" si="638"/>
        <v>516000</v>
      </c>
      <c r="S2852" s="20">
        <v>5</v>
      </c>
      <c r="T2852" s="24">
        <f>(R2852*5/100)</f>
        <v>25800</v>
      </c>
      <c r="U2852" s="80">
        <f t="shared" si="640"/>
        <v>490200</v>
      </c>
      <c r="V2852" s="20"/>
      <c r="W2852" s="26"/>
      <c r="X2852" s="27"/>
      <c r="Y2852" s="20"/>
      <c r="Z2852" s="20"/>
    </row>
    <row r="2853" spans="1:26" s="29" customFormat="1" ht="90.75" customHeight="1" x14ac:dyDescent="0.25">
      <c r="A2853" s="20"/>
      <c r="B2853" s="20"/>
      <c r="C2853" s="20"/>
      <c r="D2853" s="21"/>
      <c r="E2853" s="21"/>
      <c r="F2853" s="22"/>
      <c r="G2853" s="23"/>
      <c r="H2853" s="36"/>
      <c r="I2853" s="25"/>
      <c r="J2853" s="65"/>
      <c r="K2853" s="20">
        <v>5</v>
      </c>
      <c r="L2853" s="20" t="s">
        <v>35</v>
      </c>
      <c r="M2853" s="20" t="s">
        <v>51</v>
      </c>
      <c r="N2853" s="20">
        <v>2</v>
      </c>
      <c r="O2853" s="24">
        <v>48</v>
      </c>
      <c r="P2853" s="24">
        <v>100</v>
      </c>
      <c r="Q2853" s="25">
        <v>2550</v>
      </c>
      <c r="R2853" s="24">
        <f t="shared" si="638"/>
        <v>122400</v>
      </c>
      <c r="S2853" s="20">
        <v>5</v>
      </c>
      <c r="T2853" s="24">
        <f>(R2853*5/100)</f>
        <v>6120</v>
      </c>
      <c r="U2853" s="80">
        <f t="shared" si="640"/>
        <v>116280</v>
      </c>
      <c r="V2853" s="20"/>
      <c r="W2853" s="26"/>
      <c r="X2853" s="27"/>
      <c r="Y2853" s="20"/>
      <c r="Z2853" s="20"/>
    </row>
    <row r="2854" spans="1:26" s="29" customFormat="1" ht="90.75" customHeight="1" x14ac:dyDescent="0.25">
      <c r="A2854" s="20"/>
      <c r="B2854" s="20"/>
      <c r="C2854" s="20"/>
      <c r="D2854" s="21"/>
      <c r="E2854" s="21"/>
      <c r="F2854" s="22"/>
      <c r="G2854" s="23"/>
      <c r="H2854" s="36"/>
      <c r="I2854" s="25"/>
      <c r="J2854" s="65"/>
      <c r="K2854" s="20">
        <v>6</v>
      </c>
      <c r="L2854" s="20" t="s">
        <v>16</v>
      </c>
      <c r="M2854" s="20" t="s">
        <v>51</v>
      </c>
      <c r="N2854" s="20">
        <v>2</v>
      </c>
      <c r="O2854" s="24">
        <v>32</v>
      </c>
      <c r="P2854" s="24">
        <v>100</v>
      </c>
      <c r="Q2854" s="25">
        <v>6450</v>
      </c>
      <c r="R2854" s="24">
        <f t="shared" si="638"/>
        <v>206400</v>
      </c>
      <c r="S2854" s="20">
        <v>7</v>
      </c>
      <c r="T2854" s="24">
        <f>(R2854*7/100)</f>
        <v>14448</v>
      </c>
      <c r="U2854" s="80">
        <f t="shared" si="640"/>
        <v>191952</v>
      </c>
      <c r="V2854" s="20"/>
      <c r="W2854" s="26"/>
      <c r="X2854" s="27"/>
      <c r="Y2854" s="20"/>
      <c r="Z2854" s="20"/>
    </row>
    <row r="2855" spans="1:26" s="29" customFormat="1" ht="90.75" customHeight="1" x14ac:dyDescent="0.25">
      <c r="A2855" s="20"/>
      <c r="B2855" s="20"/>
      <c r="C2855" s="20"/>
      <c r="D2855" s="21"/>
      <c r="E2855" s="21"/>
      <c r="F2855" s="22"/>
      <c r="G2855" s="23"/>
      <c r="H2855" s="36"/>
      <c r="I2855" s="25"/>
      <c r="J2855" s="65"/>
      <c r="K2855" s="20">
        <v>7</v>
      </c>
      <c r="L2855" s="20" t="s">
        <v>16</v>
      </c>
      <c r="M2855" s="20" t="s">
        <v>51</v>
      </c>
      <c r="N2855" s="20">
        <v>2</v>
      </c>
      <c r="O2855" s="24">
        <v>80</v>
      </c>
      <c r="P2855" s="24">
        <v>100</v>
      </c>
      <c r="Q2855" s="25">
        <v>6450</v>
      </c>
      <c r="R2855" s="24">
        <f t="shared" si="638"/>
        <v>516000</v>
      </c>
      <c r="S2855" s="20">
        <v>7</v>
      </c>
      <c r="T2855" s="24">
        <f>(R2855*7/100)</f>
        <v>36120</v>
      </c>
      <c r="U2855" s="80">
        <f t="shared" si="640"/>
        <v>479880</v>
      </c>
      <c r="V2855" s="20"/>
      <c r="W2855" s="26"/>
      <c r="X2855" s="27"/>
      <c r="Y2855" s="20"/>
      <c r="Z2855" s="20"/>
    </row>
    <row r="2856" spans="1:26" s="29" customFormat="1" ht="90.75" customHeight="1" x14ac:dyDescent="0.25">
      <c r="A2856" s="20"/>
      <c r="B2856" s="20"/>
      <c r="C2856" s="20"/>
      <c r="D2856" s="21"/>
      <c r="E2856" s="21"/>
      <c r="F2856" s="22"/>
      <c r="G2856" s="23"/>
      <c r="H2856" s="36"/>
      <c r="I2856" s="25"/>
      <c r="J2856" s="65"/>
      <c r="K2856" s="20">
        <v>8</v>
      </c>
      <c r="L2856" s="20" t="s">
        <v>35</v>
      </c>
      <c r="M2856" s="20" t="s">
        <v>51</v>
      </c>
      <c r="N2856" s="20">
        <v>2</v>
      </c>
      <c r="O2856" s="24">
        <v>16</v>
      </c>
      <c r="P2856" s="24">
        <v>100</v>
      </c>
      <c r="Q2856" s="25">
        <v>2550</v>
      </c>
      <c r="R2856" s="24">
        <f>(O2856*Q2856)</f>
        <v>40800</v>
      </c>
      <c r="S2856" s="20">
        <v>3</v>
      </c>
      <c r="T2856" s="24">
        <f>(R2856*3/100)</f>
        <v>1224</v>
      </c>
      <c r="U2856" s="80">
        <f>(R2856-T2856)</f>
        <v>39576</v>
      </c>
      <c r="V2856" s="20"/>
      <c r="W2856" s="26"/>
      <c r="X2856" s="27"/>
      <c r="Y2856" s="20"/>
      <c r="Z2856" s="20"/>
    </row>
    <row r="2857" spans="1:26" s="29" customFormat="1" ht="90.75" customHeight="1" x14ac:dyDescent="0.25">
      <c r="A2857" s="20"/>
      <c r="B2857" s="20"/>
      <c r="C2857" s="20"/>
      <c r="D2857" s="21"/>
      <c r="E2857" s="21"/>
      <c r="F2857" s="22"/>
      <c r="G2857" s="23"/>
      <c r="H2857" s="36"/>
      <c r="I2857" s="25"/>
      <c r="J2857" s="65"/>
      <c r="K2857" s="20"/>
      <c r="L2857" s="20"/>
      <c r="M2857" s="20"/>
      <c r="N2857" s="20"/>
      <c r="O2857" s="24"/>
      <c r="P2857" s="24"/>
      <c r="Q2857" s="25"/>
      <c r="R2857" s="24"/>
      <c r="S2857" s="20"/>
      <c r="T2857" s="24"/>
      <c r="U2857" s="80">
        <f>SUM(U2849:U2856)</f>
        <v>2725536</v>
      </c>
      <c r="V2857" s="80">
        <f>(J2849+U2857)</f>
        <v>3631786</v>
      </c>
      <c r="W2857" s="26">
        <f>(V2857*100/100)</f>
        <v>3631786</v>
      </c>
      <c r="X2857" s="24">
        <v>50000000</v>
      </c>
      <c r="Y2857" s="20"/>
      <c r="Z2857" s="20"/>
    </row>
    <row r="2858" spans="1:26" s="29" customFormat="1" ht="90.75" customHeight="1" x14ac:dyDescent="0.25">
      <c r="A2858" s="20"/>
      <c r="B2858" s="20"/>
      <c r="C2858" s="20"/>
      <c r="D2858" s="21">
        <v>0</v>
      </c>
      <c r="E2858" s="21">
        <v>0</v>
      </c>
      <c r="F2858" s="22">
        <v>5</v>
      </c>
      <c r="G2858" s="23" t="s">
        <v>209</v>
      </c>
      <c r="H2858" s="36">
        <f>(D2858*400)+(E2858*100)+F2858</f>
        <v>5</v>
      </c>
      <c r="I2858" s="25" t="s">
        <v>75</v>
      </c>
      <c r="J2858" s="65">
        <f>(H2858*I2858)</f>
        <v>3125</v>
      </c>
      <c r="K2858" s="20">
        <v>9</v>
      </c>
      <c r="L2858" s="20" t="s">
        <v>16</v>
      </c>
      <c r="M2858" s="20" t="s">
        <v>51</v>
      </c>
      <c r="N2858" s="20">
        <v>3</v>
      </c>
      <c r="O2858" s="24">
        <v>20</v>
      </c>
      <c r="P2858" s="24">
        <v>100</v>
      </c>
      <c r="Q2858" s="25">
        <v>6450</v>
      </c>
      <c r="R2858" s="24">
        <f>(O2858*Q2858)</f>
        <v>129000</v>
      </c>
      <c r="S2858" s="20">
        <v>3</v>
      </c>
      <c r="T2858" s="24">
        <f>(R2858*3/100)</f>
        <v>3870</v>
      </c>
      <c r="U2858" s="80">
        <f>(R2858-T2858)</f>
        <v>125130</v>
      </c>
      <c r="V2858" s="80">
        <f>(J2858+U2858)</f>
        <v>128255</v>
      </c>
      <c r="W2858" s="26">
        <f>(V2858*100/100)</f>
        <v>128255</v>
      </c>
      <c r="X2858" s="47">
        <v>0</v>
      </c>
      <c r="Y2858" s="48">
        <f>(W2858-X2858)</f>
        <v>128255</v>
      </c>
      <c r="Z2858" s="49">
        <v>3.0000000000000001E-3</v>
      </c>
    </row>
    <row r="2859" spans="1:26" s="29" customFormat="1" ht="90.75" customHeight="1" x14ac:dyDescent="0.25">
      <c r="A2859" s="20"/>
      <c r="B2859" s="20"/>
      <c r="C2859" s="20"/>
      <c r="D2859" s="21">
        <v>0</v>
      </c>
      <c r="E2859" s="21">
        <v>0</v>
      </c>
      <c r="F2859" s="22">
        <v>9</v>
      </c>
      <c r="G2859" s="23" t="s">
        <v>209</v>
      </c>
      <c r="H2859" s="36">
        <f t="shared" ref="H2859" si="641">(D2859*400)+(E2859*100)+F2859</f>
        <v>9</v>
      </c>
      <c r="I2859" s="25" t="s">
        <v>75</v>
      </c>
      <c r="J2859" s="65">
        <f t="shared" si="632"/>
        <v>5625</v>
      </c>
      <c r="K2859" s="20">
        <v>10</v>
      </c>
      <c r="L2859" s="20" t="s">
        <v>29</v>
      </c>
      <c r="M2859" s="20" t="s">
        <v>51</v>
      </c>
      <c r="N2859" s="20">
        <v>3</v>
      </c>
      <c r="O2859" s="24">
        <v>22.5</v>
      </c>
      <c r="P2859" s="24">
        <v>100</v>
      </c>
      <c r="Q2859" s="25">
        <v>5550</v>
      </c>
      <c r="R2859" s="24">
        <f t="shared" si="638"/>
        <v>124875</v>
      </c>
      <c r="S2859" s="20">
        <v>1</v>
      </c>
      <c r="T2859" s="24">
        <f>(R2859*1/100)</f>
        <v>1248.75</v>
      </c>
      <c r="U2859" s="80">
        <f t="shared" si="640"/>
        <v>123626.25</v>
      </c>
      <c r="V2859" s="80">
        <f>(J2859+U2859)</f>
        <v>129251.25</v>
      </c>
      <c r="W2859" s="26">
        <f>(V2859*100/100)</f>
        <v>129251.25</v>
      </c>
      <c r="X2859" s="47">
        <v>0</v>
      </c>
      <c r="Y2859" s="48">
        <f>(W2859-X2859)</f>
        <v>129251.25</v>
      </c>
      <c r="Z2859" s="49">
        <v>3.0000000000000001E-3</v>
      </c>
    </row>
    <row r="2860" spans="1:26" s="29" customFormat="1" ht="90.75" customHeight="1" x14ac:dyDescent="0.25">
      <c r="A2860" s="20">
        <v>1473</v>
      </c>
      <c r="B2860" s="20" t="s">
        <v>0</v>
      </c>
      <c r="C2860" s="20">
        <v>18430</v>
      </c>
      <c r="D2860" s="21">
        <v>2</v>
      </c>
      <c r="E2860" s="21">
        <v>3</v>
      </c>
      <c r="F2860" s="22">
        <v>70</v>
      </c>
      <c r="G2860" s="23" t="s">
        <v>56</v>
      </c>
      <c r="H2860" s="36">
        <f>(D2860*400)+(E2860*100)+F2860</f>
        <v>1170</v>
      </c>
      <c r="I2860" s="25" t="s">
        <v>77</v>
      </c>
      <c r="J2860" s="65">
        <f>(H2860*I2860)</f>
        <v>877500</v>
      </c>
      <c r="K2860" s="20">
        <v>1</v>
      </c>
      <c r="L2860" s="20" t="s">
        <v>221</v>
      </c>
      <c r="M2860" s="20" t="s">
        <v>13</v>
      </c>
      <c r="N2860" s="20">
        <v>2</v>
      </c>
      <c r="O2860" s="24">
        <v>256</v>
      </c>
      <c r="P2860" s="24">
        <v>100</v>
      </c>
      <c r="Q2860" s="25">
        <v>7700</v>
      </c>
      <c r="R2860" s="77">
        <f t="shared" si="638"/>
        <v>1971200</v>
      </c>
      <c r="S2860" s="37">
        <v>2</v>
      </c>
      <c r="T2860" s="28">
        <f>(R2860*2/100)</f>
        <v>39424</v>
      </c>
      <c r="U2860" s="77">
        <f>(R2860-T2860)</f>
        <v>1931776</v>
      </c>
      <c r="V2860" s="27">
        <f>(J2860+U2860)</f>
        <v>2809276</v>
      </c>
      <c r="W2860" s="48">
        <f>(V2860*100/100)</f>
        <v>2809276</v>
      </c>
      <c r="X2860" s="47">
        <v>0</v>
      </c>
      <c r="Y2860" s="48">
        <f>(W2860-X2860)</f>
        <v>2809276</v>
      </c>
      <c r="Z2860" s="49">
        <v>2.0000000000000001E-4</v>
      </c>
    </row>
    <row r="2861" spans="1:26" s="29" customFormat="1" ht="90.75" customHeight="1" x14ac:dyDescent="0.25">
      <c r="A2861" s="20">
        <v>1474</v>
      </c>
      <c r="B2861" s="20" t="s">
        <v>0</v>
      </c>
      <c r="C2861" s="20">
        <v>44549</v>
      </c>
      <c r="D2861" s="21">
        <v>3</v>
      </c>
      <c r="E2861" s="21">
        <v>0</v>
      </c>
      <c r="F2861" s="22">
        <v>11</v>
      </c>
      <c r="G2861" s="23" t="s">
        <v>56</v>
      </c>
      <c r="H2861" s="36">
        <f>(D2861*400)+(E2861*100)+F2861</f>
        <v>1211</v>
      </c>
      <c r="I2861" s="40" t="s">
        <v>80</v>
      </c>
      <c r="J2861" s="65">
        <f>(H2861*I2861)</f>
        <v>696325</v>
      </c>
      <c r="K2861" s="30"/>
      <c r="L2861" s="20"/>
      <c r="M2861" s="35"/>
      <c r="N2861" s="30"/>
      <c r="O2861" s="36"/>
      <c r="P2861" s="86"/>
      <c r="Q2861" s="40"/>
      <c r="R2861" s="84"/>
      <c r="S2861" s="84"/>
      <c r="T2861" s="28"/>
      <c r="U2861" s="84"/>
      <c r="V2861" s="36"/>
      <c r="W2861" s="36"/>
      <c r="X2861" s="28"/>
      <c r="Y2861" s="26"/>
      <c r="Z2861" s="53"/>
    </row>
    <row r="2862" spans="1:26" s="29" customFormat="1" ht="90.75" customHeight="1" x14ac:dyDescent="0.25">
      <c r="A2862" s="20"/>
      <c r="B2862" s="20"/>
      <c r="C2862" s="20"/>
      <c r="D2862" s="21"/>
      <c r="E2862" s="21"/>
      <c r="F2862" s="22"/>
      <c r="G2862" s="23"/>
      <c r="H2862" s="36"/>
      <c r="I2862" s="44"/>
      <c r="J2862" s="65"/>
      <c r="K2862" s="37">
        <v>1</v>
      </c>
      <c r="L2862" s="20" t="s">
        <v>215</v>
      </c>
      <c r="M2862" s="20" t="s">
        <v>13</v>
      </c>
      <c r="N2862" s="21">
        <v>2</v>
      </c>
      <c r="O2862" s="63">
        <v>21</v>
      </c>
      <c r="P2862" s="35">
        <v>100</v>
      </c>
      <c r="Q2862" s="77">
        <v>6450</v>
      </c>
      <c r="R2862" s="77">
        <f t="shared" ref="R2862:R2868" si="642">(O2862*Q2862)</f>
        <v>135450</v>
      </c>
      <c r="S2862" s="37">
        <v>3</v>
      </c>
      <c r="T2862" s="28">
        <f>(R2862*3/100)</f>
        <v>4063.5</v>
      </c>
      <c r="U2862" s="77">
        <f t="shared" ref="U2862:U2868" si="643">(R2862-T2862)</f>
        <v>131386.5</v>
      </c>
      <c r="V2862" s="48"/>
      <c r="W2862" s="48"/>
      <c r="X2862" s="47"/>
      <c r="Y2862" s="48"/>
      <c r="Z2862" s="53"/>
    </row>
    <row r="2863" spans="1:26" s="29" customFormat="1" ht="90.75" customHeight="1" x14ac:dyDescent="0.25">
      <c r="A2863" s="20"/>
      <c r="B2863" s="20"/>
      <c r="C2863" s="20"/>
      <c r="D2863" s="21"/>
      <c r="E2863" s="21"/>
      <c r="F2863" s="22"/>
      <c r="G2863" s="23"/>
      <c r="H2863" s="36"/>
      <c r="I2863" s="44"/>
      <c r="J2863" s="65"/>
      <c r="K2863" s="37">
        <v>2</v>
      </c>
      <c r="L2863" s="20" t="s">
        <v>215</v>
      </c>
      <c r="M2863" s="20" t="s">
        <v>13</v>
      </c>
      <c r="N2863" s="21">
        <v>2</v>
      </c>
      <c r="O2863" s="63">
        <v>40</v>
      </c>
      <c r="P2863" s="35">
        <v>100</v>
      </c>
      <c r="Q2863" s="77">
        <v>6450</v>
      </c>
      <c r="R2863" s="77">
        <f t="shared" si="642"/>
        <v>258000</v>
      </c>
      <c r="S2863" s="37">
        <v>3</v>
      </c>
      <c r="T2863" s="28">
        <f t="shared" ref="T2863:T2868" si="644">(R2863*3/100)</f>
        <v>7740</v>
      </c>
      <c r="U2863" s="77">
        <f t="shared" si="643"/>
        <v>250260</v>
      </c>
      <c r="V2863" s="48"/>
      <c r="W2863" s="48"/>
      <c r="X2863" s="47"/>
      <c r="Y2863" s="48"/>
      <c r="Z2863" s="53"/>
    </row>
    <row r="2864" spans="1:26" s="29" customFormat="1" ht="90.75" customHeight="1" x14ac:dyDescent="0.25">
      <c r="A2864" s="20"/>
      <c r="B2864" s="20"/>
      <c r="C2864" s="20"/>
      <c r="D2864" s="21"/>
      <c r="E2864" s="21"/>
      <c r="F2864" s="22"/>
      <c r="G2864" s="23"/>
      <c r="H2864" s="36"/>
      <c r="I2864" s="44"/>
      <c r="J2864" s="65"/>
      <c r="K2864" s="37">
        <v>3</v>
      </c>
      <c r="L2864" s="20" t="s">
        <v>215</v>
      </c>
      <c r="M2864" s="20" t="s">
        <v>13</v>
      </c>
      <c r="N2864" s="21">
        <v>2</v>
      </c>
      <c r="O2864" s="63">
        <v>40</v>
      </c>
      <c r="P2864" s="35">
        <v>100</v>
      </c>
      <c r="Q2864" s="77">
        <v>6450</v>
      </c>
      <c r="R2864" s="77">
        <f t="shared" si="642"/>
        <v>258000</v>
      </c>
      <c r="S2864" s="37">
        <v>3</v>
      </c>
      <c r="T2864" s="28">
        <f t="shared" si="644"/>
        <v>7740</v>
      </c>
      <c r="U2864" s="77">
        <f t="shared" si="643"/>
        <v>250260</v>
      </c>
      <c r="V2864" s="48"/>
      <c r="W2864" s="48"/>
      <c r="X2864" s="47"/>
      <c r="Y2864" s="48"/>
      <c r="Z2864" s="53"/>
    </row>
    <row r="2865" spans="1:26" s="29" customFormat="1" ht="90.75" customHeight="1" x14ac:dyDescent="0.25">
      <c r="A2865" s="20"/>
      <c r="B2865" s="20"/>
      <c r="C2865" s="20"/>
      <c r="D2865" s="21"/>
      <c r="E2865" s="21"/>
      <c r="F2865" s="22"/>
      <c r="G2865" s="23"/>
      <c r="H2865" s="36"/>
      <c r="I2865" s="44"/>
      <c r="J2865" s="65"/>
      <c r="K2865" s="37">
        <v>4</v>
      </c>
      <c r="L2865" s="20" t="s">
        <v>215</v>
      </c>
      <c r="M2865" s="20" t="s">
        <v>13</v>
      </c>
      <c r="N2865" s="21">
        <v>2</v>
      </c>
      <c r="O2865" s="63">
        <v>40</v>
      </c>
      <c r="P2865" s="35">
        <v>100</v>
      </c>
      <c r="Q2865" s="77">
        <v>6450</v>
      </c>
      <c r="R2865" s="77">
        <f t="shared" si="642"/>
        <v>258000</v>
      </c>
      <c r="S2865" s="37">
        <v>3</v>
      </c>
      <c r="T2865" s="28">
        <f t="shared" si="644"/>
        <v>7740</v>
      </c>
      <c r="U2865" s="77">
        <f t="shared" si="643"/>
        <v>250260</v>
      </c>
      <c r="V2865" s="48"/>
      <c r="W2865" s="48"/>
      <c r="X2865" s="47"/>
      <c r="Y2865" s="48"/>
      <c r="Z2865" s="53"/>
    </row>
    <row r="2866" spans="1:26" s="29" customFormat="1" ht="90.75" customHeight="1" x14ac:dyDescent="0.25">
      <c r="A2866" s="20"/>
      <c r="B2866" s="20"/>
      <c r="C2866" s="20"/>
      <c r="D2866" s="21"/>
      <c r="E2866" s="21"/>
      <c r="F2866" s="22"/>
      <c r="G2866" s="23"/>
      <c r="H2866" s="36"/>
      <c r="I2866" s="44"/>
      <c r="J2866" s="65"/>
      <c r="K2866" s="37">
        <v>5</v>
      </c>
      <c r="L2866" s="20" t="s">
        <v>215</v>
      </c>
      <c r="M2866" s="20" t="s">
        <v>13</v>
      </c>
      <c r="N2866" s="21">
        <v>2</v>
      </c>
      <c r="O2866" s="63">
        <v>40</v>
      </c>
      <c r="P2866" s="35">
        <v>100</v>
      </c>
      <c r="Q2866" s="77">
        <v>6450</v>
      </c>
      <c r="R2866" s="77">
        <f t="shared" si="642"/>
        <v>258000</v>
      </c>
      <c r="S2866" s="37">
        <v>3</v>
      </c>
      <c r="T2866" s="28">
        <f t="shared" si="644"/>
        <v>7740</v>
      </c>
      <c r="U2866" s="77">
        <f t="shared" si="643"/>
        <v>250260</v>
      </c>
      <c r="V2866" s="48"/>
      <c r="W2866" s="48"/>
      <c r="X2866" s="47"/>
      <c r="Y2866" s="48"/>
      <c r="Z2866" s="53"/>
    </row>
    <row r="2867" spans="1:26" s="29" customFormat="1" ht="90.75" customHeight="1" x14ac:dyDescent="0.25">
      <c r="A2867" s="20"/>
      <c r="B2867" s="20"/>
      <c r="C2867" s="20"/>
      <c r="D2867" s="21"/>
      <c r="E2867" s="21"/>
      <c r="F2867" s="22"/>
      <c r="G2867" s="23"/>
      <c r="H2867" s="36"/>
      <c r="I2867" s="44"/>
      <c r="J2867" s="65"/>
      <c r="K2867" s="37">
        <v>6</v>
      </c>
      <c r="L2867" s="20" t="s">
        <v>215</v>
      </c>
      <c r="M2867" s="20" t="s">
        <v>13</v>
      </c>
      <c r="N2867" s="21">
        <v>2</v>
      </c>
      <c r="O2867" s="63">
        <v>40</v>
      </c>
      <c r="P2867" s="35">
        <v>100</v>
      </c>
      <c r="Q2867" s="77">
        <v>6450</v>
      </c>
      <c r="R2867" s="77">
        <f t="shared" si="642"/>
        <v>258000</v>
      </c>
      <c r="S2867" s="37">
        <v>3</v>
      </c>
      <c r="T2867" s="28">
        <f t="shared" si="644"/>
        <v>7740</v>
      </c>
      <c r="U2867" s="77">
        <f t="shared" si="643"/>
        <v>250260</v>
      </c>
      <c r="V2867" s="48"/>
      <c r="W2867" s="48"/>
      <c r="X2867" s="47"/>
      <c r="Y2867" s="48"/>
      <c r="Z2867" s="53"/>
    </row>
    <row r="2868" spans="1:26" s="29" customFormat="1" ht="90.75" customHeight="1" x14ac:dyDescent="0.25">
      <c r="A2868" s="20"/>
      <c r="B2868" s="20"/>
      <c r="C2868" s="20"/>
      <c r="D2868" s="21"/>
      <c r="E2868" s="21"/>
      <c r="F2868" s="22"/>
      <c r="G2868" s="23"/>
      <c r="H2868" s="36"/>
      <c r="I2868" s="44"/>
      <c r="J2868" s="65"/>
      <c r="K2868" s="37">
        <v>7</v>
      </c>
      <c r="L2868" s="20" t="s">
        <v>31</v>
      </c>
      <c r="M2868" s="20"/>
      <c r="N2868" s="21"/>
      <c r="O2868" s="63">
        <v>54</v>
      </c>
      <c r="P2868" s="35">
        <v>100</v>
      </c>
      <c r="Q2868" s="77">
        <v>2550</v>
      </c>
      <c r="R2868" s="77">
        <f t="shared" si="642"/>
        <v>137700</v>
      </c>
      <c r="S2868" s="37">
        <v>3</v>
      </c>
      <c r="T2868" s="28">
        <f t="shared" si="644"/>
        <v>4131</v>
      </c>
      <c r="U2868" s="77">
        <f t="shared" si="643"/>
        <v>133569</v>
      </c>
      <c r="V2868" s="48"/>
      <c r="W2868" s="48"/>
      <c r="X2868" s="47"/>
      <c r="Y2868" s="48"/>
      <c r="Z2868" s="53"/>
    </row>
    <row r="2869" spans="1:26" s="29" customFormat="1" ht="90.75" customHeight="1" x14ac:dyDescent="0.25">
      <c r="A2869" s="20"/>
      <c r="B2869" s="20"/>
      <c r="C2869" s="20"/>
      <c r="D2869" s="21"/>
      <c r="E2869" s="21"/>
      <c r="F2869" s="22"/>
      <c r="G2869" s="23"/>
      <c r="H2869" s="36"/>
      <c r="I2869" s="44"/>
      <c r="J2869" s="65"/>
      <c r="K2869" s="41"/>
      <c r="L2869" s="31"/>
      <c r="M2869" s="43"/>
      <c r="N2869" s="30"/>
      <c r="O2869" s="48"/>
      <c r="P2869" s="86"/>
      <c r="Q2869" s="40"/>
      <c r="R2869" s="41"/>
      <c r="S2869" s="41"/>
      <c r="T2869" s="47"/>
      <c r="U2869" s="48">
        <f>SUM(U2862:U2868)</f>
        <v>1516255.5</v>
      </c>
      <c r="V2869" s="48">
        <f>(J2861+U2869)</f>
        <v>2212580.5</v>
      </c>
      <c r="W2869" s="48">
        <f>(V2869*100/100)</f>
        <v>2212580.5</v>
      </c>
      <c r="X2869" s="47">
        <v>0</v>
      </c>
      <c r="Y2869" s="48">
        <f>(W2869-X2869)</f>
        <v>2212580.5</v>
      </c>
      <c r="Z2869" s="49">
        <v>2.0000000000000001E-4</v>
      </c>
    </row>
    <row r="2870" spans="1:26" s="29" customFormat="1" ht="90.75" customHeight="1" x14ac:dyDescent="0.25">
      <c r="A2870" s="20">
        <v>1475</v>
      </c>
      <c r="B2870" s="20" t="s">
        <v>0</v>
      </c>
      <c r="C2870" s="20">
        <v>22548</v>
      </c>
      <c r="D2870" s="21">
        <v>0</v>
      </c>
      <c r="E2870" s="21">
        <v>3</v>
      </c>
      <c r="F2870" s="22">
        <v>75</v>
      </c>
      <c r="G2870" s="23" t="s">
        <v>211</v>
      </c>
      <c r="H2870" s="24">
        <f>(D2870*400)+(E2870*100)+F2870</f>
        <v>375</v>
      </c>
      <c r="I2870" s="25" t="s">
        <v>66</v>
      </c>
      <c r="J2870" s="24">
        <f>(H2870*I2870)</f>
        <v>356250</v>
      </c>
      <c r="K2870" s="20"/>
      <c r="L2870" s="20"/>
      <c r="M2870" s="20"/>
      <c r="N2870" s="20"/>
      <c r="O2870" s="24"/>
      <c r="P2870" s="24"/>
      <c r="Q2870" s="25"/>
      <c r="R2870" s="24"/>
      <c r="S2870" s="20" t="s">
        <v>2</v>
      </c>
      <c r="T2870" s="27"/>
      <c r="U2870" s="20"/>
      <c r="V2870" s="20"/>
      <c r="W2870" s="26"/>
      <c r="X2870" s="27"/>
      <c r="Y2870" s="20"/>
      <c r="Z2870" s="20"/>
    </row>
    <row r="2871" spans="1:26" s="29" customFormat="1" ht="90.75" customHeight="1" x14ac:dyDescent="0.25">
      <c r="A2871" s="20"/>
      <c r="B2871" s="20"/>
      <c r="C2871" s="20"/>
      <c r="D2871" s="21"/>
      <c r="E2871" s="21"/>
      <c r="F2871" s="22"/>
      <c r="G2871" s="23"/>
      <c r="H2871" s="24"/>
      <c r="I2871" s="25"/>
      <c r="J2871" s="24"/>
      <c r="K2871" s="20">
        <v>1</v>
      </c>
      <c r="L2871" s="20" t="s">
        <v>215</v>
      </c>
      <c r="M2871" s="20" t="s">
        <v>13</v>
      </c>
      <c r="N2871" s="20">
        <v>1</v>
      </c>
      <c r="O2871" s="24">
        <v>303.5</v>
      </c>
      <c r="P2871" s="24">
        <v>100</v>
      </c>
      <c r="Q2871" s="25">
        <v>6450</v>
      </c>
      <c r="R2871" s="77">
        <f>(O2871*Q2871)</f>
        <v>1957575</v>
      </c>
      <c r="S2871" s="20">
        <v>30</v>
      </c>
      <c r="T2871" s="28">
        <f>(R2871*50/100)</f>
        <v>978787.5</v>
      </c>
      <c r="U2871" s="80">
        <f>(R2871-T2871)</f>
        <v>978787.5</v>
      </c>
      <c r="V2871" s="80">
        <f>(J2870+U2871)</f>
        <v>1335037.5</v>
      </c>
      <c r="W2871" s="26"/>
      <c r="X2871" s="27"/>
      <c r="Y2871" s="20"/>
      <c r="Z2871" s="20"/>
    </row>
    <row r="2872" spans="1:26" s="29" customFormat="1" ht="90.75" customHeight="1" x14ac:dyDescent="0.25">
      <c r="A2872" s="20"/>
      <c r="B2872" s="20"/>
      <c r="C2872" s="20"/>
      <c r="D2872" s="21"/>
      <c r="E2872" s="21"/>
      <c r="F2872" s="22"/>
      <c r="G2872" s="23"/>
      <c r="H2872" s="24"/>
      <c r="I2872" s="25"/>
      <c r="J2872" s="24"/>
      <c r="K2872" s="20"/>
      <c r="L2872" s="20"/>
      <c r="M2872" s="20"/>
      <c r="N2872" s="20"/>
      <c r="O2872" s="24">
        <v>279</v>
      </c>
      <c r="P2872" s="24">
        <v>91.93</v>
      </c>
      <c r="Q2872" s="25"/>
      <c r="R2872" s="24"/>
      <c r="S2872" s="20"/>
      <c r="T2872" s="27"/>
      <c r="U2872" s="20"/>
      <c r="V2872" s="20"/>
      <c r="W2872" s="26">
        <f>(V2871*91.93/100)</f>
        <v>1227299.9737500001</v>
      </c>
      <c r="X2872" s="24">
        <v>50000000</v>
      </c>
      <c r="Y2872" s="20"/>
      <c r="Z2872" s="20"/>
    </row>
    <row r="2873" spans="1:26" s="29" customFormat="1" ht="90.75" customHeight="1" x14ac:dyDescent="0.25">
      <c r="A2873" s="20"/>
      <c r="B2873" s="20"/>
      <c r="C2873" s="20"/>
      <c r="D2873" s="21"/>
      <c r="E2873" s="21"/>
      <c r="F2873" s="22"/>
      <c r="G2873" s="23"/>
      <c r="H2873" s="24"/>
      <c r="I2873" s="25"/>
      <c r="J2873" s="24"/>
      <c r="K2873" s="20"/>
      <c r="L2873" s="20"/>
      <c r="M2873" s="20"/>
      <c r="N2873" s="20">
        <v>2</v>
      </c>
      <c r="O2873" s="24">
        <v>24.5</v>
      </c>
      <c r="P2873" s="24">
        <v>8.07</v>
      </c>
      <c r="Q2873" s="25"/>
      <c r="R2873" s="24"/>
      <c r="S2873" s="20"/>
      <c r="T2873" s="27"/>
      <c r="U2873" s="20"/>
      <c r="V2873" s="20"/>
      <c r="W2873" s="26">
        <f>(V2871*8.07/100)</f>
        <v>107737.52625</v>
      </c>
      <c r="X2873" s="47">
        <v>0</v>
      </c>
      <c r="Y2873" s="80">
        <f>(W2873-X2873)</f>
        <v>107737.52625</v>
      </c>
      <c r="Z2873" s="49">
        <v>3.0000000000000001E-3</v>
      </c>
    </row>
    <row r="2874" spans="1:26" s="29" customFormat="1" ht="90.75" customHeight="1" x14ac:dyDescent="0.25">
      <c r="A2874" s="20">
        <v>1476</v>
      </c>
      <c r="B2874" s="20" t="s">
        <v>0</v>
      </c>
      <c r="C2874" s="20">
        <v>30857</v>
      </c>
      <c r="D2874" s="21">
        <v>2</v>
      </c>
      <c r="E2874" s="21">
        <v>0</v>
      </c>
      <c r="F2874" s="22">
        <v>89</v>
      </c>
      <c r="G2874" s="23" t="s">
        <v>211</v>
      </c>
      <c r="H2874" s="24">
        <f>(D2874*400)+(E2874*100)+F2874</f>
        <v>889</v>
      </c>
      <c r="I2874" s="25" t="s">
        <v>23</v>
      </c>
      <c r="J2874" s="24">
        <f>(H2874*I2874)</f>
        <v>889000</v>
      </c>
      <c r="K2874" s="20"/>
      <c r="L2874" s="20"/>
      <c r="M2874" s="20"/>
      <c r="N2874" s="20"/>
      <c r="O2874" s="24"/>
      <c r="P2874" s="24"/>
      <c r="Q2874" s="25"/>
      <c r="R2874" s="24"/>
      <c r="S2874" s="20"/>
      <c r="T2874" s="27"/>
      <c r="U2874" s="20"/>
      <c r="V2874" s="20"/>
      <c r="W2874" s="26"/>
      <c r="X2874" s="27"/>
      <c r="Y2874" s="20"/>
      <c r="Z2874" s="20"/>
    </row>
    <row r="2875" spans="1:26" s="29" customFormat="1" ht="90.75" customHeight="1" x14ac:dyDescent="0.25">
      <c r="A2875" s="20"/>
      <c r="B2875" s="20"/>
      <c r="C2875" s="20"/>
      <c r="D2875" s="21"/>
      <c r="E2875" s="21"/>
      <c r="F2875" s="22"/>
      <c r="G2875" s="23" t="s">
        <v>56</v>
      </c>
      <c r="H2875" s="36">
        <v>100</v>
      </c>
      <c r="I2875" s="40" t="s">
        <v>23</v>
      </c>
      <c r="J2875" s="65">
        <f t="shared" ref="J2875:J2876" si="645">(H2875*I2875)</f>
        <v>100000</v>
      </c>
      <c r="K2875" s="37">
        <v>1</v>
      </c>
      <c r="L2875" s="20" t="s">
        <v>43</v>
      </c>
      <c r="M2875" s="20" t="s">
        <v>13</v>
      </c>
      <c r="N2875" s="21">
        <v>3</v>
      </c>
      <c r="O2875" s="63">
        <v>400</v>
      </c>
      <c r="P2875" s="35">
        <v>100</v>
      </c>
      <c r="Q2875" s="77">
        <v>7700</v>
      </c>
      <c r="R2875" s="77">
        <f>(O2875*Q2875)</f>
        <v>3080000</v>
      </c>
      <c r="S2875" s="37">
        <v>7</v>
      </c>
      <c r="T2875" s="28">
        <f>(R2875*7/100)</f>
        <v>215600</v>
      </c>
      <c r="U2875" s="77">
        <f>(R2875-T2875)</f>
        <v>2864400</v>
      </c>
      <c r="V2875" s="77">
        <f>(J2875+U2875)</f>
        <v>2964400</v>
      </c>
      <c r="W2875" s="77">
        <f>(V2875*100/100)</f>
        <v>2964400</v>
      </c>
      <c r="X2875" s="28">
        <v>0</v>
      </c>
      <c r="Y2875" s="28">
        <f>(W2875-X2875)</f>
        <v>2964400</v>
      </c>
      <c r="Z2875" s="49">
        <v>2.0000000000000001E-4</v>
      </c>
    </row>
    <row r="2876" spans="1:26" s="29" customFormat="1" ht="90.75" customHeight="1" x14ac:dyDescent="0.25">
      <c r="A2876" s="20"/>
      <c r="B2876" s="20"/>
      <c r="C2876" s="20"/>
      <c r="D2876" s="21"/>
      <c r="E2876" s="21"/>
      <c r="F2876" s="22"/>
      <c r="G2876" s="23" t="s">
        <v>198</v>
      </c>
      <c r="H2876" s="36">
        <v>789</v>
      </c>
      <c r="I2876" s="40" t="s">
        <v>23</v>
      </c>
      <c r="J2876" s="65">
        <f t="shared" si="645"/>
        <v>789000</v>
      </c>
      <c r="K2876" s="41"/>
      <c r="L2876" s="41"/>
      <c r="M2876" s="43"/>
      <c r="N2876" s="30"/>
      <c r="O2876" s="48"/>
      <c r="P2876" s="43"/>
      <c r="Q2876" s="44"/>
      <c r="R2876" s="41"/>
      <c r="S2876" s="41"/>
      <c r="T2876" s="47"/>
      <c r="U2876" s="41"/>
      <c r="V2876" s="48">
        <f>(J2876+U2876)</f>
        <v>789000</v>
      </c>
      <c r="W2876" s="48">
        <f>(V2876*100/100)</f>
        <v>789000</v>
      </c>
      <c r="X2876" s="47" t="s">
        <v>296</v>
      </c>
      <c r="Y2876" s="48"/>
      <c r="Z2876" s="49"/>
    </row>
    <row r="2877" spans="1:26" s="29" customFormat="1" ht="90.75" customHeight="1" x14ac:dyDescent="0.25">
      <c r="A2877" s="20">
        <v>1477</v>
      </c>
      <c r="B2877" s="20" t="s">
        <v>0</v>
      </c>
      <c r="C2877" s="20">
        <v>8307</v>
      </c>
      <c r="D2877" s="21">
        <v>1</v>
      </c>
      <c r="E2877" s="21">
        <v>0</v>
      </c>
      <c r="F2877" s="22">
        <v>40</v>
      </c>
      <c r="G2877" s="23" t="s">
        <v>211</v>
      </c>
      <c r="H2877" s="24">
        <f>(D2877*400)+(E2877*100)+F2877</f>
        <v>440</v>
      </c>
      <c r="I2877" s="25" t="s">
        <v>78</v>
      </c>
      <c r="J2877" s="24">
        <f>(H2877*I2877)</f>
        <v>385000</v>
      </c>
      <c r="K2877" s="20"/>
      <c r="L2877" s="20"/>
      <c r="M2877" s="20"/>
      <c r="N2877" s="20"/>
      <c r="O2877" s="24"/>
      <c r="P2877" s="24"/>
      <c r="Q2877" s="25"/>
      <c r="R2877" s="77"/>
      <c r="S2877" s="20"/>
      <c r="T2877" s="27"/>
      <c r="U2877" s="80"/>
      <c r="V2877" s="80"/>
      <c r="W2877" s="26"/>
      <c r="X2877" s="27"/>
      <c r="Y2877" s="20"/>
      <c r="Z2877" s="20"/>
    </row>
    <row r="2878" spans="1:26" s="29" customFormat="1" ht="90.75" customHeight="1" x14ac:dyDescent="0.25">
      <c r="A2878" s="20"/>
      <c r="B2878" s="20"/>
      <c r="C2878" s="20"/>
      <c r="D2878" s="21"/>
      <c r="E2878" s="21"/>
      <c r="F2878" s="22"/>
      <c r="G2878" s="23"/>
      <c r="H2878" s="24">
        <v>437.75</v>
      </c>
      <c r="I2878" s="25" t="s">
        <v>78</v>
      </c>
      <c r="J2878" s="24">
        <f>(H2878*I2878)</f>
        <v>383031.25</v>
      </c>
      <c r="K2878" s="20">
        <v>1</v>
      </c>
      <c r="L2878" s="20" t="s">
        <v>16</v>
      </c>
      <c r="M2878" s="20" t="s">
        <v>13</v>
      </c>
      <c r="N2878" s="20">
        <v>5</v>
      </c>
      <c r="O2878" s="24">
        <v>144</v>
      </c>
      <c r="P2878" s="24">
        <v>100</v>
      </c>
      <c r="Q2878" s="25">
        <v>6450</v>
      </c>
      <c r="R2878" s="77">
        <f>(O2878*Q2878)</f>
        <v>928800</v>
      </c>
      <c r="S2878" s="20">
        <v>1</v>
      </c>
      <c r="T2878" s="27">
        <f>(R2878*1/100)</f>
        <v>9288</v>
      </c>
      <c r="U2878" s="80">
        <f>(R2878+T2878)</f>
        <v>938088</v>
      </c>
      <c r="V2878" s="80"/>
      <c r="W2878" s="26"/>
      <c r="X2878" s="27"/>
      <c r="Y2878" s="20"/>
      <c r="Z2878" s="20"/>
    </row>
    <row r="2879" spans="1:26" s="29" customFormat="1" ht="90.75" customHeight="1" x14ac:dyDescent="0.25">
      <c r="A2879" s="20"/>
      <c r="B2879" s="20"/>
      <c r="C2879" s="20"/>
      <c r="D2879" s="21"/>
      <c r="E2879" s="21"/>
      <c r="F2879" s="22"/>
      <c r="G2879" s="23"/>
      <c r="H2879" s="24"/>
      <c r="I2879" s="25"/>
      <c r="J2879" s="24"/>
      <c r="K2879" s="20">
        <v>2</v>
      </c>
      <c r="L2879" s="20" t="s">
        <v>31</v>
      </c>
      <c r="M2879" s="20"/>
      <c r="N2879" s="20">
        <v>2</v>
      </c>
      <c r="O2879" s="24">
        <v>48</v>
      </c>
      <c r="P2879" s="24">
        <v>100</v>
      </c>
      <c r="Q2879" s="25">
        <v>2550</v>
      </c>
      <c r="R2879" s="77">
        <f t="shared" ref="R2879:R2882" si="646">(O2879*Q2879)</f>
        <v>122400</v>
      </c>
      <c r="S2879" s="20">
        <v>1</v>
      </c>
      <c r="T2879" s="27">
        <f t="shared" ref="T2879:T2881" si="647">(R2879*1/100)</f>
        <v>1224</v>
      </c>
      <c r="U2879" s="80">
        <f t="shared" ref="U2879:U2881" si="648">(R2879+T2879)</f>
        <v>123624</v>
      </c>
      <c r="V2879" s="20"/>
      <c r="W2879" s="26"/>
      <c r="X2879" s="27"/>
      <c r="Y2879" s="20"/>
      <c r="Z2879" s="20"/>
    </row>
    <row r="2880" spans="1:26" s="29" customFormat="1" ht="90.75" customHeight="1" x14ac:dyDescent="0.25">
      <c r="A2880" s="20"/>
      <c r="B2880" s="20"/>
      <c r="C2880" s="20"/>
      <c r="D2880" s="21"/>
      <c r="E2880" s="21"/>
      <c r="F2880" s="22"/>
      <c r="G2880" s="23"/>
      <c r="H2880" s="24"/>
      <c r="I2880" s="25"/>
      <c r="J2880" s="24"/>
      <c r="K2880" s="20"/>
      <c r="L2880" s="20"/>
      <c r="M2880" s="20"/>
      <c r="N2880" s="20"/>
      <c r="O2880" s="24"/>
      <c r="P2880" s="24"/>
      <c r="Q2880" s="25"/>
      <c r="R2880" s="77"/>
      <c r="S2880" s="20"/>
      <c r="T2880" s="27"/>
      <c r="U2880" s="80">
        <f>SUM(U2878:U2879)</f>
        <v>1061712</v>
      </c>
      <c r="V2880" s="80">
        <f>(J2878+U2880)</f>
        <v>1444743.25</v>
      </c>
      <c r="W2880" s="26">
        <f>(V2880*100/100)</f>
        <v>1444743.25</v>
      </c>
      <c r="X2880" s="24">
        <v>50000000</v>
      </c>
      <c r="Y2880" s="20"/>
      <c r="Z2880" s="20"/>
    </row>
    <row r="2881" spans="1:26" s="29" customFormat="1" ht="90.75" customHeight="1" x14ac:dyDescent="0.25">
      <c r="A2881" s="20"/>
      <c r="B2881" s="20"/>
      <c r="C2881" s="20"/>
      <c r="D2881" s="21"/>
      <c r="E2881" s="21"/>
      <c r="F2881" s="22"/>
      <c r="G2881" s="23"/>
      <c r="H2881" s="24">
        <v>2.25</v>
      </c>
      <c r="I2881" s="25" t="s">
        <v>78</v>
      </c>
      <c r="J2881" s="24">
        <f t="shared" ref="J2881:J2889" si="649">(H2881*I2881)</f>
        <v>1968.75</v>
      </c>
      <c r="K2881" s="20">
        <v>3</v>
      </c>
      <c r="L2881" s="20" t="s">
        <v>29</v>
      </c>
      <c r="M2881" s="20" t="s">
        <v>13</v>
      </c>
      <c r="N2881" s="20">
        <v>3</v>
      </c>
      <c r="O2881" s="24">
        <v>9</v>
      </c>
      <c r="P2881" s="24">
        <v>100</v>
      </c>
      <c r="Q2881" s="25">
        <v>5550</v>
      </c>
      <c r="R2881" s="77">
        <f t="shared" si="646"/>
        <v>49950</v>
      </c>
      <c r="S2881" s="20">
        <v>1</v>
      </c>
      <c r="T2881" s="27">
        <f t="shared" si="647"/>
        <v>499.5</v>
      </c>
      <c r="U2881" s="80">
        <f t="shared" si="648"/>
        <v>50449.5</v>
      </c>
      <c r="V2881" s="80">
        <f>(J2881+U2881)</f>
        <v>52418.25</v>
      </c>
      <c r="W2881" s="26">
        <f>(V2881*100/100)</f>
        <v>52418.25</v>
      </c>
      <c r="X2881" s="47">
        <v>0</v>
      </c>
      <c r="Y2881" s="80">
        <f>(W2881-X2881)</f>
        <v>52418.25</v>
      </c>
      <c r="Z2881" s="49">
        <v>3.0000000000000001E-3</v>
      </c>
    </row>
    <row r="2882" spans="1:26" s="29" customFormat="1" ht="90.75" customHeight="1" x14ac:dyDescent="0.25">
      <c r="A2882" s="20">
        <v>1478</v>
      </c>
      <c r="B2882" s="20" t="s">
        <v>0</v>
      </c>
      <c r="C2882" s="20">
        <v>23139</v>
      </c>
      <c r="D2882" s="21">
        <v>0</v>
      </c>
      <c r="E2882" s="21">
        <v>2</v>
      </c>
      <c r="F2882" s="22">
        <v>28</v>
      </c>
      <c r="G2882" s="23" t="s">
        <v>209</v>
      </c>
      <c r="H2882" s="24">
        <f>(D2882*400)+(E2882*100)+F2882</f>
        <v>228</v>
      </c>
      <c r="I2882" s="25" t="s">
        <v>23</v>
      </c>
      <c r="J2882" s="24">
        <f t="shared" si="649"/>
        <v>228000</v>
      </c>
      <c r="K2882" s="20">
        <v>1</v>
      </c>
      <c r="L2882" s="20" t="s">
        <v>28</v>
      </c>
      <c r="M2882" s="20" t="s">
        <v>13</v>
      </c>
      <c r="N2882" s="20">
        <v>3</v>
      </c>
      <c r="O2882" s="24">
        <v>330</v>
      </c>
      <c r="P2882" s="24">
        <v>100</v>
      </c>
      <c r="Q2882" s="25">
        <v>5500</v>
      </c>
      <c r="R2882" s="77">
        <f t="shared" si="646"/>
        <v>1815000</v>
      </c>
      <c r="S2882" s="20">
        <v>27</v>
      </c>
      <c r="T2882" s="27">
        <f>(R2882*44/100)</f>
        <v>798600</v>
      </c>
      <c r="U2882" s="80">
        <f>(R2882-T2882)</f>
        <v>1016400</v>
      </c>
      <c r="V2882" s="80">
        <f>(J2882+U2882)</f>
        <v>1244400</v>
      </c>
      <c r="W2882" s="26">
        <f>(V2882*100/100)</f>
        <v>1244400</v>
      </c>
      <c r="X2882" s="47">
        <v>0</v>
      </c>
      <c r="Y2882" s="80">
        <f>(W2882-X2882)</f>
        <v>1244400</v>
      </c>
      <c r="Z2882" s="49">
        <v>3.0000000000000001E-3</v>
      </c>
    </row>
    <row r="2883" spans="1:26" s="29" customFormat="1" ht="90.75" customHeight="1" x14ac:dyDescent="0.25">
      <c r="A2883" s="20">
        <v>1479</v>
      </c>
      <c r="B2883" s="20" t="s">
        <v>0</v>
      </c>
      <c r="C2883" s="20">
        <v>13967</v>
      </c>
      <c r="D2883" s="21">
        <v>50</v>
      </c>
      <c r="E2883" s="21">
        <v>0</v>
      </c>
      <c r="F2883" s="22">
        <v>22</v>
      </c>
      <c r="G2883" s="23" t="s">
        <v>209</v>
      </c>
      <c r="H2883" s="24">
        <f>(D2883*400)+(E2883*100)+F2883</f>
        <v>20022</v>
      </c>
      <c r="I2883" s="25" t="s">
        <v>9</v>
      </c>
      <c r="J2883" s="24">
        <f t="shared" si="649"/>
        <v>6006600</v>
      </c>
      <c r="K2883" s="20"/>
      <c r="L2883" s="20"/>
      <c r="M2883" s="20"/>
      <c r="N2883" s="20"/>
      <c r="O2883" s="24"/>
      <c r="P2883" s="24"/>
      <c r="Q2883" s="25"/>
      <c r="R2883" s="24"/>
      <c r="S2883" s="20"/>
      <c r="T2883" s="27"/>
      <c r="U2883" s="20"/>
      <c r="V2883" s="27">
        <f>(J2883+U2883)</f>
        <v>6006600</v>
      </c>
      <c r="W2883" s="26">
        <f>(V2883*100/100)</f>
        <v>6006600</v>
      </c>
      <c r="X2883" s="47">
        <v>0</v>
      </c>
      <c r="Y2883" s="80">
        <f>(W2883-X2883)</f>
        <v>6006600</v>
      </c>
      <c r="Z2883" s="49">
        <v>3.0000000000000001E-3</v>
      </c>
    </row>
    <row r="2884" spans="1:26" s="29" customFormat="1" ht="90.75" customHeight="1" x14ac:dyDescent="0.25">
      <c r="A2884" s="20">
        <v>1480</v>
      </c>
      <c r="B2884" s="20" t="s">
        <v>0</v>
      </c>
      <c r="C2884" s="20">
        <v>40987</v>
      </c>
      <c r="D2884" s="21">
        <v>7</v>
      </c>
      <c r="E2884" s="21">
        <v>3</v>
      </c>
      <c r="F2884" s="22">
        <v>11</v>
      </c>
      <c r="G2884" s="23" t="s">
        <v>211</v>
      </c>
      <c r="H2884" s="24">
        <f>(D2884*400)+(E2884*100)+F2884</f>
        <v>3111</v>
      </c>
      <c r="I2884" s="25" t="s">
        <v>75</v>
      </c>
      <c r="J2884" s="24">
        <f t="shared" si="649"/>
        <v>1944375</v>
      </c>
      <c r="K2884" s="20"/>
      <c r="L2884" s="20"/>
      <c r="M2884" s="20"/>
      <c r="N2884" s="20"/>
      <c r="O2884" s="24"/>
      <c r="P2884" s="24"/>
      <c r="Q2884" s="25"/>
      <c r="R2884" s="77"/>
      <c r="S2884" s="20"/>
      <c r="T2884" s="27"/>
      <c r="U2884" s="80"/>
      <c r="V2884" s="20"/>
      <c r="W2884" s="26"/>
      <c r="X2884" s="27"/>
      <c r="Y2884" s="20"/>
      <c r="Z2884" s="20"/>
    </row>
    <row r="2885" spans="1:26" s="29" customFormat="1" ht="90.75" customHeight="1" x14ac:dyDescent="0.25">
      <c r="A2885" s="20"/>
      <c r="B2885" s="20"/>
      <c r="C2885" s="20"/>
      <c r="D2885" s="41">
        <v>1</v>
      </c>
      <c r="E2885" s="41">
        <v>0</v>
      </c>
      <c r="F2885" s="43">
        <v>0</v>
      </c>
      <c r="G2885" s="21"/>
      <c r="H2885" s="36">
        <f>(D2885*400)+(E2885*100)+F2885</f>
        <v>400</v>
      </c>
      <c r="I2885" s="40">
        <v>625</v>
      </c>
      <c r="J2885" s="28">
        <f t="shared" si="649"/>
        <v>250000</v>
      </c>
      <c r="K2885" s="37">
        <v>1</v>
      </c>
      <c r="L2885" s="31" t="s">
        <v>43</v>
      </c>
      <c r="M2885" s="31" t="s">
        <v>13</v>
      </c>
      <c r="N2885" s="41">
        <v>2</v>
      </c>
      <c r="O2885" s="42">
        <v>440</v>
      </c>
      <c r="P2885" s="86" t="s">
        <v>256</v>
      </c>
      <c r="Q2885" s="36">
        <v>7700</v>
      </c>
      <c r="R2885" s="36">
        <f>(O2885*Q2885)</f>
        <v>3388000</v>
      </c>
      <c r="S2885" s="37">
        <v>4</v>
      </c>
      <c r="T2885" s="28">
        <f>(R2885*4/100)</f>
        <v>135520</v>
      </c>
      <c r="U2885" s="36">
        <f>(R2885-T2885)</f>
        <v>3252480</v>
      </c>
      <c r="V2885" s="36">
        <f>(J2885+U2885)</f>
        <v>3502480</v>
      </c>
      <c r="W2885" s="36">
        <f>(V2885*100/100)</f>
        <v>3502480</v>
      </c>
      <c r="X2885" s="28">
        <v>0</v>
      </c>
      <c r="Y2885" s="28">
        <f>(W2885-X2885)</f>
        <v>3502480</v>
      </c>
      <c r="Z2885" s="49">
        <v>2.0000000000000001E-4</v>
      </c>
    </row>
    <row r="2886" spans="1:26" s="29" customFormat="1" ht="90.75" customHeight="1" x14ac:dyDescent="0.25">
      <c r="A2886" s="20">
        <v>1481</v>
      </c>
      <c r="B2886" s="20" t="s">
        <v>0</v>
      </c>
      <c r="C2886" s="20">
        <v>14761</v>
      </c>
      <c r="D2886" s="21">
        <v>32</v>
      </c>
      <c r="E2886" s="21">
        <v>1</v>
      </c>
      <c r="F2886" s="22">
        <v>44</v>
      </c>
      <c r="G2886" s="23" t="s">
        <v>209</v>
      </c>
      <c r="H2886" s="24">
        <f>(D2886*400)+(E2886*100)+F2886</f>
        <v>12944</v>
      </c>
      <c r="I2886" s="25" t="s">
        <v>75</v>
      </c>
      <c r="J2886" s="24">
        <f t="shared" si="649"/>
        <v>8090000</v>
      </c>
      <c r="K2886" s="20"/>
      <c r="L2886" s="20"/>
      <c r="M2886" s="20"/>
      <c r="N2886" s="20"/>
      <c r="O2886" s="24"/>
      <c r="P2886" s="24"/>
      <c r="Q2886" s="25"/>
      <c r="R2886" s="24"/>
      <c r="S2886" s="20"/>
      <c r="T2886" s="27"/>
      <c r="U2886" s="20"/>
      <c r="V2886" s="20"/>
      <c r="W2886" s="26"/>
      <c r="X2886" s="27"/>
      <c r="Y2886" s="20"/>
      <c r="Z2886" s="20"/>
    </row>
    <row r="2887" spans="1:26" s="29" customFormat="1" ht="90.75" customHeight="1" x14ac:dyDescent="0.25">
      <c r="A2887" s="20"/>
      <c r="B2887" s="20"/>
      <c r="C2887" s="20"/>
      <c r="D2887" s="21"/>
      <c r="E2887" s="21"/>
      <c r="F2887" s="22"/>
      <c r="G2887" s="23"/>
      <c r="H2887" s="24">
        <v>12014</v>
      </c>
      <c r="I2887" s="25">
        <v>625</v>
      </c>
      <c r="J2887" s="24">
        <f t="shared" si="649"/>
        <v>7508750</v>
      </c>
      <c r="K2887" s="20">
        <v>1</v>
      </c>
      <c r="L2887" s="20" t="s">
        <v>16</v>
      </c>
      <c r="M2887" s="20" t="s">
        <v>13</v>
      </c>
      <c r="N2887" s="20">
        <v>2</v>
      </c>
      <c r="O2887" s="24">
        <v>64</v>
      </c>
      <c r="P2887" s="24">
        <v>100</v>
      </c>
      <c r="Q2887" s="25">
        <v>6450</v>
      </c>
      <c r="R2887" s="77">
        <f t="shared" ref="R2887:R2888" si="650">(O2887*Q2887)</f>
        <v>412800</v>
      </c>
      <c r="S2887" s="20">
        <v>3</v>
      </c>
      <c r="T2887" s="27">
        <f>(R2887*3/100)</f>
        <v>12384</v>
      </c>
      <c r="U2887" s="80">
        <f>(R2887-T2887)</f>
        <v>400416</v>
      </c>
      <c r="V2887" s="80">
        <f>(J2887+U2887)</f>
        <v>7909166</v>
      </c>
      <c r="W2887" s="26">
        <f>(V2887*100/100)</f>
        <v>7909166</v>
      </c>
      <c r="X2887" s="24">
        <v>50000000</v>
      </c>
      <c r="Y2887" s="20"/>
      <c r="Z2887" s="20"/>
    </row>
    <row r="2888" spans="1:26" s="29" customFormat="1" ht="90.75" customHeight="1" x14ac:dyDescent="0.25">
      <c r="A2888" s="20"/>
      <c r="B2888" s="20"/>
      <c r="C2888" s="20"/>
      <c r="D2888" s="21"/>
      <c r="E2888" s="21"/>
      <c r="F2888" s="22"/>
      <c r="G2888" s="23"/>
      <c r="H2888" s="24">
        <v>130</v>
      </c>
      <c r="I2888" s="25" t="s">
        <v>75</v>
      </c>
      <c r="J2888" s="24">
        <f t="shared" si="649"/>
        <v>81250</v>
      </c>
      <c r="K2888" s="20">
        <v>2</v>
      </c>
      <c r="L2888" s="20" t="s">
        <v>15</v>
      </c>
      <c r="M2888" s="20" t="s">
        <v>13</v>
      </c>
      <c r="N2888" s="20">
        <v>3</v>
      </c>
      <c r="O2888" s="24">
        <v>552</v>
      </c>
      <c r="P2888" s="24">
        <v>100</v>
      </c>
      <c r="Q2888" s="25">
        <v>5950</v>
      </c>
      <c r="R2888" s="77">
        <f t="shared" si="650"/>
        <v>3284400</v>
      </c>
      <c r="S2888" s="20">
        <v>3</v>
      </c>
      <c r="T2888" s="27">
        <f>(R2888*3/100)</f>
        <v>98532</v>
      </c>
      <c r="U2888" s="80">
        <f>(R2888-T2888)</f>
        <v>3185868</v>
      </c>
      <c r="V2888" s="80">
        <f>(J2888+U2888)</f>
        <v>3267118</v>
      </c>
      <c r="W2888" s="26">
        <f>(V2888*100/100)</f>
        <v>3267118</v>
      </c>
      <c r="X2888" s="47">
        <v>0</v>
      </c>
      <c r="Y2888" s="80">
        <f>(W2888-X2888)</f>
        <v>3267118</v>
      </c>
      <c r="Z2888" s="49">
        <v>3.0000000000000001E-3</v>
      </c>
    </row>
    <row r="2889" spans="1:26" s="29" customFormat="1" ht="90.75" customHeight="1" x14ac:dyDescent="0.25">
      <c r="A2889" s="20">
        <v>1482</v>
      </c>
      <c r="B2889" s="20" t="s">
        <v>0</v>
      </c>
      <c r="C2889" s="20">
        <v>11779</v>
      </c>
      <c r="D2889" s="21">
        <v>2</v>
      </c>
      <c r="E2889" s="21">
        <v>0</v>
      </c>
      <c r="F2889" s="22">
        <v>97</v>
      </c>
      <c r="G2889" s="23" t="s">
        <v>56</v>
      </c>
      <c r="H2889" s="24">
        <f>(D2889*400)+(E2889*100)+F2889</f>
        <v>897</v>
      </c>
      <c r="I2889" s="25" t="s">
        <v>78</v>
      </c>
      <c r="J2889" s="24">
        <f t="shared" si="649"/>
        <v>784875</v>
      </c>
      <c r="K2889" s="20"/>
      <c r="L2889" s="20"/>
      <c r="M2889" s="20"/>
      <c r="N2889" s="20"/>
      <c r="O2889" s="24"/>
      <c r="P2889" s="24"/>
      <c r="Q2889" s="25"/>
      <c r="R2889" s="24"/>
      <c r="S2889" s="20"/>
      <c r="T2889" s="27"/>
      <c r="U2889" s="20"/>
      <c r="V2889" s="20"/>
      <c r="W2889" s="26"/>
      <c r="X2889" s="27"/>
      <c r="Y2889" s="20"/>
      <c r="Z2889" s="20"/>
    </row>
    <row r="2890" spans="1:26" s="29" customFormat="1" ht="90.75" customHeight="1" x14ac:dyDescent="0.25">
      <c r="A2890" s="20"/>
      <c r="B2890" s="20"/>
      <c r="C2890" s="20"/>
      <c r="D2890" s="21"/>
      <c r="E2890" s="21"/>
      <c r="F2890" s="22"/>
      <c r="G2890" s="23"/>
      <c r="H2890" s="36">
        <v>798.5</v>
      </c>
      <c r="I2890" s="40">
        <v>875</v>
      </c>
      <c r="J2890" s="28">
        <f t="shared" ref="J2890:J2901" si="651">(H2890*I2890)</f>
        <v>698687.5</v>
      </c>
      <c r="K2890" s="37">
        <v>1</v>
      </c>
      <c r="L2890" s="31" t="s">
        <v>215</v>
      </c>
      <c r="M2890" s="31" t="s">
        <v>13</v>
      </c>
      <c r="N2890" s="41">
        <v>2</v>
      </c>
      <c r="O2890" s="42">
        <v>120</v>
      </c>
      <c r="P2890" s="35">
        <v>100</v>
      </c>
      <c r="Q2890" s="36">
        <v>6450</v>
      </c>
      <c r="R2890" s="36">
        <f t="shared" ref="R2890:R2901" si="652">(O2890*Q2890)</f>
        <v>774000</v>
      </c>
      <c r="S2890" s="37">
        <v>5</v>
      </c>
      <c r="T2890" s="28">
        <f>(R2890*5/100)</f>
        <v>38700</v>
      </c>
      <c r="U2890" s="36">
        <f t="shared" ref="U2890:U2901" si="653">(R2890-T2890)</f>
        <v>735300</v>
      </c>
      <c r="V2890" s="36">
        <f t="shared" ref="V2890:V2901" si="654">(J2890+U2890)</f>
        <v>1433987.5</v>
      </c>
      <c r="W2890" s="36">
        <f t="shared" ref="W2890:W2901" si="655">(V2890*100/100)</f>
        <v>1433987.5</v>
      </c>
      <c r="X2890" s="28">
        <v>50000000</v>
      </c>
      <c r="Y2890" s="28"/>
      <c r="Z2890" s="49"/>
    </row>
    <row r="2891" spans="1:26" s="29" customFormat="1" ht="90.75" customHeight="1" x14ac:dyDescent="0.25">
      <c r="A2891" s="20"/>
      <c r="B2891" s="20"/>
      <c r="C2891" s="20"/>
      <c r="D2891" s="21"/>
      <c r="E2891" s="21"/>
      <c r="F2891" s="22"/>
      <c r="G2891" s="23"/>
      <c r="H2891" s="36">
        <f t="shared" ref="H2891:H2901" si="656">(O2891*0.25)</f>
        <v>12</v>
      </c>
      <c r="I2891" s="40">
        <v>875</v>
      </c>
      <c r="J2891" s="28">
        <f t="shared" si="651"/>
        <v>10500</v>
      </c>
      <c r="K2891" s="37">
        <v>2</v>
      </c>
      <c r="L2891" s="31" t="s">
        <v>215</v>
      </c>
      <c r="M2891" s="31" t="s">
        <v>13</v>
      </c>
      <c r="N2891" s="41">
        <v>2</v>
      </c>
      <c r="O2891" s="48">
        <v>48</v>
      </c>
      <c r="P2891" s="35">
        <v>100</v>
      </c>
      <c r="Q2891" s="36">
        <v>6450</v>
      </c>
      <c r="R2891" s="36">
        <f t="shared" si="652"/>
        <v>309600</v>
      </c>
      <c r="S2891" s="37">
        <v>5</v>
      </c>
      <c r="T2891" s="28">
        <f t="shared" ref="T2891:T2901" si="657">(R2891*5/100)</f>
        <v>15480</v>
      </c>
      <c r="U2891" s="36">
        <f t="shared" si="653"/>
        <v>294120</v>
      </c>
      <c r="V2891" s="36">
        <f t="shared" si="654"/>
        <v>304620</v>
      </c>
      <c r="W2891" s="36">
        <f t="shared" si="655"/>
        <v>304620</v>
      </c>
      <c r="X2891" s="28">
        <v>0</v>
      </c>
      <c r="Y2891" s="28">
        <f t="shared" ref="Y2891:Y2901" si="658">(W2891-X2891)</f>
        <v>304620</v>
      </c>
      <c r="Z2891" s="49">
        <v>2.0000000000000001E-4</v>
      </c>
    </row>
    <row r="2892" spans="1:26" s="29" customFormat="1" ht="90.75" customHeight="1" x14ac:dyDescent="0.25">
      <c r="A2892" s="20"/>
      <c r="B2892" s="20"/>
      <c r="C2892" s="20"/>
      <c r="D2892" s="21"/>
      <c r="E2892" s="21"/>
      <c r="F2892" s="22"/>
      <c r="G2892" s="23"/>
      <c r="H2892" s="36">
        <f t="shared" si="656"/>
        <v>4</v>
      </c>
      <c r="I2892" s="40">
        <v>875</v>
      </c>
      <c r="J2892" s="28">
        <f t="shared" si="651"/>
        <v>3500</v>
      </c>
      <c r="K2892" s="37">
        <v>3</v>
      </c>
      <c r="L2892" s="31" t="s">
        <v>31</v>
      </c>
      <c r="M2892" s="31"/>
      <c r="N2892" s="41">
        <v>2</v>
      </c>
      <c r="O2892" s="48">
        <v>16</v>
      </c>
      <c r="P2892" s="35">
        <v>100</v>
      </c>
      <c r="Q2892" s="36">
        <v>2550</v>
      </c>
      <c r="R2892" s="36">
        <f t="shared" si="652"/>
        <v>40800</v>
      </c>
      <c r="S2892" s="37">
        <v>5</v>
      </c>
      <c r="T2892" s="28">
        <f t="shared" si="657"/>
        <v>2040</v>
      </c>
      <c r="U2892" s="36">
        <f t="shared" si="653"/>
        <v>38760</v>
      </c>
      <c r="V2892" s="36">
        <f t="shared" si="654"/>
        <v>42260</v>
      </c>
      <c r="W2892" s="36">
        <f t="shared" si="655"/>
        <v>42260</v>
      </c>
      <c r="X2892" s="28">
        <v>0</v>
      </c>
      <c r="Y2892" s="28">
        <f t="shared" si="658"/>
        <v>42260</v>
      </c>
      <c r="Z2892" s="49">
        <v>2.0000000000000001E-4</v>
      </c>
    </row>
    <row r="2893" spans="1:26" s="29" customFormat="1" ht="90.75" customHeight="1" x14ac:dyDescent="0.25">
      <c r="A2893" s="20"/>
      <c r="B2893" s="20"/>
      <c r="C2893" s="20"/>
      <c r="D2893" s="21"/>
      <c r="E2893" s="21"/>
      <c r="F2893" s="22"/>
      <c r="G2893" s="23"/>
      <c r="H2893" s="36">
        <f t="shared" si="656"/>
        <v>12</v>
      </c>
      <c r="I2893" s="40">
        <v>875</v>
      </c>
      <c r="J2893" s="28">
        <f t="shared" si="651"/>
        <v>10500</v>
      </c>
      <c r="K2893" s="37">
        <v>4</v>
      </c>
      <c r="L2893" s="31" t="s">
        <v>215</v>
      </c>
      <c r="M2893" s="31" t="s">
        <v>13</v>
      </c>
      <c r="N2893" s="41">
        <v>2</v>
      </c>
      <c r="O2893" s="48">
        <v>48</v>
      </c>
      <c r="P2893" s="35">
        <v>100</v>
      </c>
      <c r="Q2893" s="36">
        <v>6450</v>
      </c>
      <c r="R2893" s="36">
        <f t="shared" si="652"/>
        <v>309600</v>
      </c>
      <c r="S2893" s="37">
        <v>5</v>
      </c>
      <c r="T2893" s="28">
        <f t="shared" si="657"/>
        <v>15480</v>
      </c>
      <c r="U2893" s="36">
        <f t="shared" si="653"/>
        <v>294120</v>
      </c>
      <c r="V2893" s="36">
        <f t="shared" si="654"/>
        <v>304620</v>
      </c>
      <c r="W2893" s="36">
        <f t="shared" si="655"/>
        <v>304620</v>
      </c>
      <c r="X2893" s="28">
        <v>0</v>
      </c>
      <c r="Y2893" s="28">
        <f t="shared" si="658"/>
        <v>304620</v>
      </c>
      <c r="Z2893" s="49">
        <v>2.0000000000000001E-4</v>
      </c>
    </row>
    <row r="2894" spans="1:26" s="29" customFormat="1" ht="90.75" customHeight="1" x14ac:dyDescent="0.25">
      <c r="A2894" s="20"/>
      <c r="B2894" s="20"/>
      <c r="C2894" s="20"/>
      <c r="D2894" s="21"/>
      <c r="E2894" s="21"/>
      <c r="F2894" s="22"/>
      <c r="G2894" s="23"/>
      <c r="H2894" s="36">
        <f t="shared" si="656"/>
        <v>4</v>
      </c>
      <c r="I2894" s="40">
        <v>875</v>
      </c>
      <c r="J2894" s="28">
        <f t="shared" si="651"/>
        <v>3500</v>
      </c>
      <c r="K2894" s="37">
        <v>5</v>
      </c>
      <c r="L2894" s="31" t="s">
        <v>31</v>
      </c>
      <c r="M2894" s="31"/>
      <c r="N2894" s="41">
        <v>2</v>
      </c>
      <c r="O2894" s="48">
        <v>16</v>
      </c>
      <c r="P2894" s="35">
        <v>100</v>
      </c>
      <c r="Q2894" s="36">
        <v>2550</v>
      </c>
      <c r="R2894" s="36">
        <f t="shared" si="652"/>
        <v>40800</v>
      </c>
      <c r="S2894" s="37">
        <v>5</v>
      </c>
      <c r="T2894" s="28">
        <f t="shared" si="657"/>
        <v>2040</v>
      </c>
      <c r="U2894" s="36">
        <f t="shared" si="653"/>
        <v>38760</v>
      </c>
      <c r="V2894" s="36">
        <f t="shared" si="654"/>
        <v>42260</v>
      </c>
      <c r="W2894" s="36">
        <f t="shared" si="655"/>
        <v>42260</v>
      </c>
      <c r="X2894" s="28">
        <v>0</v>
      </c>
      <c r="Y2894" s="28">
        <f t="shared" si="658"/>
        <v>42260</v>
      </c>
      <c r="Z2894" s="49">
        <v>2.0000000000000001E-4</v>
      </c>
    </row>
    <row r="2895" spans="1:26" s="29" customFormat="1" ht="90.75" customHeight="1" x14ac:dyDescent="0.25">
      <c r="A2895" s="20"/>
      <c r="B2895" s="20"/>
      <c r="C2895" s="20"/>
      <c r="D2895" s="21"/>
      <c r="E2895" s="21"/>
      <c r="F2895" s="22"/>
      <c r="G2895" s="23"/>
      <c r="H2895" s="36">
        <f t="shared" si="656"/>
        <v>12</v>
      </c>
      <c r="I2895" s="40">
        <v>875</v>
      </c>
      <c r="J2895" s="28">
        <f t="shared" si="651"/>
        <v>10500</v>
      </c>
      <c r="K2895" s="37">
        <v>6</v>
      </c>
      <c r="L2895" s="31" t="s">
        <v>215</v>
      </c>
      <c r="M2895" s="31" t="s">
        <v>13</v>
      </c>
      <c r="N2895" s="41">
        <v>2</v>
      </c>
      <c r="O2895" s="48">
        <v>48</v>
      </c>
      <c r="P2895" s="35">
        <v>100</v>
      </c>
      <c r="Q2895" s="36">
        <v>6450</v>
      </c>
      <c r="R2895" s="36">
        <f t="shared" si="652"/>
        <v>309600</v>
      </c>
      <c r="S2895" s="37">
        <v>5</v>
      </c>
      <c r="T2895" s="28">
        <f t="shared" si="657"/>
        <v>15480</v>
      </c>
      <c r="U2895" s="36">
        <f t="shared" si="653"/>
        <v>294120</v>
      </c>
      <c r="V2895" s="36">
        <f t="shared" si="654"/>
        <v>304620</v>
      </c>
      <c r="W2895" s="36">
        <f t="shared" si="655"/>
        <v>304620</v>
      </c>
      <c r="X2895" s="28">
        <v>0</v>
      </c>
      <c r="Y2895" s="28">
        <f t="shared" si="658"/>
        <v>304620</v>
      </c>
      <c r="Z2895" s="49">
        <v>2.0000000000000001E-4</v>
      </c>
    </row>
    <row r="2896" spans="1:26" s="29" customFormat="1" ht="90.75" customHeight="1" x14ac:dyDescent="0.25">
      <c r="A2896" s="20"/>
      <c r="B2896" s="20"/>
      <c r="C2896" s="20"/>
      <c r="D2896" s="21"/>
      <c r="E2896" s="21"/>
      <c r="F2896" s="22"/>
      <c r="G2896" s="23"/>
      <c r="H2896" s="36">
        <f t="shared" si="656"/>
        <v>4</v>
      </c>
      <c r="I2896" s="40">
        <v>875</v>
      </c>
      <c r="J2896" s="28">
        <f t="shared" si="651"/>
        <v>3500</v>
      </c>
      <c r="K2896" s="37">
        <v>7</v>
      </c>
      <c r="L2896" s="31" t="s">
        <v>31</v>
      </c>
      <c r="M2896" s="31"/>
      <c r="N2896" s="41">
        <v>2</v>
      </c>
      <c r="O2896" s="48">
        <v>16</v>
      </c>
      <c r="P2896" s="35">
        <v>100</v>
      </c>
      <c r="Q2896" s="36">
        <v>2550</v>
      </c>
      <c r="R2896" s="36">
        <f t="shared" si="652"/>
        <v>40800</v>
      </c>
      <c r="S2896" s="37">
        <v>5</v>
      </c>
      <c r="T2896" s="28">
        <f t="shared" si="657"/>
        <v>2040</v>
      </c>
      <c r="U2896" s="36">
        <f t="shared" si="653"/>
        <v>38760</v>
      </c>
      <c r="V2896" s="36">
        <f t="shared" si="654"/>
        <v>42260</v>
      </c>
      <c r="W2896" s="36">
        <f t="shared" si="655"/>
        <v>42260</v>
      </c>
      <c r="X2896" s="28">
        <v>0</v>
      </c>
      <c r="Y2896" s="28">
        <f t="shared" si="658"/>
        <v>42260</v>
      </c>
      <c r="Z2896" s="49">
        <v>2.0000000000000001E-4</v>
      </c>
    </row>
    <row r="2897" spans="1:26" s="29" customFormat="1" ht="90.75" customHeight="1" x14ac:dyDescent="0.25">
      <c r="A2897" s="20"/>
      <c r="B2897" s="20"/>
      <c r="C2897" s="20"/>
      <c r="D2897" s="21"/>
      <c r="E2897" s="21"/>
      <c r="F2897" s="22"/>
      <c r="G2897" s="23"/>
      <c r="H2897" s="36">
        <f t="shared" si="656"/>
        <v>7.3125</v>
      </c>
      <c r="I2897" s="40">
        <v>875</v>
      </c>
      <c r="J2897" s="28">
        <f t="shared" si="651"/>
        <v>6398.4375</v>
      </c>
      <c r="K2897" s="37">
        <v>8</v>
      </c>
      <c r="L2897" s="31" t="s">
        <v>215</v>
      </c>
      <c r="M2897" s="31" t="s">
        <v>13</v>
      </c>
      <c r="N2897" s="41">
        <v>2</v>
      </c>
      <c r="O2897" s="48">
        <v>29.25</v>
      </c>
      <c r="P2897" s="35">
        <v>100</v>
      </c>
      <c r="Q2897" s="36">
        <v>6450</v>
      </c>
      <c r="R2897" s="36">
        <f t="shared" si="652"/>
        <v>188662.5</v>
      </c>
      <c r="S2897" s="37">
        <v>5</v>
      </c>
      <c r="T2897" s="28">
        <f t="shared" si="657"/>
        <v>9433.125</v>
      </c>
      <c r="U2897" s="36">
        <f t="shared" si="653"/>
        <v>179229.375</v>
      </c>
      <c r="V2897" s="36">
        <f t="shared" si="654"/>
        <v>185627.8125</v>
      </c>
      <c r="W2897" s="36">
        <f t="shared" si="655"/>
        <v>185627.8125</v>
      </c>
      <c r="X2897" s="28">
        <v>0</v>
      </c>
      <c r="Y2897" s="28">
        <f t="shared" si="658"/>
        <v>185627.8125</v>
      </c>
      <c r="Z2897" s="49">
        <v>2.0000000000000001E-4</v>
      </c>
    </row>
    <row r="2898" spans="1:26" s="29" customFormat="1" ht="90.75" customHeight="1" x14ac:dyDescent="0.25">
      <c r="A2898" s="20"/>
      <c r="B2898" s="20"/>
      <c r="C2898" s="20"/>
      <c r="D2898" s="21"/>
      <c r="E2898" s="21"/>
      <c r="F2898" s="22"/>
      <c r="G2898" s="23"/>
      <c r="H2898" s="36">
        <f t="shared" si="656"/>
        <v>21.25</v>
      </c>
      <c r="I2898" s="40">
        <v>875</v>
      </c>
      <c r="J2898" s="28">
        <f t="shared" si="651"/>
        <v>18593.75</v>
      </c>
      <c r="K2898" s="37">
        <v>9</v>
      </c>
      <c r="L2898" s="31" t="s">
        <v>31</v>
      </c>
      <c r="M2898" s="31"/>
      <c r="N2898" s="41">
        <v>2</v>
      </c>
      <c r="O2898" s="48">
        <v>85</v>
      </c>
      <c r="P2898" s="35">
        <v>100</v>
      </c>
      <c r="Q2898" s="36">
        <v>2550</v>
      </c>
      <c r="R2898" s="36">
        <f t="shared" si="652"/>
        <v>216750</v>
      </c>
      <c r="S2898" s="37">
        <v>5</v>
      </c>
      <c r="T2898" s="28">
        <f t="shared" si="657"/>
        <v>10837.5</v>
      </c>
      <c r="U2898" s="36">
        <f t="shared" si="653"/>
        <v>205912.5</v>
      </c>
      <c r="V2898" s="36">
        <f t="shared" si="654"/>
        <v>224506.25</v>
      </c>
      <c r="W2898" s="36">
        <f t="shared" si="655"/>
        <v>224506.25</v>
      </c>
      <c r="X2898" s="28">
        <v>0</v>
      </c>
      <c r="Y2898" s="28">
        <f t="shared" si="658"/>
        <v>224506.25</v>
      </c>
      <c r="Z2898" s="49">
        <v>2.0000000000000001E-4</v>
      </c>
    </row>
    <row r="2899" spans="1:26" s="29" customFormat="1" ht="90.75" customHeight="1" x14ac:dyDescent="0.25">
      <c r="A2899" s="20"/>
      <c r="B2899" s="20"/>
      <c r="C2899" s="20"/>
      <c r="D2899" s="21"/>
      <c r="E2899" s="21"/>
      <c r="F2899" s="22"/>
      <c r="G2899" s="23"/>
      <c r="H2899" s="36">
        <f t="shared" si="656"/>
        <v>7.3125</v>
      </c>
      <c r="I2899" s="40">
        <v>875</v>
      </c>
      <c r="J2899" s="28">
        <f t="shared" si="651"/>
        <v>6398.4375</v>
      </c>
      <c r="K2899" s="37">
        <v>10</v>
      </c>
      <c r="L2899" s="31" t="s">
        <v>215</v>
      </c>
      <c r="M2899" s="31" t="s">
        <v>13</v>
      </c>
      <c r="N2899" s="41">
        <v>2</v>
      </c>
      <c r="O2899" s="48">
        <v>29.25</v>
      </c>
      <c r="P2899" s="35">
        <v>100</v>
      </c>
      <c r="Q2899" s="36">
        <v>6450</v>
      </c>
      <c r="R2899" s="36">
        <f t="shared" si="652"/>
        <v>188662.5</v>
      </c>
      <c r="S2899" s="37">
        <v>5</v>
      </c>
      <c r="T2899" s="28">
        <f t="shared" si="657"/>
        <v>9433.125</v>
      </c>
      <c r="U2899" s="36">
        <f t="shared" si="653"/>
        <v>179229.375</v>
      </c>
      <c r="V2899" s="36">
        <f t="shared" si="654"/>
        <v>185627.8125</v>
      </c>
      <c r="W2899" s="36">
        <f t="shared" si="655"/>
        <v>185627.8125</v>
      </c>
      <c r="X2899" s="28">
        <v>0</v>
      </c>
      <c r="Y2899" s="28">
        <f t="shared" si="658"/>
        <v>185627.8125</v>
      </c>
      <c r="Z2899" s="49">
        <v>2.0000000000000001E-4</v>
      </c>
    </row>
    <row r="2900" spans="1:26" s="29" customFormat="1" ht="90.75" customHeight="1" x14ac:dyDescent="0.25">
      <c r="A2900" s="20"/>
      <c r="B2900" s="20"/>
      <c r="C2900" s="20"/>
      <c r="D2900" s="21"/>
      <c r="E2900" s="21"/>
      <c r="F2900" s="22"/>
      <c r="G2900" s="23"/>
      <c r="H2900" s="36">
        <f t="shared" si="656"/>
        <v>7.3125</v>
      </c>
      <c r="I2900" s="40">
        <v>875</v>
      </c>
      <c r="J2900" s="28">
        <f t="shared" si="651"/>
        <v>6398.4375</v>
      </c>
      <c r="K2900" s="37">
        <v>11</v>
      </c>
      <c r="L2900" s="31" t="s">
        <v>215</v>
      </c>
      <c r="M2900" s="31" t="s">
        <v>13</v>
      </c>
      <c r="N2900" s="41">
        <v>2</v>
      </c>
      <c r="O2900" s="48">
        <v>29.25</v>
      </c>
      <c r="P2900" s="35">
        <v>100</v>
      </c>
      <c r="Q2900" s="36">
        <v>6450</v>
      </c>
      <c r="R2900" s="36">
        <f t="shared" si="652"/>
        <v>188662.5</v>
      </c>
      <c r="S2900" s="37">
        <v>5</v>
      </c>
      <c r="T2900" s="28">
        <f t="shared" si="657"/>
        <v>9433.125</v>
      </c>
      <c r="U2900" s="36">
        <f t="shared" si="653"/>
        <v>179229.375</v>
      </c>
      <c r="V2900" s="36">
        <f t="shared" si="654"/>
        <v>185627.8125</v>
      </c>
      <c r="W2900" s="36">
        <f t="shared" si="655"/>
        <v>185627.8125</v>
      </c>
      <c r="X2900" s="28">
        <v>0</v>
      </c>
      <c r="Y2900" s="28">
        <f t="shared" si="658"/>
        <v>185627.8125</v>
      </c>
      <c r="Z2900" s="49">
        <v>2.0000000000000001E-4</v>
      </c>
    </row>
    <row r="2901" spans="1:26" s="29" customFormat="1" ht="90.75" customHeight="1" x14ac:dyDescent="0.25">
      <c r="A2901" s="20"/>
      <c r="B2901" s="20"/>
      <c r="C2901" s="20"/>
      <c r="D2901" s="21"/>
      <c r="E2901" s="21"/>
      <c r="F2901" s="22"/>
      <c r="G2901" s="23"/>
      <c r="H2901" s="36">
        <f t="shared" si="656"/>
        <v>7.3125</v>
      </c>
      <c r="I2901" s="40">
        <v>875</v>
      </c>
      <c r="J2901" s="28">
        <f t="shared" si="651"/>
        <v>6398.4375</v>
      </c>
      <c r="K2901" s="37">
        <v>12</v>
      </c>
      <c r="L2901" s="31" t="s">
        <v>215</v>
      </c>
      <c r="M2901" s="31" t="s">
        <v>13</v>
      </c>
      <c r="N2901" s="41">
        <v>2</v>
      </c>
      <c r="O2901" s="48">
        <v>29.25</v>
      </c>
      <c r="P2901" s="35">
        <v>100</v>
      </c>
      <c r="Q2901" s="36">
        <v>6450</v>
      </c>
      <c r="R2901" s="36">
        <f t="shared" si="652"/>
        <v>188662.5</v>
      </c>
      <c r="S2901" s="37">
        <v>5</v>
      </c>
      <c r="T2901" s="28">
        <f t="shared" si="657"/>
        <v>9433.125</v>
      </c>
      <c r="U2901" s="36">
        <f t="shared" si="653"/>
        <v>179229.375</v>
      </c>
      <c r="V2901" s="36">
        <f t="shared" si="654"/>
        <v>185627.8125</v>
      </c>
      <c r="W2901" s="36">
        <f t="shared" si="655"/>
        <v>185627.8125</v>
      </c>
      <c r="X2901" s="28">
        <v>0</v>
      </c>
      <c r="Y2901" s="28">
        <f t="shared" si="658"/>
        <v>185627.8125</v>
      </c>
      <c r="Z2901" s="49">
        <v>2.0000000000000001E-4</v>
      </c>
    </row>
    <row r="2902" spans="1:26" s="29" customFormat="1" ht="90.75" customHeight="1" x14ac:dyDescent="0.25">
      <c r="A2902" s="20">
        <v>1483</v>
      </c>
      <c r="B2902" s="20" t="s">
        <v>0</v>
      </c>
      <c r="C2902" s="20">
        <v>11652</v>
      </c>
      <c r="D2902" s="21">
        <v>6</v>
      </c>
      <c r="E2902" s="21">
        <v>0</v>
      </c>
      <c r="F2902" s="22">
        <v>57</v>
      </c>
      <c r="G2902" s="23" t="s">
        <v>56</v>
      </c>
      <c r="H2902" s="24">
        <f>(D2902*400)+(E2902*100)+F2902</f>
        <v>2457</v>
      </c>
      <c r="I2902" s="25" t="s">
        <v>75</v>
      </c>
      <c r="J2902" s="24">
        <f>(H2902*I2902)</f>
        <v>1535625</v>
      </c>
      <c r="K2902" s="20"/>
      <c r="L2902" s="20"/>
      <c r="M2902" s="20"/>
      <c r="N2902" s="20"/>
      <c r="O2902" s="24"/>
      <c r="P2902" s="24"/>
      <c r="Q2902" s="25"/>
      <c r="R2902" s="24"/>
      <c r="S2902" s="20"/>
      <c r="T2902" s="27"/>
      <c r="U2902" s="20"/>
      <c r="V2902" s="20"/>
      <c r="W2902" s="26"/>
      <c r="X2902" s="27"/>
      <c r="Y2902" s="20"/>
      <c r="Z2902" s="20"/>
    </row>
    <row r="2903" spans="1:26" s="29" customFormat="1" ht="90.75" customHeight="1" x14ac:dyDescent="0.25">
      <c r="A2903" s="20"/>
      <c r="B2903" s="20"/>
      <c r="C2903" s="20"/>
      <c r="D2903" s="21"/>
      <c r="E2903" s="21"/>
      <c r="F2903" s="22"/>
      <c r="G2903" s="23"/>
      <c r="H2903" s="36">
        <v>1637</v>
      </c>
      <c r="I2903" s="40" t="s">
        <v>75</v>
      </c>
      <c r="J2903" s="28">
        <f>(H2903*I2903)</f>
        <v>1023125</v>
      </c>
      <c r="K2903" s="30"/>
      <c r="L2903" s="31"/>
      <c r="M2903" s="31"/>
      <c r="N2903" s="41"/>
      <c r="O2903" s="42"/>
      <c r="P2903" s="35"/>
      <c r="Q2903" s="36"/>
      <c r="R2903" s="36"/>
      <c r="S2903" s="37"/>
      <c r="T2903" s="28"/>
      <c r="U2903" s="36"/>
      <c r="V2903" s="36"/>
      <c r="W2903" s="36"/>
      <c r="X2903" s="28"/>
      <c r="Y2903" s="28"/>
      <c r="Z2903" s="49"/>
    </row>
    <row r="2904" spans="1:26" s="29" customFormat="1" ht="90.75" customHeight="1" x14ac:dyDescent="0.25">
      <c r="A2904" s="20"/>
      <c r="B2904" s="20"/>
      <c r="C2904" s="20"/>
      <c r="D2904" s="21"/>
      <c r="E2904" s="21"/>
      <c r="F2904" s="22"/>
      <c r="G2904" s="23"/>
      <c r="H2904" s="36"/>
      <c r="I2904" s="40"/>
      <c r="J2904" s="28"/>
      <c r="K2904" s="30">
        <v>1</v>
      </c>
      <c r="L2904" s="31" t="s">
        <v>215</v>
      </c>
      <c r="M2904" s="31" t="s">
        <v>13</v>
      </c>
      <c r="N2904" s="41">
        <v>2</v>
      </c>
      <c r="O2904" s="42">
        <v>291.25</v>
      </c>
      <c r="P2904" s="35">
        <v>100</v>
      </c>
      <c r="Q2904" s="36">
        <v>6450</v>
      </c>
      <c r="R2904" s="36">
        <f t="shared" ref="R2904:R2913" si="659">(O2904*Q2904)</f>
        <v>1878562.5</v>
      </c>
      <c r="S2904" s="37">
        <v>32</v>
      </c>
      <c r="T2904" s="28">
        <f>(R2904*54/100)</f>
        <v>1014423.75</v>
      </c>
      <c r="U2904" s="36">
        <f t="shared" ref="U2904:U2913" si="660">(R2904-T2904)</f>
        <v>864138.75</v>
      </c>
      <c r="V2904" s="36"/>
      <c r="W2904" s="36"/>
      <c r="X2904" s="28"/>
      <c r="Y2904" s="28"/>
      <c r="Z2904" s="20"/>
    </row>
    <row r="2905" spans="1:26" s="29" customFormat="1" ht="90.75" customHeight="1" x14ac:dyDescent="0.25">
      <c r="A2905" s="20"/>
      <c r="B2905" s="20"/>
      <c r="C2905" s="20"/>
      <c r="D2905" s="21"/>
      <c r="E2905" s="21"/>
      <c r="F2905" s="22"/>
      <c r="G2905" s="23"/>
      <c r="H2905" s="36"/>
      <c r="I2905" s="40"/>
      <c r="J2905" s="28"/>
      <c r="K2905" s="30">
        <v>2</v>
      </c>
      <c r="L2905" s="31" t="s">
        <v>31</v>
      </c>
      <c r="M2905" s="31"/>
      <c r="N2905" s="41">
        <v>2</v>
      </c>
      <c r="O2905" s="42">
        <v>24</v>
      </c>
      <c r="P2905" s="35">
        <v>100</v>
      </c>
      <c r="Q2905" s="36">
        <v>2550</v>
      </c>
      <c r="R2905" s="36">
        <f t="shared" si="659"/>
        <v>61200</v>
      </c>
      <c r="S2905" s="37">
        <v>32</v>
      </c>
      <c r="T2905" s="28">
        <f t="shared" ref="T2905:T2908" si="661">(R2905*54/100)</f>
        <v>33048</v>
      </c>
      <c r="U2905" s="36">
        <f t="shared" si="660"/>
        <v>28152</v>
      </c>
      <c r="V2905" s="36"/>
      <c r="W2905" s="36"/>
      <c r="X2905" s="28"/>
      <c r="Y2905" s="28"/>
      <c r="Z2905" s="20"/>
    </row>
    <row r="2906" spans="1:26" s="29" customFormat="1" ht="90.75" customHeight="1" x14ac:dyDescent="0.25">
      <c r="A2906" s="20"/>
      <c r="B2906" s="20"/>
      <c r="C2906" s="20"/>
      <c r="D2906" s="21"/>
      <c r="E2906" s="21"/>
      <c r="F2906" s="22"/>
      <c r="G2906" s="23"/>
      <c r="H2906" s="36"/>
      <c r="I2906" s="40"/>
      <c r="J2906" s="28"/>
      <c r="K2906" s="30">
        <v>3</v>
      </c>
      <c r="L2906" s="31" t="s">
        <v>31</v>
      </c>
      <c r="M2906" s="31"/>
      <c r="N2906" s="41">
        <v>2</v>
      </c>
      <c r="O2906" s="42">
        <v>92.8</v>
      </c>
      <c r="P2906" s="35">
        <v>100</v>
      </c>
      <c r="Q2906" s="36">
        <v>2550</v>
      </c>
      <c r="R2906" s="36">
        <f t="shared" si="659"/>
        <v>236640</v>
      </c>
      <c r="S2906" s="37">
        <v>32</v>
      </c>
      <c r="T2906" s="28">
        <f t="shared" si="661"/>
        <v>127785.60000000001</v>
      </c>
      <c r="U2906" s="36">
        <f t="shared" si="660"/>
        <v>108854.39999999999</v>
      </c>
      <c r="V2906" s="36"/>
      <c r="W2906" s="36"/>
      <c r="X2906" s="28"/>
      <c r="Y2906" s="28"/>
      <c r="Z2906" s="20"/>
    </row>
    <row r="2907" spans="1:26" s="29" customFormat="1" ht="90.75" customHeight="1" x14ac:dyDescent="0.25">
      <c r="A2907" s="20"/>
      <c r="B2907" s="20"/>
      <c r="C2907" s="20"/>
      <c r="D2907" s="21"/>
      <c r="E2907" s="21"/>
      <c r="F2907" s="22"/>
      <c r="G2907" s="23"/>
      <c r="H2907" s="36"/>
      <c r="I2907" s="40"/>
      <c r="J2907" s="28"/>
      <c r="K2907" s="30">
        <v>4</v>
      </c>
      <c r="L2907" s="31" t="s">
        <v>31</v>
      </c>
      <c r="M2907" s="31"/>
      <c r="N2907" s="41">
        <v>2</v>
      </c>
      <c r="O2907" s="42">
        <v>16</v>
      </c>
      <c r="P2907" s="35">
        <v>100</v>
      </c>
      <c r="Q2907" s="36">
        <v>2550</v>
      </c>
      <c r="R2907" s="36">
        <f t="shared" si="659"/>
        <v>40800</v>
      </c>
      <c r="S2907" s="37">
        <v>32</v>
      </c>
      <c r="T2907" s="28">
        <f t="shared" si="661"/>
        <v>22032</v>
      </c>
      <c r="U2907" s="36">
        <f t="shared" si="660"/>
        <v>18768</v>
      </c>
      <c r="V2907" s="36"/>
      <c r="W2907" s="36"/>
      <c r="X2907" s="28"/>
      <c r="Y2907" s="28"/>
      <c r="Z2907" s="20"/>
    </row>
    <row r="2908" spans="1:26" s="29" customFormat="1" ht="90.75" customHeight="1" x14ac:dyDescent="0.25">
      <c r="A2908" s="20"/>
      <c r="B2908" s="20"/>
      <c r="C2908" s="20"/>
      <c r="D2908" s="21"/>
      <c r="E2908" s="21"/>
      <c r="F2908" s="22"/>
      <c r="G2908" s="23"/>
      <c r="H2908" s="36"/>
      <c r="I2908" s="40"/>
      <c r="J2908" s="28"/>
      <c r="K2908" s="30">
        <v>5</v>
      </c>
      <c r="L2908" s="31" t="s">
        <v>31</v>
      </c>
      <c r="M2908" s="31"/>
      <c r="N2908" s="41">
        <v>2</v>
      </c>
      <c r="O2908" s="42">
        <v>62.5</v>
      </c>
      <c r="P2908" s="35">
        <v>100</v>
      </c>
      <c r="Q2908" s="36">
        <v>2550</v>
      </c>
      <c r="R2908" s="36">
        <f t="shared" si="659"/>
        <v>159375</v>
      </c>
      <c r="S2908" s="37">
        <v>32</v>
      </c>
      <c r="T2908" s="28">
        <f t="shared" si="661"/>
        <v>86062.5</v>
      </c>
      <c r="U2908" s="36">
        <f t="shared" si="660"/>
        <v>73312.5</v>
      </c>
      <c r="V2908" s="36"/>
      <c r="W2908" s="36"/>
      <c r="X2908" s="28"/>
      <c r="Y2908" s="28"/>
      <c r="Z2908" s="20"/>
    </row>
    <row r="2909" spans="1:26" s="29" customFormat="1" ht="90.75" customHeight="1" x14ac:dyDescent="0.25">
      <c r="A2909" s="20"/>
      <c r="B2909" s="20"/>
      <c r="C2909" s="20"/>
      <c r="D2909" s="21"/>
      <c r="E2909" s="21"/>
      <c r="F2909" s="22"/>
      <c r="G2909" s="23"/>
      <c r="H2909" s="36"/>
      <c r="I2909" s="40"/>
      <c r="J2909" s="28"/>
      <c r="K2909" s="30">
        <v>6</v>
      </c>
      <c r="L2909" s="31" t="s">
        <v>215</v>
      </c>
      <c r="M2909" s="31" t="s">
        <v>40</v>
      </c>
      <c r="N2909" s="41">
        <v>2</v>
      </c>
      <c r="O2909" s="42">
        <v>54</v>
      </c>
      <c r="P2909" s="35">
        <v>100</v>
      </c>
      <c r="Q2909" s="36">
        <v>6450</v>
      </c>
      <c r="R2909" s="36">
        <f t="shared" si="659"/>
        <v>348300</v>
      </c>
      <c r="S2909" s="37">
        <v>5</v>
      </c>
      <c r="T2909" s="28">
        <f>(R2909*15/100)</f>
        <v>52245</v>
      </c>
      <c r="U2909" s="36">
        <f t="shared" si="660"/>
        <v>296055</v>
      </c>
      <c r="V2909" s="36"/>
      <c r="W2909" s="36"/>
      <c r="X2909" s="28"/>
      <c r="Y2909" s="28"/>
      <c r="Z2909" s="20"/>
    </row>
    <row r="2910" spans="1:26" s="29" customFormat="1" ht="90.75" customHeight="1" x14ac:dyDescent="0.25">
      <c r="A2910" s="20"/>
      <c r="B2910" s="20"/>
      <c r="C2910" s="20"/>
      <c r="D2910" s="21"/>
      <c r="E2910" s="21"/>
      <c r="F2910" s="22"/>
      <c r="G2910" s="23"/>
      <c r="H2910" s="36"/>
      <c r="I2910" s="40"/>
      <c r="J2910" s="28"/>
      <c r="K2910" s="30"/>
      <c r="L2910" s="31"/>
      <c r="M2910" s="31"/>
      <c r="N2910" s="41"/>
      <c r="O2910" s="42"/>
      <c r="P2910" s="35"/>
      <c r="Q2910" s="36"/>
      <c r="R2910" s="36"/>
      <c r="S2910" s="37"/>
      <c r="T2910" s="28"/>
      <c r="U2910" s="36">
        <f>SUM(U2904:U2909)</f>
        <v>1389280.65</v>
      </c>
      <c r="V2910" s="36">
        <f>(J2903+U2910)</f>
        <v>2412405.65</v>
      </c>
      <c r="W2910" s="36">
        <f>(V2910*100/100)</f>
        <v>2412405.65</v>
      </c>
      <c r="X2910" s="28">
        <v>50000000</v>
      </c>
      <c r="Y2910" s="28"/>
      <c r="Z2910" s="20"/>
    </row>
    <row r="2911" spans="1:26" s="29" customFormat="1" ht="90.75" customHeight="1" x14ac:dyDescent="0.25">
      <c r="A2911" s="20"/>
      <c r="B2911" s="20"/>
      <c r="C2911" s="20"/>
      <c r="D2911" s="21"/>
      <c r="E2911" s="21"/>
      <c r="F2911" s="22"/>
      <c r="G2911" s="23"/>
      <c r="H2911" s="36">
        <v>270</v>
      </c>
      <c r="I2911" s="40" t="s">
        <v>75</v>
      </c>
      <c r="J2911" s="28">
        <f>(H2911*I2911)</f>
        <v>168750</v>
      </c>
      <c r="K2911" s="30">
        <v>7</v>
      </c>
      <c r="L2911" s="31" t="s">
        <v>43</v>
      </c>
      <c r="M2911" s="31" t="s">
        <v>13</v>
      </c>
      <c r="N2911" s="41">
        <v>2</v>
      </c>
      <c r="O2911" s="42">
        <v>1080</v>
      </c>
      <c r="P2911" s="35">
        <v>100</v>
      </c>
      <c r="Q2911" s="36">
        <v>7700</v>
      </c>
      <c r="R2911" s="36">
        <f t="shared" si="659"/>
        <v>8316000</v>
      </c>
      <c r="S2911" s="37">
        <v>5</v>
      </c>
      <c r="T2911" s="28">
        <f>(R2911*5/100)</f>
        <v>415800</v>
      </c>
      <c r="U2911" s="36">
        <f t="shared" si="660"/>
        <v>7900200</v>
      </c>
      <c r="V2911" s="36">
        <f>(J2911+U2911)</f>
        <v>8068950</v>
      </c>
      <c r="W2911" s="36">
        <f>(J2911+V2911)</f>
        <v>8237700</v>
      </c>
      <c r="X2911" s="28">
        <v>0</v>
      </c>
      <c r="Y2911" s="28">
        <f>(W2911-X2911)</f>
        <v>8237700</v>
      </c>
      <c r="Z2911" s="49">
        <v>2.0000000000000001E-4</v>
      </c>
    </row>
    <row r="2912" spans="1:26" s="29" customFormat="1" ht="90.75" customHeight="1" x14ac:dyDescent="0.25">
      <c r="A2912" s="20"/>
      <c r="B2912" s="20"/>
      <c r="C2912" s="20"/>
      <c r="D2912" s="21"/>
      <c r="E2912" s="21"/>
      <c r="F2912" s="22"/>
      <c r="G2912" s="23"/>
      <c r="H2912" s="36">
        <v>270</v>
      </c>
      <c r="I2912" s="40" t="s">
        <v>75</v>
      </c>
      <c r="J2912" s="28">
        <f>(H2912*I2912)</f>
        <v>168750</v>
      </c>
      <c r="K2912" s="30">
        <v>8</v>
      </c>
      <c r="L2912" s="31" t="s">
        <v>43</v>
      </c>
      <c r="M2912" s="31" t="s">
        <v>13</v>
      </c>
      <c r="N2912" s="41">
        <v>2</v>
      </c>
      <c r="O2912" s="42">
        <v>1080</v>
      </c>
      <c r="P2912" s="35">
        <v>100</v>
      </c>
      <c r="Q2912" s="36">
        <v>7700</v>
      </c>
      <c r="R2912" s="36">
        <f t="shared" si="659"/>
        <v>8316000</v>
      </c>
      <c r="S2912" s="37">
        <v>5</v>
      </c>
      <c r="T2912" s="28">
        <f t="shared" ref="T2912:T2913" si="662">(R2912*5/100)</f>
        <v>415800</v>
      </c>
      <c r="U2912" s="36">
        <f t="shared" si="660"/>
        <v>7900200</v>
      </c>
      <c r="V2912" s="36">
        <f>(J2912+U2912)</f>
        <v>8068950</v>
      </c>
      <c r="W2912" s="36">
        <f>(J2912+V2912)</f>
        <v>8237700</v>
      </c>
      <c r="X2912" s="28">
        <v>0</v>
      </c>
      <c r="Y2912" s="28">
        <f>(W2912-X2912)</f>
        <v>8237700</v>
      </c>
      <c r="Z2912" s="49">
        <v>2.0000000000000001E-4</v>
      </c>
    </row>
    <row r="2913" spans="1:26" s="29" customFormat="1" ht="90.75" customHeight="1" x14ac:dyDescent="0.25">
      <c r="A2913" s="20"/>
      <c r="B2913" s="20"/>
      <c r="C2913" s="20"/>
      <c r="D2913" s="21"/>
      <c r="E2913" s="21"/>
      <c r="F2913" s="22"/>
      <c r="G2913" s="23"/>
      <c r="H2913" s="36">
        <v>280</v>
      </c>
      <c r="I2913" s="40" t="s">
        <v>75</v>
      </c>
      <c r="J2913" s="28">
        <f>(H2913*I2913)</f>
        <v>175000</v>
      </c>
      <c r="K2913" s="30">
        <v>9</v>
      </c>
      <c r="L2913" s="31" t="s">
        <v>43</v>
      </c>
      <c r="M2913" s="31" t="s">
        <v>13</v>
      </c>
      <c r="N2913" s="41">
        <v>2</v>
      </c>
      <c r="O2913" s="42">
        <v>1120</v>
      </c>
      <c r="P2913" s="35">
        <v>100</v>
      </c>
      <c r="Q2913" s="36">
        <v>7700</v>
      </c>
      <c r="R2913" s="36">
        <f t="shared" si="659"/>
        <v>8624000</v>
      </c>
      <c r="S2913" s="37">
        <v>5</v>
      </c>
      <c r="T2913" s="28">
        <f t="shared" si="662"/>
        <v>431200</v>
      </c>
      <c r="U2913" s="36">
        <f t="shared" si="660"/>
        <v>8192800</v>
      </c>
      <c r="V2913" s="36">
        <f>(J2913+U2913)</f>
        <v>8367800</v>
      </c>
      <c r="W2913" s="36">
        <f>(J2913+V2913)</f>
        <v>8542800</v>
      </c>
      <c r="X2913" s="28">
        <v>0</v>
      </c>
      <c r="Y2913" s="28">
        <f>(W2913-X2913)</f>
        <v>8542800</v>
      </c>
      <c r="Z2913" s="49">
        <v>2.0000000000000001E-4</v>
      </c>
    </row>
    <row r="2914" spans="1:26" s="29" customFormat="1" ht="90.75" customHeight="1" x14ac:dyDescent="0.25">
      <c r="A2914" s="20">
        <v>1484</v>
      </c>
      <c r="B2914" s="20" t="s">
        <v>0</v>
      </c>
      <c r="C2914" s="20">
        <v>11653</v>
      </c>
      <c r="D2914" s="21">
        <v>6</v>
      </c>
      <c r="E2914" s="21">
        <v>0</v>
      </c>
      <c r="F2914" s="22">
        <v>59</v>
      </c>
      <c r="G2914" s="23" t="s">
        <v>211</v>
      </c>
      <c r="H2914" s="24">
        <f>(D2914*400)+(E2914*100)+F2914</f>
        <v>2459</v>
      </c>
      <c r="I2914" s="25" t="s">
        <v>78</v>
      </c>
      <c r="J2914" s="24">
        <f>(H2914*I2914)</f>
        <v>2151625</v>
      </c>
      <c r="K2914" s="20"/>
      <c r="L2914" s="20"/>
      <c r="M2914" s="20"/>
      <c r="N2914" s="20"/>
      <c r="O2914" s="24"/>
      <c r="P2914" s="24"/>
      <c r="Q2914" s="25"/>
      <c r="R2914" s="24"/>
      <c r="S2914" s="20"/>
      <c r="T2914" s="27"/>
      <c r="U2914" s="20"/>
      <c r="V2914" s="20"/>
      <c r="W2914" s="26"/>
      <c r="X2914" s="27"/>
      <c r="Y2914" s="20"/>
      <c r="Z2914" s="20"/>
    </row>
    <row r="2915" spans="1:26" s="29" customFormat="1" ht="90.75" customHeight="1" x14ac:dyDescent="0.25">
      <c r="A2915" s="20"/>
      <c r="B2915" s="20"/>
      <c r="C2915" s="20"/>
      <c r="D2915" s="21"/>
      <c r="E2915" s="21"/>
      <c r="F2915" s="22"/>
      <c r="G2915" s="23"/>
      <c r="H2915" s="36">
        <v>1858</v>
      </c>
      <c r="I2915" s="40">
        <v>875</v>
      </c>
      <c r="J2915" s="28">
        <f t="shared" ref="J2915" si="663">(H2915*I2915)</f>
        <v>1625750</v>
      </c>
      <c r="K2915" s="37"/>
      <c r="L2915" s="31"/>
      <c r="M2915" s="32"/>
      <c r="N2915" s="33"/>
      <c r="O2915" s="34"/>
      <c r="P2915" s="35"/>
      <c r="Q2915" s="36"/>
      <c r="R2915" s="36"/>
      <c r="S2915" s="37"/>
      <c r="T2915" s="28"/>
      <c r="U2915" s="36"/>
      <c r="V2915" s="36"/>
      <c r="W2915" s="36"/>
      <c r="X2915" s="28"/>
      <c r="Y2915" s="28"/>
      <c r="Z2915" s="20"/>
    </row>
    <row r="2916" spans="1:26" s="29" customFormat="1" ht="90.75" customHeight="1" x14ac:dyDescent="0.25">
      <c r="A2916" s="20"/>
      <c r="B2916" s="20"/>
      <c r="C2916" s="20"/>
      <c r="D2916" s="21"/>
      <c r="E2916" s="21"/>
      <c r="F2916" s="22"/>
      <c r="G2916" s="23"/>
      <c r="H2916" s="36"/>
      <c r="I2916" s="40"/>
      <c r="J2916" s="28"/>
      <c r="K2916" s="37">
        <v>1</v>
      </c>
      <c r="L2916" s="31" t="s">
        <v>215</v>
      </c>
      <c r="M2916" s="32" t="s">
        <v>40</v>
      </c>
      <c r="N2916" s="33">
        <v>2</v>
      </c>
      <c r="O2916" s="34">
        <v>121</v>
      </c>
      <c r="P2916" s="35">
        <v>100</v>
      </c>
      <c r="Q2916" s="36">
        <v>6450</v>
      </c>
      <c r="R2916" s="36">
        <f t="shared" ref="R2916:R2924" si="664">(O2916*Q2916)</f>
        <v>780450</v>
      </c>
      <c r="S2916" s="37">
        <v>22</v>
      </c>
      <c r="T2916" s="28">
        <f>(R2916*93/100)</f>
        <v>725818.5</v>
      </c>
      <c r="U2916" s="36">
        <f t="shared" ref="U2916:U2924" si="665">(R2916-T2916)</f>
        <v>54631.5</v>
      </c>
      <c r="V2916" s="36"/>
      <c r="W2916" s="36"/>
      <c r="X2916" s="28"/>
      <c r="Y2916" s="28"/>
      <c r="Z2916" s="20"/>
    </row>
    <row r="2917" spans="1:26" s="29" customFormat="1" ht="90.75" customHeight="1" x14ac:dyDescent="0.25">
      <c r="A2917" s="20"/>
      <c r="B2917" s="20"/>
      <c r="C2917" s="20"/>
      <c r="D2917" s="21"/>
      <c r="E2917" s="21"/>
      <c r="F2917" s="22"/>
      <c r="G2917" s="23"/>
      <c r="H2917" s="36"/>
      <c r="I2917" s="40"/>
      <c r="J2917" s="28"/>
      <c r="K2917" s="37">
        <v>2</v>
      </c>
      <c r="L2917" s="31" t="s">
        <v>43</v>
      </c>
      <c r="M2917" s="32" t="s">
        <v>13</v>
      </c>
      <c r="N2917" s="33">
        <v>2</v>
      </c>
      <c r="O2917" s="34">
        <v>73.5</v>
      </c>
      <c r="P2917" s="35">
        <v>100</v>
      </c>
      <c r="Q2917" s="36">
        <v>7700</v>
      </c>
      <c r="R2917" s="36">
        <f t="shared" si="664"/>
        <v>565950</v>
      </c>
      <c r="S2917" s="37">
        <v>22</v>
      </c>
      <c r="T2917" s="28">
        <f>(R2917*34/100)</f>
        <v>192423</v>
      </c>
      <c r="U2917" s="36">
        <f t="shared" si="665"/>
        <v>373527</v>
      </c>
      <c r="V2917" s="36"/>
      <c r="W2917" s="36"/>
      <c r="X2917" s="28"/>
      <c r="Y2917" s="28"/>
      <c r="Z2917" s="20"/>
    </row>
    <row r="2918" spans="1:26" s="29" customFormat="1" ht="90.75" customHeight="1" x14ac:dyDescent="0.25">
      <c r="A2918" s="20"/>
      <c r="B2918" s="20"/>
      <c r="C2918" s="20"/>
      <c r="D2918" s="21"/>
      <c r="E2918" s="21"/>
      <c r="F2918" s="22"/>
      <c r="G2918" s="23"/>
      <c r="H2918" s="36"/>
      <c r="I2918" s="40"/>
      <c r="J2918" s="28"/>
      <c r="K2918" s="37">
        <v>3</v>
      </c>
      <c r="L2918" s="31" t="s">
        <v>31</v>
      </c>
      <c r="M2918" s="32"/>
      <c r="N2918" s="33">
        <v>2</v>
      </c>
      <c r="O2918" s="90">
        <v>47.25</v>
      </c>
      <c r="P2918" s="35">
        <v>100</v>
      </c>
      <c r="Q2918" s="36">
        <v>2550</v>
      </c>
      <c r="R2918" s="36">
        <f t="shared" si="664"/>
        <v>120487.5</v>
      </c>
      <c r="S2918" s="37">
        <v>22</v>
      </c>
      <c r="T2918" s="28">
        <f>(R2918*34/100)</f>
        <v>40965.75</v>
      </c>
      <c r="U2918" s="36">
        <f t="shared" si="665"/>
        <v>79521.75</v>
      </c>
      <c r="V2918" s="36"/>
      <c r="W2918" s="36"/>
      <c r="X2918" s="28"/>
      <c r="Y2918" s="28"/>
      <c r="Z2918" s="20"/>
    </row>
    <row r="2919" spans="1:26" s="29" customFormat="1" ht="90.75" customHeight="1" x14ac:dyDescent="0.25">
      <c r="A2919" s="20"/>
      <c r="B2919" s="20"/>
      <c r="C2919" s="20"/>
      <c r="D2919" s="21"/>
      <c r="E2919" s="21"/>
      <c r="F2919" s="22"/>
      <c r="G2919" s="23"/>
      <c r="H2919" s="36"/>
      <c r="I2919" s="40"/>
      <c r="J2919" s="28"/>
      <c r="K2919" s="37">
        <v>5</v>
      </c>
      <c r="L2919" s="31" t="s">
        <v>31</v>
      </c>
      <c r="M2919" s="32"/>
      <c r="N2919" s="33"/>
      <c r="O2919" s="34">
        <v>24</v>
      </c>
      <c r="P2919" s="35">
        <v>100</v>
      </c>
      <c r="Q2919" s="36">
        <v>2550</v>
      </c>
      <c r="R2919" s="36">
        <f t="shared" si="664"/>
        <v>61200</v>
      </c>
      <c r="S2919" s="37">
        <v>22</v>
      </c>
      <c r="T2919" s="28">
        <f>(R2919*34/100)</f>
        <v>20808</v>
      </c>
      <c r="U2919" s="36">
        <f t="shared" si="665"/>
        <v>40392</v>
      </c>
      <c r="V2919" s="36"/>
      <c r="W2919" s="36"/>
      <c r="X2919" s="28"/>
      <c r="Y2919" s="28"/>
      <c r="Z2919" s="20"/>
    </row>
    <row r="2920" spans="1:26" s="29" customFormat="1" ht="90.75" customHeight="1" x14ac:dyDescent="0.25">
      <c r="A2920" s="20"/>
      <c r="B2920" s="20"/>
      <c r="C2920" s="20"/>
      <c r="D2920" s="21"/>
      <c r="E2920" s="21"/>
      <c r="F2920" s="22"/>
      <c r="G2920" s="23"/>
      <c r="H2920" s="36"/>
      <c r="I2920" s="40"/>
      <c r="J2920" s="28"/>
      <c r="K2920" s="37"/>
      <c r="L2920" s="31"/>
      <c r="M2920" s="32"/>
      <c r="N2920" s="33"/>
      <c r="O2920" s="34"/>
      <c r="P2920" s="35"/>
      <c r="Q2920" s="36"/>
      <c r="R2920" s="36"/>
      <c r="S2920" s="37"/>
      <c r="T2920" s="28"/>
      <c r="U2920" s="36">
        <f>(U2916+U2917+U2918+U2919)</f>
        <v>548072.25</v>
      </c>
      <c r="V2920" s="36">
        <f>(J2915+U2920)</f>
        <v>2173822.25</v>
      </c>
      <c r="W2920" s="36">
        <f t="shared" ref="W2920:W2924" si="666">(V2920*100/100)</f>
        <v>2173822.25</v>
      </c>
      <c r="X2920" s="28">
        <v>50000000</v>
      </c>
      <c r="Y2920" s="28"/>
      <c r="Z2920" s="49"/>
    </row>
    <row r="2921" spans="1:26" s="29" customFormat="1" ht="90.75" customHeight="1" x14ac:dyDescent="0.25">
      <c r="A2921" s="20"/>
      <c r="B2921" s="20"/>
      <c r="C2921" s="20"/>
      <c r="D2921" s="21"/>
      <c r="E2921" s="21"/>
      <c r="F2921" s="22"/>
      <c r="G2921" s="23"/>
      <c r="H2921" s="36">
        <f>(O2921*0.25)</f>
        <v>8</v>
      </c>
      <c r="I2921" s="40">
        <v>875</v>
      </c>
      <c r="J2921" s="28">
        <f t="shared" ref="J2921:J2926" si="667">(H2921*I2921)</f>
        <v>7000</v>
      </c>
      <c r="K2921" s="37">
        <v>4</v>
      </c>
      <c r="L2921" s="31" t="s">
        <v>29</v>
      </c>
      <c r="M2921" s="32"/>
      <c r="N2921" s="33">
        <v>3</v>
      </c>
      <c r="O2921" s="90">
        <v>32</v>
      </c>
      <c r="P2921" s="35">
        <v>100</v>
      </c>
      <c r="Q2921" s="36">
        <v>5550</v>
      </c>
      <c r="R2921" s="36">
        <f t="shared" si="664"/>
        <v>177600</v>
      </c>
      <c r="S2921" s="37">
        <v>22</v>
      </c>
      <c r="T2921" s="28">
        <f>(R2921*34/100)</f>
        <v>60384</v>
      </c>
      <c r="U2921" s="36">
        <f t="shared" si="665"/>
        <v>117216</v>
      </c>
      <c r="V2921" s="36">
        <f>(R2921+U2921)</f>
        <v>294816</v>
      </c>
      <c r="W2921" s="36">
        <f t="shared" si="666"/>
        <v>294816</v>
      </c>
      <c r="X2921" s="28">
        <v>0</v>
      </c>
      <c r="Y2921" s="28">
        <f>(W2921-X2921)</f>
        <v>294816</v>
      </c>
      <c r="Z2921" s="49">
        <v>3.0000000000000001E-3</v>
      </c>
    </row>
    <row r="2922" spans="1:26" s="29" customFormat="1" ht="90.75" customHeight="1" x14ac:dyDescent="0.25">
      <c r="A2922" s="20"/>
      <c r="B2922" s="20"/>
      <c r="C2922" s="20"/>
      <c r="D2922" s="21"/>
      <c r="E2922" s="21"/>
      <c r="F2922" s="22"/>
      <c r="G2922" s="23"/>
      <c r="H2922" s="36">
        <f>(O2922*0.25)</f>
        <v>280</v>
      </c>
      <c r="I2922" s="40">
        <v>875</v>
      </c>
      <c r="J2922" s="28">
        <f t="shared" si="667"/>
        <v>245000</v>
      </c>
      <c r="K2922" s="37">
        <v>6</v>
      </c>
      <c r="L2922" s="31" t="s">
        <v>43</v>
      </c>
      <c r="M2922" s="32"/>
      <c r="N2922" s="33">
        <v>2</v>
      </c>
      <c r="O2922" s="34">
        <v>1120</v>
      </c>
      <c r="P2922" s="35">
        <v>100</v>
      </c>
      <c r="Q2922" s="36">
        <v>7700</v>
      </c>
      <c r="R2922" s="36">
        <f t="shared" si="664"/>
        <v>8624000</v>
      </c>
      <c r="S2922" s="37">
        <v>6</v>
      </c>
      <c r="T2922" s="28">
        <f>(R2922*6/100)</f>
        <v>517440</v>
      </c>
      <c r="U2922" s="36">
        <f t="shared" si="665"/>
        <v>8106560</v>
      </c>
      <c r="V2922" s="36">
        <f>(R2922+U2922)</f>
        <v>16730560</v>
      </c>
      <c r="W2922" s="36">
        <f t="shared" si="666"/>
        <v>16730560</v>
      </c>
      <c r="X2922" s="28">
        <v>0</v>
      </c>
      <c r="Y2922" s="28">
        <f>(W2922-X2922)</f>
        <v>16730560</v>
      </c>
      <c r="Z2922" s="49">
        <v>2.0000000000000001E-4</v>
      </c>
    </row>
    <row r="2923" spans="1:26" s="29" customFormat="1" ht="90.75" customHeight="1" x14ac:dyDescent="0.25">
      <c r="A2923" s="20"/>
      <c r="B2923" s="20"/>
      <c r="C2923" s="20"/>
      <c r="D2923" s="21"/>
      <c r="E2923" s="21"/>
      <c r="F2923" s="22"/>
      <c r="G2923" s="23"/>
      <c r="H2923" s="36">
        <f>(O2923*0.25)</f>
        <v>280</v>
      </c>
      <c r="I2923" s="40">
        <v>875</v>
      </c>
      <c r="J2923" s="28">
        <f t="shared" si="667"/>
        <v>245000</v>
      </c>
      <c r="K2923" s="37">
        <v>7</v>
      </c>
      <c r="L2923" s="31" t="s">
        <v>43</v>
      </c>
      <c r="M2923" s="32"/>
      <c r="N2923" s="33">
        <v>2</v>
      </c>
      <c r="O2923" s="34">
        <v>1120</v>
      </c>
      <c r="P2923" s="35">
        <v>100</v>
      </c>
      <c r="Q2923" s="36">
        <v>7700</v>
      </c>
      <c r="R2923" s="36">
        <f t="shared" si="664"/>
        <v>8624000</v>
      </c>
      <c r="S2923" s="37">
        <v>6</v>
      </c>
      <c r="T2923" s="28">
        <f t="shared" ref="T2923:T2924" si="668">(R2923*6/100)</f>
        <v>517440</v>
      </c>
      <c r="U2923" s="36">
        <f t="shared" si="665"/>
        <v>8106560</v>
      </c>
      <c r="V2923" s="36">
        <f>(R2923+U2923)</f>
        <v>16730560</v>
      </c>
      <c r="W2923" s="36">
        <f t="shared" si="666"/>
        <v>16730560</v>
      </c>
      <c r="X2923" s="28">
        <v>0</v>
      </c>
      <c r="Y2923" s="28">
        <f>(W2923-X2923)</f>
        <v>16730560</v>
      </c>
      <c r="Z2923" s="49">
        <v>2.0000000000000001E-4</v>
      </c>
    </row>
    <row r="2924" spans="1:26" s="29" customFormat="1" ht="90.75" customHeight="1" x14ac:dyDescent="0.25">
      <c r="A2924" s="20"/>
      <c r="B2924" s="20"/>
      <c r="C2924" s="20"/>
      <c r="D2924" s="21"/>
      <c r="E2924" s="21"/>
      <c r="F2924" s="22"/>
      <c r="G2924" s="23"/>
      <c r="H2924" s="36">
        <f>(O2924*0.25)</f>
        <v>27</v>
      </c>
      <c r="I2924" s="40">
        <v>875</v>
      </c>
      <c r="J2924" s="28">
        <f t="shared" si="667"/>
        <v>23625</v>
      </c>
      <c r="K2924" s="37">
        <v>8</v>
      </c>
      <c r="L2924" s="31" t="s">
        <v>43</v>
      </c>
      <c r="M2924" s="32"/>
      <c r="N2924" s="33">
        <v>2</v>
      </c>
      <c r="O2924" s="34">
        <v>108</v>
      </c>
      <c r="P2924" s="35">
        <v>100</v>
      </c>
      <c r="Q2924" s="36">
        <v>7700</v>
      </c>
      <c r="R2924" s="36">
        <f t="shared" si="664"/>
        <v>831600</v>
      </c>
      <c r="S2924" s="37">
        <v>6</v>
      </c>
      <c r="T2924" s="28">
        <f t="shared" si="668"/>
        <v>49896</v>
      </c>
      <c r="U2924" s="36">
        <f t="shared" si="665"/>
        <v>781704</v>
      </c>
      <c r="V2924" s="36">
        <f>(R2924+U2924)</f>
        <v>1613304</v>
      </c>
      <c r="W2924" s="36">
        <f t="shared" si="666"/>
        <v>1613304</v>
      </c>
      <c r="X2924" s="28">
        <v>0</v>
      </c>
      <c r="Y2924" s="28">
        <f>(W2924-X2924)</f>
        <v>1613304</v>
      </c>
      <c r="Z2924" s="49">
        <v>2.0000000000000001E-4</v>
      </c>
    </row>
    <row r="2925" spans="1:26" s="29" customFormat="1" ht="90.75" customHeight="1" x14ac:dyDescent="0.25">
      <c r="A2925" s="20">
        <v>1485</v>
      </c>
      <c r="B2925" s="20" t="s">
        <v>0</v>
      </c>
      <c r="C2925" s="20">
        <v>14632</v>
      </c>
      <c r="D2925" s="21">
        <v>3</v>
      </c>
      <c r="E2925" s="21">
        <v>0</v>
      </c>
      <c r="F2925" s="22">
        <v>57</v>
      </c>
      <c r="G2925" s="23" t="s">
        <v>56</v>
      </c>
      <c r="H2925" s="24">
        <f>(D2925*400)+(E2925*100)+F2925</f>
        <v>1257</v>
      </c>
      <c r="I2925" s="25" t="s">
        <v>75</v>
      </c>
      <c r="J2925" s="24">
        <f t="shared" si="667"/>
        <v>785625</v>
      </c>
      <c r="K2925" s="20"/>
      <c r="L2925" s="20"/>
      <c r="M2925" s="20"/>
      <c r="N2925" s="20"/>
      <c r="O2925" s="24"/>
      <c r="P2925" s="24"/>
      <c r="Q2925" s="25"/>
      <c r="R2925" s="24"/>
      <c r="S2925" s="20"/>
      <c r="T2925" s="27"/>
      <c r="U2925" s="20"/>
      <c r="V2925" s="20"/>
      <c r="W2925" s="26"/>
      <c r="X2925" s="27"/>
      <c r="Y2925" s="20"/>
      <c r="Z2925" s="20"/>
    </row>
    <row r="2926" spans="1:26" s="29" customFormat="1" ht="90.75" customHeight="1" x14ac:dyDescent="0.25">
      <c r="A2926" s="20"/>
      <c r="B2926" s="20"/>
      <c r="C2926" s="20"/>
      <c r="D2926" s="21"/>
      <c r="E2926" s="21"/>
      <c r="F2926" s="22"/>
      <c r="G2926" s="23"/>
      <c r="H2926" s="36">
        <v>537</v>
      </c>
      <c r="I2926" s="40">
        <v>625</v>
      </c>
      <c r="J2926" s="28">
        <f t="shared" si="667"/>
        <v>335625</v>
      </c>
      <c r="K2926" s="37"/>
      <c r="L2926" s="31"/>
      <c r="M2926" s="32"/>
      <c r="N2926" s="33"/>
      <c r="O2926" s="82"/>
      <c r="P2926" s="86"/>
      <c r="Q2926" s="36"/>
      <c r="R2926" s="36"/>
      <c r="S2926" s="37"/>
      <c r="T2926" s="28"/>
      <c r="U2926" s="36"/>
      <c r="V2926" s="36"/>
      <c r="W2926" s="36"/>
      <c r="X2926" s="28"/>
      <c r="Y2926" s="28"/>
      <c r="Z2926" s="20"/>
    </row>
    <row r="2927" spans="1:26" s="29" customFormat="1" ht="90.75" customHeight="1" x14ac:dyDescent="0.25">
      <c r="A2927" s="20"/>
      <c r="B2927" s="20"/>
      <c r="C2927" s="20"/>
      <c r="D2927" s="21"/>
      <c r="E2927" s="21"/>
      <c r="F2927" s="22"/>
      <c r="G2927" s="23"/>
      <c r="H2927" s="36"/>
      <c r="I2927" s="40"/>
      <c r="J2927" s="28"/>
      <c r="K2927" s="37">
        <v>1</v>
      </c>
      <c r="L2927" s="31" t="s">
        <v>215</v>
      </c>
      <c r="M2927" s="32" t="s">
        <v>52</v>
      </c>
      <c r="N2927" s="33">
        <v>2</v>
      </c>
      <c r="O2927" s="82">
        <v>211.5</v>
      </c>
      <c r="P2927" s="86">
        <v>100</v>
      </c>
      <c r="Q2927" s="36">
        <v>6450</v>
      </c>
      <c r="R2927" s="36">
        <f>(O2927*Q2927)</f>
        <v>1364175</v>
      </c>
      <c r="S2927" s="37">
        <v>22</v>
      </c>
      <c r="T2927" s="28">
        <f>(R2927*85/100)</f>
        <v>1159548.75</v>
      </c>
      <c r="U2927" s="36">
        <f>(R2927-T2927)</f>
        <v>204626.25</v>
      </c>
      <c r="V2927" s="36">
        <f>(J2926+U2927)</f>
        <v>540251.25</v>
      </c>
      <c r="W2927" s="36">
        <f>(V2927*100/100)</f>
        <v>540251.25</v>
      </c>
      <c r="X2927" s="28">
        <v>50000000</v>
      </c>
      <c r="Y2927" s="28"/>
      <c r="Z2927" s="49"/>
    </row>
    <row r="2928" spans="1:26" s="29" customFormat="1" ht="90.75" customHeight="1" x14ac:dyDescent="0.25">
      <c r="A2928" s="20"/>
      <c r="B2928" s="20"/>
      <c r="C2928" s="20"/>
      <c r="D2928" s="21"/>
      <c r="E2928" s="21"/>
      <c r="F2928" s="22"/>
      <c r="G2928" s="23"/>
      <c r="H2928" s="36">
        <v>300</v>
      </c>
      <c r="I2928" s="40">
        <v>625</v>
      </c>
      <c r="J2928" s="28">
        <f t="shared" ref="J2928" si="669">(H2928*I2928)</f>
        <v>187500</v>
      </c>
      <c r="K2928" s="37"/>
      <c r="L2928" s="31"/>
      <c r="M2928" s="32"/>
      <c r="N2928" s="33"/>
      <c r="O2928" s="82"/>
      <c r="P2928" s="86"/>
      <c r="Q2928" s="36"/>
      <c r="R2928" s="36"/>
      <c r="S2928" s="37"/>
      <c r="T2928" s="28"/>
      <c r="U2928" s="36"/>
      <c r="V2928" s="36"/>
      <c r="W2928" s="36"/>
      <c r="X2928" s="28"/>
      <c r="Y2928" s="28"/>
      <c r="Z2928" s="49"/>
    </row>
    <row r="2929" spans="1:26" s="29" customFormat="1" ht="90.75" customHeight="1" x14ac:dyDescent="0.25">
      <c r="A2929" s="20"/>
      <c r="B2929" s="20"/>
      <c r="C2929" s="20"/>
      <c r="D2929" s="21"/>
      <c r="E2929" s="21"/>
      <c r="F2929" s="22"/>
      <c r="G2929" s="23"/>
      <c r="H2929" s="36"/>
      <c r="I2929" s="40"/>
      <c r="J2929" s="28"/>
      <c r="K2929" s="37">
        <v>2</v>
      </c>
      <c r="L2929" s="31" t="s">
        <v>215</v>
      </c>
      <c r="M2929" s="32" t="s">
        <v>13</v>
      </c>
      <c r="N2929" s="33">
        <v>2</v>
      </c>
      <c r="O2929" s="82">
        <v>114</v>
      </c>
      <c r="P2929" s="86">
        <v>100</v>
      </c>
      <c r="Q2929" s="36">
        <v>6450</v>
      </c>
      <c r="R2929" s="36">
        <f>(O2929*Q2929)</f>
        <v>735300</v>
      </c>
      <c r="S2929" s="37">
        <v>12</v>
      </c>
      <c r="T2929" s="28">
        <f>(R2929*14/100)</f>
        <v>102942</v>
      </c>
      <c r="U2929" s="36">
        <f>(R2929-T2929)</f>
        <v>632358</v>
      </c>
      <c r="V2929" s="36"/>
      <c r="W2929" s="36"/>
      <c r="X2929" s="28"/>
      <c r="Y2929" s="28"/>
      <c r="Z2929" s="20"/>
    </row>
    <row r="2930" spans="1:26" s="29" customFormat="1" ht="90.75" customHeight="1" x14ac:dyDescent="0.25">
      <c r="A2930" s="20"/>
      <c r="B2930" s="20"/>
      <c r="C2930" s="20"/>
      <c r="D2930" s="21"/>
      <c r="E2930" s="21"/>
      <c r="F2930" s="22"/>
      <c r="G2930" s="23"/>
      <c r="H2930" s="36"/>
      <c r="I2930" s="40"/>
      <c r="J2930" s="28"/>
      <c r="K2930" s="37">
        <v>3</v>
      </c>
      <c r="L2930" s="31" t="s">
        <v>31</v>
      </c>
      <c r="M2930" s="32"/>
      <c r="N2930" s="33">
        <v>2</v>
      </c>
      <c r="O2930" s="82">
        <v>66</v>
      </c>
      <c r="P2930" s="86">
        <v>100</v>
      </c>
      <c r="Q2930" s="36">
        <v>2550</v>
      </c>
      <c r="R2930" s="36">
        <f>(O2930*Q2930)</f>
        <v>168300</v>
      </c>
      <c r="S2930" s="37">
        <v>12</v>
      </c>
      <c r="T2930" s="28">
        <f t="shared" ref="T2930:T2931" si="670">(R2930*14/100)</f>
        <v>23562</v>
      </c>
      <c r="U2930" s="36">
        <f>(R2930-T2930)</f>
        <v>144738</v>
      </c>
      <c r="V2930" s="36"/>
      <c r="W2930" s="36"/>
      <c r="X2930" s="28"/>
      <c r="Y2930" s="28"/>
      <c r="Z2930" s="20"/>
    </row>
    <row r="2931" spans="1:26" s="29" customFormat="1" ht="90.75" customHeight="1" x14ac:dyDescent="0.25">
      <c r="A2931" s="20"/>
      <c r="B2931" s="20"/>
      <c r="C2931" s="20"/>
      <c r="D2931" s="21"/>
      <c r="E2931" s="21"/>
      <c r="F2931" s="22"/>
      <c r="G2931" s="23"/>
      <c r="H2931" s="36"/>
      <c r="I2931" s="40"/>
      <c r="J2931" s="28"/>
      <c r="K2931" s="37">
        <v>4</v>
      </c>
      <c r="L2931" s="31" t="s">
        <v>31</v>
      </c>
      <c r="M2931" s="32"/>
      <c r="N2931" s="33">
        <v>2</v>
      </c>
      <c r="O2931" s="82">
        <v>54</v>
      </c>
      <c r="P2931" s="86">
        <v>100</v>
      </c>
      <c r="Q2931" s="36">
        <v>2550</v>
      </c>
      <c r="R2931" s="36">
        <f>(O2931*Q2931)</f>
        <v>137700</v>
      </c>
      <c r="S2931" s="37">
        <v>12</v>
      </c>
      <c r="T2931" s="28">
        <f t="shared" si="670"/>
        <v>19278</v>
      </c>
      <c r="U2931" s="36">
        <f>(R2931-T2931)</f>
        <v>118422</v>
      </c>
      <c r="V2931" s="36"/>
      <c r="W2931" s="36"/>
      <c r="X2931" s="28"/>
      <c r="Y2931" s="28"/>
      <c r="Z2931" s="20"/>
    </row>
    <row r="2932" spans="1:26" s="29" customFormat="1" ht="90.75" customHeight="1" x14ac:dyDescent="0.25">
      <c r="A2932" s="20"/>
      <c r="B2932" s="20"/>
      <c r="C2932" s="20"/>
      <c r="D2932" s="21"/>
      <c r="E2932" s="21"/>
      <c r="F2932" s="22"/>
      <c r="G2932" s="23"/>
      <c r="H2932" s="36"/>
      <c r="I2932" s="40"/>
      <c r="J2932" s="28"/>
      <c r="K2932" s="37"/>
      <c r="L2932" s="31"/>
      <c r="M2932" s="32"/>
      <c r="N2932" s="33"/>
      <c r="O2932" s="82"/>
      <c r="P2932" s="86"/>
      <c r="Q2932" s="36"/>
      <c r="R2932" s="36"/>
      <c r="S2932" s="37"/>
      <c r="T2932" s="28"/>
      <c r="U2932" s="36">
        <f>(U2929+U2930+U2931)</f>
        <v>895518</v>
      </c>
      <c r="V2932" s="36">
        <f>(J2928+U2932)</f>
        <v>1083018</v>
      </c>
      <c r="W2932" s="36">
        <f>(V2932*100/100)</f>
        <v>1083018</v>
      </c>
      <c r="X2932" s="28">
        <v>10000000</v>
      </c>
      <c r="Y2932" s="28">
        <v>0</v>
      </c>
      <c r="Z2932" s="49">
        <v>2.0000000000000001E-4</v>
      </c>
    </row>
    <row r="2933" spans="1:26" s="29" customFormat="1" ht="90.75" customHeight="1" x14ac:dyDescent="0.25">
      <c r="A2933" s="20"/>
      <c r="B2933" s="20"/>
      <c r="C2933" s="20"/>
      <c r="D2933" s="21"/>
      <c r="E2933" s="21"/>
      <c r="F2933" s="22"/>
      <c r="G2933" s="23"/>
      <c r="H2933" s="36">
        <v>200</v>
      </c>
      <c r="I2933" s="40">
        <v>625</v>
      </c>
      <c r="J2933" s="28">
        <f>(H2933*I2933)</f>
        <v>125000</v>
      </c>
      <c r="K2933" s="37"/>
      <c r="L2933" s="31"/>
      <c r="M2933" s="32"/>
      <c r="N2933" s="33"/>
      <c r="O2933" s="82"/>
      <c r="P2933" s="86"/>
      <c r="Q2933" s="36"/>
      <c r="R2933" s="36"/>
      <c r="S2933" s="37"/>
      <c r="T2933" s="28"/>
      <c r="U2933" s="36"/>
      <c r="V2933" s="36"/>
      <c r="W2933" s="36"/>
      <c r="X2933" s="28"/>
      <c r="Y2933" s="28"/>
      <c r="Z2933" s="20"/>
    </row>
    <row r="2934" spans="1:26" s="29" customFormat="1" ht="90.75" customHeight="1" x14ac:dyDescent="0.25">
      <c r="A2934" s="20"/>
      <c r="B2934" s="20"/>
      <c r="C2934" s="20"/>
      <c r="D2934" s="21"/>
      <c r="E2934" s="21"/>
      <c r="F2934" s="22"/>
      <c r="G2934" s="23"/>
      <c r="H2934" s="36"/>
      <c r="I2934" s="40"/>
      <c r="J2934" s="28"/>
      <c r="K2934" s="37">
        <v>5</v>
      </c>
      <c r="L2934" s="31" t="s">
        <v>215</v>
      </c>
      <c r="M2934" s="32" t="s">
        <v>13</v>
      </c>
      <c r="N2934" s="33">
        <v>2</v>
      </c>
      <c r="O2934" s="82">
        <v>108</v>
      </c>
      <c r="P2934" s="86">
        <v>100</v>
      </c>
      <c r="Q2934" s="36">
        <v>6450</v>
      </c>
      <c r="R2934" s="36">
        <f>(O2934*Q2934)</f>
        <v>696600</v>
      </c>
      <c r="S2934" s="37">
        <v>12</v>
      </c>
      <c r="T2934" s="28">
        <f t="shared" ref="T2934:T2935" si="671">(R2934*14/100)</f>
        <v>97524</v>
      </c>
      <c r="U2934" s="36">
        <f>(R2934-T2934)</f>
        <v>599076</v>
      </c>
      <c r="V2934" s="36"/>
      <c r="W2934" s="36"/>
      <c r="X2934" s="28"/>
      <c r="Y2934" s="28"/>
      <c r="Z2934" s="20"/>
    </row>
    <row r="2935" spans="1:26" s="29" customFormat="1" ht="90.75" customHeight="1" x14ac:dyDescent="0.25">
      <c r="A2935" s="20"/>
      <c r="B2935" s="20"/>
      <c r="C2935" s="20"/>
      <c r="D2935" s="21"/>
      <c r="E2935" s="21"/>
      <c r="F2935" s="22"/>
      <c r="G2935" s="23"/>
      <c r="H2935" s="36"/>
      <c r="I2935" s="40"/>
      <c r="J2935" s="28"/>
      <c r="K2935" s="37">
        <v>8</v>
      </c>
      <c r="L2935" s="31" t="s">
        <v>31</v>
      </c>
      <c r="M2935" s="32"/>
      <c r="N2935" s="33"/>
      <c r="O2935" s="82">
        <v>72</v>
      </c>
      <c r="P2935" s="86">
        <v>100</v>
      </c>
      <c r="Q2935" s="36">
        <v>2550</v>
      </c>
      <c r="R2935" s="36">
        <f>(O2935*Q2935)</f>
        <v>183600</v>
      </c>
      <c r="S2935" s="37">
        <v>12</v>
      </c>
      <c r="T2935" s="28">
        <f t="shared" si="671"/>
        <v>25704</v>
      </c>
      <c r="U2935" s="36">
        <f>(R2935-T2935)</f>
        <v>157896</v>
      </c>
      <c r="V2935" s="36"/>
      <c r="W2935" s="36"/>
      <c r="X2935" s="28"/>
      <c r="Y2935" s="28"/>
      <c r="Z2935" s="20"/>
    </row>
    <row r="2936" spans="1:26" s="29" customFormat="1" ht="90.75" customHeight="1" x14ac:dyDescent="0.25">
      <c r="A2936" s="20"/>
      <c r="B2936" s="20"/>
      <c r="C2936" s="20"/>
      <c r="D2936" s="21"/>
      <c r="E2936" s="21"/>
      <c r="F2936" s="22"/>
      <c r="G2936" s="23"/>
      <c r="H2936" s="36"/>
      <c r="I2936" s="40"/>
      <c r="J2936" s="28"/>
      <c r="K2936" s="37"/>
      <c r="L2936" s="31"/>
      <c r="M2936" s="32"/>
      <c r="N2936" s="33"/>
      <c r="O2936" s="82"/>
      <c r="P2936" s="86"/>
      <c r="Q2936" s="36"/>
      <c r="R2936" s="36"/>
      <c r="S2936" s="37"/>
      <c r="T2936" s="28"/>
      <c r="U2936" s="36">
        <f>(U2934+U2935)</f>
        <v>756972</v>
      </c>
      <c r="V2936" s="36">
        <f>(J2933+U2936)</f>
        <v>881972</v>
      </c>
      <c r="W2936" s="36">
        <f>(V2936*100/100)</f>
        <v>881972</v>
      </c>
      <c r="X2936" s="28">
        <v>10000000</v>
      </c>
      <c r="Y2936" s="28">
        <v>0</v>
      </c>
      <c r="Z2936" s="49">
        <v>2.0000000000000001E-4</v>
      </c>
    </row>
    <row r="2937" spans="1:26" s="29" customFormat="1" ht="90.75" customHeight="1" x14ac:dyDescent="0.25">
      <c r="A2937" s="20"/>
      <c r="B2937" s="20" t="s">
        <v>0</v>
      </c>
      <c r="C2937" s="20">
        <v>14632</v>
      </c>
      <c r="D2937" s="21"/>
      <c r="E2937" s="21"/>
      <c r="F2937" s="22"/>
      <c r="G2937" s="23"/>
      <c r="H2937" s="36">
        <f>(O2937*0.25)</f>
        <v>110</v>
      </c>
      <c r="I2937" s="40">
        <v>625</v>
      </c>
      <c r="J2937" s="28">
        <f>(H2937*I2937)</f>
        <v>68750</v>
      </c>
      <c r="K2937" s="37">
        <v>9</v>
      </c>
      <c r="L2937" s="31" t="s">
        <v>43</v>
      </c>
      <c r="M2937" s="32" t="s">
        <v>13</v>
      </c>
      <c r="N2937" s="33"/>
      <c r="O2937" s="82">
        <v>440</v>
      </c>
      <c r="P2937" s="86">
        <v>100</v>
      </c>
      <c r="Q2937" s="36">
        <v>7700</v>
      </c>
      <c r="R2937" s="36">
        <f>(O2937*Q2937)</f>
        <v>3388000</v>
      </c>
      <c r="S2937" s="37">
        <v>5</v>
      </c>
      <c r="T2937" s="28">
        <f>(R2937*5/100)</f>
        <v>169400</v>
      </c>
      <c r="U2937" s="36">
        <f>(R2937-T2937)</f>
        <v>3218600</v>
      </c>
      <c r="V2937" s="36">
        <f>(J2937+U2937)</f>
        <v>3287350</v>
      </c>
      <c r="W2937" s="36">
        <f>(V2937*100/100)</f>
        <v>3287350</v>
      </c>
      <c r="X2937" s="28">
        <v>0</v>
      </c>
      <c r="Y2937" s="28">
        <f>(W2937-X2937)</f>
        <v>3287350</v>
      </c>
      <c r="Z2937" s="49">
        <v>2.0000000000000001E-4</v>
      </c>
    </row>
    <row r="2938" spans="1:26" s="29" customFormat="1" ht="90.75" customHeight="1" x14ac:dyDescent="0.25">
      <c r="A2938" s="20"/>
      <c r="B2938" s="20" t="s">
        <v>0</v>
      </c>
      <c r="C2938" s="20">
        <v>14632</v>
      </c>
      <c r="D2938" s="21"/>
      <c r="E2938" s="21"/>
      <c r="F2938" s="22"/>
      <c r="G2938" s="23"/>
      <c r="H2938" s="36">
        <f>(O2938*0.25)</f>
        <v>110</v>
      </c>
      <c r="I2938" s="40">
        <v>625</v>
      </c>
      <c r="J2938" s="28">
        <f>(H2938*I2938)</f>
        <v>68750</v>
      </c>
      <c r="K2938" s="37">
        <v>10</v>
      </c>
      <c r="L2938" s="31" t="s">
        <v>43</v>
      </c>
      <c r="M2938" s="32" t="s">
        <v>13</v>
      </c>
      <c r="N2938" s="33"/>
      <c r="O2938" s="82">
        <v>440</v>
      </c>
      <c r="P2938" s="86">
        <v>100</v>
      </c>
      <c r="Q2938" s="36">
        <v>7700</v>
      </c>
      <c r="R2938" s="36">
        <f>(O2938*Q2938)</f>
        <v>3388000</v>
      </c>
      <c r="S2938" s="37">
        <v>5</v>
      </c>
      <c r="T2938" s="28">
        <f>(R2938*5/100)</f>
        <v>169400</v>
      </c>
      <c r="U2938" s="36">
        <f>(R2938-T2938)</f>
        <v>3218600</v>
      </c>
      <c r="V2938" s="36">
        <f>(J2938+U2938)</f>
        <v>3287350</v>
      </c>
      <c r="W2938" s="36">
        <f>(V2938*100/100)</f>
        <v>3287350</v>
      </c>
      <c r="X2938" s="28">
        <v>0</v>
      </c>
      <c r="Y2938" s="28">
        <f>(W2938-X2938)</f>
        <v>3287350</v>
      </c>
      <c r="Z2938" s="49">
        <v>2.0000000000000001E-4</v>
      </c>
    </row>
    <row r="2939" spans="1:26" s="29" customFormat="1" ht="90.75" customHeight="1" x14ac:dyDescent="0.25">
      <c r="A2939" s="20">
        <v>1486</v>
      </c>
      <c r="B2939" s="20" t="s">
        <v>0</v>
      </c>
      <c r="C2939" s="20">
        <v>11654</v>
      </c>
      <c r="D2939" s="21">
        <v>4</v>
      </c>
      <c r="E2939" s="21">
        <v>2</v>
      </c>
      <c r="F2939" s="22">
        <v>78</v>
      </c>
      <c r="G2939" s="23" t="s">
        <v>211</v>
      </c>
      <c r="H2939" s="24">
        <f>(D2939*400)+(E2939*100)+F2939</f>
        <v>1878</v>
      </c>
      <c r="I2939" s="25" t="s">
        <v>78</v>
      </c>
      <c r="J2939" s="24">
        <f>(H2939*I2939)</f>
        <v>1643250</v>
      </c>
      <c r="K2939" s="20"/>
      <c r="L2939" s="20"/>
      <c r="M2939" s="20"/>
      <c r="N2939" s="20"/>
      <c r="O2939" s="24"/>
      <c r="P2939" s="24"/>
      <c r="Q2939" s="25"/>
      <c r="R2939" s="24"/>
      <c r="S2939" s="20"/>
      <c r="T2939" s="27"/>
      <c r="U2939" s="20"/>
      <c r="V2939" s="20"/>
      <c r="W2939" s="26"/>
      <c r="X2939" s="27"/>
      <c r="Y2939" s="20"/>
      <c r="Z2939" s="20"/>
    </row>
    <row r="2940" spans="1:26" s="29" customFormat="1" ht="90.75" customHeight="1" x14ac:dyDescent="0.25">
      <c r="A2940" s="20"/>
      <c r="B2940" s="20"/>
      <c r="C2940" s="20"/>
      <c r="D2940" s="21"/>
      <c r="E2940" s="21"/>
      <c r="F2940" s="22"/>
      <c r="G2940" s="23"/>
      <c r="H2940" s="36">
        <v>1687.06</v>
      </c>
      <c r="I2940" s="40">
        <v>875</v>
      </c>
      <c r="J2940" s="28">
        <f>(H2940*I2940)</f>
        <v>1476177.5</v>
      </c>
      <c r="K2940" s="37"/>
      <c r="L2940" s="31"/>
      <c r="M2940" s="31"/>
      <c r="N2940" s="41"/>
      <c r="O2940" s="42"/>
      <c r="P2940" s="86"/>
      <c r="Q2940" s="36"/>
      <c r="R2940" s="36"/>
      <c r="S2940" s="37"/>
      <c r="T2940" s="28"/>
      <c r="U2940" s="36"/>
      <c r="V2940" s="36"/>
      <c r="W2940" s="36"/>
      <c r="X2940" s="28"/>
      <c r="Y2940" s="28"/>
      <c r="Z2940" s="49"/>
    </row>
    <row r="2941" spans="1:26" s="29" customFormat="1" ht="90.75" customHeight="1" x14ac:dyDescent="0.25">
      <c r="A2941" s="20"/>
      <c r="B2941" s="20"/>
      <c r="C2941" s="20"/>
      <c r="D2941" s="21"/>
      <c r="E2941" s="21"/>
      <c r="F2941" s="22"/>
      <c r="G2941" s="23"/>
      <c r="H2941" s="36"/>
      <c r="I2941" s="40"/>
      <c r="J2941" s="28"/>
      <c r="K2941" s="37">
        <v>1</v>
      </c>
      <c r="L2941" s="31" t="s">
        <v>215</v>
      </c>
      <c r="M2941" s="31" t="s">
        <v>13</v>
      </c>
      <c r="N2941" s="41">
        <v>2</v>
      </c>
      <c r="O2941" s="42">
        <v>175</v>
      </c>
      <c r="P2941" s="86" t="s">
        <v>256</v>
      </c>
      <c r="Q2941" s="36">
        <v>6450</v>
      </c>
      <c r="R2941" s="36">
        <f>(O2941*Q2941)</f>
        <v>1128750</v>
      </c>
      <c r="S2941" s="37">
        <v>25</v>
      </c>
      <c r="T2941" s="28">
        <f>(R2941*40/100)</f>
        <v>451500</v>
      </c>
      <c r="U2941" s="36">
        <f>(R2941-T2941)</f>
        <v>677250</v>
      </c>
      <c r="V2941" s="36"/>
      <c r="W2941" s="36"/>
      <c r="X2941" s="28"/>
      <c r="Y2941" s="28"/>
      <c r="Z2941" s="20"/>
    </row>
    <row r="2942" spans="1:26" s="29" customFormat="1" ht="90.75" customHeight="1" x14ac:dyDescent="0.25">
      <c r="A2942" s="20"/>
      <c r="B2942" s="20"/>
      <c r="C2942" s="20"/>
      <c r="D2942" s="21"/>
      <c r="E2942" s="21"/>
      <c r="F2942" s="22"/>
      <c r="G2942" s="23"/>
      <c r="H2942" s="36"/>
      <c r="I2942" s="40"/>
      <c r="J2942" s="28"/>
      <c r="K2942" s="37">
        <v>2</v>
      </c>
      <c r="L2942" s="31" t="s">
        <v>31</v>
      </c>
      <c r="M2942" s="31"/>
      <c r="N2942" s="41">
        <v>2</v>
      </c>
      <c r="O2942" s="48">
        <v>38.5</v>
      </c>
      <c r="P2942" s="86" t="s">
        <v>256</v>
      </c>
      <c r="Q2942" s="36">
        <v>2550</v>
      </c>
      <c r="R2942" s="36">
        <f>(O2942*Q2942)</f>
        <v>98175</v>
      </c>
      <c r="S2942" s="37">
        <v>25</v>
      </c>
      <c r="T2942" s="28">
        <f t="shared" ref="T2942:T2943" si="672">(R2942*40/100)</f>
        <v>39270</v>
      </c>
      <c r="U2942" s="36">
        <f>(R2942-T2942)</f>
        <v>58905</v>
      </c>
      <c r="V2942" s="36"/>
      <c r="W2942" s="36"/>
      <c r="X2942" s="28"/>
      <c r="Y2942" s="28"/>
      <c r="Z2942" s="20"/>
    </row>
    <row r="2943" spans="1:26" s="29" customFormat="1" ht="90.75" customHeight="1" x14ac:dyDescent="0.25">
      <c r="A2943" s="20"/>
      <c r="B2943" s="20"/>
      <c r="C2943" s="20"/>
      <c r="D2943" s="21"/>
      <c r="E2943" s="21"/>
      <c r="F2943" s="22"/>
      <c r="G2943" s="23"/>
      <c r="H2943" s="36"/>
      <c r="I2943" s="40"/>
      <c r="J2943" s="28"/>
      <c r="K2943" s="37">
        <v>3</v>
      </c>
      <c r="L2943" s="31" t="s">
        <v>31</v>
      </c>
      <c r="M2943" s="31"/>
      <c r="N2943" s="41">
        <v>2</v>
      </c>
      <c r="O2943" s="48">
        <v>72</v>
      </c>
      <c r="P2943" s="86" t="s">
        <v>256</v>
      </c>
      <c r="Q2943" s="36">
        <v>2550</v>
      </c>
      <c r="R2943" s="36">
        <f>(O2943*Q2943)</f>
        <v>183600</v>
      </c>
      <c r="S2943" s="37">
        <v>25</v>
      </c>
      <c r="T2943" s="28">
        <f t="shared" si="672"/>
        <v>73440</v>
      </c>
      <c r="U2943" s="36">
        <f>(R2943-T2943)</f>
        <v>110160</v>
      </c>
      <c r="V2943" s="36"/>
      <c r="W2943" s="36"/>
      <c r="X2943" s="28"/>
      <c r="Y2943" s="28"/>
      <c r="Z2943" s="20"/>
    </row>
    <row r="2944" spans="1:26" s="29" customFormat="1" ht="90.75" customHeight="1" x14ac:dyDescent="0.25">
      <c r="A2944" s="20"/>
      <c r="B2944" s="20"/>
      <c r="C2944" s="20"/>
      <c r="D2944" s="21"/>
      <c r="E2944" s="21"/>
      <c r="F2944" s="22"/>
      <c r="G2944" s="23"/>
      <c r="H2944" s="36">
        <v>190.94</v>
      </c>
      <c r="I2944" s="40">
        <v>875</v>
      </c>
      <c r="J2944" s="28">
        <f>(H2944*I2944)</f>
        <v>167072.5</v>
      </c>
      <c r="K2944" s="37"/>
      <c r="L2944" s="31"/>
      <c r="M2944" s="31"/>
      <c r="N2944" s="41"/>
      <c r="O2944" s="48"/>
      <c r="P2944" s="86"/>
      <c r="Q2944" s="36"/>
      <c r="R2944" s="36"/>
      <c r="S2944" s="37"/>
      <c r="T2944" s="28"/>
      <c r="U2944" s="36">
        <f>SUM(U2941:U2943)</f>
        <v>846315</v>
      </c>
      <c r="V2944" s="36">
        <f>(J2940+U2944)</f>
        <v>2322492.5</v>
      </c>
      <c r="W2944" s="36">
        <f>(V2944*100/100)</f>
        <v>2322492.5</v>
      </c>
      <c r="X2944" s="28">
        <v>50000000</v>
      </c>
      <c r="Y2944" s="28">
        <v>0</v>
      </c>
      <c r="Z2944" s="49">
        <v>2.0000000000000001E-4</v>
      </c>
    </row>
    <row r="2945" spans="1:26" s="29" customFormat="1" ht="90.75" customHeight="1" x14ac:dyDescent="0.25">
      <c r="A2945" s="20"/>
      <c r="B2945" s="20"/>
      <c r="C2945" s="20"/>
      <c r="D2945" s="21"/>
      <c r="E2945" s="21"/>
      <c r="F2945" s="22"/>
      <c r="G2945" s="23"/>
      <c r="H2945" s="36"/>
      <c r="I2945" s="40"/>
      <c r="J2945" s="28"/>
      <c r="K2945" s="37">
        <v>4</v>
      </c>
      <c r="L2945" s="31" t="s">
        <v>215</v>
      </c>
      <c r="M2945" s="31" t="s">
        <v>13</v>
      </c>
      <c r="N2945" s="41">
        <v>2</v>
      </c>
      <c r="O2945" s="48">
        <v>87.5</v>
      </c>
      <c r="P2945" s="86" t="s">
        <v>256</v>
      </c>
      <c r="Q2945" s="36">
        <v>6450</v>
      </c>
      <c r="R2945" s="36">
        <f t="shared" ref="R2945:R2967" si="673">(O2945*Q2945)</f>
        <v>564375</v>
      </c>
      <c r="S2945" s="37">
        <v>25</v>
      </c>
      <c r="T2945" s="28">
        <f t="shared" ref="T2945:T2947" si="674">(R2945*40/100)</f>
        <v>225750</v>
      </c>
      <c r="U2945" s="36">
        <f t="shared" ref="U2945:U2967" si="675">(R2945-T2945)</f>
        <v>338625</v>
      </c>
      <c r="V2945" s="36"/>
      <c r="W2945" s="36"/>
      <c r="X2945" s="28"/>
      <c r="Y2945" s="28"/>
      <c r="Z2945" s="20"/>
    </row>
    <row r="2946" spans="1:26" s="29" customFormat="1" ht="90.75" customHeight="1" x14ac:dyDescent="0.25">
      <c r="A2946" s="20"/>
      <c r="B2946" s="20"/>
      <c r="C2946" s="20"/>
      <c r="D2946" s="21"/>
      <c r="E2946" s="21"/>
      <c r="F2946" s="22"/>
      <c r="G2946" s="23"/>
      <c r="H2946" s="36"/>
      <c r="I2946" s="40"/>
      <c r="J2946" s="28"/>
      <c r="K2946" s="37">
        <v>5</v>
      </c>
      <c r="L2946" s="31" t="s">
        <v>31</v>
      </c>
      <c r="M2946" s="31"/>
      <c r="N2946" s="41">
        <v>2</v>
      </c>
      <c r="O2946" s="48">
        <v>24</v>
      </c>
      <c r="P2946" s="86" t="s">
        <v>256</v>
      </c>
      <c r="Q2946" s="36">
        <v>2550</v>
      </c>
      <c r="R2946" s="36">
        <f t="shared" si="673"/>
        <v>61200</v>
      </c>
      <c r="S2946" s="37">
        <v>25</v>
      </c>
      <c r="T2946" s="28">
        <f t="shared" si="674"/>
        <v>24480</v>
      </c>
      <c r="U2946" s="36">
        <f t="shared" si="675"/>
        <v>36720</v>
      </c>
      <c r="V2946" s="36"/>
      <c r="W2946" s="36"/>
      <c r="X2946" s="28"/>
      <c r="Y2946" s="28"/>
      <c r="Z2946" s="20"/>
    </row>
    <row r="2947" spans="1:26" s="29" customFormat="1" ht="90.75" customHeight="1" x14ac:dyDescent="0.25">
      <c r="A2947" s="20"/>
      <c r="B2947" s="20"/>
      <c r="C2947" s="20"/>
      <c r="D2947" s="21"/>
      <c r="E2947" s="21"/>
      <c r="F2947" s="22"/>
      <c r="G2947" s="23"/>
      <c r="H2947" s="36"/>
      <c r="I2947" s="40"/>
      <c r="J2947" s="28"/>
      <c r="K2947" s="37">
        <v>6</v>
      </c>
      <c r="L2947" s="31" t="s">
        <v>215</v>
      </c>
      <c r="M2947" s="31" t="s">
        <v>13</v>
      </c>
      <c r="N2947" s="41">
        <v>2</v>
      </c>
      <c r="O2947" s="48">
        <v>52.25</v>
      </c>
      <c r="P2947" s="86" t="s">
        <v>256</v>
      </c>
      <c r="Q2947" s="36">
        <v>6450</v>
      </c>
      <c r="R2947" s="36">
        <f t="shared" si="673"/>
        <v>337012.5</v>
      </c>
      <c r="S2947" s="37">
        <v>25</v>
      </c>
      <c r="T2947" s="28">
        <f t="shared" si="674"/>
        <v>134805</v>
      </c>
      <c r="U2947" s="36">
        <f t="shared" si="675"/>
        <v>202207.5</v>
      </c>
      <c r="V2947" s="36"/>
      <c r="W2947" s="36"/>
      <c r="X2947" s="28"/>
      <c r="Y2947" s="28"/>
      <c r="Z2947" s="20"/>
    </row>
    <row r="2948" spans="1:26" s="29" customFormat="1" ht="90.75" customHeight="1" x14ac:dyDescent="0.25">
      <c r="A2948" s="20"/>
      <c r="B2948" s="20"/>
      <c r="C2948" s="20"/>
      <c r="D2948" s="21"/>
      <c r="E2948" s="21"/>
      <c r="F2948" s="22"/>
      <c r="G2948" s="23"/>
      <c r="H2948" s="36"/>
      <c r="I2948" s="40"/>
      <c r="J2948" s="28"/>
      <c r="K2948" s="37">
        <v>7</v>
      </c>
      <c r="L2948" s="31" t="s">
        <v>215</v>
      </c>
      <c r="M2948" s="31" t="s">
        <v>40</v>
      </c>
      <c r="N2948" s="41">
        <v>2</v>
      </c>
      <c r="O2948" s="48">
        <v>42</v>
      </c>
      <c r="P2948" s="86" t="s">
        <v>256</v>
      </c>
      <c r="Q2948" s="36">
        <v>6450</v>
      </c>
      <c r="R2948" s="36">
        <f t="shared" si="673"/>
        <v>270900</v>
      </c>
      <c r="S2948" s="37">
        <v>7</v>
      </c>
      <c r="T2948" s="28">
        <f>(R2948*25/100)</f>
        <v>67725</v>
      </c>
      <c r="U2948" s="36">
        <f t="shared" si="675"/>
        <v>203175</v>
      </c>
      <c r="V2948" s="36"/>
      <c r="W2948" s="36"/>
      <c r="X2948" s="28"/>
      <c r="Y2948" s="28"/>
      <c r="Z2948" s="20"/>
    </row>
    <row r="2949" spans="1:26" s="29" customFormat="1" ht="90.75" customHeight="1" x14ac:dyDescent="0.25">
      <c r="A2949" s="20"/>
      <c r="B2949" s="20"/>
      <c r="C2949" s="20"/>
      <c r="D2949" s="21"/>
      <c r="E2949" s="21"/>
      <c r="F2949" s="22"/>
      <c r="G2949" s="23"/>
      <c r="H2949" s="36"/>
      <c r="I2949" s="40"/>
      <c r="J2949" s="28"/>
      <c r="K2949" s="37">
        <v>8</v>
      </c>
      <c r="L2949" s="31" t="s">
        <v>31</v>
      </c>
      <c r="M2949" s="31"/>
      <c r="N2949" s="41">
        <v>2</v>
      </c>
      <c r="O2949" s="48">
        <v>18</v>
      </c>
      <c r="P2949" s="86" t="s">
        <v>256</v>
      </c>
      <c r="Q2949" s="36">
        <v>2550</v>
      </c>
      <c r="R2949" s="36">
        <f t="shared" si="673"/>
        <v>45900</v>
      </c>
      <c r="S2949" s="37">
        <v>7</v>
      </c>
      <c r="T2949" s="28">
        <f t="shared" ref="T2949:T2967" si="676">(R2949*25/100)</f>
        <v>11475</v>
      </c>
      <c r="U2949" s="36">
        <f t="shared" si="675"/>
        <v>34425</v>
      </c>
      <c r="V2949" s="36"/>
      <c r="W2949" s="36"/>
      <c r="X2949" s="28"/>
      <c r="Y2949" s="28"/>
      <c r="Z2949" s="20"/>
    </row>
    <row r="2950" spans="1:26" s="29" customFormat="1" ht="90.75" customHeight="1" x14ac:dyDescent="0.25">
      <c r="A2950" s="20"/>
      <c r="B2950" s="20"/>
      <c r="C2950" s="20"/>
      <c r="D2950" s="21"/>
      <c r="E2950" s="21"/>
      <c r="F2950" s="22"/>
      <c r="G2950" s="23"/>
      <c r="H2950" s="36"/>
      <c r="I2950" s="40"/>
      <c r="J2950" s="28"/>
      <c r="K2950" s="37">
        <v>9</v>
      </c>
      <c r="L2950" s="31" t="s">
        <v>215</v>
      </c>
      <c r="M2950" s="31" t="s">
        <v>40</v>
      </c>
      <c r="N2950" s="41">
        <v>2</v>
      </c>
      <c r="O2950" s="48">
        <v>42</v>
      </c>
      <c r="P2950" s="86" t="s">
        <v>256</v>
      </c>
      <c r="Q2950" s="36">
        <v>6450</v>
      </c>
      <c r="R2950" s="36">
        <f t="shared" si="673"/>
        <v>270900</v>
      </c>
      <c r="S2950" s="37">
        <v>7</v>
      </c>
      <c r="T2950" s="28">
        <f t="shared" si="676"/>
        <v>67725</v>
      </c>
      <c r="U2950" s="36">
        <f t="shared" si="675"/>
        <v>203175</v>
      </c>
      <c r="V2950" s="36"/>
      <c r="W2950" s="36"/>
      <c r="X2950" s="28"/>
      <c r="Y2950" s="28"/>
      <c r="Z2950" s="20"/>
    </row>
    <row r="2951" spans="1:26" s="29" customFormat="1" ht="90.75" customHeight="1" x14ac:dyDescent="0.25">
      <c r="A2951" s="20"/>
      <c r="B2951" s="20"/>
      <c r="C2951" s="20"/>
      <c r="D2951" s="21"/>
      <c r="E2951" s="21"/>
      <c r="F2951" s="22"/>
      <c r="G2951" s="23"/>
      <c r="H2951" s="36"/>
      <c r="I2951" s="40"/>
      <c r="J2951" s="28"/>
      <c r="K2951" s="37">
        <v>10</v>
      </c>
      <c r="L2951" s="31" t="s">
        <v>31</v>
      </c>
      <c r="M2951" s="31"/>
      <c r="N2951" s="41">
        <v>2</v>
      </c>
      <c r="O2951" s="48">
        <v>18</v>
      </c>
      <c r="P2951" s="86" t="s">
        <v>256</v>
      </c>
      <c r="Q2951" s="36">
        <v>2550</v>
      </c>
      <c r="R2951" s="36">
        <f t="shared" si="673"/>
        <v>45900</v>
      </c>
      <c r="S2951" s="37">
        <v>7</v>
      </c>
      <c r="T2951" s="28">
        <f t="shared" si="676"/>
        <v>11475</v>
      </c>
      <c r="U2951" s="36">
        <f t="shared" si="675"/>
        <v>34425</v>
      </c>
      <c r="V2951" s="36"/>
      <c r="W2951" s="36"/>
      <c r="X2951" s="28"/>
      <c r="Y2951" s="28"/>
      <c r="Z2951" s="20"/>
    </row>
    <row r="2952" spans="1:26" s="29" customFormat="1" ht="90.75" customHeight="1" x14ac:dyDescent="0.25">
      <c r="A2952" s="20"/>
      <c r="B2952" s="20"/>
      <c r="C2952" s="20"/>
      <c r="D2952" s="21"/>
      <c r="E2952" s="21"/>
      <c r="F2952" s="22"/>
      <c r="G2952" s="23"/>
      <c r="H2952" s="36"/>
      <c r="I2952" s="40"/>
      <c r="J2952" s="28"/>
      <c r="K2952" s="37">
        <v>11</v>
      </c>
      <c r="L2952" s="31" t="s">
        <v>215</v>
      </c>
      <c r="M2952" s="31" t="s">
        <v>40</v>
      </c>
      <c r="N2952" s="41">
        <v>2</v>
      </c>
      <c r="O2952" s="48">
        <v>42</v>
      </c>
      <c r="P2952" s="86" t="s">
        <v>256</v>
      </c>
      <c r="Q2952" s="36">
        <v>6450</v>
      </c>
      <c r="R2952" s="36">
        <f t="shared" si="673"/>
        <v>270900</v>
      </c>
      <c r="S2952" s="37">
        <v>7</v>
      </c>
      <c r="T2952" s="28">
        <f t="shared" si="676"/>
        <v>67725</v>
      </c>
      <c r="U2952" s="36">
        <f t="shared" si="675"/>
        <v>203175</v>
      </c>
      <c r="V2952" s="36"/>
      <c r="W2952" s="36"/>
      <c r="X2952" s="28"/>
      <c r="Y2952" s="28"/>
      <c r="Z2952" s="20"/>
    </row>
    <row r="2953" spans="1:26" s="29" customFormat="1" ht="90.75" customHeight="1" x14ac:dyDescent="0.25">
      <c r="A2953" s="20"/>
      <c r="B2953" s="20"/>
      <c r="C2953" s="20"/>
      <c r="D2953" s="21"/>
      <c r="E2953" s="21"/>
      <c r="F2953" s="22"/>
      <c r="G2953" s="23"/>
      <c r="H2953" s="36"/>
      <c r="I2953" s="40"/>
      <c r="J2953" s="28"/>
      <c r="K2953" s="37">
        <v>12</v>
      </c>
      <c r="L2953" s="31" t="s">
        <v>31</v>
      </c>
      <c r="M2953" s="31"/>
      <c r="N2953" s="41">
        <v>2</v>
      </c>
      <c r="O2953" s="48">
        <v>18</v>
      </c>
      <c r="P2953" s="86" t="s">
        <v>256</v>
      </c>
      <c r="Q2953" s="36">
        <v>2550</v>
      </c>
      <c r="R2953" s="36">
        <f t="shared" si="673"/>
        <v>45900</v>
      </c>
      <c r="S2953" s="37">
        <v>7</v>
      </c>
      <c r="T2953" s="28">
        <f t="shared" si="676"/>
        <v>11475</v>
      </c>
      <c r="U2953" s="36">
        <f t="shared" si="675"/>
        <v>34425</v>
      </c>
      <c r="V2953" s="36"/>
      <c r="W2953" s="36"/>
      <c r="X2953" s="28"/>
      <c r="Y2953" s="28"/>
      <c r="Z2953" s="20"/>
    </row>
    <row r="2954" spans="1:26" s="29" customFormat="1" ht="90.75" customHeight="1" x14ac:dyDescent="0.25">
      <c r="A2954" s="20"/>
      <c r="B2954" s="20"/>
      <c r="C2954" s="20"/>
      <c r="D2954" s="21"/>
      <c r="E2954" s="21"/>
      <c r="F2954" s="22"/>
      <c r="G2954" s="23"/>
      <c r="H2954" s="36"/>
      <c r="I2954" s="40"/>
      <c r="J2954" s="28"/>
      <c r="K2954" s="37">
        <v>13</v>
      </c>
      <c r="L2954" s="31" t="s">
        <v>215</v>
      </c>
      <c r="M2954" s="31" t="s">
        <v>40</v>
      </c>
      <c r="N2954" s="41">
        <v>2</v>
      </c>
      <c r="O2954" s="48">
        <v>42</v>
      </c>
      <c r="P2954" s="86" t="s">
        <v>256</v>
      </c>
      <c r="Q2954" s="36">
        <v>6450</v>
      </c>
      <c r="R2954" s="36">
        <f t="shared" si="673"/>
        <v>270900</v>
      </c>
      <c r="S2954" s="37">
        <v>7</v>
      </c>
      <c r="T2954" s="28">
        <f t="shared" si="676"/>
        <v>67725</v>
      </c>
      <c r="U2954" s="36">
        <f t="shared" si="675"/>
        <v>203175</v>
      </c>
      <c r="V2954" s="36"/>
      <c r="W2954" s="36"/>
      <c r="X2954" s="28"/>
      <c r="Y2954" s="28"/>
      <c r="Z2954" s="20"/>
    </row>
    <row r="2955" spans="1:26" s="29" customFormat="1" ht="90.75" customHeight="1" x14ac:dyDescent="0.25">
      <c r="A2955" s="20"/>
      <c r="B2955" s="20"/>
      <c r="C2955" s="20"/>
      <c r="D2955" s="21"/>
      <c r="E2955" s="21"/>
      <c r="F2955" s="22"/>
      <c r="G2955" s="23"/>
      <c r="H2955" s="36"/>
      <c r="I2955" s="40"/>
      <c r="J2955" s="28"/>
      <c r="K2955" s="37">
        <v>14</v>
      </c>
      <c r="L2955" s="31" t="s">
        <v>31</v>
      </c>
      <c r="M2955" s="31"/>
      <c r="N2955" s="41">
        <v>2</v>
      </c>
      <c r="O2955" s="48">
        <v>18</v>
      </c>
      <c r="P2955" s="86" t="s">
        <v>256</v>
      </c>
      <c r="Q2955" s="36">
        <v>2550</v>
      </c>
      <c r="R2955" s="36">
        <f t="shared" si="673"/>
        <v>45900</v>
      </c>
      <c r="S2955" s="37">
        <v>7</v>
      </c>
      <c r="T2955" s="28">
        <f t="shared" si="676"/>
        <v>11475</v>
      </c>
      <c r="U2955" s="36">
        <f t="shared" si="675"/>
        <v>34425</v>
      </c>
      <c r="V2955" s="36"/>
      <c r="W2955" s="36"/>
      <c r="X2955" s="28"/>
      <c r="Y2955" s="28"/>
      <c r="Z2955" s="20"/>
    </row>
    <row r="2956" spans="1:26" s="29" customFormat="1" ht="90.75" customHeight="1" x14ac:dyDescent="0.25">
      <c r="A2956" s="20"/>
      <c r="B2956" s="20"/>
      <c r="C2956" s="20"/>
      <c r="D2956" s="21"/>
      <c r="E2956" s="21"/>
      <c r="F2956" s="22"/>
      <c r="G2956" s="23"/>
      <c r="H2956" s="36"/>
      <c r="I2956" s="40"/>
      <c r="J2956" s="28"/>
      <c r="K2956" s="37">
        <v>15</v>
      </c>
      <c r="L2956" s="31" t="s">
        <v>215</v>
      </c>
      <c r="M2956" s="31" t="s">
        <v>40</v>
      </c>
      <c r="N2956" s="41">
        <v>2</v>
      </c>
      <c r="O2956" s="48">
        <v>42</v>
      </c>
      <c r="P2956" s="86" t="s">
        <v>256</v>
      </c>
      <c r="Q2956" s="36">
        <v>6450</v>
      </c>
      <c r="R2956" s="36">
        <f t="shared" si="673"/>
        <v>270900</v>
      </c>
      <c r="S2956" s="37">
        <v>7</v>
      </c>
      <c r="T2956" s="28">
        <f t="shared" si="676"/>
        <v>67725</v>
      </c>
      <c r="U2956" s="36">
        <f t="shared" si="675"/>
        <v>203175</v>
      </c>
      <c r="V2956" s="36"/>
      <c r="W2956" s="36"/>
      <c r="X2956" s="28"/>
      <c r="Y2956" s="28"/>
      <c r="Z2956" s="20"/>
    </row>
    <row r="2957" spans="1:26" s="29" customFormat="1" ht="90.75" customHeight="1" x14ac:dyDescent="0.25">
      <c r="A2957" s="20"/>
      <c r="B2957" s="20"/>
      <c r="C2957" s="20"/>
      <c r="D2957" s="21"/>
      <c r="E2957" s="21"/>
      <c r="F2957" s="22"/>
      <c r="G2957" s="23"/>
      <c r="H2957" s="36"/>
      <c r="I2957" s="40"/>
      <c r="J2957" s="28"/>
      <c r="K2957" s="37">
        <v>16</v>
      </c>
      <c r="L2957" s="31" t="s">
        <v>31</v>
      </c>
      <c r="M2957" s="31"/>
      <c r="N2957" s="41">
        <v>2</v>
      </c>
      <c r="O2957" s="48">
        <v>18</v>
      </c>
      <c r="P2957" s="86" t="s">
        <v>256</v>
      </c>
      <c r="Q2957" s="36">
        <v>2550</v>
      </c>
      <c r="R2957" s="36">
        <f t="shared" si="673"/>
        <v>45900</v>
      </c>
      <c r="S2957" s="37">
        <v>7</v>
      </c>
      <c r="T2957" s="28">
        <f t="shared" si="676"/>
        <v>11475</v>
      </c>
      <c r="U2957" s="36">
        <f t="shared" si="675"/>
        <v>34425</v>
      </c>
      <c r="V2957" s="36"/>
      <c r="W2957" s="36"/>
      <c r="X2957" s="28"/>
      <c r="Y2957" s="28"/>
      <c r="Z2957" s="20"/>
    </row>
    <row r="2958" spans="1:26" s="29" customFormat="1" ht="90.75" customHeight="1" x14ac:dyDescent="0.25">
      <c r="A2958" s="20"/>
      <c r="B2958" s="20"/>
      <c r="C2958" s="20"/>
      <c r="D2958" s="21"/>
      <c r="E2958" s="21"/>
      <c r="F2958" s="22"/>
      <c r="G2958" s="23"/>
      <c r="H2958" s="36"/>
      <c r="I2958" s="40"/>
      <c r="J2958" s="28"/>
      <c r="K2958" s="37">
        <v>17</v>
      </c>
      <c r="L2958" s="31" t="s">
        <v>215</v>
      </c>
      <c r="M2958" s="31" t="s">
        <v>40</v>
      </c>
      <c r="N2958" s="41">
        <v>2</v>
      </c>
      <c r="O2958" s="48">
        <v>42</v>
      </c>
      <c r="P2958" s="86" t="s">
        <v>256</v>
      </c>
      <c r="Q2958" s="36">
        <v>6450</v>
      </c>
      <c r="R2958" s="36">
        <f t="shared" si="673"/>
        <v>270900</v>
      </c>
      <c r="S2958" s="37">
        <v>7</v>
      </c>
      <c r="T2958" s="28">
        <f t="shared" si="676"/>
        <v>67725</v>
      </c>
      <c r="U2958" s="36">
        <f t="shared" si="675"/>
        <v>203175</v>
      </c>
      <c r="V2958" s="36"/>
      <c r="W2958" s="36"/>
      <c r="X2958" s="28"/>
      <c r="Y2958" s="28"/>
      <c r="Z2958" s="20"/>
    </row>
    <row r="2959" spans="1:26" s="29" customFormat="1" ht="90.75" customHeight="1" x14ac:dyDescent="0.25">
      <c r="A2959" s="20"/>
      <c r="B2959" s="20"/>
      <c r="C2959" s="20"/>
      <c r="D2959" s="21"/>
      <c r="E2959" s="21"/>
      <c r="F2959" s="22"/>
      <c r="G2959" s="23"/>
      <c r="H2959" s="36"/>
      <c r="I2959" s="40"/>
      <c r="J2959" s="28"/>
      <c r="K2959" s="37">
        <v>18</v>
      </c>
      <c r="L2959" s="31" t="s">
        <v>31</v>
      </c>
      <c r="M2959" s="31"/>
      <c r="N2959" s="41">
        <v>2</v>
      </c>
      <c r="O2959" s="48">
        <v>18</v>
      </c>
      <c r="P2959" s="86" t="s">
        <v>256</v>
      </c>
      <c r="Q2959" s="36">
        <v>2550</v>
      </c>
      <c r="R2959" s="36">
        <f t="shared" si="673"/>
        <v>45900</v>
      </c>
      <c r="S2959" s="37">
        <v>7</v>
      </c>
      <c r="T2959" s="28">
        <f t="shared" si="676"/>
        <v>11475</v>
      </c>
      <c r="U2959" s="36">
        <f t="shared" si="675"/>
        <v>34425</v>
      </c>
      <c r="V2959" s="36"/>
      <c r="W2959" s="36"/>
      <c r="X2959" s="28"/>
      <c r="Y2959" s="28"/>
      <c r="Z2959" s="20"/>
    </row>
    <row r="2960" spans="1:26" s="29" customFormat="1" ht="90.75" customHeight="1" x14ac:dyDescent="0.25">
      <c r="A2960" s="20"/>
      <c r="B2960" s="20"/>
      <c r="C2960" s="20"/>
      <c r="D2960" s="21"/>
      <c r="E2960" s="21"/>
      <c r="F2960" s="22"/>
      <c r="G2960" s="23"/>
      <c r="H2960" s="36"/>
      <c r="I2960" s="40"/>
      <c r="J2960" s="28"/>
      <c r="K2960" s="37">
        <v>19</v>
      </c>
      <c r="L2960" s="31" t="s">
        <v>215</v>
      </c>
      <c r="M2960" s="31" t="s">
        <v>40</v>
      </c>
      <c r="N2960" s="41">
        <v>2</v>
      </c>
      <c r="O2960" s="48">
        <v>42</v>
      </c>
      <c r="P2960" s="86" t="s">
        <v>256</v>
      </c>
      <c r="Q2960" s="36">
        <v>6450</v>
      </c>
      <c r="R2960" s="36">
        <f t="shared" si="673"/>
        <v>270900</v>
      </c>
      <c r="S2960" s="37">
        <v>7</v>
      </c>
      <c r="T2960" s="28">
        <f t="shared" si="676"/>
        <v>67725</v>
      </c>
      <c r="U2960" s="36">
        <f t="shared" si="675"/>
        <v>203175</v>
      </c>
      <c r="V2960" s="36"/>
      <c r="W2960" s="36"/>
      <c r="X2960" s="28"/>
      <c r="Y2960" s="28"/>
      <c r="Z2960" s="20"/>
    </row>
    <row r="2961" spans="1:26" s="29" customFormat="1" ht="90.75" customHeight="1" x14ac:dyDescent="0.25">
      <c r="A2961" s="20"/>
      <c r="B2961" s="20"/>
      <c r="C2961" s="20"/>
      <c r="D2961" s="21"/>
      <c r="E2961" s="21"/>
      <c r="F2961" s="22"/>
      <c r="G2961" s="23"/>
      <c r="H2961" s="36"/>
      <c r="I2961" s="40"/>
      <c r="J2961" s="28"/>
      <c r="K2961" s="37">
        <v>20</v>
      </c>
      <c r="L2961" s="31" t="s">
        <v>31</v>
      </c>
      <c r="M2961" s="31"/>
      <c r="N2961" s="41">
        <v>2</v>
      </c>
      <c r="O2961" s="48">
        <v>18</v>
      </c>
      <c r="P2961" s="86" t="s">
        <v>256</v>
      </c>
      <c r="Q2961" s="36">
        <v>2550</v>
      </c>
      <c r="R2961" s="36">
        <f t="shared" si="673"/>
        <v>45900</v>
      </c>
      <c r="S2961" s="37">
        <v>7</v>
      </c>
      <c r="T2961" s="28">
        <f t="shared" si="676"/>
        <v>11475</v>
      </c>
      <c r="U2961" s="36">
        <f t="shared" si="675"/>
        <v>34425</v>
      </c>
      <c r="V2961" s="36"/>
      <c r="W2961" s="36"/>
      <c r="X2961" s="28"/>
      <c r="Y2961" s="28"/>
      <c r="Z2961" s="20"/>
    </row>
    <row r="2962" spans="1:26" s="29" customFormat="1" ht="90.75" customHeight="1" x14ac:dyDescent="0.25">
      <c r="A2962" s="20"/>
      <c r="B2962" s="20"/>
      <c r="C2962" s="20"/>
      <c r="D2962" s="21"/>
      <c r="E2962" s="21"/>
      <c r="F2962" s="22"/>
      <c r="G2962" s="23"/>
      <c r="H2962" s="36"/>
      <c r="I2962" s="40"/>
      <c r="J2962" s="28"/>
      <c r="K2962" s="37">
        <v>21</v>
      </c>
      <c r="L2962" s="31" t="s">
        <v>215</v>
      </c>
      <c r="M2962" s="31" t="s">
        <v>40</v>
      </c>
      <c r="N2962" s="41">
        <v>2</v>
      </c>
      <c r="O2962" s="48">
        <v>42</v>
      </c>
      <c r="P2962" s="86" t="s">
        <v>256</v>
      </c>
      <c r="Q2962" s="36">
        <v>6450</v>
      </c>
      <c r="R2962" s="36">
        <f t="shared" si="673"/>
        <v>270900</v>
      </c>
      <c r="S2962" s="37">
        <v>7</v>
      </c>
      <c r="T2962" s="28">
        <f t="shared" si="676"/>
        <v>67725</v>
      </c>
      <c r="U2962" s="36">
        <f t="shared" si="675"/>
        <v>203175</v>
      </c>
      <c r="V2962" s="36"/>
      <c r="W2962" s="36"/>
      <c r="X2962" s="28"/>
      <c r="Y2962" s="28"/>
      <c r="Z2962" s="20"/>
    </row>
    <row r="2963" spans="1:26" s="29" customFormat="1" ht="90.75" customHeight="1" x14ac:dyDescent="0.25">
      <c r="A2963" s="20"/>
      <c r="B2963" s="20"/>
      <c r="C2963" s="20"/>
      <c r="D2963" s="21"/>
      <c r="E2963" s="21"/>
      <c r="F2963" s="22"/>
      <c r="G2963" s="23"/>
      <c r="H2963" s="36"/>
      <c r="I2963" s="40"/>
      <c r="J2963" s="28"/>
      <c r="K2963" s="37">
        <v>22</v>
      </c>
      <c r="L2963" s="31" t="s">
        <v>31</v>
      </c>
      <c r="M2963" s="31"/>
      <c r="N2963" s="41">
        <v>2</v>
      </c>
      <c r="O2963" s="48">
        <v>18</v>
      </c>
      <c r="P2963" s="86" t="s">
        <v>256</v>
      </c>
      <c r="Q2963" s="36">
        <v>2550</v>
      </c>
      <c r="R2963" s="36">
        <f t="shared" si="673"/>
        <v>45900</v>
      </c>
      <c r="S2963" s="37">
        <v>7</v>
      </c>
      <c r="T2963" s="28">
        <f t="shared" si="676"/>
        <v>11475</v>
      </c>
      <c r="U2963" s="36">
        <f t="shared" si="675"/>
        <v>34425</v>
      </c>
      <c r="V2963" s="36"/>
      <c r="W2963" s="36"/>
      <c r="X2963" s="28"/>
      <c r="Y2963" s="28"/>
      <c r="Z2963" s="20"/>
    </row>
    <row r="2964" spans="1:26" s="29" customFormat="1" ht="90.75" customHeight="1" x14ac:dyDescent="0.25">
      <c r="A2964" s="20"/>
      <c r="B2964" s="20"/>
      <c r="C2964" s="20"/>
      <c r="D2964" s="21"/>
      <c r="E2964" s="21"/>
      <c r="F2964" s="22"/>
      <c r="G2964" s="23"/>
      <c r="H2964" s="36"/>
      <c r="I2964" s="40"/>
      <c r="J2964" s="28"/>
      <c r="K2964" s="37">
        <v>23</v>
      </c>
      <c r="L2964" s="31" t="s">
        <v>215</v>
      </c>
      <c r="M2964" s="31" t="s">
        <v>40</v>
      </c>
      <c r="N2964" s="41">
        <v>2</v>
      </c>
      <c r="O2964" s="48">
        <v>42</v>
      </c>
      <c r="P2964" s="86" t="s">
        <v>256</v>
      </c>
      <c r="Q2964" s="36">
        <v>6450</v>
      </c>
      <c r="R2964" s="36">
        <f t="shared" si="673"/>
        <v>270900</v>
      </c>
      <c r="S2964" s="37">
        <v>7</v>
      </c>
      <c r="T2964" s="28">
        <f t="shared" si="676"/>
        <v>67725</v>
      </c>
      <c r="U2964" s="36">
        <f t="shared" si="675"/>
        <v>203175</v>
      </c>
      <c r="V2964" s="36"/>
      <c r="W2964" s="36"/>
      <c r="X2964" s="28"/>
      <c r="Y2964" s="28"/>
      <c r="Z2964" s="20"/>
    </row>
    <row r="2965" spans="1:26" s="29" customFormat="1" ht="90.75" customHeight="1" x14ac:dyDescent="0.25">
      <c r="A2965" s="20"/>
      <c r="B2965" s="20"/>
      <c r="C2965" s="20"/>
      <c r="D2965" s="21"/>
      <c r="E2965" s="21"/>
      <c r="F2965" s="22"/>
      <c r="G2965" s="23"/>
      <c r="H2965" s="36"/>
      <c r="I2965" s="40"/>
      <c r="J2965" s="28"/>
      <c r="K2965" s="37">
        <v>24</v>
      </c>
      <c r="L2965" s="31" t="s">
        <v>31</v>
      </c>
      <c r="M2965" s="31"/>
      <c r="N2965" s="41">
        <v>2</v>
      </c>
      <c r="O2965" s="48">
        <v>18</v>
      </c>
      <c r="P2965" s="86" t="s">
        <v>256</v>
      </c>
      <c r="Q2965" s="36">
        <v>2550</v>
      </c>
      <c r="R2965" s="36">
        <f t="shared" si="673"/>
        <v>45900</v>
      </c>
      <c r="S2965" s="37">
        <v>7</v>
      </c>
      <c r="T2965" s="28">
        <f t="shared" si="676"/>
        <v>11475</v>
      </c>
      <c r="U2965" s="36">
        <f t="shared" si="675"/>
        <v>34425</v>
      </c>
      <c r="V2965" s="36"/>
      <c r="W2965" s="36"/>
      <c r="X2965" s="28"/>
      <c r="Y2965" s="28"/>
      <c r="Z2965" s="20"/>
    </row>
    <row r="2966" spans="1:26" s="29" customFormat="1" ht="90.75" customHeight="1" x14ac:dyDescent="0.25">
      <c r="A2966" s="20"/>
      <c r="B2966" s="20"/>
      <c r="C2966" s="20"/>
      <c r="D2966" s="21"/>
      <c r="E2966" s="21"/>
      <c r="F2966" s="22"/>
      <c r="G2966" s="23"/>
      <c r="H2966" s="36"/>
      <c r="I2966" s="40"/>
      <c r="J2966" s="28"/>
      <c r="K2966" s="37">
        <v>25</v>
      </c>
      <c r="L2966" s="31" t="s">
        <v>215</v>
      </c>
      <c r="M2966" s="31" t="s">
        <v>40</v>
      </c>
      <c r="N2966" s="41">
        <v>2</v>
      </c>
      <c r="O2966" s="48">
        <v>42</v>
      </c>
      <c r="P2966" s="86" t="s">
        <v>256</v>
      </c>
      <c r="Q2966" s="36">
        <v>6450</v>
      </c>
      <c r="R2966" s="36">
        <f t="shared" si="673"/>
        <v>270900</v>
      </c>
      <c r="S2966" s="37">
        <v>7</v>
      </c>
      <c r="T2966" s="28">
        <f t="shared" si="676"/>
        <v>67725</v>
      </c>
      <c r="U2966" s="36">
        <f t="shared" si="675"/>
        <v>203175</v>
      </c>
      <c r="V2966" s="36"/>
      <c r="W2966" s="36"/>
      <c r="X2966" s="28"/>
      <c r="Y2966" s="28"/>
      <c r="Z2966" s="20"/>
    </row>
    <row r="2967" spans="1:26" s="29" customFormat="1" ht="90.75" customHeight="1" x14ac:dyDescent="0.25">
      <c r="A2967" s="20"/>
      <c r="B2967" s="20"/>
      <c r="C2967" s="20"/>
      <c r="D2967" s="21"/>
      <c r="E2967" s="21"/>
      <c r="F2967" s="22"/>
      <c r="G2967" s="23"/>
      <c r="H2967" s="36"/>
      <c r="I2967" s="40"/>
      <c r="J2967" s="28"/>
      <c r="K2967" s="37">
        <v>26</v>
      </c>
      <c r="L2967" s="31" t="s">
        <v>31</v>
      </c>
      <c r="M2967" s="31"/>
      <c r="N2967" s="41">
        <v>2</v>
      </c>
      <c r="O2967" s="48">
        <v>18</v>
      </c>
      <c r="P2967" s="86" t="s">
        <v>256</v>
      </c>
      <c r="Q2967" s="36">
        <v>2550</v>
      </c>
      <c r="R2967" s="36">
        <f t="shared" si="673"/>
        <v>45900</v>
      </c>
      <c r="S2967" s="37">
        <v>7</v>
      </c>
      <c r="T2967" s="28">
        <f t="shared" si="676"/>
        <v>11475</v>
      </c>
      <c r="U2967" s="36">
        <f t="shared" si="675"/>
        <v>34425</v>
      </c>
      <c r="V2967" s="36"/>
      <c r="W2967" s="36"/>
      <c r="X2967" s="28"/>
      <c r="Y2967" s="28"/>
      <c r="Z2967" s="20"/>
    </row>
    <row r="2968" spans="1:26" s="29" customFormat="1" ht="90.75" customHeight="1" x14ac:dyDescent="0.25">
      <c r="A2968" s="20"/>
      <c r="B2968" s="20"/>
      <c r="C2968" s="20"/>
      <c r="D2968" s="21"/>
      <c r="E2968" s="21"/>
      <c r="F2968" s="22"/>
      <c r="G2968" s="23"/>
      <c r="H2968" s="36"/>
      <c r="I2968" s="40"/>
      <c r="J2968" s="28"/>
      <c r="K2968" s="37"/>
      <c r="L2968" s="31"/>
      <c r="M2968" s="31"/>
      <c r="N2968" s="41"/>
      <c r="O2968" s="48"/>
      <c r="P2968" s="86"/>
      <c r="Q2968" s="36"/>
      <c r="R2968" s="36"/>
      <c r="S2968" s="37"/>
      <c r="T2968" s="28"/>
      <c r="U2968" s="36">
        <f>SUM(U2945:U2967)</f>
        <v>2953552.5</v>
      </c>
      <c r="V2968" s="36">
        <f>(J2944+U2968)</f>
        <v>3120625</v>
      </c>
      <c r="W2968" s="36">
        <f>(V2968*100/100)</f>
        <v>3120625</v>
      </c>
      <c r="X2968" s="28">
        <v>0</v>
      </c>
      <c r="Y2968" s="28">
        <f>(W2968-X2968)</f>
        <v>3120625</v>
      </c>
      <c r="Z2968" s="49">
        <v>2.0000000000000001E-4</v>
      </c>
    </row>
    <row r="2969" spans="1:26" s="29" customFormat="1" ht="90.75" customHeight="1" x14ac:dyDescent="0.25">
      <c r="A2969" s="20"/>
      <c r="B2969" s="20" t="s">
        <v>0</v>
      </c>
      <c r="C2969" s="20">
        <v>11654</v>
      </c>
      <c r="D2969" s="21"/>
      <c r="E2969" s="21"/>
      <c r="F2969" s="22"/>
      <c r="G2969" s="23"/>
      <c r="H2969" s="24">
        <v>7.29</v>
      </c>
      <c r="I2969" s="25">
        <v>875</v>
      </c>
      <c r="J2969" s="28">
        <f>(H2969*I2969)</f>
        <v>6378.75</v>
      </c>
      <c r="K2969" s="20"/>
      <c r="L2969" s="20"/>
      <c r="M2969" s="20"/>
      <c r="N2969" s="20"/>
      <c r="O2969" s="24"/>
      <c r="P2969" s="24"/>
      <c r="Q2969" s="25"/>
      <c r="R2969" s="24"/>
      <c r="S2969" s="20"/>
      <c r="T2969" s="27"/>
      <c r="U2969" s="36"/>
      <c r="V2969" s="36">
        <f>(J2969+U2969)</f>
        <v>6378.75</v>
      </c>
      <c r="W2969" s="36">
        <f>(V2969*100/100)</f>
        <v>6378.75</v>
      </c>
      <c r="X2969" s="28">
        <v>0</v>
      </c>
      <c r="Y2969" s="28">
        <f>(W2969-X2969)</f>
        <v>6378.75</v>
      </c>
      <c r="Z2969" s="49">
        <v>3.0000000000000001E-3</v>
      </c>
    </row>
    <row r="2970" spans="1:26" s="29" customFormat="1" ht="90.75" customHeight="1" x14ac:dyDescent="0.25">
      <c r="A2970" s="20">
        <v>1487</v>
      </c>
      <c r="B2970" s="20" t="s">
        <v>0</v>
      </c>
      <c r="C2970" s="20">
        <v>31966</v>
      </c>
      <c r="D2970" s="21">
        <v>1</v>
      </c>
      <c r="E2970" s="21">
        <v>1</v>
      </c>
      <c r="F2970" s="22">
        <v>93</v>
      </c>
      <c r="G2970" s="23" t="s">
        <v>211</v>
      </c>
      <c r="H2970" s="24">
        <f>(D2970*400)+(E2970*100)+F2970</f>
        <v>593</v>
      </c>
      <c r="I2970" s="25" t="s">
        <v>23</v>
      </c>
      <c r="J2970" s="24">
        <f>(H2970*I2970)</f>
        <v>593000</v>
      </c>
      <c r="K2970" s="20"/>
      <c r="L2970" s="20" t="s">
        <v>2</v>
      </c>
      <c r="M2970" s="20"/>
      <c r="N2970" s="20"/>
      <c r="O2970" s="24"/>
      <c r="P2970" s="24"/>
      <c r="Q2970" s="25"/>
      <c r="R2970" s="24"/>
      <c r="S2970" s="20" t="s">
        <v>2</v>
      </c>
      <c r="T2970" s="27"/>
      <c r="U2970" s="20"/>
      <c r="V2970" s="20"/>
      <c r="W2970" s="26"/>
      <c r="X2970" s="27"/>
      <c r="Y2970" s="20"/>
      <c r="Z2970" s="20"/>
    </row>
    <row r="2971" spans="1:26" s="29" customFormat="1" ht="90.75" customHeight="1" x14ac:dyDescent="0.25">
      <c r="A2971" s="20"/>
      <c r="B2971" s="20"/>
      <c r="C2971" s="20"/>
      <c r="D2971" s="21"/>
      <c r="E2971" s="21"/>
      <c r="F2971" s="22"/>
      <c r="G2971" s="23"/>
      <c r="H2971" s="36">
        <f>(O2971*0.25)</f>
        <v>28.125</v>
      </c>
      <c r="I2971" s="40">
        <v>1000</v>
      </c>
      <c r="J2971" s="28">
        <f>(H2971*I2971)</f>
        <v>28125</v>
      </c>
      <c r="K2971" s="37">
        <v>1</v>
      </c>
      <c r="L2971" s="31" t="s">
        <v>215</v>
      </c>
      <c r="M2971" s="31"/>
      <c r="N2971" s="41">
        <v>2</v>
      </c>
      <c r="O2971" s="31">
        <v>112.5</v>
      </c>
      <c r="P2971" s="46">
        <v>100</v>
      </c>
      <c r="Q2971" s="36">
        <v>6450</v>
      </c>
      <c r="R2971" s="36">
        <f>(O2971*Q2971)</f>
        <v>725625</v>
      </c>
      <c r="S2971" s="37">
        <v>17</v>
      </c>
      <c r="T2971" s="28">
        <f>(R2971*24/100)</f>
        <v>174150</v>
      </c>
      <c r="U2971" s="36">
        <f>(R2971-T2971)</f>
        <v>551475</v>
      </c>
      <c r="V2971" s="36">
        <f>(J2971+U2971)</f>
        <v>579600</v>
      </c>
      <c r="W2971" s="36">
        <f>(V2971*100/100)</f>
        <v>579600</v>
      </c>
      <c r="X2971" s="28"/>
      <c r="Y2971" s="28"/>
      <c r="Z2971" s="20"/>
    </row>
    <row r="2972" spans="1:26" s="29" customFormat="1" ht="90.75" customHeight="1" x14ac:dyDescent="0.25">
      <c r="A2972" s="20"/>
      <c r="B2972" s="20"/>
      <c r="C2972" s="20"/>
      <c r="D2972" s="21"/>
      <c r="E2972" s="21"/>
      <c r="F2972" s="22"/>
      <c r="G2972" s="23"/>
      <c r="H2972" s="36"/>
      <c r="I2972" s="40"/>
      <c r="J2972" s="28"/>
      <c r="K2972" s="37"/>
      <c r="L2972" s="31" t="s">
        <v>69</v>
      </c>
      <c r="M2972" s="31"/>
      <c r="N2972" s="41"/>
      <c r="O2972" s="31">
        <v>86.25</v>
      </c>
      <c r="P2972" s="46">
        <v>76.67</v>
      </c>
      <c r="Q2972" s="36"/>
      <c r="R2972" s="36"/>
      <c r="S2972" s="37"/>
      <c r="T2972" s="28"/>
      <c r="U2972" s="36"/>
      <c r="V2972" s="36"/>
      <c r="W2972" s="36">
        <f>(W2971*76.67/100)</f>
        <v>444379.32</v>
      </c>
      <c r="X2972" s="28">
        <v>10000000</v>
      </c>
      <c r="Y2972" s="28"/>
      <c r="Z2972" s="20"/>
    </row>
    <row r="2973" spans="1:26" s="29" customFormat="1" ht="90.75" customHeight="1" x14ac:dyDescent="0.25">
      <c r="A2973" s="20"/>
      <c r="B2973" s="20"/>
      <c r="C2973" s="20"/>
      <c r="D2973" s="21"/>
      <c r="E2973" s="21"/>
      <c r="F2973" s="22"/>
      <c r="G2973" s="23"/>
      <c r="H2973" s="36"/>
      <c r="I2973" s="40"/>
      <c r="J2973" s="28"/>
      <c r="K2973" s="37"/>
      <c r="L2973" s="31" t="s">
        <v>61</v>
      </c>
      <c r="M2973" s="31"/>
      <c r="N2973" s="41"/>
      <c r="O2973" s="31">
        <v>26.25</v>
      </c>
      <c r="P2973" s="46">
        <v>23.33</v>
      </c>
      <c r="Q2973" s="36"/>
      <c r="R2973" s="36"/>
      <c r="S2973" s="37"/>
      <c r="T2973" s="28"/>
      <c r="U2973" s="36"/>
      <c r="V2973" s="36"/>
      <c r="W2973" s="36">
        <f>(W2971*23.33/100)</f>
        <v>135220.68</v>
      </c>
      <c r="X2973" s="28">
        <v>0</v>
      </c>
      <c r="Y2973" s="28">
        <f>(W2973-X2973)</f>
        <v>135220.68</v>
      </c>
      <c r="Z2973" s="49">
        <v>3.0000000000000001E-3</v>
      </c>
    </row>
    <row r="2974" spans="1:26" s="29" customFormat="1" ht="90.75" customHeight="1" x14ac:dyDescent="0.25">
      <c r="A2974" s="20">
        <v>1488</v>
      </c>
      <c r="B2974" s="20" t="s">
        <v>0</v>
      </c>
      <c r="C2974" s="20">
        <v>31964</v>
      </c>
      <c r="D2974" s="21">
        <v>0</v>
      </c>
      <c r="E2974" s="21">
        <v>2</v>
      </c>
      <c r="F2974" s="22">
        <v>0</v>
      </c>
      <c r="G2974" s="23" t="s">
        <v>56</v>
      </c>
      <c r="H2974" s="24">
        <f>(D2974*400)+(E2974*100)+F2974</f>
        <v>200</v>
      </c>
      <c r="I2974" s="25" t="s">
        <v>23</v>
      </c>
      <c r="J2974" s="24">
        <f>(H2974*I2974)</f>
        <v>200000</v>
      </c>
      <c r="K2974" s="20">
        <v>1</v>
      </c>
      <c r="L2974" s="20" t="s">
        <v>16</v>
      </c>
      <c r="M2974" s="20" t="s">
        <v>13</v>
      </c>
      <c r="N2974" s="20">
        <v>2</v>
      </c>
      <c r="O2974" s="24">
        <v>32</v>
      </c>
      <c r="P2974" s="24">
        <v>100</v>
      </c>
      <c r="Q2974" s="36">
        <v>6450</v>
      </c>
      <c r="R2974" s="36">
        <f t="shared" ref="R2974:R2975" si="677">(O2974*Q2974)</f>
        <v>206400</v>
      </c>
      <c r="S2974" s="20">
        <v>1</v>
      </c>
      <c r="T2974" s="27">
        <f>(R2974*1/100)</f>
        <v>2064</v>
      </c>
      <c r="U2974" s="80">
        <f>(R2974-T2974)</f>
        <v>204336</v>
      </c>
      <c r="V2974" s="20"/>
      <c r="W2974" s="26"/>
      <c r="X2974" s="27"/>
      <c r="Y2974" s="20"/>
      <c r="Z2974" s="20"/>
    </row>
    <row r="2975" spans="1:26" s="29" customFormat="1" ht="90.75" customHeight="1" x14ac:dyDescent="0.25">
      <c r="A2975" s="20"/>
      <c r="B2975" s="20"/>
      <c r="C2975" s="20"/>
      <c r="D2975" s="21"/>
      <c r="E2975" s="21"/>
      <c r="F2975" s="22"/>
      <c r="G2975" s="23"/>
      <c r="H2975" s="24"/>
      <c r="I2975" s="25"/>
      <c r="J2975" s="24"/>
      <c r="K2975" s="20"/>
      <c r="L2975" s="20" t="s">
        <v>43</v>
      </c>
      <c r="M2975" s="20" t="s">
        <v>13</v>
      </c>
      <c r="N2975" s="20">
        <v>2</v>
      </c>
      <c r="O2975" s="24">
        <v>336</v>
      </c>
      <c r="P2975" s="24">
        <v>100</v>
      </c>
      <c r="Q2975" s="25">
        <v>7700</v>
      </c>
      <c r="R2975" s="36">
        <f t="shared" si="677"/>
        <v>2587200</v>
      </c>
      <c r="S2975" s="20">
        <v>1</v>
      </c>
      <c r="T2975" s="27">
        <f>(R2975*1/100)</f>
        <v>25872</v>
      </c>
      <c r="U2975" s="80">
        <f>(R2975-T2975)</f>
        <v>2561328</v>
      </c>
      <c r="V2975" s="20"/>
      <c r="W2975" s="26"/>
      <c r="X2975" s="27"/>
      <c r="Y2975" s="20"/>
      <c r="Z2975" s="20"/>
    </row>
    <row r="2976" spans="1:26" s="29" customFormat="1" ht="90.75" customHeight="1" x14ac:dyDescent="0.25">
      <c r="A2976" s="20"/>
      <c r="B2976" s="20"/>
      <c r="C2976" s="20"/>
      <c r="D2976" s="21"/>
      <c r="E2976" s="21"/>
      <c r="F2976" s="22"/>
      <c r="G2976" s="23"/>
      <c r="H2976" s="24"/>
      <c r="I2976" s="25"/>
      <c r="J2976" s="24"/>
      <c r="K2976" s="20"/>
      <c r="L2976" s="20"/>
      <c r="M2976" s="20"/>
      <c r="N2976" s="20"/>
      <c r="O2976" s="24"/>
      <c r="P2976" s="24"/>
      <c r="Q2976" s="25"/>
      <c r="R2976" s="36"/>
      <c r="S2976" s="20"/>
      <c r="T2976" s="27"/>
      <c r="U2976" s="80">
        <f>SUM(U2974:U2975)</f>
        <v>2765664</v>
      </c>
      <c r="V2976" s="80">
        <f>(J2974+U2976)</f>
        <v>2965664</v>
      </c>
      <c r="W2976" s="36">
        <f>(V2976*100/100)</f>
        <v>2965664</v>
      </c>
      <c r="X2976" s="28">
        <v>0</v>
      </c>
      <c r="Y2976" s="28">
        <f>(W2976-X2976)</f>
        <v>2965664</v>
      </c>
      <c r="Z2976" s="49">
        <v>2.0000000000000001E-4</v>
      </c>
    </row>
    <row r="2977" spans="1:26" s="29" customFormat="1" ht="90.75" customHeight="1" x14ac:dyDescent="0.25">
      <c r="A2977" s="20">
        <v>1489</v>
      </c>
      <c r="B2977" s="20" t="s">
        <v>0</v>
      </c>
      <c r="C2977" s="20">
        <v>28094</v>
      </c>
      <c r="D2977" s="21">
        <v>10</v>
      </c>
      <c r="E2977" s="21">
        <v>0</v>
      </c>
      <c r="F2977" s="22">
        <v>0</v>
      </c>
      <c r="G2977" s="23" t="s">
        <v>211</v>
      </c>
      <c r="H2977" s="36">
        <f t="shared" ref="H2977" si="678">(D2977*400)+(E2977*100)+F2977</f>
        <v>4000</v>
      </c>
      <c r="I2977" s="40" t="s">
        <v>77</v>
      </c>
      <c r="J2977" s="65">
        <f t="shared" ref="J2977" si="679">(H2977*I2977)</f>
        <v>3000000</v>
      </c>
      <c r="K2977" s="41"/>
      <c r="L2977" s="31"/>
      <c r="M2977" s="43"/>
      <c r="N2977" s="30"/>
      <c r="O2977" s="48"/>
      <c r="P2977" s="86"/>
      <c r="Q2977" s="44"/>
      <c r="R2977" s="41"/>
      <c r="S2977" s="41"/>
      <c r="T2977" s="47"/>
      <c r="U2977" s="41"/>
      <c r="V2977" s="48"/>
      <c r="W2977" s="48"/>
      <c r="X2977" s="47"/>
      <c r="Y2977" s="48"/>
      <c r="Z2977" s="53"/>
    </row>
    <row r="2978" spans="1:26" s="29" customFormat="1" ht="90.75" customHeight="1" x14ac:dyDescent="0.25">
      <c r="A2978" s="20"/>
      <c r="B2978" s="20"/>
      <c r="C2978" s="20"/>
      <c r="D2978" s="21"/>
      <c r="E2978" s="21"/>
      <c r="F2978" s="22"/>
      <c r="G2978" s="23" t="s">
        <v>56</v>
      </c>
      <c r="H2978" s="36">
        <v>1000</v>
      </c>
      <c r="I2978" s="40">
        <v>750</v>
      </c>
      <c r="J2978" s="28">
        <f>(H2978*I2978)</f>
        <v>750000</v>
      </c>
      <c r="K2978" s="37"/>
      <c r="L2978" s="31"/>
      <c r="M2978" s="31"/>
      <c r="N2978" s="41"/>
      <c r="O2978" s="31"/>
      <c r="P2978" s="86"/>
      <c r="Q2978" s="36"/>
      <c r="R2978" s="36"/>
      <c r="S2978" s="31"/>
      <c r="T2978" s="28"/>
      <c r="U2978" s="36"/>
      <c r="V2978" s="36"/>
      <c r="W2978" s="36"/>
      <c r="X2978" s="28"/>
      <c r="Y2978" s="28"/>
      <c r="Z2978" s="20"/>
    </row>
    <row r="2979" spans="1:26" s="29" customFormat="1" ht="90.75" customHeight="1" x14ac:dyDescent="0.25">
      <c r="A2979" s="20"/>
      <c r="B2979" s="20"/>
      <c r="C2979" s="20"/>
      <c r="D2979" s="21"/>
      <c r="E2979" s="21"/>
      <c r="F2979" s="22"/>
      <c r="G2979" s="23"/>
      <c r="H2979" s="36"/>
      <c r="I2979" s="40"/>
      <c r="J2979" s="28"/>
      <c r="K2979" s="37">
        <v>1</v>
      </c>
      <c r="L2979" s="31" t="s">
        <v>215</v>
      </c>
      <c r="M2979" s="31" t="s">
        <v>13</v>
      </c>
      <c r="N2979" s="41">
        <v>2</v>
      </c>
      <c r="O2979" s="31">
        <v>187.5</v>
      </c>
      <c r="P2979" s="86">
        <v>100</v>
      </c>
      <c r="Q2979" s="36">
        <v>6450</v>
      </c>
      <c r="R2979" s="36">
        <f>(O2979*Q2979)</f>
        <v>1209375</v>
      </c>
      <c r="S2979" s="31">
        <v>22</v>
      </c>
      <c r="T2979" s="28">
        <f>(R2979*34/100)</f>
        <v>411187.5</v>
      </c>
      <c r="U2979" s="36">
        <f>(R2979-T2979)</f>
        <v>798187.5</v>
      </c>
      <c r="V2979" s="36"/>
      <c r="W2979" s="36"/>
      <c r="X2979" s="28"/>
      <c r="Y2979" s="28"/>
      <c r="Z2979" s="20"/>
    </row>
    <row r="2980" spans="1:26" s="29" customFormat="1" ht="90.75" customHeight="1" x14ac:dyDescent="0.25">
      <c r="A2980" s="20"/>
      <c r="B2980" s="20"/>
      <c r="C2980" s="20"/>
      <c r="D2980" s="21"/>
      <c r="E2980" s="21"/>
      <c r="F2980" s="22"/>
      <c r="G2980" s="23"/>
      <c r="H2980" s="36"/>
      <c r="I2980" s="40"/>
      <c r="J2980" s="28"/>
      <c r="K2980" s="37">
        <v>2</v>
      </c>
      <c r="L2980" s="31" t="s">
        <v>31</v>
      </c>
      <c r="M2980" s="31"/>
      <c r="N2980" s="41">
        <v>2</v>
      </c>
      <c r="O2980" s="48">
        <v>112.5</v>
      </c>
      <c r="P2980" s="86">
        <v>100</v>
      </c>
      <c r="Q2980" s="36">
        <v>2550</v>
      </c>
      <c r="R2980" s="36">
        <f>(O2980*Q2980)</f>
        <v>286875</v>
      </c>
      <c r="S2980" s="31">
        <v>22</v>
      </c>
      <c r="T2980" s="28">
        <f>(R2980*34/100)</f>
        <v>97537.5</v>
      </c>
      <c r="U2980" s="36">
        <f>(R2980-T2980)</f>
        <v>189337.5</v>
      </c>
      <c r="V2980" s="36"/>
      <c r="W2980" s="36"/>
      <c r="X2980" s="28"/>
      <c r="Y2980" s="28"/>
      <c r="Z2980" s="20"/>
    </row>
    <row r="2981" spans="1:26" s="29" customFormat="1" ht="90.75" customHeight="1" x14ac:dyDescent="0.25">
      <c r="A2981" s="20"/>
      <c r="B2981" s="20"/>
      <c r="C2981" s="20"/>
      <c r="D2981" s="21"/>
      <c r="E2981" s="21"/>
      <c r="F2981" s="22"/>
      <c r="G2981" s="23"/>
      <c r="H2981" s="36">
        <v>1000</v>
      </c>
      <c r="I2981" s="40">
        <v>750</v>
      </c>
      <c r="J2981" s="28">
        <f>(H2981*I2981)</f>
        <v>750000</v>
      </c>
      <c r="K2981" s="37"/>
      <c r="L2981" s="31"/>
      <c r="M2981" s="31"/>
      <c r="N2981" s="41"/>
      <c r="O2981" s="48"/>
      <c r="P2981" s="86"/>
      <c r="Q2981" s="36"/>
      <c r="R2981" s="36"/>
      <c r="S2981" s="31"/>
      <c r="T2981" s="28"/>
      <c r="U2981" s="36">
        <f>(U2979+U2980)</f>
        <v>987525</v>
      </c>
      <c r="V2981" s="36">
        <f>(J2978+U2981)</f>
        <v>1737525</v>
      </c>
      <c r="W2981" s="36">
        <f>(V2981*100/100)</f>
        <v>1737525</v>
      </c>
      <c r="X2981" s="28">
        <v>50000000</v>
      </c>
      <c r="Y2981" s="28"/>
      <c r="Z2981" s="49"/>
    </row>
    <row r="2982" spans="1:26" s="29" customFormat="1" ht="90.75" customHeight="1" x14ac:dyDescent="0.25">
      <c r="A2982" s="20"/>
      <c r="B2982" s="20"/>
      <c r="C2982" s="20"/>
      <c r="D2982" s="21"/>
      <c r="E2982" s="21"/>
      <c r="F2982" s="22"/>
      <c r="G2982" s="23" t="s">
        <v>209</v>
      </c>
      <c r="H2982" s="36">
        <f>(O2982*0.25)</f>
        <v>3.75</v>
      </c>
      <c r="I2982" s="40">
        <v>750</v>
      </c>
      <c r="J2982" s="28">
        <f>(H2982*I2982)</f>
        <v>2812.5</v>
      </c>
      <c r="K2982" s="37">
        <v>3</v>
      </c>
      <c r="L2982" s="31" t="s">
        <v>29</v>
      </c>
      <c r="M2982" s="31" t="s">
        <v>13</v>
      </c>
      <c r="N2982" s="41">
        <v>3</v>
      </c>
      <c r="O2982" s="48">
        <v>15</v>
      </c>
      <c r="P2982" s="86">
        <v>100</v>
      </c>
      <c r="Q2982" s="36">
        <v>5550</v>
      </c>
      <c r="R2982" s="36">
        <f>(O2982*Q2982)</f>
        <v>83250</v>
      </c>
      <c r="S2982" s="31">
        <v>6</v>
      </c>
      <c r="T2982" s="28">
        <f>(R2982*6/100)</f>
        <v>4995</v>
      </c>
      <c r="U2982" s="36">
        <f>(R2982-T2982)</f>
        <v>78255</v>
      </c>
      <c r="V2982" s="36">
        <f>(J2982+U2982)</f>
        <v>81067.5</v>
      </c>
      <c r="W2982" s="36">
        <f>(V2982*100/100)</f>
        <v>81067.5</v>
      </c>
      <c r="X2982" s="28">
        <v>0</v>
      </c>
      <c r="Y2982" s="28">
        <f>(W2982-X2982)</f>
        <v>81067.5</v>
      </c>
      <c r="Z2982" s="49">
        <v>3.0000000000000001E-3</v>
      </c>
    </row>
    <row r="2983" spans="1:26" s="29" customFormat="1" ht="90.75" customHeight="1" x14ac:dyDescent="0.25">
      <c r="A2983" s="20"/>
      <c r="B2983" s="20"/>
      <c r="C2983" s="20"/>
      <c r="D2983" s="21"/>
      <c r="E2983" s="21"/>
      <c r="F2983" s="22"/>
      <c r="G2983" s="23" t="s">
        <v>209</v>
      </c>
      <c r="H2983" s="36">
        <f t="shared" ref="H2983" si="680">(O2983*0.25)</f>
        <v>2.25</v>
      </c>
      <c r="I2983" s="40">
        <v>750</v>
      </c>
      <c r="J2983" s="28">
        <f t="shared" ref="J2983:J2991" si="681">(H2983*I2983)</f>
        <v>1687.5</v>
      </c>
      <c r="K2983" s="37">
        <v>4</v>
      </c>
      <c r="L2983" s="31" t="s">
        <v>183</v>
      </c>
      <c r="M2983" s="31"/>
      <c r="N2983" s="41">
        <v>2</v>
      </c>
      <c r="O2983" s="48">
        <v>9</v>
      </c>
      <c r="P2983" s="86">
        <v>100</v>
      </c>
      <c r="Q2983" s="36">
        <v>2550</v>
      </c>
      <c r="R2983" s="36">
        <f>(O2983*Q2983)</f>
        <v>22950</v>
      </c>
      <c r="S2983" s="31">
        <v>6</v>
      </c>
      <c r="T2983" s="28">
        <f t="shared" ref="T2983:T2984" si="682">(R2983*6/100)</f>
        <v>1377</v>
      </c>
      <c r="U2983" s="36">
        <f>(R2983-T2983)</f>
        <v>21573</v>
      </c>
      <c r="V2983" s="36">
        <f t="shared" ref="V2983" si="683">(J2983+U2983)</f>
        <v>23260.5</v>
      </c>
      <c r="W2983" s="36">
        <f t="shared" ref="W2983:W2984" si="684">(V2983*100/100)</f>
        <v>23260.5</v>
      </c>
      <c r="X2983" s="28">
        <v>0</v>
      </c>
      <c r="Y2983" s="28">
        <f t="shared" ref="Y2983:Y2984" si="685">(W2983-X2983)</f>
        <v>23260.5</v>
      </c>
      <c r="Z2983" s="49">
        <v>3.0000000000000001E-3</v>
      </c>
    </row>
    <row r="2984" spans="1:26" s="29" customFormat="1" ht="90.75" customHeight="1" x14ac:dyDescent="0.25">
      <c r="A2984" s="20"/>
      <c r="B2984" s="20"/>
      <c r="C2984" s="20"/>
      <c r="D2984" s="21"/>
      <c r="E2984" s="21"/>
      <c r="F2984" s="22"/>
      <c r="G2984" s="23" t="s">
        <v>56</v>
      </c>
      <c r="H2984" s="36">
        <v>994</v>
      </c>
      <c r="I2984" s="40">
        <v>750</v>
      </c>
      <c r="J2984" s="28">
        <f t="shared" si="681"/>
        <v>745500</v>
      </c>
      <c r="K2984" s="37">
        <v>5</v>
      </c>
      <c r="L2984" s="31" t="s">
        <v>43</v>
      </c>
      <c r="M2984" s="31"/>
      <c r="N2984" s="41">
        <v>2</v>
      </c>
      <c r="O2984" s="48">
        <v>572</v>
      </c>
      <c r="P2984" s="86">
        <v>100</v>
      </c>
      <c r="Q2984" s="36">
        <v>7700</v>
      </c>
      <c r="R2984" s="36">
        <f>(O2984*Q2984)</f>
        <v>4404400</v>
      </c>
      <c r="S2984" s="31">
        <v>6</v>
      </c>
      <c r="T2984" s="28">
        <f t="shared" si="682"/>
        <v>264264</v>
      </c>
      <c r="U2984" s="36">
        <f>(R2984-T2984)</f>
        <v>4140136</v>
      </c>
      <c r="V2984" s="36">
        <f>(J2984+U2984)</f>
        <v>4885636</v>
      </c>
      <c r="W2984" s="36">
        <f t="shared" si="684"/>
        <v>4885636</v>
      </c>
      <c r="X2984" s="28">
        <v>0</v>
      </c>
      <c r="Y2984" s="28">
        <f t="shared" si="685"/>
        <v>4885636</v>
      </c>
      <c r="Z2984" s="49">
        <v>2.0000000000000001E-4</v>
      </c>
    </row>
    <row r="2985" spans="1:26" s="29" customFormat="1" ht="90.75" customHeight="1" x14ac:dyDescent="0.25">
      <c r="A2985" s="20"/>
      <c r="B2985" s="20"/>
      <c r="C2985" s="20"/>
      <c r="D2985" s="21"/>
      <c r="E2985" s="21"/>
      <c r="F2985" s="22"/>
      <c r="G2985" s="23" t="s">
        <v>297</v>
      </c>
      <c r="H2985" s="36">
        <v>2000</v>
      </c>
      <c r="I2985" s="40">
        <v>750</v>
      </c>
      <c r="J2985" s="28">
        <f t="shared" si="681"/>
        <v>1500000</v>
      </c>
      <c r="K2985" s="37"/>
      <c r="L2985" s="31"/>
      <c r="M2985" s="31"/>
      <c r="N2985" s="41"/>
      <c r="O2985" s="48"/>
      <c r="P2985" s="86"/>
      <c r="Q2985" s="36"/>
      <c r="R2985" s="36"/>
      <c r="S2985" s="31"/>
      <c r="T2985" s="28"/>
      <c r="U2985" s="36"/>
      <c r="V2985" s="36">
        <f>(J2985+U2985)</f>
        <v>1500000</v>
      </c>
      <c r="W2985" s="36">
        <f>(V2985*100/100)</f>
        <v>1500000</v>
      </c>
      <c r="X2985" s="28" t="s">
        <v>294</v>
      </c>
      <c r="Y2985" s="28"/>
      <c r="Z2985" s="49"/>
    </row>
    <row r="2986" spans="1:26" s="29" customFormat="1" ht="90.75" customHeight="1" x14ac:dyDescent="0.25">
      <c r="A2986" s="20">
        <v>1490</v>
      </c>
      <c r="B2986" s="20" t="s">
        <v>0</v>
      </c>
      <c r="C2986" s="20">
        <v>28097</v>
      </c>
      <c r="D2986" s="21">
        <v>2</v>
      </c>
      <c r="E2986" s="21">
        <v>0</v>
      </c>
      <c r="F2986" s="22">
        <v>0</v>
      </c>
      <c r="G2986" s="23" t="s">
        <v>211</v>
      </c>
      <c r="H2986" s="36">
        <f>(D2986*400)+(E2986*100)+F2986</f>
        <v>800</v>
      </c>
      <c r="I2986" s="40">
        <v>650</v>
      </c>
      <c r="J2986" s="28">
        <f t="shared" si="681"/>
        <v>520000</v>
      </c>
      <c r="K2986" s="37"/>
      <c r="L2986" s="31"/>
      <c r="M2986" s="31"/>
      <c r="N2986" s="41"/>
      <c r="O2986" s="42"/>
      <c r="P2986" s="35"/>
      <c r="Q2986" s="36"/>
      <c r="R2986" s="36"/>
      <c r="S2986" s="37"/>
      <c r="T2986" s="28"/>
      <c r="U2986" s="36"/>
      <c r="V2986" s="36"/>
      <c r="W2986" s="36"/>
      <c r="X2986" s="28"/>
      <c r="Y2986" s="28"/>
      <c r="Z2986" s="20"/>
    </row>
    <row r="2987" spans="1:26" s="29" customFormat="1" ht="90.75" customHeight="1" x14ac:dyDescent="0.25">
      <c r="A2987" s="20"/>
      <c r="B2987" s="20"/>
      <c r="C2987" s="20"/>
      <c r="D2987" s="21"/>
      <c r="E2987" s="21"/>
      <c r="F2987" s="22"/>
      <c r="G2987" s="23"/>
      <c r="H2987" s="36">
        <v>633.44000000000005</v>
      </c>
      <c r="I2987" s="40">
        <v>650</v>
      </c>
      <c r="J2987" s="28">
        <f t="shared" si="681"/>
        <v>411736.00000000006</v>
      </c>
      <c r="K2987" s="37">
        <v>1</v>
      </c>
      <c r="L2987" s="31" t="s">
        <v>215</v>
      </c>
      <c r="M2987" s="31" t="s">
        <v>13</v>
      </c>
      <c r="N2987" s="41">
        <v>2</v>
      </c>
      <c r="O2987" s="42">
        <v>81</v>
      </c>
      <c r="P2987" s="35">
        <v>100</v>
      </c>
      <c r="Q2987" s="36">
        <v>6450</v>
      </c>
      <c r="R2987" s="36">
        <f>(O2987*Q2987)</f>
        <v>522450</v>
      </c>
      <c r="S2987" s="37">
        <v>5</v>
      </c>
      <c r="T2987" s="28">
        <f>(R2987*5/100)</f>
        <v>26122.5</v>
      </c>
      <c r="U2987" s="36">
        <f>(R2987-T2987)</f>
        <v>496327.5</v>
      </c>
      <c r="V2987" s="36">
        <f t="shared" ref="V2987:V2990" si="686">(J2987+U2987)</f>
        <v>908063.5</v>
      </c>
      <c r="W2987" s="36">
        <f>(V2987*P2987/100)</f>
        <v>908063.5</v>
      </c>
      <c r="X2987" s="28">
        <v>50000000</v>
      </c>
      <c r="Y2987" s="28"/>
      <c r="Z2987" s="49"/>
    </row>
    <row r="2988" spans="1:26" s="29" customFormat="1" ht="90.75" customHeight="1" x14ac:dyDescent="0.25">
      <c r="A2988" s="20"/>
      <c r="B2988" s="20"/>
      <c r="C2988" s="20"/>
      <c r="D2988" s="21"/>
      <c r="E2988" s="21"/>
      <c r="F2988" s="22"/>
      <c r="G2988" s="23"/>
      <c r="H2988" s="36">
        <f>(O2988*0.25)</f>
        <v>26.5625</v>
      </c>
      <c r="I2988" s="40">
        <v>650</v>
      </c>
      <c r="J2988" s="28">
        <f t="shared" si="681"/>
        <v>17265.625</v>
      </c>
      <c r="K2988" s="37">
        <v>2</v>
      </c>
      <c r="L2988" s="31" t="s">
        <v>29</v>
      </c>
      <c r="M2988" s="31"/>
      <c r="N2988" s="41">
        <v>3</v>
      </c>
      <c r="O2988" s="42">
        <v>106.25</v>
      </c>
      <c r="P2988" s="35">
        <v>100</v>
      </c>
      <c r="Q2988" s="36">
        <v>5550</v>
      </c>
      <c r="R2988" s="36">
        <f>(O2988*Q2988)</f>
        <v>589687.5</v>
      </c>
      <c r="S2988" s="37">
        <v>5</v>
      </c>
      <c r="T2988" s="28">
        <f>(R2988*5/100)</f>
        <v>29484.375</v>
      </c>
      <c r="U2988" s="36">
        <f>(R2988-T2988)</f>
        <v>560203.125</v>
      </c>
      <c r="V2988" s="36">
        <f>(J2988+U2988)</f>
        <v>577468.75</v>
      </c>
      <c r="W2988" s="36">
        <f>(V2988*100/100)</f>
        <v>577468.75</v>
      </c>
      <c r="X2988" s="28">
        <v>0</v>
      </c>
      <c r="Y2988" s="28">
        <f>(W2988-X2988)</f>
        <v>577468.75</v>
      </c>
      <c r="Z2988" s="49">
        <v>3.0000000000000001E-3</v>
      </c>
    </row>
    <row r="2989" spans="1:26" s="29" customFormat="1" ht="90.75" customHeight="1" x14ac:dyDescent="0.25">
      <c r="A2989" s="20"/>
      <c r="B2989" s="20"/>
      <c r="C2989" s="20"/>
      <c r="D2989" s="21"/>
      <c r="E2989" s="21"/>
      <c r="F2989" s="22"/>
      <c r="G2989" s="23"/>
      <c r="H2989" s="36">
        <f>(O2989*0.25)</f>
        <v>70</v>
      </c>
      <c r="I2989" s="40">
        <v>650</v>
      </c>
      <c r="J2989" s="28">
        <f t="shared" si="681"/>
        <v>45500</v>
      </c>
      <c r="K2989" s="37">
        <v>3</v>
      </c>
      <c r="L2989" s="31" t="s">
        <v>43</v>
      </c>
      <c r="M2989" s="31"/>
      <c r="N2989" s="41">
        <v>2</v>
      </c>
      <c r="O2989" s="42">
        <v>280</v>
      </c>
      <c r="P2989" s="35">
        <v>100</v>
      </c>
      <c r="Q2989" s="36">
        <v>7700</v>
      </c>
      <c r="R2989" s="36">
        <f>(O2989*Q2989)</f>
        <v>2156000</v>
      </c>
      <c r="S2989" s="37">
        <v>8</v>
      </c>
      <c r="T2989" s="28">
        <f>(R2989*8/100)</f>
        <v>172480</v>
      </c>
      <c r="U2989" s="36">
        <f>(R2989-T2989)</f>
        <v>1983520</v>
      </c>
      <c r="V2989" s="36">
        <f t="shared" si="686"/>
        <v>2029020</v>
      </c>
      <c r="W2989" s="36">
        <f>(V2989*P2989/100)</f>
        <v>2029020</v>
      </c>
      <c r="X2989" s="28">
        <v>0</v>
      </c>
      <c r="Y2989" s="28">
        <f>(W2989-X2989)</f>
        <v>2029020</v>
      </c>
      <c r="Z2989" s="49">
        <v>2.0000000000000001E-4</v>
      </c>
    </row>
    <row r="2990" spans="1:26" s="29" customFormat="1" ht="90.75" customHeight="1" x14ac:dyDescent="0.25">
      <c r="A2990" s="20"/>
      <c r="B2990" s="20"/>
      <c r="C2990" s="20"/>
      <c r="D2990" s="21"/>
      <c r="E2990" s="21"/>
      <c r="F2990" s="22"/>
      <c r="G2990" s="23"/>
      <c r="H2990" s="36">
        <f>(O2990*0.25)</f>
        <v>70</v>
      </c>
      <c r="I2990" s="40">
        <v>650</v>
      </c>
      <c r="J2990" s="28">
        <f t="shared" si="681"/>
        <v>45500</v>
      </c>
      <c r="K2990" s="37">
        <v>4</v>
      </c>
      <c r="L2990" s="31" t="s">
        <v>43</v>
      </c>
      <c r="M2990" s="31"/>
      <c r="N2990" s="41">
        <v>2</v>
      </c>
      <c r="O2990" s="42">
        <v>280</v>
      </c>
      <c r="P2990" s="35">
        <v>100</v>
      </c>
      <c r="Q2990" s="36">
        <v>7700</v>
      </c>
      <c r="R2990" s="36">
        <f>(O2990*Q2990)</f>
        <v>2156000</v>
      </c>
      <c r="S2990" s="37">
        <v>8</v>
      </c>
      <c r="T2990" s="28">
        <f>(R2990*8/100)</f>
        <v>172480</v>
      </c>
      <c r="U2990" s="36">
        <f>(R2990-T2990)</f>
        <v>1983520</v>
      </c>
      <c r="V2990" s="36">
        <f t="shared" si="686"/>
        <v>2029020</v>
      </c>
      <c r="W2990" s="36">
        <f>(V2990*P2990/100)</f>
        <v>2029020</v>
      </c>
      <c r="X2990" s="28">
        <v>0</v>
      </c>
      <c r="Y2990" s="28">
        <f>(W2990-X2990)</f>
        <v>2029020</v>
      </c>
      <c r="Z2990" s="49">
        <v>2.0000000000000001E-4</v>
      </c>
    </row>
    <row r="2991" spans="1:26" s="29" customFormat="1" ht="90.75" customHeight="1" x14ac:dyDescent="0.25">
      <c r="A2991" s="20">
        <v>1491</v>
      </c>
      <c r="B2991" s="20" t="s">
        <v>0</v>
      </c>
      <c r="C2991" s="20">
        <v>11657</v>
      </c>
      <c r="D2991" s="21">
        <v>14</v>
      </c>
      <c r="E2991" s="21">
        <v>0</v>
      </c>
      <c r="F2991" s="22">
        <v>27.1</v>
      </c>
      <c r="G2991" s="23" t="s">
        <v>209</v>
      </c>
      <c r="H2991" s="36">
        <f>(D2991*400)+(E2991*100)+F2991</f>
        <v>5627.1</v>
      </c>
      <c r="I2991" s="25" t="s">
        <v>53</v>
      </c>
      <c r="J2991" s="28">
        <f t="shared" si="681"/>
        <v>2532195</v>
      </c>
      <c r="K2991" s="20"/>
      <c r="L2991" s="20"/>
      <c r="M2991" s="20"/>
      <c r="N2991" s="20"/>
      <c r="O2991" s="24"/>
      <c r="P2991" s="24"/>
      <c r="Q2991" s="25"/>
      <c r="R2991" s="24"/>
      <c r="S2991" s="20"/>
      <c r="T2991" s="27"/>
      <c r="U2991" s="20"/>
      <c r="V2991" s="20"/>
      <c r="W2991" s="26"/>
      <c r="X2991" s="27"/>
      <c r="Y2991" s="20"/>
      <c r="Z2991" s="20"/>
    </row>
    <row r="2992" spans="1:26" s="29" customFormat="1" ht="90.75" customHeight="1" x14ac:dyDescent="0.25">
      <c r="A2992" s="20"/>
      <c r="B2992" s="20"/>
      <c r="C2992" s="20"/>
      <c r="D2992" s="21"/>
      <c r="E2992" s="21"/>
      <c r="F2992" s="22"/>
      <c r="G2992" s="23"/>
      <c r="H2992" s="24"/>
      <c r="I2992" s="25"/>
      <c r="J2992" s="24"/>
      <c r="K2992" s="20">
        <v>1</v>
      </c>
      <c r="L2992" s="20" t="s">
        <v>156</v>
      </c>
      <c r="M2992" s="20" t="s">
        <v>13</v>
      </c>
      <c r="N2992" s="20">
        <v>3</v>
      </c>
      <c r="O2992" s="24">
        <v>80</v>
      </c>
      <c r="P2992" s="24">
        <v>100</v>
      </c>
      <c r="Q2992" s="36">
        <v>5550</v>
      </c>
      <c r="R2992" s="36">
        <f>(O2992*Q2992)</f>
        <v>444000</v>
      </c>
      <c r="S2992" s="20">
        <v>1</v>
      </c>
      <c r="T2992" s="28">
        <f>(R2992*1/100)</f>
        <v>4440</v>
      </c>
      <c r="U2992" s="80">
        <f>(R2992-T2992)</f>
        <v>439560</v>
      </c>
      <c r="V2992" s="80">
        <f>(J2991+U2992)</f>
        <v>2971755</v>
      </c>
      <c r="W2992" s="26">
        <f>(V2992*100/100)</f>
        <v>2971755</v>
      </c>
      <c r="X2992" s="28">
        <v>0</v>
      </c>
      <c r="Y2992" s="28">
        <f>(W2992-X2992)</f>
        <v>2971755</v>
      </c>
      <c r="Z2992" s="49">
        <v>3.0000000000000001E-3</v>
      </c>
    </row>
    <row r="2993" spans="1:26" s="29" customFormat="1" ht="90.75" customHeight="1" x14ac:dyDescent="0.25">
      <c r="A2993" s="20">
        <v>1492</v>
      </c>
      <c r="B2993" s="20" t="s">
        <v>0</v>
      </c>
      <c r="C2993" s="20">
        <v>47398</v>
      </c>
      <c r="D2993" s="21">
        <v>2</v>
      </c>
      <c r="E2993" s="21">
        <v>2</v>
      </c>
      <c r="F2993" s="22">
        <v>0</v>
      </c>
      <c r="G2993" s="23" t="s">
        <v>211</v>
      </c>
      <c r="H2993" s="36">
        <f>(D2993*400)+(E2993*100)+F2993</f>
        <v>1000</v>
      </c>
      <c r="I2993" s="25">
        <v>1000</v>
      </c>
      <c r="J2993" s="28">
        <f t="shared" ref="J2993:J3007" si="687">(H2993*I2993)</f>
        <v>1000000</v>
      </c>
      <c r="K2993" s="20"/>
      <c r="L2993" s="20"/>
      <c r="M2993" s="20"/>
      <c r="N2993" s="20"/>
      <c r="O2993" s="24"/>
      <c r="P2993" s="24"/>
      <c r="Q2993" s="25"/>
      <c r="R2993" s="24"/>
      <c r="S2993" s="20"/>
      <c r="T2993" s="27"/>
      <c r="U2993" s="20"/>
      <c r="V2993" s="20"/>
      <c r="W2993" s="26"/>
      <c r="X2993" s="27"/>
      <c r="Y2993" s="20"/>
      <c r="Z2993" s="20"/>
    </row>
    <row r="2994" spans="1:26" s="29" customFormat="1" ht="90.75" customHeight="1" x14ac:dyDescent="0.25">
      <c r="A2994" s="20"/>
      <c r="B2994" s="20"/>
      <c r="C2994" s="20"/>
      <c r="D2994" s="21"/>
      <c r="E2994" s="21"/>
      <c r="F2994" s="22"/>
      <c r="G2994" s="23" t="s">
        <v>209</v>
      </c>
      <c r="H2994" s="24">
        <v>105</v>
      </c>
      <c r="I2994" s="25">
        <v>1000</v>
      </c>
      <c r="J2994" s="28">
        <f t="shared" si="687"/>
        <v>105000</v>
      </c>
      <c r="K2994" s="20">
        <v>1</v>
      </c>
      <c r="L2994" s="20" t="s">
        <v>43</v>
      </c>
      <c r="M2994" s="20" t="s">
        <v>13</v>
      </c>
      <c r="N2994" s="20">
        <v>3</v>
      </c>
      <c r="O2994" s="24">
        <v>420</v>
      </c>
      <c r="P2994" s="24">
        <v>100</v>
      </c>
      <c r="Q2994" s="25">
        <v>7700</v>
      </c>
      <c r="R2994" s="36">
        <f>(O2994*Q2994)</f>
        <v>3234000</v>
      </c>
      <c r="S2994" s="37">
        <v>5</v>
      </c>
      <c r="T2994" s="28">
        <f>(R2994*5/100)</f>
        <v>161700</v>
      </c>
      <c r="U2994" s="36">
        <f>(R2994-T2994)</f>
        <v>3072300</v>
      </c>
      <c r="V2994" s="36">
        <f t="shared" ref="V2994:V2998" si="688">(J2994+U2994)</f>
        <v>3177300</v>
      </c>
      <c r="W2994" s="36">
        <f>(V2994*P2994/100)</f>
        <v>3177300</v>
      </c>
      <c r="X2994" s="28">
        <v>0</v>
      </c>
      <c r="Y2994" s="28">
        <f>(W2994-X2994)</f>
        <v>3177300</v>
      </c>
      <c r="Z2994" s="49">
        <v>3.0000000000000001E-3</v>
      </c>
    </row>
    <row r="2995" spans="1:26" s="29" customFormat="1" ht="90.75" customHeight="1" x14ac:dyDescent="0.25">
      <c r="A2995" s="20"/>
      <c r="B2995" s="20"/>
      <c r="C2995" s="20"/>
      <c r="D2995" s="21"/>
      <c r="E2995" s="21"/>
      <c r="F2995" s="22"/>
      <c r="G2995" s="23" t="s">
        <v>210</v>
      </c>
      <c r="H2995" s="24">
        <v>895</v>
      </c>
      <c r="I2995" s="25">
        <v>1000</v>
      </c>
      <c r="J2995" s="28">
        <f t="shared" si="687"/>
        <v>895000</v>
      </c>
      <c r="K2995" s="20"/>
      <c r="L2995" s="20"/>
      <c r="M2995" s="20"/>
      <c r="N2995" s="20"/>
      <c r="O2995" s="24"/>
      <c r="P2995" s="24"/>
      <c r="Q2995" s="25"/>
      <c r="R2995" s="36"/>
      <c r="S2995" s="37"/>
      <c r="T2995" s="28"/>
      <c r="U2995" s="36"/>
      <c r="V2995" s="36">
        <f t="shared" si="688"/>
        <v>895000</v>
      </c>
      <c r="W2995" s="36">
        <f>(V2995*100/100)</f>
        <v>895000</v>
      </c>
      <c r="X2995" s="28">
        <v>0</v>
      </c>
      <c r="Y2995" s="28">
        <f>(W2995-X2995)</f>
        <v>895000</v>
      </c>
      <c r="Z2995" s="49">
        <v>3.0000000000000001E-3</v>
      </c>
    </row>
    <row r="2996" spans="1:26" s="29" customFormat="1" ht="90.75" customHeight="1" x14ac:dyDescent="0.25">
      <c r="A2996" s="20">
        <v>1493</v>
      </c>
      <c r="B2996" s="20" t="s">
        <v>0</v>
      </c>
      <c r="C2996" s="20">
        <v>47399</v>
      </c>
      <c r="D2996" s="21">
        <v>2</v>
      </c>
      <c r="E2996" s="21">
        <v>2</v>
      </c>
      <c r="F2996" s="22">
        <v>0</v>
      </c>
      <c r="G2996" s="23" t="s">
        <v>210</v>
      </c>
      <c r="H2996" s="36">
        <f>(D2996*400)+(E2996*100)+F2996</f>
        <v>1000</v>
      </c>
      <c r="I2996" s="25">
        <v>1000</v>
      </c>
      <c r="J2996" s="28">
        <f t="shared" si="687"/>
        <v>1000000</v>
      </c>
      <c r="K2996" s="20"/>
      <c r="L2996" s="20"/>
      <c r="M2996" s="20"/>
      <c r="N2996" s="20"/>
      <c r="O2996" s="24"/>
      <c r="P2996" s="24"/>
      <c r="Q2996" s="25"/>
      <c r="R2996" s="24"/>
      <c r="S2996" s="20"/>
      <c r="T2996" s="27"/>
      <c r="U2996" s="20"/>
      <c r="V2996" s="36">
        <f t="shared" si="688"/>
        <v>1000000</v>
      </c>
      <c r="W2996" s="36">
        <f>(V2996*100/100)</f>
        <v>1000000</v>
      </c>
      <c r="X2996" s="28">
        <v>0</v>
      </c>
      <c r="Y2996" s="28">
        <f>(W2996-X2996)</f>
        <v>1000000</v>
      </c>
      <c r="Z2996" s="49">
        <v>3.0000000000000001E-3</v>
      </c>
    </row>
    <row r="2997" spans="1:26" s="29" customFormat="1" ht="90.75" customHeight="1" x14ac:dyDescent="0.25">
      <c r="A2997" s="20">
        <v>1494</v>
      </c>
      <c r="B2997" s="20" t="s">
        <v>0</v>
      </c>
      <c r="C2997" s="20">
        <v>50096</v>
      </c>
      <c r="D2997" s="21">
        <v>4</v>
      </c>
      <c r="E2997" s="21">
        <v>0</v>
      </c>
      <c r="F2997" s="22">
        <v>72</v>
      </c>
      <c r="G2997" s="23" t="s">
        <v>210</v>
      </c>
      <c r="H2997" s="36">
        <f t="shared" ref="H2997:H3007" si="689">(D2997*400)+(E2997*100)+F2997</f>
        <v>1672</v>
      </c>
      <c r="I2997" s="25">
        <v>625</v>
      </c>
      <c r="J2997" s="28">
        <f t="shared" si="687"/>
        <v>1045000</v>
      </c>
      <c r="K2997" s="20"/>
      <c r="L2997" s="20"/>
      <c r="M2997" s="20"/>
      <c r="N2997" s="20"/>
      <c r="O2997" s="24"/>
      <c r="P2997" s="24"/>
      <c r="Q2997" s="25"/>
      <c r="R2997" s="24"/>
      <c r="S2997" s="20"/>
      <c r="T2997" s="27"/>
      <c r="U2997" s="20"/>
      <c r="V2997" s="36">
        <f t="shared" si="688"/>
        <v>1045000</v>
      </c>
      <c r="W2997" s="36">
        <f t="shared" ref="W2997:W3003" si="690">(V2997*100/100)</f>
        <v>1045000</v>
      </c>
      <c r="X2997" s="28">
        <v>0</v>
      </c>
      <c r="Y2997" s="28">
        <f t="shared" ref="Y2997:Y3006" si="691">(W2997-X2997)</f>
        <v>1045000</v>
      </c>
      <c r="Z2997" s="49">
        <v>3.0000000000000001E-3</v>
      </c>
    </row>
    <row r="2998" spans="1:26" s="29" customFormat="1" ht="90.75" customHeight="1" x14ac:dyDescent="0.25">
      <c r="A2998" s="20">
        <v>1495</v>
      </c>
      <c r="B2998" s="20" t="s">
        <v>0</v>
      </c>
      <c r="C2998" s="20">
        <v>50097</v>
      </c>
      <c r="D2998" s="21">
        <v>4</v>
      </c>
      <c r="E2998" s="21">
        <v>0</v>
      </c>
      <c r="F2998" s="22">
        <v>31</v>
      </c>
      <c r="G2998" s="23" t="s">
        <v>211</v>
      </c>
      <c r="H2998" s="36">
        <f t="shared" si="689"/>
        <v>1631</v>
      </c>
      <c r="I2998" s="25">
        <v>625</v>
      </c>
      <c r="J2998" s="28">
        <f t="shared" si="687"/>
        <v>1019375</v>
      </c>
      <c r="K2998" s="20"/>
      <c r="L2998" s="20"/>
      <c r="M2998" s="20"/>
      <c r="N2998" s="20"/>
      <c r="O2998" s="24"/>
      <c r="P2998" s="24"/>
      <c r="Q2998" s="25"/>
      <c r="R2998" s="24"/>
      <c r="S2998" s="20"/>
      <c r="T2998" s="27"/>
      <c r="U2998" s="20"/>
      <c r="V2998" s="36">
        <f t="shared" si="688"/>
        <v>1019375</v>
      </c>
      <c r="W2998" s="36">
        <f t="shared" si="690"/>
        <v>1019375</v>
      </c>
      <c r="X2998" s="28">
        <v>0</v>
      </c>
      <c r="Y2998" s="28">
        <f t="shared" si="691"/>
        <v>1019375</v>
      </c>
      <c r="Z2998" s="49">
        <v>3.0000000000000001E-3</v>
      </c>
    </row>
    <row r="2999" spans="1:26" s="29" customFormat="1" ht="90.75" customHeight="1" x14ac:dyDescent="0.25">
      <c r="A2999" s="20"/>
      <c r="B2999" s="20"/>
      <c r="C2999" s="20"/>
      <c r="D2999" s="21"/>
      <c r="E2999" s="21"/>
      <c r="F2999" s="22"/>
      <c r="G2999" s="23"/>
      <c r="H2999" s="36">
        <v>90</v>
      </c>
      <c r="I2999" s="25">
        <v>625</v>
      </c>
      <c r="J2999" s="28">
        <f t="shared" si="687"/>
        <v>56250</v>
      </c>
      <c r="K2999" s="20">
        <v>1</v>
      </c>
      <c r="L2999" s="20" t="s">
        <v>158</v>
      </c>
      <c r="M2999" s="20" t="s">
        <v>30</v>
      </c>
      <c r="N2999" s="20">
        <v>2</v>
      </c>
      <c r="O2999" s="24">
        <v>360</v>
      </c>
      <c r="P2999" s="24">
        <v>100</v>
      </c>
      <c r="Q2999" s="25">
        <v>6450</v>
      </c>
      <c r="R2999" s="24">
        <f t="shared" ref="R2999:R3000" si="692">(O2999*Q2999)</f>
        <v>2322000</v>
      </c>
      <c r="S2999" s="20">
        <v>5</v>
      </c>
      <c r="T2999" s="24">
        <f t="shared" ref="T2999:T3000" si="693">(R2999*5/100)</f>
        <v>116100</v>
      </c>
      <c r="U2999" s="27">
        <f t="shared" ref="U2999:U3000" si="694">(R2999-T2999)</f>
        <v>2205900</v>
      </c>
      <c r="V2999" s="27">
        <f>(J2999+U2999)</f>
        <v>2262150</v>
      </c>
      <c r="W2999" s="26">
        <f t="shared" si="690"/>
        <v>2262150</v>
      </c>
      <c r="X2999" s="28">
        <v>0</v>
      </c>
      <c r="Y2999" s="28">
        <f t="shared" si="691"/>
        <v>2262150</v>
      </c>
      <c r="Z2999" s="49">
        <v>2.0000000000000001E-4</v>
      </c>
    </row>
    <row r="3000" spans="1:26" s="29" customFormat="1" ht="90.75" customHeight="1" x14ac:dyDescent="0.25">
      <c r="A3000" s="20"/>
      <c r="B3000" s="20"/>
      <c r="C3000" s="20"/>
      <c r="D3000" s="21"/>
      <c r="E3000" s="21"/>
      <c r="F3000" s="22"/>
      <c r="G3000" s="23"/>
      <c r="H3000" s="36">
        <v>17.25</v>
      </c>
      <c r="I3000" s="25">
        <v>625</v>
      </c>
      <c r="J3000" s="28">
        <f t="shared" si="687"/>
        <v>10781.25</v>
      </c>
      <c r="K3000" s="20">
        <v>1</v>
      </c>
      <c r="L3000" s="20" t="s">
        <v>158</v>
      </c>
      <c r="M3000" s="20" t="s">
        <v>30</v>
      </c>
      <c r="N3000" s="20">
        <v>2</v>
      </c>
      <c r="O3000" s="24">
        <v>69</v>
      </c>
      <c r="P3000" s="24">
        <v>100</v>
      </c>
      <c r="Q3000" s="25">
        <v>6450</v>
      </c>
      <c r="R3000" s="24">
        <f t="shared" si="692"/>
        <v>445050</v>
      </c>
      <c r="S3000" s="20">
        <v>5</v>
      </c>
      <c r="T3000" s="24">
        <f t="shared" si="693"/>
        <v>22252.5</v>
      </c>
      <c r="U3000" s="27">
        <f t="shared" si="694"/>
        <v>422797.5</v>
      </c>
      <c r="V3000" s="27">
        <f>(J3000+U3000)</f>
        <v>433578.75</v>
      </c>
      <c r="W3000" s="26">
        <f t="shared" si="690"/>
        <v>433578.75</v>
      </c>
      <c r="X3000" s="28">
        <v>0</v>
      </c>
      <c r="Y3000" s="28">
        <f t="shared" si="691"/>
        <v>433578.75</v>
      </c>
      <c r="Z3000" s="49">
        <v>2.0000000000000001E-4</v>
      </c>
    </row>
    <row r="3001" spans="1:26" s="29" customFormat="1" ht="90.75" customHeight="1" x14ac:dyDescent="0.25">
      <c r="A3001" s="20"/>
      <c r="B3001" s="20"/>
      <c r="C3001" s="20"/>
      <c r="D3001" s="21"/>
      <c r="E3001" s="21"/>
      <c r="F3001" s="22"/>
      <c r="G3001" s="23" t="s">
        <v>210</v>
      </c>
      <c r="H3001" s="36">
        <v>1523.75</v>
      </c>
      <c r="I3001" s="25">
        <v>625</v>
      </c>
      <c r="J3001" s="28">
        <f t="shared" si="687"/>
        <v>952343.75</v>
      </c>
      <c r="K3001" s="20"/>
      <c r="L3001" s="20"/>
      <c r="M3001" s="20"/>
      <c r="N3001" s="20"/>
      <c r="O3001" s="24"/>
      <c r="P3001" s="24"/>
      <c r="Q3001" s="25"/>
      <c r="R3001" s="24"/>
      <c r="S3001" s="20"/>
      <c r="T3001" s="27"/>
      <c r="U3001" s="20"/>
      <c r="V3001" s="36">
        <f t="shared" ref="V3001:V3003" si="695">(J3001+U3001)</f>
        <v>952343.75</v>
      </c>
      <c r="W3001" s="36">
        <f t="shared" si="690"/>
        <v>952343.75</v>
      </c>
      <c r="X3001" s="28">
        <v>0</v>
      </c>
      <c r="Y3001" s="28">
        <f t="shared" si="691"/>
        <v>952343.75</v>
      </c>
      <c r="Z3001" s="49">
        <v>3.0000000000000001E-3</v>
      </c>
    </row>
    <row r="3002" spans="1:26" s="29" customFormat="1" ht="90.75" customHeight="1" x14ac:dyDescent="0.25">
      <c r="A3002" s="20">
        <v>1496</v>
      </c>
      <c r="B3002" s="20" t="s">
        <v>0</v>
      </c>
      <c r="C3002" s="20">
        <v>50099</v>
      </c>
      <c r="D3002" s="21">
        <v>2</v>
      </c>
      <c r="E3002" s="21">
        <v>3</v>
      </c>
      <c r="F3002" s="22">
        <v>62</v>
      </c>
      <c r="G3002" s="23" t="s">
        <v>210</v>
      </c>
      <c r="H3002" s="36">
        <f t="shared" si="689"/>
        <v>1162</v>
      </c>
      <c r="I3002" s="25">
        <v>625</v>
      </c>
      <c r="J3002" s="28">
        <f t="shared" si="687"/>
        <v>726250</v>
      </c>
      <c r="K3002" s="20"/>
      <c r="L3002" s="20"/>
      <c r="M3002" s="20"/>
      <c r="N3002" s="20"/>
      <c r="O3002" s="24"/>
      <c r="P3002" s="24"/>
      <c r="Q3002" s="25"/>
      <c r="R3002" s="24"/>
      <c r="S3002" s="20"/>
      <c r="T3002" s="27"/>
      <c r="U3002" s="20"/>
      <c r="V3002" s="36">
        <f t="shared" si="695"/>
        <v>726250</v>
      </c>
      <c r="W3002" s="36">
        <f t="shared" si="690"/>
        <v>726250</v>
      </c>
      <c r="X3002" s="28">
        <v>0</v>
      </c>
      <c r="Y3002" s="28">
        <f t="shared" si="691"/>
        <v>726250</v>
      </c>
      <c r="Z3002" s="49">
        <v>3.0000000000000001E-3</v>
      </c>
    </row>
    <row r="3003" spans="1:26" s="29" customFormat="1" ht="90.75" customHeight="1" x14ac:dyDescent="0.25">
      <c r="A3003" s="20">
        <v>1497</v>
      </c>
      <c r="B3003" s="20" t="s">
        <v>0</v>
      </c>
      <c r="C3003" s="20">
        <v>14633</v>
      </c>
      <c r="D3003" s="21">
        <v>1</v>
      </c>
      <c r="E3003" s="21">
        <v>0</v>
      </c>
      <c r="F3003" s="22">
        <v>62</v>
      </c>
      <c r="G3003" s="23" t="s">
        <v>210</v>
      </c>
      <c r="H3003" s="36">
        <f t="shared" si="689"/>
        <v>462</v>
      </c>
      <c r="I3003" s="25">
        <v>300</v>
      </c>
      <c r="J3003" s="28">
        <f t="shared" si="687"/>
        <v>138600</v>
      </c>
      <c r="K3003" s="20"/>
      <c r="L3003" s="20"/>
      <c r="M3003" s="20"/>
      <c r="N3003" s="20"/>
      <c r="O3003" s="24"/>
      <c r="P3003" s="24"/>
      <c r="Q3003" s="25"/>
      <c r="R3003" s="24"/>
      <c r="S3003" s="20"/>
      <c r="T3003" s="27"/>
      <c r="U3003" s="20"/>
      <c r="V3003" s="36">
        <f t="shared" si="695"/>
        <v>138600</v>
      </c>
      <c r="W3003" s="36">
        <f t="shared" si="690"/>
        <v>138600</v>
      </c>
      <c r="X3003" s="28">
        <v>0</v>
      </c>
      <c r="Y3003" s="28">
        <f t="shared" si="691"/>
        <v>138600</v>
      </c>
      <c r="Z3003" s="49">
        <v>3.0000000000000001E-3</v>
      </c>
    </row>
    <row r="3004" spans="1:26" s="29" customFormat="1" ht="90.75" customHeight="1" x14ac:dyDescent="0.25">
      <c r="A3004" s="20">
        <v>1498</v>
      </c>
      <c r="B3004" s="20" t="s">
        <v>0</v>
      </c>
      <c r="C3004" s="20">
        <v>51828</v>
      </c>
      <c r="D3004" s="21">
        <v>0</v>
      </c>
      <c r="E3004" s="21">
        <v>0</v>
      </c>
      <c r="F3004" s="22">
        <v>63</v>
      </c>
      <c r="G3004" s="23" t="s">
        <v>298</v>
      </c>
      <c r="H3004" s="36">
        <f t="shared" si="689"/>
        <v>63</v>
      </c>
      <c r="I3004" s="25">
        <v>625</v>
      </c>
      <c r="J3004" s="28">
        <f t="shared" si="687"/>
        <v>39375</v>
      </c>
      <c r="K3004" s="20">
        <v>1</v>
      </c>
      <c r="L3004" s="20" t="s">
        <v>126</v>
      </c>
      <c r="M3004" s="20" t="s">
        <v>24</v>
      </c>
      <c r="N3004" s="20">
        <v>2</v>
      </c>
      <c r="O3004" s="24">
        <v>170</v>
      </c>
      <c r="P3004" s="24">
        <v>100</v>
      </c>
      <c r="Q3004" s="25">
        <v>6800</v>
      </c>
      <c r="R3004" s="24">
        <f>(O3004*Q3004)</f>
        <v>1156000</v>
      </c>
      <c r="S3004" s="20">
        <v>5</v>
      </c>
      <c r="T3004" s="24">
        <f>(R3004*5/100)</f>
        <v>57800</v>
      </c>
      <c r="U3004" s="27">
        <f>(R3004-T3004)</f>
        <v>1098200</v>
      </c>
      <c r="V3004" s="27">
        <f>(J3004+U3004)</f>
        <v>1137575</v>
      </c>
      <c r="W3004" s="26">
        <f>(V3004*100/100)</f>
        <v>1137575</v>
      </c>
      <c r="X3004" s="28">
        <v>0</v>
      </c>
      <c r="Y3004" s="28">
        <f t="shared" si="691"/>
        <v>1137575</v>
      </c>
      <c r="Z3004" s="49">
        <v>2.0000000000000001E-4</v>
      </c>
    </row>
    <row r="3005" spans="1:26" s="29" customFormat="1" ht="90.75" customHeight="1" x14ac:dyDescent="0.25">
      <c r="A3005" s="20">
        <v>1499</v>
      </c>
      <c r="B3005" s="20" t="s">
        <v>0</v>
      </c>
      <c r="C3005" s="20">
        <v>51829</v>
      </c>
      <c r="D3005" s="21">
        <v>0</v>
      </c>
      <c r="E3005" s="21">
        <v>0</v>
      </c>
      <c r="F3005" s="22">
        <v>27</v>
      </c>
      <c r="G3005" s="23" t="s">
        <v>298</v>
      </c>
      <c r="H3005" s="36">
        <f t="shared" si="689"/>
        <v>27</v>
      </c>
      <c r="I3005" s="25">
        <v>625</v>
      </c>
      <c r="J3005" s="28">
        <f t="shared" si="687"/>
        <v>16875</v>
      </c>
      <c r="K3005" s="20">
        <v>1</v>
      </c>
      <c r="L3005" s="20" t="s">
        <v>126</v>
      </c>
      <c r="M3005" s="20" t="s">
        <v>24</v>
      </c>
      <c r="N3005" s="20">
        <v>2</v>
      </c>
      <c r="O3005" s="24">
        <v>170</v>
      </c>
      <c r="P3005" s="24">
        <v>100</v>
      </c>
      <c r="Q3005" s="25">
        <v>6800</v>
      </c>
      <c r="R3005" s="24">
        <f t="shared" ref="R3005:R3006" si="696">(O3005*Q3005)</f>
        <v>1156000</v>
      </c>
      <c r="S3005" s="20">
        <v>5</v>
      </c>
      <c r="T3005" s="24">
        <f t="shared" ref="T3005" si="697">(R3005*5/100)</f>
        <v>57800</v>
      </c>
      <c r="U3005" s="27">
        <f t="shared" ref="U3005:U3006" si="698">(R3005-T3005)</f>
        <v>1098200</v>
      </c>
      <c r="V3005" s="27">
        <f t="shared" ref="V3005:V3006" si="699">(J3005+U3005)</f>
        <v>1115075</v>
      </c>
      <c r="W3005" s="26">
        <f t="shared" ref="W3005:W3006" si="700">(V3005*100/100)</f>
        <v>1115075</v>
      </c>
      <c r="X3005" s="28">
        <v>0</v>
      </c>
      <c r="Y3005" s="28">
        <f t="shared" si="691"/>
        <v>1115075</v>
      </c>
      <c r="Z3005" s="49">
        <v>2.0000000000000001E-4</v>
      </c>
    </row>
    <row r="3006" spans="1:26" s="29" customFormat="1" ht="90.75" customHeight="1" x14ac:dyDescent="0.25">
      <c r="A3006" s="20">
        <v>1500</v>
      </c>
      <c r="B3006" s="20" t="s">
        <v>0</v>
      </c>
      <c r="C3006" s="20">
        <v>51831</v>
      </c>
      <c r="D3006" s="21">
        <v>0</v>
      </c>
      <c r="E3006" s="21">
        <v>0</v>
      </c>
      <c r="F3006" s="22">
        <v>15</v>
      </c>
      <c r="G3006" s="23" t="s">
        <v>298</v>
      </c>
      <c r="H3006" s="36">
        <f t="shared" si="689"/>
        <v>15</v>
      </c>
      <c r="I3006" s="25">
        <v>625</v>
      </c>
      <c r="J3006" s="28">
        <f t="shared" si="687"/>
        <v>9375</v>
      </c>
      <c r="K3006" s="20">
        <v>1</v>
      </c>
      <c r="L3006" s="20" t="s">
        <v>126</v>
      </c>
      <c r="M3006" s="20" t="s">
        <v>24</v>
      </c>
      <c r="N3006" s="20">
        <v>2</v>
      </c>
      <c r="O3006" s="24">
        <v>660</v>
      </c>
      <c r="P3006" s="24">
        <v>100</v>
      </c>
      <c r="Q3006" s="25">
        <v>6800</v>
      </c>
      <c r="R3006" s="24">
        <f t="shared" si="696"/>
        <v>4488000</v>
      </c>
      <c r="S3006" s="20">
        <v>4</v>
      </c>
      <c r="T3006" s="24">
        <f>(R3006*4/100)</f>
        <v>179520</v>
      </c>
      <c r="U3006" s="27">
        <f t="shared" si="698"/>
        <v>4308480</v>
      </c>
      <c r="V3006" s="27">
        <f t="shared" si="699"/>
        <v>4317855</v>
      </c>
      <c r="W3006" s="26">
        <f t="shared" si="700"/>
        <v>4317855</v>
      </c>
      <c r="X3006" s="28">
        <v>0</v>
      </c>
      <c r="Y3006" s="28">
        <f t="shared" si="691"/>
        <v>4317855</v>
      </c>
      <c r="Z3006" s="49">
        <v>2.0000000000000001E-4</v>
      </c>
    </row>
    <row r="3007" spans="1:26" s="29" customFormat="1" ht="90.75" customHeight="1" x14ac:dyDescent="0.25">
      <c r="A3007" s="20">
        <v>1501</v>
      </c>
      <c r="B3007" s="20" t="s">
        <v>0</v>
      </c>
      <c r="C3007" s="20">
        <v>11643</v>
      </c>
      <c r="D3007" s="21">
        <v>6</v>
      </c>
      <c r="E3007" s="21">
        <v>2</v>
      </c>
      <c r="F3007" s="22">
        <v>73</v>
      </c>
      <c r="G3007" s="23" t="s">
        <v>211</v>
      </c>
      <c r="H3007" s="36">
        <f t="shared" si="689"/>
        <v>2673</v>
      </c>
      <c r="I3007" s="25" t="s">
        <v>117</v>
      </c>
      <c r="J3007" s="28">
        <f t="shared" si="687"/>
        <v>2472525</v>
      </c>
      <c r="K3007" s="20"/>
      <c r="L3007" s="20"/>
      <c r="M3007" s="20"/>
      <c r="N3007" s="20"/>
      <c r="O3007" s="24"/>
      <c r="P3007" s="24"/>
      <c r="Q3007" s="25"/>
      <c r="R3007" s="24"/>
      <c r="S3007" s="20" t="s">
        <v>2</v>
      </c>
      <c r="T3007" s="27"/>
      <c r="U3007" s="20"/>
      <c r="V3007" s="20"/>
      <c r="W3007" s="26"/>
      <c r="X3007" s="27"/>
      <c r="Y3007" s="20"/>
      <c r="Z3007" s="20"/>
    </row>
    <row r="3008" spans="1:26" s="29" customFormat="1" ht="90.75" customHeight="1" x14ac:dyDescent="0.25">
      <c r="A3008" s="20"/>
      <c r="B3008" s="20"/>
      <c r="C3008" s="20"/>
      <c r="D3008" s="33">
        <v>1</v>
      </c>
      <c r="E3008" s="33">
        <v>2</v>
      </c>
      <c r="F3008" s="112">
        <v>73</v>
      </c>
      <c r="G3008" s="51"/>
      <c r="H3008" s="36">
        <f>(D3008*400)+(E3008*100)+F3008</f>
        <v>673</v>
      </c>
      <c r="I3008" s="40">
        <v>925</v>
      </c>
      <c r="J3008" s="28">
        <f>(H3008*I3008)</f>
        <v>622525</v>
      </c>
      <c r="K3008" s="37"/>
      <c r="L3008" s="31"/>
      <c r="M3008" s="32"/>
      <c r="N3008" s="33"/>
      <c r="O3008" s="82"/>
      <c r="P3008" s="86"/>
      <c r="Q3008" s="36"/>
      <c r="R3008" s="36"/>
      <c r="S3008" s="37"/>
      <c r="T3008" s="28"/>
      <c r="U3008" s="36"/>
      <c r="V3008" s="36"/>
      <c r="W3008" s="36"/>
      <c r="X3008" s="28"/>
      <c r="Y3008" s="28"/>
      <c r="Z3008" s="49"/>
    </row>
    <row r="3009" spans="1:26" s="29" customFormat="1" ht="90.75" customHeight="1" x14ac:dyDescent="0.25">
      <c r="A3009" s="20"/>
      <c r="B3009" s="20"/>
      <c r="C3009" s="20"/>
      <c r="D3009" s="33"/>
      <c r="E3009" s="33"/>
      <c r="F3009" s="112"/>
      <c r="G3009" s="51"/>
      <c r="H3009" s="36"/>
      <c r="I3009" s="40"/>
      <c r="J3009" s="28"/>
      <c r="K3009" s="37">
        <v>1</v>
      </c>
      <c r="L3009" s="31" t="s">
        <v>215</v>
      </c>
      <c r="M3009" s="32" t="s">
        <v>99</v>
      </c>
      <c r="N3009" s="33">
        <v>2</v>
      </c>
      <c r="O3009" s="82">
        <v>100</v>
      </c>
      <c r="P3009" s="86">
        <v>100</v>
      </c>
      <c r="Q3009" s="36">
        <v>6450</v>
      </c>
      <c r="R3009" s="36">
        <f>(O3009*Q3009)</f>
        <v>645000</v>
      </c>
      <c r="S3009" s="37">
        <v>22</v>
      </c>
      <c r="T3009" s="28">
        <f>(R3009*85/100)</f>
        <v>548250</v>
      </c>
      <c r="U3009" s="36">
        <f>(R3009-T3009)</f>
        <v>96750</v>
      </c>
      <c r="V3009" s="36"/>
      <c r="W3009" s="36"/>
      <c r="X3009" s="28"/>
      <c r="Y3009" s="28"/>
      <c r="Z3009" s="20"/>
    </row>
    <row r="3010" spans="1:26" s="29" customFormat="1" ht="90.75" customHeight="1" x14ac:dyDescent="0.25">
      <c r="A3010" s="20"/>
      <c r="B3010" s="20"/>
      <c r="C3010" s="20"/>
      <c r="D3010" s="33"/>
      <c r="E3010" s="33"/>
      <c r="F3010" s="112"/>
      <c r="G3010" s="51"/>
      <c r="H3010" s="36"/>
      <c r="I3010" s="40"/>
      <c r="J3010" s="28"/>
      <c r="K3010" s="37">
        <v>2</v>
      </c>
      <c r="L3010" s="31" t="s">
        <v>31</v>
      </c>
      <c r="M3010" s="32"/>
      <c r="N3010" s="33">
        <v>2</v>
      </c>
      <c r="O3010" s="82">
        <v>20</v>
      </c>
      <c r="P3010" s="86">
        <v>100</v>
      </c>
      <c r="Q3010" s="36">
        <v>2550</v>
      </c>
      <c r="R3010" s="36">
        <f>(O3010*Q3010)</f>
        <v>51000</v>
      </c>
      <c r="S3010" s="37">
        <v>22</v>
      </c>
      <c r="T3010" s="28">
        <f t="shared" ref="T3010:T3011" si="701">(R3010*85/100)</f>
        <v>43350</v>
      </c>
      <c r="U3010" s="36">
        <f>(R3010-T3010)</f>
        <v>7650</v>
      </c>
      <c r="V3010" s="36"/>
      <c r="W3010" s="36"/>
      <c r="X3010" s="28"/>
      <c r="Y3010" s="28"/>
      <c r="Z3010" s="20"/>
    </row>
    <row r="3011" spans="1:26" s="29" customFormat="1" ht="90.75" customHeight="1" x14ac:dyDescent="0.25">
      <c r="A3011" s="20"/>
      <c r="B3011" s="20"/>
      <c r="C3011" s="20"/>
      <c r="D3011" s="33"/>
      <c r="E3011" s="33"/>
      <c r="F3011" s="112"/>
      <c r="G3011" s="51"/>
      <c r="H3011" s="36"/>
      <c r="I3011" s="40"/>
      <c r="J3011" s="28"/>
      <c r="K3011" s="37">
        <v>3</v>
      </c>
      <c r="L3011" s="31" t="s">
        <v>31</v>
      </c>
      <c r="M3011" s="32"/>
      <c r="N3011" s="33">
        <v>2</v>
      </c>
      <c r="O3011" s="82">
        <v>81</v>
      </c>
      <c r="P3011" s="86">
        <v>100</v>
      </c>
      <c r="Q3011" s="36">
        <v>2550</v>
      </c>
      <c r="R3011" s="36">
        <f>(O3011*Q3011)</f>
        <v>206550</v>
      </c>
      <c r="S3011" s="37">
        <v>22</v>
      </c>
      <c r="T3011" s="28">
        <f t="shared" si="701"/>
        <v>175567.5</v>
      </c>
      <c r="U3011" s="36">
        <f>(R3011-T3011)</f>
        <v>30982.5</v>
      </c>
      <c r="V3011" s="36"/>
      <c r="W3011" s="36"/>
      <c r="X3011" s="28"/>
      <c r="Y3011" s="28"/>
      <c r="Z3011" s="20"/>
    </row>
    <row r="3012" spans="1:26" s="29" customFormat="1" ht="90.75" customHeight="1" x14ac:dyDescent="0.25">
      <c r="A3012" s="20"/>
      <c r="B3012" s="20"/>
      <c r="C3012" s="20"/>
      <c r="D3012" s="33"/>
      <c r="E3012" s="33"/>
      <c r="F3012" s="112"/>
      <c r="G3012" s="51"/>
      <c r="H3012" s="36"/>
      <c r="I3012" s="40"/>
      <c r="J3012" s="28"/>
      <c r="K3012" s="37"/>
      <c r="L3012" s="31"/>
      <c r="M3012" s="32"/>
      <c r="N3012" s="33"/>
      <c r="O3012" s="82"/>
      <c r="P3012" s="86"/>
      <c r="Q3012" s="36"/>
      <c r="R3012" s="36"/>
      <c r="S3012" s="37"/>
      <c r="T3012" s="28"/>
      <c r="U3012" s="36">
        <f>SUM(U3009:U3011)</f>
        <v>135382.5</v>
      </c>
      <c r="V3012" s="36">
        <f>(J3008+U3012)</f>
        <v>757907.5</v>
      </c>
      <c r="W3012" s="36">
        <f>(V3012*100/100)</f>
        <v>757907.5</v>
      </c>
      <c r="X3012" s="28">
        <v>50000000</v>
      </c>
      <c r="Y3012" s="28"/>
      <c r="Z3012" s="20"/>
    </row>
    <row r="3013" spans="1:26" s="29" customFormat="1" ht="90.75" customHeight="1" x14ac:dyDescent="0.25">
      <c r="A3013" s="20"/>
      <c r="B3013" s="20"/>
      <c r="C3013" s="20"/>
      <c r="D3013" s="33">
        <v>1</v>
      </c>
      <c r="E3013" s="33">
        <v>0</v>
      </c>
      <c r="F3013" s="112">
        <v>0</v>
      </c>
      <c r="G3013" s="51"/>
      <c r="H3013" s="36">
        <f>(D3013*400)+(E3013*100)+F3013</f>
        <v>400</v>
      </c>
      <c r="I3013" s="40">
        <v>925</v>
      </c>
      <c r="J3013" s="28">
        <f>(H3013*I3013)</f>
        <v>370000</v>
      </c>
      <c r="K3013" s="37"/>
      <c r="L3013" s="31"/>
      <c r="M3013" s="32"/>
      <c r="N3013" s="33"/>
      <c r="O3013" s="82"/>
      <c r="P3013" s="82"/>
      <c r="Q3013" s="90"/>
      <c r="R3013" s="36"/>
      <c r="S3013" s="37"/>
      <c r="T3013" s="28"/>
      <c r="U3013" s="36"/>
      <c r="V3013" s="36"/>
      <c r="W3013" s="36"/>
      <c r="X3013" s="28"/>
      <c r="Y3013" s="28"/>
      <c r="Z3013" s="20"/>
    </row>
    <row r="3014" spans="1:26" s="29" customFormat="1" ht="90.75" customHeight="1" x14ac:dyDescent="0.25">
      <c r="A3014" s="20"/>
      <c r="B3014" s="20"/>
      <c r="C3014" s="20"/>
      <c r="D3014" s="33"/>
      <c r="E3014" s="33"/>
      <c r="F3014" s="112"/>
      <c r="G3014" s="51"/>
      <c r="H3014" s="36"/>
      <c r="I3014" s="40"/>
      <c r="J3014" s="28"/>
      <c r="K3014" s="37">
        <v>4</v>
      </c>
      <c r="L3014" s="31" t="s">
        <v>215</v>
      </c>
      <c r="M3014" s="32" t="s">
        <v>13</v>
      </c>
      <c r="N3014" s="33">
        <v>5</v>
      </c>
      <c r="O3014" s="82">
        <v>233</v>
      </c>
      <c r="P3014" s="82">
        <v>100</v>
      </c>
      <c r="Q3014" s="90">
        <v>6450</v>
      </c>
      <c r="R3014" s="36">
        <f>(O3014*Q3014)</f>
        <v>1502850</v>
      </c>
      <c r="S3014" s="37">
        <v>9</v>
      </c>
      <c r="T3014" s="28">
        <f>(R3014*9/100)</f>
        <v>135256.5</v>
      </c>
      <c r="U3014" s="36">
        <f>(R3014-T3014)</f>
        <v>1367593.5</v>
      </c>
      <c r="V3014" s="36">
        <f>(J3014+U3014)</f>
        <v>1367593.5</v>
      </c>
      <c r="W3014" s="36">
        <f>(V3014*100/100)</f>
        <v>1367593.5</v>
      </c>
      <c r="X3014" s="28"/>
      <c r="Y3014" s="28"/>
      <c r="Z3014" s="20"/>
    </row>
    <row r="3015" spans="1:26" s="29" customFormat="1" ht="90.75" customHeight="1" x14ac:dyDescent="0.25">
      <c r="A3015" s="20"/>
      <c r="B3015" s="20"/>
      <c r="C3015" s="20"/>
      <c r="D3015" s="33"/>
      <c r="E3015" s="33"/>
      <c r="F3015" s="112"/>
      <c r="G3015" s="51"/>
      <c r="H3015" s="36"/>
      <c r="I3015" s="40"/>
      <c r="J3015" s="28"/>
      <c r="K3015" s="37"/>
      <c r="L3015" s="31" t="s">
        <v>69</v>
      </c>
      <c r="M3015" s="32"/>
      <c r="N3015" s="33">
        <v>2</v>
      </c>
      <c r="O3015" s="82">
        <v>162</v>
      </c>
      <c r="P3015" s="82">
        <v>69.53</v>
      </c>
      <c r="Q3015" s="90"/>
      <c r="R3015" s="36"/>
      <c r="S3015" s="37"/>
      <c r="T3015" s="28"/>
      <c r="U3015" s="36"/>
      <c r="V3015" s="36"/>
      <c r="W3015" s="36">
        <f>(W3014*69.53/100)</f>
        <v>950887.76055000012</v>
      </c>
      <c r="X3015" s="28"/>
      <c r="Y3015" s="28"/>
      <c r="Z3015" s="49"/>
    </row>
    <row r="3016" spans="1:26" s="29" customFormat="1" ht="90.75" customHeight="1" x14ac:dyDescent="0.25">
      <c r="A3016" s="20"/>
      <c r="B3016" s="20"/>
      <c r="C3016" s="20"/>
      <c r="D3016" s="33"/>
      <c r="E3016" s="33"/>
      <c r="F3016" s="112"/>
      <c r="G3016" s="51"/>
      <c r="H3016" s="36"/>
      <c r="I3016" s="40"/>
      <c r="J3016" s="28"/>
      <c r="K3016" s="37"/>
      <c r="L3016" s="31" t="s">
        <v>61</v>
      </c>
      <c r="M3016" s="32"/>
      <c r="N3016" s="33">
        <v>3</v>
      </c>
      <c r="O3016" s="82">
        <v>22</v>
      </c>
      <c r="P3016" s="82">
        <v>9.44</v>
      </c>
      <c r="Q3016" s="90"/>
      <c r="R3016" s="36"/>
      <c r="S3016" s="37"/>
      <c r="T3016" s="28"/>
      <c r="U3016" s="36"/>
      <c r="V3016" s="36"/>
      <c r="W3016" s="36">
        <f>(W3014*9.44/100)</f>
        <v>129100.82639999999</v>
      </c>
      <c r="X3016" s="28">
        <v>0</v>
      </c>
      <c r="Y3016" s="28">
        <f>(W3016-X3016)</f>
        <v>129100.82639999999</v>
      </c>
      <c r="Z3016" s="49">
        <v>3.0000000000000001E-3</v>
      </c>
    </row>
    <row r="3017" spans="1:26" s="29" customFormat="1" ht="90.75" customHeight="1" x14ac:dyDescent="0.25">
      <c r="A3017" s="20"/>
      <c r="B3017" s="20"/>
      <c r="C3017" s="20"/>
      <c r="D3017" s="33"/>
      <c r="E3017" s="33"/>
      <c r="F3017" s="112"/>
      <c r="G3017" s="51"/>
      <c r="H3017" s="36"/>
      <c r="I3017" s="40"/>
      <c r="J3017" s="28"/>
      <c r="K3017" s="37"/>
      <c r="L3017" s="31" t="s">
        <v>31</v>
      </c>
      <c r="M3017" s="32"/>
      <c r="N3017" s="33"/>
      <c r="O3017" s="82">
        <v>49</v>
      </c>
      <c r="P3017" s="86">
        <v>21.03</v>
      </c>
      <c r="Q3017" s="36"/>
      <c r="R3017" s="36"/>
      <c r="S3017" s="37"/>
      <c r="T3017" s="28"/>
      <c r="U3017" s="36"/>
      <c r="V3017" s="36"/>
      <c r="W3017" s="36">
        <f>(W3014*21.03/100)</f>
        <v>287604.91304999997</v>
      </c>
      <c r="X3017" s="28"/>
      <c r="Y3017" s="28"/>
      <c r="Z3017" s="49"/>
    </row>
    <row r="3018" spans="1:26" s="29" customFormat="1" ht="90.75" customHeight="1" x14ac:dyDescent="0.25">
      <c r="A3018" s="20"/>
      <c r="B3018" s="20"/>
      <c r="C3018" s="20"/>
      <c r="D3018" s="33">
        <v>1</v>
      </c>
      <c r="E3018" s="33">
        <v>0</v>
      </c>
      <c r="F3018" s="112">
        <v>0</v>
      </c>
      <c r="G3018" s="51"/>
      <c r="H3018" s="36">
        <f>(D3018*400)+(E3018*100)+F3018</f>
        <v>400</v>
      </c>
      <c r="I3018" s="40">
        <v>925</v>
      </c>
      <c r="J3018" s="28">
        <f>(H3018*I3018)</f>
        <v>370000</v>
      </c>
      <c r="K3018" s="37"/>
      <c r="L3018" s="31"/>
      <c r="M3018" s="32"/>
      <c r="N3018" s="33"/>
      <c r="O3018" s="82"/>
      <c r="P3018" s="86"/>
      <c r="Q3018" s="36"/>
      <c r="R3018" s="36"/>
      <c r="S3018" s="37"/>
      <c r="T3018" s="28"/>
      <c r="U3018" s="36"/>
      <c r="V3018" s="36"/>
      <c r="W3018" s="36"/>
      <c r="X3018" s="28"/>
      <c r="Y3018" s="28"/>
      <c r="Z3018" s="49"/>
    </row>
    <row r="3019" spans="1:26" s="29" customFormat="1" ht="90.75" customHeight="1" x14ac:dyDescent="0.25">
      <c r="A3019" s="20"/>
      <c r="B3019" s="20"/>
      <c r="C3019" s="20"/>
      <c r="D3019" s="33"/>
      <c r="E3019" s="33"/>
      <c r="F3019" s="112"/>
      <c r="G3019" s="51"/>
      <c r="H3019" s="36"/>
      <c r="I3019" s="40"/>
      <c r="J3019" s="28"/>
      <c r="K3019" s="37">
        <v>5</v>
      </c>
      <c r="L3019" s="31" t="s">
        <v>215</v>
      </c>
      <c r="M3019" s="32" t="s">
        <v>13</v>
      </c>
      <c r="N3019" s="33">
        <v>2</v>
      </c>
      <c r="O3019" s="82">
        <v>56</v>
      </c>
      <c r="P3019" s="86">
        <v>100</v>
      </c>
      <c r="Q3019" s="36">
        <v>6450</v>
      </c>
      <c r="R3019" s="36">
        <f t="shared" ref="R3019:R3025" si="702">(O3019*Q3019)</f>
        <v>361200</v>
      </c>
      <c r="S3019" s="37">
        <v>7</v>
      </c>
      <c r="T3019" s="28">
        <f>(R3019*7/100)</f>
        <v>25284</v>
      </c>
      <c r="U3019" s="36">
        <f t="shared" ref="U3019:U3025" si="703">(R3019-T3019)</f>
        <v>335916</v>
      </c>
      <c r="V3019" s="36"/>
      <c r="W3019" s="36"/>
      <c r="X3019" s="28"/>
      <c r="Y3019" s="28"/>
      <c r="Z3019" s="20"/>
    </row>
    <row r="3020" spans="1:26" s="29" customFormat="1" ht="90.75" customHeight="1" x14ac:dyDescent="0.25">
      <c r="A3020" s="20"/>
      <c r="B3020" s="20"/>
      <c r="C3020" s="20"/>
      <c r="D3020" s="33"/>
      <c r="E3020" s="33"/>
      <c r="F3020" s="112"/>
      <c r="G3020" s="51"/>
      <c r="H3020" s="36"/>
      <c r="I3020" s="40"/>
      <c r="J3020" s="28"/>
      <c r="K3020" s="37">
        <v>6</v>
      </c>
      <c r="L3020" s="31" t="s">
        <v>215</v>
      </c>
      <c r="M3020" s="32" t="s">
        <v>13</v>
      </c>
      <c r="N3020" s="33">
        <v>2</v>
      </c>
      <c r="O3020" s="82">
        <v>56</v>
      </c>
      <c r="P3020" s="86">
        <v>100</v>
      </c>
      <c r="Q3020" s="36">
        <v>6450</v>
      </c>
      <c r="R3020" s="36">
        <f t="shared" si="702"/>
        <v>361200</v>
      </c>
      <c r="S3020" s="37">
        <v>7</v>
      </c>
      <c r="T3020" s="28">
        <f t="shared" ref="T3020:T3021" si="704">(R3020*7/100)</f>
        <v>25284</v>
      </c>
      <c r="U3020" s="36">
        <f t="shared" si="703"/>
        <v>335916</v>
      </c>
      <c r="V3020" s="36"/>
      <c r="W3020" s="36"/>
      <c r="X3020" s="28"/>
      <c r="Y3020" s="28"/>
      <c r="Z3020" s="20"/>
    </row>
    <row r="3021" spans="1:26" s="29" customFormat="1" ht="90.75" customHeight="1" x14ac:dyDescent="0.25">
      <c r="A3021" s="20"/>
      <c r="B3021" s="20"/>
      <c r="C3021" s="20"/>
      <c r="D3021" s="33"/>
      <c r="E3021" s="33"/>
      <c r="F3021" s="112"/>
      <c r="G3021" s="51"/>
      <c r="H3021" s="36"/>
      <c r="I3021" s="40"/>
      <c r="J3021" s="28"/>
      <c r="K3021" s="37">
        <v>7</v>
      </c>
      <c r="L3021" s="31" t="s">
        <v>31</v>
      </c>
      <c r="M3021" s="32"/>
      <c r="N3021" s="33">
        <v>2</v>
      </c>
      <c r="O3021" s="82">
        <v>24</v>
      </c>
      <c r="P3021" s="86">
        <v>100</v>
      </c>
      <c r="Q3021" s="36">
        <v>2550</v>
      </c>
      <c r="R3021" s="36">
        <f t="shared" si="702"/>
        <v>61200</v>
      </c>
      <c r="S3021" s="37">
        <v>7</v>
      </c>
      <c r="T3021" s="28">
        <f t="shared" si="704"/>
        <v>4284</v>
      </c>
      <c r="U3021" s="36">
        <f t="shared" si="703"/>
        <v>56916</v>
      </c>
      <c r="V3021" s="36"/>
      <c r="W3021" s="36"/>
      <c r="X3021" s="28"/>
      <c r="Y3021" s="28"/>
      <c r="Z3021" s="20"/>
    </row>
    <row r="3022" spans="1:26" s="29" customFormat="1" ht="90.75" customHeight="1" x14ac:dyDescent="0.25">
      <c r="A3022" s="20"/>
      <c r="B3022" s="20"/>
      <c r="C3022" s="20"/>
      <c r="D3022" s="33"/>
      <c r="E3022" s="33"/>
      <c r="F3022" s="112"/>
      <c r="G3022" s="51"/>
      <c r="H3022" s="36"/>
      <c r="I3022" s="40"/>
      <c r="J3022" s="28"/>
      <c r="K3022" s="37">
        <v>8</v>
      </c>
      <c r="L3022" s="31" t="s">
        <v>215</v>
      </c>
      <c r="M3022" s="32" t="s">
        <v>40</v>
      </c>
      <c r="N3022" s="33">
        <v>2</v>
      </c>
      <c r="O3022" s="82">
        <v>18</v>
      </c>
      <c r="P3022" s="86">
        <v>100</v>
      </c>
      <c r="Q3022" s="36">
        <v>6450</v>
      </c>
      <c r="R3022" s="36">
        <f t="shared" si="702"/>
        <v>116100</v>
      </c>
      <c r="S3022" s="37">
        <v>4</v>
      </c>
      <c r="T3022" s="28">
        <f>(R3022*4/100)</f>
        <v>4644</v>
      </c>
      <c r="U3022" s="36">
        <f t="shared" si="703"/>
        <v>111456</v>
      </c>
      <c r="V3022" s="36"/>
      <c r="W3022" s="36"/>
      <c r="X3022" s="28"/>
      <c r="Y3022" s="28"/>
      <c r="Z3022" s="20"/>
    </row>
    <row r="3023" spans="1:26" s="29" customFormat="1" ht="90.75" customHeight="1" x14ac:dyDescent="0.25">
      <c r="A3023" s="20"/>
      <c r="B3023" s="20"/>
      <c r="C3023" s="20"/>
      <c r="D3023" s="33"/>
      <c r="E3023" s="33"/>
      <c r="F3023" s="112"/>
      <c r="G3023" s="51"/>
      <c r="H3023" s="36"/>
      <c r="I3023" s="40"/>
      <c r="J3023" s="28"/>
      <c r="K3023" s="37">
        <v>9</v>
      </c>
      <c r="L3023" s="31" t="s">
        <v>31</v>
      </c>
      <c r="M3023" s="32"/>
      <c r="N3023" s="33">
        <v>2</v>
      </c>
      <c r="O3023" s="82">
        <v>13.5</v>
      </c>
      <c r="P3023" s="86">
        <v>100</v>
      </c>
      <c r="Q3023" s="36">
        <v>6450</v>
      </c>
      <c r="R3023" s="36">
        <f t="shared" si="702"/>
        <v>87075</v>
      </c>
      <c r="S3023" s="37">
        <v>4</v>
      </c>
      <c r="T3023" s="28">
        <f t="shared" ref="T3023:T3025" si="705">(R3023*4/100)</f>
        <v>3483</v>
      </c>
      <c r="U3023" s="36">
        <f t="shared" si="703"/>
        <v>83592</v>
      </c>
      <c r="V3023" s="36"/>
      <c r="W3023" s="36"/>
      <c r="X3023" s="28"/>
      <c r="Y3023" s="28"/>
      <c r="Z3023" s="20"/>
    </row>
    <row r="3024" spans="1:26" s="29" customFormat="1" ht="90.75" customHeight="1" x14ac:dyDescent="0.25">
      <c r="A3024" s="20"/>
      <c r="B3024" s="20"/>
      <c r="C3024" s="20"/>
      <c r="D3024" s="33"/>
      <c r="E3024" s="33"/>
      <c r="F3024" s="112"/>
      <c r="G3024" s="51"/>
      <c r="H3024" s="36"/>
      <c r="I3024" s="40"/>
      <c r="J3024" s="28"/>
      <c r="K3024" s="37">
        <v>10</v>
      </c>
      <c r="L3024" s="31" t="s">
        <v>215</v>
      </c>
      <c r="M3024" s="32" t="s">
        <v>40</v>
      </c>
      <c r="N3024" s="33">
        <v>2</v>
      </c>
      <c r="O3024" s="82">
        <v>18</v>
      </c>
      <c r="P3024" s="86">
        <v>100</v>
      </c>
      <c r="Q3024" s="36">
        <v>6450</v>
      </c>
      <c r="R3024" s="36">
        <f t="shared" si="702"/>
        <v>116100</v>
      </c>
      <c r="S3024" s="37">
        <v>4</v>
      </c>
      <c r="T3024" s="28">
        <f t="shared" si="705"/>
        <v>4644</v>
      </c>
      <c r="U3024" s="36">
        <f t="shared" si="703"/>
        <v>111456</v>
      </c>
      <c r="V3024" s="36"/>
      <c r="W3024" s="36"/>
      <c r="X3024" s="28"/>
      <c r="Y3024" s="28"/>
      <c r="Z3024" s="20"/>
    </row>
    <row r="3025" spans="1:26" s="29" customFormat="1" ht="90.75" customHeight="1" x14ac:dyDescent="0.25">
      <c r="A3025" s="20"/>
      <c r="B3025" s="20"/>
      <c r="C3025" s="20"/>
      <c r="D3025" s="33"/>
      <c r="E3025" s="33"/>
      <c r="F3025" s="112"/>
      <c r="G3025" s="51"/>
      <c r="H3025" s="36"/>
      <c r="I3025" s="40"/>
      <c r="J3025" s="28"/>
      <c r="K3025" s="37">
        <v>11</v>
      </c>
      <c r="L3025" s="31" t="s">
        <v>31</v>
      </c>
      <c r="M3025" s="32"/>
      <c r="N3025" s="33">
        <v>2</v>
      </c>
      <c r="O3025" s="82">
        <v>13.5</v>
      </c>
      <c r="P3025" s="86">
        <v>100</v>
      </c>
      <c r="Q3025" s="36">
        <v>2550</v>
      </c>
      <c r="R3025" s="36">
        <f t="shared" si="702"/>
        <v>34425</v>
      </c>
      <c r="S3025" s="37">
        <v>4</v>
      </c>
      <c r="T3025" s="28">
        <f t="shared" si="705"/>
        <v>1377</v>
      </c>
      <c r="U3025" s="36">
        <f t="shared" si="703"/>
        <v>33048</v>
      </c>
      <c r="V3025" s="36"/>
      <c r="W3025" s="36"/>
      <c r="X3025" s="28"/>
      <c r="Y3025" s="28"/>
      <c r="Z3025" s="20"/>
    </row>
    <row r="3026" spans="1:26" s="29" customFormat="1" ht="90.75" customHeight="1" x14ac:dyDescent="0.25">
      <c r="A3026" s="20"/>
      <c r="B3026" s="20"/>
      <c r="C3026" s="20"/>
      <c r="D3026" s="33">
        <v>3</v>
      </c>
      <c r="E3026" s="33">
        <v>0</v>
      </c>
      <c r="F3026" s="112">
        <v>0</v>
      </c>
      <c r="G3026" s="51"/>
      <c r="H3026" s="36"/>
      <c r="I3026" s="40"/>
      <c r="J3026" s="28"/>
      <c r="K3026" s="37"/>
      <c r="L3026" s="31"/>
      <c r="M3026" s="32"/>
      <c r="N3026" s="33"/>
      <c r="O3026" s="82"/>
      <c r="P3026" s="86"/>
      <c r="Q3026" s="36"/>
      <c r="R3026" s="36"/>
      <c r="S3026" s="37"/>
      <c r="T3026" s="28"/>
      <c r="U3026" s="36">
        <f>SUM(U3019:U3025)</f>
        <v>1068300</v>
      </c>
      <c r="V3026" s="36">
        <f>(J3018+U3026)</f>
        <v>1438300</v>
      </c>
      <c r="W3026" s="36">
        <f>(V3026*100/100)</f>
        <v>1438300</v>
      </c>
      <c r="X3026" s="28">
        <v>0</v>
      </c>
      <c r="Y3026" s="28">
        <f>(W3026-X3026)</f>
        <v>1438300</v>
      </c>
      <c r="Z3026" s="49">
        <v>2.0000000000000001E-4</v>
      </c>
    </row>
    <row r="3027" spans="1:26" s="29" customFormat="1" ht="90.75" customHeight="1" x14ac:dyDescent="0.25">
      <c r="A3027" s="20"/>
      <c r="B3027" s="20"/>
      <c r="C3027" s="20"/>
      <c r="D3027" s="33"/>
      <c r="E3027" s="33"/>
      <c r="F3027" s="112"/>
      <c r="G3027" s="51"/>
      <c r="H3027" s="36">
        <v>1200</v>
      </c>
      <c r="I3027" s="40">
        <v>925</v>
      </c>
      <c r="J3027" s="28">
        <f>(H3027*I3027)</f>
        <v>1110000</v>
      </c>
      <c r="K3027" s="37"/>
      <c r="L3027" s="31"/>
      <c r="M3027" s="32"/>
      <c r="N3027" s="33"/>
      <c r="O3027" s="82"/>
      <c r="P3027" s="86"/>
      <c r="Q3027" s="36"/>
      <c r="R3027" s="36"/>
      <c r="S3027" s="37"/>
      <c r="T3027" s="28"/>
      <c r="U3027" s="36"/>
      <c r="V3027" s="36"/>
      <c r="W3027" s="36"/>
      <c r="X3027" s="28"/>
      <c r="Y3027" s="28"/>
      <c r="Z3027" s="49"/>
    </row>
    <row r="3028" spans="1:26" s="29" customFormat="1" ht="90.75" customHeight="1" x14ac:dyDescent="0.25">
      <c r="A3028" s="20"/>
      <c r="B3028" s="20"/>
      <c r="C3028" s="20"/>
      <c r="D3028" s="33"/>
      <c r="E3028" s="33"/>
      <c r="F3028" s="112"/>
      <c r="G3028" s="51"/>
      <c r="H3028" s="36"/>
      <c r="I3028" s="40"/>
      <c r="J3028" s="28"/>
      <c r="K3028" s="37"/>
      <c r="L3028" s="31" t="s">
        <v>38</v>
      </c>
      <c r="M3028" s="32" t="s">
        <v>30</v>
      </c>
      <c r="N3028" s="33">
        <v>2</v>
      </c>
      <c r="O3028" s="82">
        <v>25</v>
      </c>
      <c r="P3028" s="86">
        <v>100</v>
      </c>
      <c r="Q3028" s="36">
        <v>6550</v>
      </c>
      <c r="R3028" s="36">
        <f>(O3028*Q3028)</f>
        <v>163750</v>
      </c>
      <c r="S3028" s="37">
        <v>3</v>
      </c>
      <c r="T3028" s="28">
        <f>(R3028*9/100)</f>
        <v>14737.5</v>
      </c>
      <c r="U3028" s="36">
        <f>(R3028-T3028)</f>
        <v>149012.5</v>
      </c>
      <c r="V3028" s="36"/>
      <c r="W3028" s="36"/>
      <c r="X3028" s="28"/>
      <c r="Y3028" s="28"/>
      <c r="Z3028" s="20"/>
    </row>
    <row r="3029" spans="1:26" s="29" customFormat="1" ht="90.75" customHeight="1" x14ac:dyDescent="0.25">
      <c r="A3029" s="20"/>
      <c r="B3029" s="20"/>
      <c r="C3029" s="20"/>
      <c r="D3029" s="33"/>
      <c r="E3029" s="33"/>
      <c r="F3029" s="112"/>
      <c r="G3029" s="51"/>
      <c r="H3029" s="36"/>
      <c r="I3029" s="40"/>
      <c r="J3029" s="28"/>
      <c r="K3029" s="37"/>
      <c r="L3029" s="31" t="s">
        <v>38</v>
      </c>
      <c r="M3029" s="32" t="s">
        <v>30</v>
      </c>
      <c r="N3029" s="33">
        <v>2</v>
      </c>
      <c r="O3029" s="82">
        <v>128</v>
      </c>
      <c r="P3029" s="86">
        <v>100</v>
      </c>
      <c r="Q3029" s="36">
        <v>6550</v>
      </c>
      <c r="R3029" s="36">
        <f>(O3029*Q3029)</f>
        <v>838400</v>
      </c>
      <c r="S3029" s="37">
        <v>3</v>
      </c>
      <c r="T3029" s="28">
        <f t="shared" ref="T3029:T3030" si="706">(R3029*9/100)</f>
        <v>75456</v>
      </c>
      <c r="U3029" s="36">
        <f>(R3029-T3029)</f>
        <v>762944</v>
      </c>
      <c r="V3029" s="36"/>
      <c r="W3029" s="36"/>
      <c r="X3029" s="28"/>
      <c r="Y3029" s="28"/>
      <c r="Z3029" s="20"/>
    </row>
    <row r="3030" spans="1:26" s="29" customFormat="1" ht="90.75" customHeight="1" x14ac:dyDescent="0.25">
      <c r="A3030" s="20"/>
      <c r="B3030" s="20"/>
      <c r="C3030" s="20"/>
      <c r="D3030" s="33"/>
      <c r="E3030" s="33"/>
      <c r="F3030" s="112"/>
      <c r="G3030" s="51"/>
      <c r="H3030" s="36"/>
      <c r="I3030" s="40"/>
      <c r="J3030" s="28"/>
      <c r="K3030" s="37"/>
      <c r="L3030" s="31" t="s">
        <v>17</v>
      </c>
      <c r="M3030" s="32" t="s">
        <v>30</v>
      </c>
      <c r="N3030" s="33">
        <v>2</v>
      </c>
      <c r="O3030" s="82">
        <v>8</v>
      </c>
      <c r="P3030" s="86">
        <v>100</v>
      </c>
      <c r="Q3030" s="36">
        <v>5900</v>
      </c>
      <c r="R3030" s="36">
        <f>(O3030*Q3030)</f>
        <v>47200</v>
      </c>
      <c r="S3030" s="37">
        <v>3</v>
      </c>
      <c r="T3030" s="28">
        <f t="shared" si="706"/>
        <v>4248</v>
      </c>
      <c r="U3030" s="36">
        <f>(R3030-T3030)</f>
        <v>42952</v>
      </c>
      <c r="V3030" s="36"/>
      <c r="W3030" s="36"/>
      <c r="X3030" s="28"/>
      <c r="Y3030" s="28"/>
      <c r="Z3030" s="20"/>
    </row>
    <row r="3031" spans="1:26" s="29" customFormat="1" ht="90.75" customHeight="1" x14ac:dyDescent="0.25">
      <c r="A3031" s="20"/>
      <c r="B3031" s="20"/>
      <c r="C3031" s="20"/>
      <c r="D3031" s="33"/>
      <c r="E3031" s="33"/>
      <c r="F3031" s="112"/>
      <c r="G3031" s="51"/>
      <c r="H3031" s="36"/>
      <c r="I3031" s="40"/>
      <c r="J3031" s="28"/>
      <c r="K3031" s="37"/>
      <c r="L3031" s="31"/>
      <c r="M3031" s="32"/>
      <c r="N3031" s="33"/>
      <c r="O3031" s="82"/>
      <c r="P3031" s="86"/>
      <c r="Q3031" s="36"/>
      <c r="R3031" s="36"/>
      <c r="S3031" s="37"/>
      <c r="T3031" s="28"/>
      <c r="U3031" s="36">
        <f>SUM(U3027:U3029)</f>
        <v>911956.5</v>
      </c>
      <c r="V3031" s="36">
        <f>(J3025+U3031)</f>
        <v>911956.5</v>
      </c>
      <c r="W3031" s="36">
        <f>(V3031*100/100)</f>
        <v>911956.5</v>
      </c>
      <c r="X3031" s="28">
        <v>0</v>
      </c>
      <c r="Y3031" s="28">
        <f>(W3031-X3031)</f>
        <v>911956.5</v>
      </c>
      <c r="Z3031" s="49">
        <v>2.0000000000000001E-4</v>
      </c>
    </row>
    <row r="3032" spans="1:26" s="29" customFormat="1" ht="90.75" customHeight="1" x14ac:dyDescent="0.25">
      <c r="A3032" s="20">
        <v>1502</v>
      </c>
      <c r="B3032" s="20" t="s">
        <v>0</v>
      </c>
      <c r="C3032" s="20">
        <v>11644</v>
      </c>
      <c r="D3032" s="21">
        <v>3</v>
      </c>
      <c r="E3032" s="21">
        <v>2</v>
      </c>
      <c r="F3032" s="22">
        <v>71</v>
      </c>
      <c r="G3032" s="23" t="s">
        <v>56</v>
      </c>
      <c r="H3032" s="36">
        <f t="shared" ref="H3032" si="707">(D3032*400)+(E3032*100)+F3032</f>
        <v>1471</v>
      </c>
      <c r="I3032" s="40" t="s">
        <v>120</v>
      </c>
      <c r="J3032" s="28">
        <f t="shared" ref="J3032:J3033" si="708">(H3032*I3032)</f>
        <v>1618100</v>
      </c>
      <c r="K3032" s="30"/>
      <c r="L3032" s="20"/>
      <c r="M3032" s="35"/>
      <c r="N3032" s="30"/>
      <c r="O3032" s="36"/>
      <c r="P3032" s="86"/>
      <c r="Q3032" s="40"/>
      <c r="R3032" s="84"/>
      <c r="S3032" s="84"/>
      <c r="T3032" s="28"/>
      <c r="U3032" s="84"/>
      <c r="V3032" s="36"/>
      <c r="W3032" s="36"/>
      <c r="X3032" s="28"/>
      <c r="Y3032" s="26"/>
      <c r="Z3032" s="53"/>
    </row>
    <row r="3033" spans="1:26" s="29" customFormat="1" ht="90.75" customHeight="1" x14ac:dyDescent="0.25">
      <c r="A3033" s="20"/>
      <c r="B3033" s="20"/>
      <c r="C3033" s="20"/>
      <c r="D3033" s="21"/>
      <c r="E3033" s="21"/>
      <c r="F3033" s="22"/>
      <c r="G3033" s="23"/>
      <c r="H3033" s="36">
        <v>979.64</v>
      </c>
      <c r="I3033" s="40" t="s">
        <v>120</v>
      </c>
      <c r="J3033" s="28">
        <f t="shared" si="708"/>
        <v>1077604</v>
      </c>
      <c r="K3033" s="41">
        <v>1</v>
      </c>
      <c r="L3033" s="31" t="s">
        <v>215</v>
      </c>
      <c r="M3033" s="43" t="s">
        <v>40</v>
      </c>
      <c r="N3033" s="30">
        <v>2</v>
      </c>
      <c r="O3033" s="48">
        <v>189</v>
      </c>
      <c r="P3033" s="46">
        <v>100</v>
      </c>
      <c r="Q3033" s="114">
        <v>6450</v>
      </c>
      <c r="R3033" s="48">
        <f>(O3033*Q3033)</f>
        <v>1219050</v>
      </c>
      <c r="S3033" s="41">
        <v>38</v>
      </c>
      <c r="T3033" s="45">
        <f>(R3033*93/100)</f>
        <v>1133716.5</v>
      </c>
      <c r="U3033" s="48">
        <f>(R3033-T3033)</f>
        <v>85333.5</v>
      </c>
      <c r="V3033" s="48"/>
      <c r="W3033" s="48"/>
      <c r="X3033" s="47"/>
      <c r="Y3033" s="48"/>
      <c r="Z3033" s="53"/>
    </row>
    <row r="3034" spans="1:26" s="29" customFormat="1" ht="90.75" customHeight="1" x14ac:dyDescent="0.25">
      <c r="A3034" s="20"/>
      <c r="B3034" s="20"/>
      <c r="C3034" s="20"/>
      <c r="D3034" s="21"/>
      <c r="E3034" s="21"/>
      <c r="F3034" s="22"/>
      <c r="G3034" s="23"/>
      <c r="H3034" s="36"/>
      <c r="I3034" s="44"/>
      <c r="J3034" s="65"/>
      <c r="K3034" s="41">
        <v>2</v>
      </c>
      <c r="L3034" s="31" t="s">
        <v>31</v>
      </c>
      <c r="M3034" s="43"/>
      <c r="N3034" s="30"/>
      <c r="O3034" s="48">
        <v>100</v>
      </c>
      <c r="P3034" s="46">
        <v>100</v>
      </c>
      <c r="Q3034" s="114">
        <v>2550</v>
      </c>
      <c r="R3034" s="48">
        <f t="shared" ref="R3034:R3045" si="709">(O3034*Q3034)</f>
        <v>255000</v>
      </c>
      <c r="S3034" s="41">
        <v>38</v>
      </c>
      <c r="T3034" s="45">
        <f>(R3034*93/100)</f>
        <v>237150</v>
      </c>
      <c r="U3034" s="48">
        <f t="shared" ref="U3034:U3045" si="710">(R3034-T3034)</f>
        <v>17850</v>
      </c>
      <c r="V3034" s="48"/>
      <c r="W3034" s="48"/>
      <c r="X3034" s="47"/>
      <c r="Y3034" s="48"/>
      <c r="Z3034" s="53"/>
    </row>
    <row r="3035" spans="1:26" s="29" customFormat="1" ht="90.75" customHeight="1" x14ac:dyDescent="0.25">
      <c r="A3035" s="20"/>
      <c r="B3035" s="20"/>
      <c r="C3035" s="20"/>
      <c r="D3035" s="21"/>
      <c r="E3035" s="21"/>
      <c r="F3035" s="22"/>
      <c r="G3035" s="23"/>
      <c r="H3035" s="36"/>
      <c r="I3035" s="44"/>
      <c r="J3035" s="65"/>
      <c r="K3035" s="41">
        <v>3</v>
      </c>
      <c r="L3035" s="31" t="s">
        <v>29</v>
      </c>
      <c r="M3035" s="43"/>
      <c r="N3035" s="30">
        <v>2</v>
      </c>
      <c r="O3035" s="48">
        <v>16</v>
      </c>
      <c r="P3035" s="46">
        <v>100</v>
      </c>
      <c r="Q3035" s="114">
        <v>5550</v>
      </c>
      <c r="R3035" s="48">
        <f t="shared" si="709"/>
        <v>88800</v>
      </c>
      <c r="S3035" s="41">
        <v>6</v>
      </c>
      <c r="T3035" s="45">
        <f t="shared" ref="T3035" si="711">(R3035*15/100)</f>
        <v>13320</v>
      </c>
      <c r="U3035" s="48">
        <f t="shared" si="710"/>
        <v>75480</v>
      </c>
      <c r="V3035" s="48"/>
      <c r="W3035" s="48"/>
      <c r="X3035" s="47"/>
      <c r="Y3035" s="48"/>
      <c r="Z3035" s="53"/>
    </row>
    <row r="3036" spans="1:26" s="29" customFormat="1" ht="90.75" customHeight="1" x14ac:dyDescent="0.25">
      <c r="A3036" s="20"/>
      <c r="B3036" s="20"/>
      <c r="C3036" s="20"/>
      <c r="D3036" s="21"/>
      <c r="E3036" s="21"/>
      <c r="F3036" s="22"/>
      <c r="G3036" s="23"/>
      <c r="H3036" s="36"/>
      <c r="I3036" s="44"/>
      <c r="J3036" s="65"/>
      <c r="K3036" s="41"/>
      <c r="L3036" s="31"/>
      <c r="M3036" s="43"/>
      <c r="N3036" s="30"/>
      <c r="O3036" s="48"/>
      <c r="P3036" s="46"/>
      <c r="Q3036" s="114"/>
      <c r="R3036" s="48"/>
      <c r="S3036" s="41"/>
      <c r="T3036" s="45"/>
      <c r="U3036" s="48">
        <f>(U3033+U3034+U3035)</f>
        <v>178663.5</v>
      </c>
      <c r="V3036" s="48">
        <f>(J3033+U3036)</f>
        <v>1256267.5</v>
      </c>
      <c r="W3036" s="48">
        <f>(V3036*100/100)</f>
        <v>1256267.5</v>
      </c>
      <c r="X3036" s="47">
        <v>50000000</v>
      </c>
      <c r="Y3036" s="48"/>
      <c r="Z3036" s="49"/>
    </row>
    <row r="3037" spans="1:26" s="29" customFormat="1" ht="90.75" customHeight="1" x14ac:dyDescent="0.25">
      <c r="A3037" s="20"/>
      <c r="B3037" s="20"/>
      <c r="C3037" s="20"/>
      <c r="D3037" s="21"/>
      <c r="E3037" s="21"/>
      <c r="F3037" s="22"/>
      <c r="G3037" s="23"/>
      <c r="H3037" s="36">
        <v>491.36</v>
      </c>
      <c r="I3037" s="40" t="s">
        <v>120</v>
      </c>
      <c r="J3037" s="28">
        <f t="shared" ref="J3037" si="712">(H3037*I3037)</f>
        <v>540496</v>
      </c>
      <c r="K3037" s="41">
        <v>3</v>
      </c>
      <c r="L3037" s="31" t="s">
        <v>215</v>
      </c>
      <c r="M3037" s="43" t="s">
        <v>40</v>
      </c>
      <c r="N3037" s="30">
        <v>2</v>
      </c>
      <c r="O3037" s="48">
        <v>217.6</v>
      </c>
      <c r="P3037" s="46">
        <v>100</v>
      </c>
      <c r="Q3037" s="114">
        <v>6450</v>
      </c>
      <c r="R3037" s="48">
        <f t="shared" si="709"/>
        <v>1403520</v>
      </c>
      <c r="S3037" s="41">
        <v>6</v>
      </c>
      <c r="T3037" s="45">
        <f>(R3037*20/100)</f>
        <v>280704</v>
      </c>
      <c r="U3037" s="48">
        <f t="shared" si="710"/>
        <v>1122816</v>
      </c>
      <c r="V3037" s="48"/>
      <c r="W3037" s="48"/>
      <c r="X3037" s="47"/>
      <c r="Y3037" s="48"/>
      <c r="Z3037" s="53"/>
    </row>
    <row r="3038" spans="1:26" s="29" customFormat="1" ht="90.75" customHeight="1" x14ac:dyDescent="0.25">
      <c r="A3038" s="20"/>
      <c r="B3038" s="20"/>
      <c r="C3038" s="20"/>
      <c r="D3038" s="21"/>
      <c r="E3038" s="21"/>
      <c r="F3038" s="22"/>
      <c r="G3038" s="23"/>
      <c r="H3038" s="36"/>
      <c r="I3038" s="40"/>
      <c r="J3038" s="28"/>
      <c r="K3038" s="41">
        <v>4</v>
      </c>
      <c r="L3038" s="31" t="s">
        <v>215</v>
      </c>
      <c r="M3038" s="43" t="s">
        <v>40</v>
      </c>
      <c r="N3038" s="30">
        <v>2</v>
      </c>
      <c r="O3038" s="48">
        <v>217.6</v>
      </c>
      <c r="P3038" s="46">
        <v>100</v>
      </c>
      <c r="Q3038" s="114">
        <v>6450</v>
      </c>
      <c r="R3038" s="48">
        <f t="shared" si="709"/>
        <v>1403520</v>
      </c>
      <c r="S3038" s="41">
        <v>6</v>
      </c>
      <c r="T3038" s="45">
        <f t="shared" ref="T3038:T3042" si="713">(R3038*20/100)</f>
        <v>280704</v>
      </c>
      <c r="U3038" s="48">
        <f t="shared" si="710"/>
        <v>1122816</v>
      </c>
      <c r="V3038" s="48"/>
      <c r="W3038" s="48"/>
      <c r="X3038" s="47"/>
      <c r="Y3038" s="48"/>
      <c r="Z3038" s="53"/>
    </row>
    <row r="3039" spans="1:26" s="29" customFormat="1" ht="90.75" customHeight="1" x14ac:dyDescent="0.25">
      <c r="A3039" s="20"/>
      <c r="B3039" s="20"/>
      <c r="C3039" s="20"/>
      <c r="D3039" s="21"/>
      <c r="E3039" s="21"/>
      <c r="F3039" s="22"/>
      <c r="G3039" s="23"/>
      <c r="H3039" s="36"/>
      <c r="I3039" s="40"/>
      <c r="J3039" s="28"/>
      <c r="K3039" s="41">
        <v>5</v>
      </c>
      <c r="L3039" s="31" t="s">
        <v>215</v>
      </c>
      <c r="M3039" s="43" t="s">
        <v>40</v>
      </c>
      <c r="N3039" s="30">
        <v>2</v>
      </c>
      <c r="O3039" s="48">
        <v>217.6</v>
      </c>
      <c r="P3039" s="46">
        <v>100</v>
      </c>
      <c r="Q3039" s="114">
        <v>6450</v>
      </c>
      <c r="R3039" s="48">
        <f t="shared" si="709"/>
        <v>1403520</v>
      </c>
      <c r="S3039" s="41">
        <v>6</v>
      </c>
      <c r="T3039" s="45">
        <f t="shared" si="713"/>
        <v>280704</v>
      </c>
      <c r="U3039" s="48">
        <f t="shared" si="710"/>
        <v>1122816</v>
      </c>
      <c r="V3039" s="48"/>
      <c r="W3039" s="48"/>
      <c r="X3039" s="47"/>
      <c r="Y3039" s="48"/>
      <c r="Z3039" s="53"/>
    </row>
    <row r="3040" spans="1:26" s="29" customFormat="1" ht="90.75" customHeight="1" x14ac:dyDescent="0.25">
      <c r="A3040" s="20"/>
      <c r="B3040" s="20"/>
      <c r="C3040" s="20"/>
      <c r="D3040" s="21"/>
      <c r="E3040" s="21"/>
      <c r="F3040" s="22"/>
      <c r="G3040" s="23"/>
      <c r="H3040" s="36"/>
      <c r="I3040" s="40"/>
      <c r="J3040" s="28"/>
      <c r="K3040" s="41">
        <v>6</v>
      </c>
      <c r="L3040" s="31" t="s">
        <v>215</v>
      </c>
      <c r="M3040" s="43" t="s">
        <v>40</v>
      </c>
      <c r="N3040" s="30">
        <v>2</v>
      </c>
      <c r="O3040" s="48">
        <v>244.8</v>
      </c>
      <c r="P3040" s="46">
        <v>100</v>
      </c>
      <c r="Q3040" s="114">
        <v>6450</v>
      </c>
      <c r="R3040" s="48">
        <f t="shared" si="709"/>
        <v>1578960</v>
      </c>
      <c r="S3040" s="41">
        <v>6</v>
      </c>
      <c r="T3040" s="45">
        <f t="shared" si="713"/>
        <v>315792</v>
      </c>
      <c r="U3040" s="48">
        <f t="shared" si="710"/>
        <v>1263168</v>
      </c>
      <c r="V3040" s="48"/>
      <c r="W3040" s="48"/>
      <c r="X3040" s="47"/>
      <c r="Y3040" s="48"/>
      <c r="Z3040" s="53"/>
    </row>
    <row r="3041" spans="1:26" s="29" customFormat="1" ht="90.75" customHeight="1" x14ac:dyDescent="0.25">
      <c r="A3041" s="20"/>
      <c r="B3041" s="20"/>
      <c r="C3041" s="20"/>
      <c r="D3041" s="21"/>
      <c r="E3041" s="21"/>
      <c r="F3041" s="22"/>
      <c r="G3041" s="23"/>
      <c r="H3041" s="36"/>
      <c r="I3041" s="40"/>
      <c r="J3041" s="28"/>
      <c r="K3041" s="41">
        <v>7</v>
      </c>
      <c r="L3041" s="31" t="s">
        <v>215</v>
      </c>
      <c r="M3041" s="43" t="s">
        <v>40</v>
      </c>
      <c r="N3041" s="30">
        <v>2</v>
      </c>
      <c r="O3041" s="48">
        <v>244.8</v>
      </c>
      <c r="P3041" s="46">
        <v>100</v>
      </c>
      <c r="Q3041" s="114">
        <v>6450</v>
      </c>
      <c r="R3041" s="48">
        <f t="shared" si="709"/>
        <v>1578960</v>
      </c>
      <c r="S3041" s="41">
        <v>6</v>
      </c>
      <c r="T3041" s="45">
        <f t="shared" si="713"/>
        <v>315792</v>
      </c>
      <c r="U3041" s="48">
        <f t="shared" si="710"/>
        <v>1263168</v>
      </c>
      <c r="V3041" s="48"/>
      <c r="W3041" s="48"/>
      <c r="X3041" s="47"/>
      <c r="Y3041" s="48"/>
      <c r="Z3041" s="53"/>
    </row>
    <row r="3042" spans="1:26" s="29" customFormat="1" ht="90.75" customHeight="1" x14ac:dyDescent="0.25">
      <c r="A3042" s="20"/>
      <c r="B3042" s="20"/>
      <c r="C3042" s="20"/>
      <c r="D3042" s="21"/>
      <c r="E3042" s="21"/>
      <c r="F3042" s="22"/>
      <c r="G3042" s="23"/>
      <c r="H3042" s="36"/>
      <c r="I3042" s="40"/>
      <c r="J3042" s="28"/>
      <c r="K3042" s="41">
        <v>8</v>
      </c>
      <c r="L3042" s="31" t="s">
        <v>215</v>
      </c>
      <c r="M3042" s="43" t="s">
        <v>40</v>
      </c>
      <c r="N3042" s="30">
        <v>2</v>
      </c>
      <c r="O3042" s="48">
        <v>244.8</v>
      </c>
      <c r="P3042" s="46">
        <v>100</v>
      </c>
      <c r="Q3042" s="114">
        <v>6450</v>
      </c>
      <c r="R3042" s="48">
        <f t="shared" si="709"/>
        <v>1578960</v>
      </c>
      <c r="S3042" s="41">
        <v>6</v>
      </c>
      <c r="T3042" s="45">
        <f t="shared" si="713"/>
        <v>315792</v>
      </c>
      <c r="U3042" s="48">
        <f t="shared" si="710"/>
        <v>1263168</v>
      </c>
      <c r="V3042" s="48"/>
      <c r="W3042" s="48"/>
      <c r="X3042" s="47"/>
      <c r="Y3042" s="48"/>
      <c r="Z3042" s="53"/>
    </row>
    <row r="3043" spans="1:26" s="29" customFormat="1" ht="90.75" customHeight="1" x14ac:dyDescent="0.25">
      <c r="A3043" s="20"/>
      <c r="B3043" s="20"/>
      <c r="C3043" s="20"/>
      <c r="D3043" s="21"/>
      <c r="E3043" s="21"/>
      <c r="F3043" s="22"/>
      <c r="G3043" s="23"/>
      <c r="H3043" s="36"/>
      <c r="I3043" s="40"/>
      <c r="J3043" s="28"/>
      <c r="K3043" s="41">
        <v>10</v>
      </c>
      <c r="L3043" s="31" t="s">
        <v>43</v>
      </c>
      <c r="M3043" s="43" t="s">
        <v>13</v>
      </c>
      <c r="N3043" s="30">
        <v>2</v>
      </c>
      <c r="O3043" s="48">
        <v>432</v>
      </c>
      <c r="P3043" s="46">
        <v>100</v>
      </c>
      <c r="Q3043" s="114">
        <v>7700</v>
      </c>
      <c r="R3043" s="48">
        <f t="shared" si="709"/>
        <v>3326400</v>
      </c>
      <c r="S3043" s="41">
        <v>4</v>
      </c>
      <c r="T3043" s="45">
        <f>(R3043*4/100)</f>
        <v>133056</v>
      </c>
      <c r="U3043" s="48">
        <f t="shared" si="710"/>
        <v>3193344</v>
      </c>
      <c r="V3043" s="48"/>
      <c r="W3043" s="48"/>
      <c r="X3043" s="47"/>
      <c r="Y3043" s="48"/>
      <c r="Z3043" s="53"/>
    </row>
    <row r="3044" spans="1:26" s="29" customFormat="1" ht="90.75" customHeight="1" x14ac:dyDescent="0.25">
      <c r="A3044" s="20"/>
      <c r="B3044" s="20"/>
      <c r="C3044" s="20"/>
      <c r="D3044" s="21"/>
      <c r="E3044" s="21"/>
      <c r="F3044" s="22"/>
      <c r="G3044" s="23"/>
      <c r="H3044" s="36"/>
      <c r="I3044" s="40"/>
      <c r="J3044" s="28"/>
      <c r="K3044" s="41">
        <v>11</v>
      </c>
      <c r="L3044" s="31" t="s">
        <v>31</v>
      </c>
      <c r="M3044" s="43"/>
      <c r="N3044" s="30">
        <v>2</v>
      </c>
      <c r="O3044" s="48">
        <v>120</v>
      </c>
      <c r="P3044" s="46">
        <v>100</v>
      </c>
      <c r="Q3044" s="114">
        <v>2550</v>
      </c>
      <c r="R3044" s="48">
        <f t="shared" si="709"/>
        <v>306000</v>
      </c>
      <c r="S3044" s="41">
        <v>4</v>
      </c>
      <c r="T3044" s="45">
        <f t="shared" ref="T3044:T3045" si="714">(R3044*4/100)</f>
        <v>12240</v>
      </c>
      <c r="U3044" s="48">
        <f t="shared" si="710"/>
        <v>293760</v>
      </c>
      <c r="V3044" s="48"/>
      <c r="W3044" s="48"/>
      <c r="X3044" s="47"/>
      <c r="Y3044" s="48"/>
      <c r="Z3044" s="53"/>
    </row>
    <row r="3045" spans="1:26" s="29" customFormat="1" ht="90.75" customHeight="1" x14ac:dyDescent="0.25">
      <c r="A3045" s="20"/>
      <c r="B3045" s="20"/>
      <c r="C3045" s="20"/>
      <c r="D3045" s="21"/>
      <c r="E3045" s="21"/>
      <c r="F3045" s="22"/>
      <c r="G3045" s="23"/>
      <c r="H3045" s="36"/>
      <c r="I3045" s="40"/>
      <c r="J3045" s="28"/>
      <c r="K3045" s="41">
        <v>12</v>
      </c>
      <c r="L3045" s="31" t="s">
        <v>31</v>
      </c>
      <c r="M3045" s="43"/>
      <c r="N3045" s="30">
        <v>2</v>
      </c>
      <c r="O3045" s="48">
        <v>26.25</v>
      </c>
      <c r="P3045" s="46">
        <v>100</v>
      </c>
      <c r="Q3045" s="114">
        <v>2550</v>
      </c>
      <c r="R3045" s="48">
        <f t="shared" si="709"/>
        <v>66937.5</v>
      </c>
      <c r="S3045" s="41">
        <v>4</v>
      </c>
      <c r="T3045" s="45">
        <f t="shared" si="714"/>
        <v>2677.5</v>
      </c>
      <c r="U3045" s="48">
        <f t="shared" si="710"/>
        <v>64260</v>
      </c>
      <c r="V3045" s="48"/>
      <c r="W3045" s="48"/>
      <c r="X3045" s="47"/>
      <c r="Y3045" s="48"/>
      <c r="Z3045" s="53"/>
    </row>
    <row r="3046" spans="1:26" s="29" customFormat="1" ht="90.75" customHeight="1" x14ac:dyDescent="0.25">
      <c r="A3046" s="20"/>
      <c r="B3046" s="20"/>
      <c r="C3046" s="20"/>
      <c r="D3046" s="21"/>
      <c r="E3046" s="21"/>
      <c r="F3046" s="22"/>
      <c r="G3046" s="23"/>
      <c r="H3046" s="36"/>
      <c r="I3046" s="40"/>
      <c r="J3046" s="28"/>
      <c r="K3046" s="41"/>
      <c r="L3046" s="31"/>
      <c r="M3046" s="43"/>
      <c r="N3046" s="30"/>
      <c r="O3046" s="48"/>
      <c r="P3046" s="46"/>
      <c r="Q3046" s="114"/>
      <c r="R3046" s="48"/>
      <c r="S3046" s="41"/>
      <c r="T3046" s="45"/>
      <c r="U3046" s="48">
        <f>SUM(U3037:U3045)</f>
        <v>10709316</v>
      </c>
      <c r="V3046" s="48">
        <f>(J3037+U3046)</f>
        <v>11249812</v>
      </c>
      <c r="W3046" s="48">
        <f>(V3046*100/100)</f>
        <v>11249812</v>
      </c>
      <c r="X3046" s="47">
        <v>0</v>
      </c>
      <c r="Y3046" s="48">
        <f>(W3046-X3046)</f>
        <v>11249812</v>
      </c>
      <c r="Z3046" s="49">
        <v>2.0000000000000001E-4</v>
      </c>
    </row>
    <row r="3047" spans="1:26" s="29" customFormat="1" ht="90.75" customHeight="1" x14ac:dyDescent="0.25">
      <c r="A3047" s="20">
        <v>1503</v>
      </c>
      <c r="B3047" s="20" t="s">
        <v>0</v>
      </c>
      <c r="C3047" s="20">
        <v>38379</v>
      </c>
      <c r="D3047" s="21">
        <v>1</v>
      </c>
      <c r="E3047" s="21">
        <v>3</v>
      </c>
      <c r="F3047" s="22">
        <v>64</v>
      </c>
      <c r="G3047" s="23" t="s">
        <v>211</v>
      </c>
      <c r="H3047" s="36">
        <f t="shared" ref="H3047" si="715">(D3047*400)+(E3047*100)+F3047</f>
        <v>764</v>
      </c>
      <c r="I3047" s="25" t="s">
        <v>120</v>
      </c>
      <c r="J3047" s="28">
        <f t="shared" ref="J3047:J3048" si="716">(H3047*I3047)</f>
        <v>840400</v>
      </c>
      <c r="K3047" s="20"/>
      <c r="L3047" s="20"/>
      <c r="M3047" s="20"/>
      <c r="N3047" s="20"/>
      <c r="O3047" s="27"/>
      <c r="P3047" s="27"/>
      <c r="Q3047" s="64"/>
      <c r="R3047" s="27"/>
      <c r="S3047" s="20"/>
      <c r="T3047" s="27"/>
      <c r="U3047" s="20"/>
      <c r="V3047" s="20"/>
      <c r="W3047" s="26"/>
      <c r="X3047" s="27"/>
      <c r="Y3047" s="20"/>
      <c r="Z3047" s="20"/>
    </row>
    <row r="3048" spans="1:26" s="29" customFormat="1" ht="90.75" customHeight="1" x14ac:dyDescent="0.25">
      <c r="A3048" s="20"/>
      <c r="B3048" s="20"/>
      <c r="C3048" s="20"/>
      <c r="D3048" s="21"/>
      <c r="E3048" s="21"/>
      <c r="F3048" s="22"/>
      <c r="G3048" s="23"/>
      <c r="H3048" s="36">
        <v>686.5</v>
      </c>
      <c r="I3048" s="40">
        <v>1100</v>
      </c>
      <c r="J3048" s="28">
        <f t="shared" si="716"/>
        <v>755150</v>
      </c>
      <c r="K3048" s="37"/>
      <c r="L3048" s="31"/>
      <c r="M3048" s="31"/>
      <c r="N3048" s="41"/>
      <c r="O3048" s="42"/>
      <c r="P3048" s="86"/>
      <c r="Q3048" s="36"/>
      <c r="R3048" s="36"/>
      <c r="S3048" s="37"/>
      <c r="T3048" s="28"/>
      <c r="U3048" s="36"/>
      <c r="V3048" s="36"/>
      <c r="W3048" s="36"/>
      <c r="X3048" s="28"/>
      <c r="Y3048" s="28"/>
      <c r="Z3048" s="20"/>
    </row>
    <row r="3049" spans="1:26" s="29" customFormat="1" ht="90.75" customHeight="1" x14ac:dyDescent="0.25">
      <c r="A3049" s="20"/>
      <c r="B3049" s="20"/>
      <c r="C3049" s="20"/>
      <c r="D3049" s="21"/>
      <c r="E3049" s="21"/>
      <c r="F3049" s="22"/>
      <c r="G3049" s="23"/>
      <c r="H3049" s="36"/>
      <c r="I3049" s="40"/>
      <c r="J3049" s="28"/>
      <c r="K3049" s="37">
        <v>1</v>
      </c>
      <c r="L3049" s="31" t="s">
        <v>215</v>
      </c>
      <c r="M3049" s="31" t="s">
        <v>13</v>
      </c>
      <c r="N3049" s="41">
        <v>2</v>
      </c>
      <c r="O3049" s="43">
        <v>117</v>
      </c>
      <c r="P3049" s="46">
        <v>100</v>
      </c>
      <c r="Q3049" s="48">
        <v>6450</v>
      </c>
      <c r="R3049" s="36">
        <f t="shared" ref="R3049:R3056" si="717">(O3049*Q3049)</f>
        <v>754650</v>
      </c>
      <c r="S3049" s="31">
        <v>22</v>
      </c>
      <c r="T3049" s="28">
        <f>(R3049*34/100)</f>
        <v>256581</v>
      </c>
      <c r="U3049" s="36">
        <f t="shared" ref="U3049:U3056" si="718">(R3049-T3049)</f>
        <v>498069</v>
      </c>
      <c r="V3049" s="36"/>
      <c r="W3049" s="36"/>
      <c r="X3049" s="28"/>
      <c r="Y3049" s="28"/>
      <c r="Z3049" s="20"/>
    </row>
    <row r="3050" spans="1:26" s="29" customFormat="1" ht="90.75" customHeight="1" x14ac:dyDescent="0.25">
      <c r="A3050" s="20"/>
      <c r="B3050" s="20"/>
      <c r="C3050" s="20"/>
      <c r="D3050" s="21"/>
      <c r="E3050" s="21"/>
      <c r="F3050" s="22"/>
      <c r="G3050" s="23"/>
      <c r="H3050" s="36"/>
      <c r="I3050" s="40"/>
      <c r="J3050" s="28"/>
      <c r="K3050" s="37">
        <v>2</v>
      </c>
      <c r="L3050" s="31" t="s">
        <v>31</v>
      </c>
      <c r="M3050" s="31"/>
      <c r="N3050" s="41">
        <v>2</v>
      </c>
      <c r="O3050" s="46">
        <v>48</v>
      </c>
      <c r="P3050" s="46">
        <v>100</v>
      </c>
      <c r="Q3050" s="48">
        <v>2550</v>
      </c>
      <c r="R3050" s="36">
        <f t="shared" si="717"/>
        <v>122400</v>
      </c>
      <c r="S3050" s="31">
        <v>22</v>
      </c>
      <c r="T3050" s="28">
        <f t="shared" ref="T3050:T3051" si="719">(R3050*34/100)</f>
        <v>41616</v>
      </c>
      <c r="U3050" s="36">
        <f t="shared" si="718"/>
        <v>80784</v>
      </c>
      <c r="V3050" s="36"/>
      <c r="W3050" s="36"/>
      <c r="X3050" s="28"/>
      <c r="Y3050" s="28"/>
      <c r="Z3050" s="20"/>
    </row>
    <row r="3051" spans="1:26" s="29" customFormat="1" ht="90.75" customHeight="1" x14ac:dyDescent="0.25">
      <c r="A3051" s="20"/>
      <c r="B3051" s="20"/>
      <c r="C3051" s="20"/>
      <c r="D3051" s="21"/>
      <c r="E3051" s="21"/>
      <c r="F3051" s="22"/>
      <c r="G3051" s="23"/>
      <c r="H3051" s="36"/>
      <c r="I3051" s="40"/>
      <c r="J3051" s="28"/>
      <c r="K3051" s="37">
        <v>3</v>
      </c>
      <c r="L3051" s="31" t="s">
        <v>215</v>
      </c>
      <c r="M3051" s="31"/>
      <c r="N3051" s="41">
        <v>3</v>
      </c>
      <c r="O3051" s="46">
        <v>80</v>
      </c>
      <c r="P3051" s="46">
        <v>100</v>
      </c>
      <c r="Q3051" s="48">
        <v>6450</v>
      </c>
      <c r="R3051" s="36">
        <f t="shared" si="717"/>
        <v>516000</v>
      </c>
      <c r="S3051" s="31">
        <v>22</v>
      </c>
      <c r="T3051" s="28">
        <f t="shared" si="719"/>
        <v>175440</v>
      </c>
      <c r="U3051" s="36">
        <f t="shared" si="718"/>
        <v>340560</v>
      </c>
      <c r="V3051" s="36"/>
      <c r="W3051" s="36"/>
      <c r="X3051" s="28"/>
      <c r="Y3051" s="28"/>
      <c r="Z3051" s="20"/>
    </row>
    <row r="3052" spans="1:26" s="29" customFormat="1" ht="90.75" customHeight="1" x14ac:dyDescent="0.25">
      <c r="A3052" s="20"/>
      <c r="B3052" s="20"/>
      <c r="C3052" s="20"/>
      <c r="D3052" s="21"/>
      <c r="E3052" s="21"/>
      <c r="F3052" s="22"/>
      <c r="G3052" s="23"/>
      <c r="H3052" s="36"/>
      <c r="I3052" s="40"/>
      <c r="J3052" s="28"/>
      <c r="K3052" s="37"/>
      <c r="L3052" s="31"/>
      <c r="M3052" s="31"/>
      <c r="N3052" s="41"/>
      <c r="O3052" s="46"/>
      <c r="P3052" s="46"/>
      <c r="Q3052" s="48"/>
      <c r="R3052" s="36"/>
      <c r="S3052" s="31"/>
      <c r="T3052" s="28"/>
      <c r="U3052" s="36">
        <f>(U3049+U3050+U3051)</f>
        <v>919413</v>
      </c>
      <c r="V3052" s="36">
        <f>(J3048+U3052)</f>
        <v>1674563</v>
      </c>
      <c r="W3052" s="36">
        <f t="shared" ref="W3052:W3056" si="720">(V3052*100/100)</f>
        <v>1674563</v>
      </c>
      <c r="X3052" s="28">
        <v>10000000</v>
      </c>
      <c r="Y3052" s="28"/>
      <c r="Z3052" s="49"/>
    </row>
    <row r="3053" spans="1:26" s="29" customFormat="1" ht="90.75" customHeight="1" x14ac:dyDescent="0.25">
      <c r="A3053" s="20"/>
      <c r="B3053" s="20"/>
      <c r="C3053" s="20"/>
      <c r="D3053" s="21"/>
      <c r="E3053" s="21"/>
      <c r="F3053" s="22"/>
      <c r="G3053" s="23"/>
      <c r="H3053" s="36">
        <f>(O3053*0.25)</f>
        <v>9</v>
      </c>
      <c r="I3053" s="40">
        <v>1100</v>
      </c>
      <c r="J3053" s="28">
        <f t="shared" ref="J3053:J3056" si="721">(H3053*I3053)</f>
        <v>9900</v>
      </c>
      <c r="K3053" s="37">
        <v>4</v>
      </c>
      <c r="L3053" s="31" t="s">
        <v>215</v>
      </c>
      <c r="M3053" s="31"/>
      <c r="N3053" s="41">
        <v>2</v>
      </c>
      <c r="O3053" s="46">
        <v>36</v>
      </c>
      <c r="P3053" s="46">
        <v>100</v>
      </c>
      <c r="Q3053" s="48">
        <v>6450</v>
      </c>
      <c r="R3053" s="36">
        <f t="shared" si="717"/>
        <v>232200</v>
      </c>
      <c r="S3053" s="31">
        <v>22</v>
      </c>
      <c r="T3053" s="28">
        <f t="shared" ref="T3053" si="722">(R3053*34/100)</f>
        <v>78948</v>
      </c>
      <c r="U3053" s="36">
        <f t="shared" si="718"/>
        <v>153252</v>
      </c>
      <c r="V3053" s="36">
        <f t="shared" ref="V3053:V3056" si="723">(J3053+U3053)</f>
        <v>163152</v>
      </c>
      <c r="W3053" s="36">
        <f t="shared" si="720"/>
        <v>163152</v>
      </c>
      <c r="X3053" s="28">
        <v>0</v>
      </c>
      <c r="Y3053" s="28">
        <f>(W3053-X3053)</f>
        <v>163152</v>
      </c>
      <c r="Z3053" s="49">
        <v>2.0000000000000001E-4</v>
      </c>
    </row>
    <row r="3054" spans="1:26" s="29" customFormat="1" ht="90.75" customHeight="1" x14ac:dyDescent="0.25">
      <c r="A3054" s="20"/>
      <c r="B3054" s="20"/>
      <c r="C3054" s="20"/>
      <c r="D3054" s="21"/>
      <c r="E3054" s="21"/>
      <c r="F3054" s="22"/>
      <c r="G3054" s="23"/>
      <c r="H3054" s="36">
        <f>(O3054*0.25)</f>
        <v>22.5</v>
      </c>
      <c r="I3054" s="40">
        <v>1100</v>
      </c>
      <c r="J3054" s="28">
        <f t="shared" si="721"/>
        <v>24750</v>
      </c>
      <c r="K3054" s="37">
        <v>5</v>
      </c>
      <c r="L3054" s="31" t="s">
        <v>43</v>
      </c>
      <c r="M3054" s="31"/>
      <c r="N3054" s="41">
        <v>2</v>
      </c>
      <c r="O3054" s="46">
        <v>90</v>
      </c>
      <c r="P3054" s="46">
        <v>100</v>
      </c>
      <c r="Q3054" s="48">
        <v>7700</v>
      </c>
      <c r="R3054" s="36">
        <f t="shared" si="717"/>
        <v>693000</v>
      </c>
      <c r="S3054" s="31">
        <v>5</v>
      </c>
      <c r="T3054" s="28">
        <f>(R3054*5/100)</f>
        <v>34650</v>
      </c>
      <c r="U3054" s="36">
        <f t="shared" si="718"/>
        <v>658350</v>
      </c>
      <c r="V3054" s="36">
        <f t="shared" si="723"/>
        <v>683100</v>
      </c>
      <c r="W3054" s="36">
        <f t="shared" si="720"/>
        <v>683100</v>
      </c>
      <c r="X3054" s="28">
        <v>0</v>
      </c>
      <c r="Y3054" s="28">
        <f>(W3054-X3054)</f>
        <v>683100</v>
      </c>
      <c r="Z3054" s="49">
        <v>2.0000000000000001E-4</v>
      </c>
    </row>
    <row r="3055" spans="1:26" s="29" customFormat="1" ht="90.75" customHeight="1" x14ac:dyDescent="0.25">
      <c r="A3055" s="20"/>
      <c r="B3055" s="20"/>
      <c r="C3055" s="20"/>
      <c r="D3055" s="21"/>
      <c r="E3055" s="21"/>
      <c r="F3055" s="22"/>
      <c r="G3055" s="23"/>
      <c r="H3055" s="36">
        <f>(O3055*0.25)</f>
        <v>30</v>
      </c>
      <c r="I3055" s="40">
        <v>1100</v>
      </c>
      <c r="J3055" s="28">
        <f t="shared" si="721"/>
        <v>33000</v>
      </c>
      <c r="K3055" s="37">
        <v>6</v>
      </c>
      <c r="L3055" s="31" t="s">
        <v>43</v>
      </c>
      <c r="M3055" s="31"/>
      <c r="N3055" s="41">
        <v>2</v>
      </c>
      <c r="O3055" s="46">
        <v>120</v>
      </c>
      <c r="P3055" s="46">
        <v>100</v>
      </c>
      <c r="Q3055" s="48">
        <v>7700</v>
      </c>
      <c r="R3055" s="36">
        <f t="shared" si="717"/>
        <v>924000</v>
      </c>
      <c r="S3055" s="31">
        <v>5</v>
      </c>
      <c r="T3055" s="28">
        <f t="shared" ref="T3055:T3056" si="724">(R3055*5/100)</f>
        <v>46200</v>
      </c>
      <c r="U3055" s="36">
        <f t="shared" si="718"/>
        <v>877800</v>
      </c>
      <c r="V3055" s="36">
        <f t="shared" si="723"/>
        <v>910800</v>
      </c>
      <c r="W3055" s="36">
        <f t="shared" si="720"/>
        <v>910800</v>
      </c>
      <c r="X3055" s="28">
        <v>0</v>
      </c>
      <c r="Y3055" s="28">
        <f>(W3055-X3055)</f>
        <v>910800</v>
      </c>
      <c r="Z3055" s="49">
        <v>2.0000000000000001E-4</v>
      </c>
    </row>
    <row r="3056" spans="1:26" s="29" customFormat="1" ht="90.75" customHeight="1" x14ac:dyDescent="0.25">
      <c r="A3056" s="20"/>
      <c r="B3056" s="20"/>
      <c r="C3056" s="20"/>
      <c r="D3056" s="21"/>
      <c r="E3056" s="21"/>
      <c r="F3056" s="22"/>
      <c r="G3056" s="23"/>
      <c r="H3056" s="36">
        <f>(O3056*0.25)</f>
        <v>16</v>
      </c>
      <c r="I3056" s="40">
        <v>1100</v>
      </c>
      <c r="J3056" s="28">
        <f t="shared" si="721"/>
        <v>17600</v>
      </c>
      <c r="K3056" s="37">
        <v>7</v>
      </c>
      <c r="L3056" s="31" t="s">
        <v>43</v>
      </c>
      <c r="M3056" s="31"/>
      <c r="N3056" s="41">
        <v>2</v>
      </c>
      <c r="O3056" s="46">
        <v>64</v>
      </c>
      <c r="P3056" s="46">
        <v>100</v>
      </c>
      <c r="Q3056" s="48">
        <v>7700</v>
      </c>
      <c r="R3056" s="36">
        <f t="shared" si="717"/>
        <v>492800</v>
      </c>
      <c r="S3056" s="31">
        <v>5</v>
      </c>
      <c r="T3056" s="28">
        <f t="shared" si="724"/>
        <v>24640</v>
      </c>
      <c r="U3056" s="36">
        <f t="shared" si="718"/>
        <v>468160</v>
      </c>
      <c r="V3056" s="36">
        <f t="shared" si="723"/>
        <v>485760</v>
      </c>
      <c r="W3056" s="36">
        <f t="shared" si="720"/>
        <v>485760</v>
      </c>
      <c r="X3056" s="28">
        <v>0</v>
      </c>
      <c r="Y3056" s="28">
        <f>(W3056-X3056)</f>
        <v>485760</v>
      </c>
      <c r="Z3056" s="49">
        <v>2.0000000000000001E-4</v>
      </c>
    </row>
    <row r="3057" spans="1:26" s="29" customFormat="1" ht="90.75" customHeight="1" x14ac:dyDescent="0.25">
      <c r="A3057" s="20">
        <v>1504</v>
      </c>
      <c r="B3057" s="20" t="s">
        <v>0</v>
      </c>
      <c r="C3057" s="20">
        <v>44458</v>
      </c>
      <c r="D3057" s="21">
        <v>1</v>
      </c>
      <c r="E3057" s="21">
        <v>2</v>
      </c>
      <c r="F3057" s="22">
        <v>0</v>
      </c>
      <c r="G3057" s="23"/>
      <c r="H3057" s="36">
        <f>(D3057*400)+(E3057*100)+F3057</f>
        <v>600</v>
      </c>
      <c r="I3057" s="40" t="s">
        <v>78</v>
      </c>
      <c r="J3057" s="65">
        <f>(H3057*I3057)</f>
        <v>525000</v>
      </c>
      <c r="K3057" s="37">
        <v>1</v>
      </c>
      <c r="L3057" s="20" t="s">
        <v>43</v>
      </c>
      <c r="M3057" s="20" t="s">
        <v>13</v>
      </c>
      <c r="N3057" s="21">
        <v>3</v>
      </c>
      <c r="O3057" s="63">
        <v>360</v>
      </c>
      <c r="P3057" s="35">
        <v>100</v>
      </c>
      <c r="Q3057" s="77">
        <v>7700</v>
      </c>
      <c r="R3057" s="77">
        <f>(O3057*Q3057)</f>
        <v>2772000</v>
      </c>
      <c r="S3057" s="37">
        <v>22</v>
      </c>
      <c r="T3057" s="28">
        <f>(R3057*34/100)</f>
        <v>942480</v>
      </c>
      <c r="U3057" s="77">
        <f>(R3057-T3057)</f>
        <v>1829520</v>
      </c>
      <c r="V3057" s="77">
        <f t="shared" ref="V3057" si="725">(J3057+U3057)</f>
        <v>2354520</v>
      </c>
      <c r="W3057" s="77">
        <f t="shared" ref="W3057" si="726">(V3057*100/100)</f>
        <v>2354520</v>
      </c>
      <c r="X3057" s="28">
        <v>0</v>
      </c>
      <c r="Y3057" s="28">
        <f t="shared" ref="Y3057" si="727">(W3057-X3057)</f>
        <v>2354520</v>
      </c>
      <c r="Z3057" s="49">
        <v>2.0000000000000001E-4</v>
      </c>
    </row>
    <row r="3058" spans="1:26" s="29" customFormat="1" ht="90.75" customHeight="1" x14ac:dyDescent="0.25">
      <c r="A3058" s="20">
        <v>1505</v>
      </c>
      <c r="B3058" s="20" t="s">
        <v>0</v>
      </c>
      <c r="C3058" s="20">
        <v>35737</v>
      </c>
      <c r="D3058" s="21">
        <v>1</v>
      </c>
      <c r="E3058" s="21">
        <v>2</v>
      </c>
      <c r="F3058" s="22">
        <v>7</v>
      </c>
      <c r="G3058" s="23"/>
      <c r="H3058" s="36">
        <f>(D3058*400)+(E3058*100)+F3058</f>
        <v>607</v>
      </c>
      <c r="I3058" s="25" t="s">
        <v>23</v>
      </c>
      <c r="J3058" s="65">
        <f>(H3058*I3058)</f>
        <v>607000</v>
      </c>
      <c r="K3058" s="20"/>
      <c r="L3058" s="20" t="s">
        <v>2</v>
      </c>
      <c r="M3058" s="20"/>
      <c r="N3058" s="20"/>
      <c r="O3058" s="24"/>
      <c r="P3058" s="24"/>
      <c r="Q3058" s="25"/>
      <c r="R3058" s="24"/>
      <c r="S3058" s="20"/>
      <c r="T3058" s="27"/>
      <c r="U3058" s="20"/>
      <c r="V3058" s="20"/>
      <c r="W3058" s="26"/>
      <c r="X3058" s="27"/>
      <c r="Y3058" s="20"/>
      <c r="Z3058" s="20"/>
    </row>
    <row r="3059" spans="1:26" s="29" customFormat="1" ht="90.75" customHeight="1" x14ac:dyDescent="0.25">
      <c r="A3059" s="20"/>
      <c r="B3059" s="20"/>
      <c r="C3059" s="20"/>
      <c r="D3059" s="21"/>
      <c r="E3059" s="21"/>
      <c r="F3059" s="22"/>
      <c r="G3059" s="23"/>
      <c r="H3059" s="24">
        <v>102.37</v>
      </c>
      <c r="I3059" s="25" t="s">
        <v>23</v>
      </c>
      <c r="J3059" s="65">
        <f>(H3059*I3059)</f>
        <v>102370</v>
      </c>
      <c r="K3059" s="20">
        <v>1</v>
      </c>
      <c r="L3059" s="20" t="s">
        <v>16</v>
      </c>
      <c r="M3059" s="20" t="s">
        <v>13</v>
      </c>
      <c r="N3059" s="20"/>
      <c r="O3059" s="24">
        <v>6.25</v>
      </c>
      <c r="P3059" s="24">
        <v>100</v>
      </c>
      <c r="Q3059" s="24">
        <v>6450</v>
      </c>
      <c r="R3059" s="24">
        <f>(O3059*Q3059)</f>
        <v>40312.5</v>
      </c>
      <c r="S3059" s="20">
        <v>1</v>
      </c>
      <c r="T3059" s="27">
        <f>(R3059*1/100)</f>
        <v>403.125</v>
      </c>
      <c r="U3059" s="27">
        <f>(R3059-T3059)</f>
        <v>39909.375</v>
      </c>
      <c r="V3059" s="20"/>
      <c r="W3059" s="26"/>
      <c r="X3059" s="27"/>
      <c r="Y3059" s="20"/>
      <c r="Z3059" s="20"/>
    </row>
    <row r="3060" spans="1:26" s="29" customFormat="1" ht="90.75" customHeight="1" x14ac:dyDescent="0.25">
      <c r="A3060" s="20"/>
      <c r="B3060" s="20"/>
      <c r="C3060" s="20"/>
      <c r="D3060" s="21"/>
      <c r="E3060" s="21"/>
      <c r="F3060" s="22"/>
      <c r="G3060" s="23"/>
      <c r="H3060" s="24"/>
      <c r="I3060" s="25"/>
      <c r="J3060" s="24"/>
      <c r="K3060" s="20">
        <v>2</v>
      </c>
      <c r="L3060" s="20" t="s">
        <v>141</v>
      </c>
      <c r="M3060" s="20" t="s">
        <v>51</v>
      </c>
      <c r="N3060" s="20"/>
      <c r="O3060" s="24">
        <v>400</v>
      </c>
      <c r="P3060" s="24">
        <v>100</v>
      </c>
      <c r="Q3060" s="24">
        <v>2550</v>
      </c>
      <c r="R3060" s="24">
        <f t="shared" ref="R3060:R3061" si="728">(O3060*Q3060)</f>
        <v>1020000</v>
      </c>
      <c r="S3060" s="20">
        <v>1</v>
      </c>
      <c r="T3060" s="27">
        <f t="shared" ref="T3060:T3061" si="729">(R3060*1/100)</f>
        <v>10200</v>
      </c>
      <c r="U3060" s="27">
        <f t="shared" ref="U3060:U3061" si="730">(R3060-T3060)</f>
        <v>1009800</v>
      </c>
      <c r="V3060" s="20"/>
      <c r="W3060" s="26"/>
      <c r="X3060" s="27"/>
      <c r="Y3060" s="20"/>
      <c r="Z3060" s="20"/>
    </row>
    <row r="3061" spans="1:26" s="29" customFormat="1" ht="90.75" customHeight="1" x14ac:dyDescent="0.25">
      <c r="A3061" s="20"/>
      <c r="B3061" s="20"/>
      <c r="C3061" s="20"/>
      <c r="D3061" s="21"/>
      <c r="E3061" s="21"/>
      <c r="F3061" s="22"/>
      <c r="G3061" s="23"/>
      <c r="H3061" s="24"/>
      <c r="I3061" s="25"/>
      <c r="J3061" s="24"/>
      <c r="K3061" s="20">
        <v>3</v>
      </c>
      <c r="L3061" s="20" t="s">
        <v>170</v>
      </c>
      <c r="M3061" s="20" t="s">
        <v>51</v>
      </c>
      <c r="N3061" s="20"/>
      <c r="O3061" s="24">
        <v>3.24</v>
      </c>
      <c r="P3061" s="24">
        <v>100</v>
      </c>
      <c r="Q3061" s="24">
        <v>5900</v>
      </c>
      <c r="R3061" s="24">
        <f t="shared" si="728"/>
        <v>19116</v>
      </c>
      <c r="S3061" s="20">
        <v>1</v>
      </c>
      <c r="T3061" s="27">
        <f t="shared" si="729"/>
        <v>191.16</v>
      </c>
      <c r="U3061" s="27">
        <f t="shared" si="730"/>
        <v>18924.84</v>
      </c>
      <c r="V3061" s="20"/>
      <c r="W3061" s="26"/>
      <c r="X3061" s="27"/>
      <c r="Y3061" s="20"/>
      <c r="Z3061" s="20"/>
    </row>
    <row r="3062" spans="1:26" s="29" customFormat="1" ht="90.75" customHeight="1" x14ac:dyDescent="0.25">
      <c r="A3062" s="20"/>
      <c r="B3062" s="20"/>
      <c r="C3062" s="20"/>
      <c r="D3062" s="21"/>
      <c r="E3062" s="21"/>
      <c r="F3062" s="22"/>
      <c r="G3062" s="23"/>
      <c r="H3062" s="24"/>
      <c r="I3062" s="25"/>
      <c r="J3062" s="24"/>
      <c r="K3062" s="20"/>
      <c r="L3062" s="20" t="s">
        <v>2</v>
      </c>
      <c r="M3062" s="20"/>
      <c r="N3062" s="20"/>
      <c r="O3062" s="24"/>
      <c r="P3062" s="24"/>
      <c r="Q3062" s="25"/>
      <c r="R3062" s="24"/>
      <c r="S3062" s="20"/>
      <c r="T3062" s="27"/>
      <c r="U3062" s="27">
        <f>SUM(U3059:U3061)</f>
        <v>1068634.2150000001</v>
      </c>
      <c r="V3062" s="27">
        <f>(J3059+U3062)</f>
        <v>1171004.2150000001</v>
      </c>
      <c r="W3062" s="26">
        <f>(V3062*100/100)</f>
        <v>1171004.2150000001</v>
      </c>
      <c r="X3062" s="28">
        <v>0</v>
      </c>
      <c r="Y3062" s="28">
        <f t="shared" ref="Y3062" si="731">(W3062-X3062)</f>
        <v>1171004.2150000001</v>
      </c>
      <c r="Z3062" s="49">
        <v>3.0000000000000001E-3</v>
      </c>
    </row>
    <row r="3063" spans="1:26" s="29" customFormat="1" ht="90.75" customHeight="1" x14ac:dyDescent="0.25">
      <c r="A3063" s="20">
        <v>1506</v>
      </c>
      <c r="B3063" s="20" t="s">
        <v>0</v>
      </c>
      <c r="C3063" s="20">
        <v>38371</v>
      </c>
      <c r="D3063" s="21">
        <v>8</v>
      </c>
      <c r="E3063" s="21">
        <v>0</v>
      </c>
      <c r="F3063" s="22">
        <v>50</v>
      </c>
      <c r="G3063" s="23" t="s">
        <v>211</v>
      </c>
      <c r="H3063" s="36">
        <f>(D3063*400)+(E3063*100)+F3063</f>
        <v>3250</v>
      </c>
      <c r="I3063" s="40" t="s">
        <v>75</v>
      </c>
      <c r="J3063" s="28">
        <f t="shared" ref="J3063:J3070" si="732">(H3063*I3063)</f>
        <v>2031250</v>
      </c>
      <c r="K3063" s="30"/>
      <c r="L3063" s="20"/>
      <c r="M3063" s="35"/>
      <c r="N3063" s="30"/>
      <c r="O3063" s="36"/>
      <c r="P3063" s="86"/>
      <c r="Q3063" s="40"/>
      <c r="R3063" s="84"/>
      <c r="S3063" s="84"/>
      <c r="T3063" s="28"/>
      <c r="U3063" s="84"/>
      <c r="V3063" s="36"/>
      <c r="W3063" s="36"/>
      <c r="X3063" s="28"/>
      <c r="Y3063" s="26"/>
      <c r="Z3063" s="53"/>
    </row>
    <row r="3064" spans="1:26" s="29" customFormat="1" ht="90.75" customHeight="1" x14ac:dyDescent="0.25">
      <c r="A3064" s="20"/>
      <c r="B3064" s="20"/>
      <c r="C3064" s="20"/>
      <c r="D3064" s="21"/>
      <c r="E3064" s="21"/>
      <c r="F3064" s="22"/>
      <c r="G3064" s="23"/>
      <c r="H3064" s="36">
        <f t="shared" ref="H3064:H3069" si="733">(O3064*0.25)</f>
        <v>20</v>
      </c>
      <c r="I3064" s="40">
        <v>625</v>
      </c>
      <c r="J3064" s="28">
        <f t="shared" si="732"/>
        <v>12500</v>
      </c>
      <c r="K3064" s="37">
        <v>1</v>
      </c>
      <c r="L3064" s="31" t="s">
        <v>215</v>
      </c>
      <c r="M3064" s="31" t="s">
        <v>13</v>
      </c>
      <c r="N3064" s="41">
        <v>2</v>
      </c>
      <c r="O3064" s="46">
        <v>80</v>
      </c>
      <c r="P3064" s="86">
        <v>100</v>
      </c>
      <c r="Q3064" s="28">
        <v>6450</v>
      </c>
      <c r="R3064" s="48">
        <f t="shared" ref="R3064:R3069" si="734">(O3064*Q3064)</f>
        <v>516000</v>
      </c>
      <c r="S3064" s="30">
        <v>22</v>
      </c>
      <c r="T3064" s="28">
        <f>(R3064*34/100)</f>
        <v>175440</v>
      </c>
      <c r="U3064" s="36">
        <f t="shared" ref="U3064:U3069" si="735">(R3064-T3064)</f>
        <v>340560</v>
      </c>
      <c r="V3064" s="28">
        <f t="shared" ref="V3064:V3069" si="736">(J3064+U3064)</f>
        <v>353060</v>
      </c>
      <c r="W3064" s="28">
        <f t="shared" ref="W3064:W3071" si="737">(V3064*100/100)</f>
        <v>353060</v>
      </c>
      <c r="X3064" s="28">
        <v>50000000</v>
      </c>
      <c r="Y3064" s="28"/>
      <c r="Z3064" s="49"/>
    </row>
    <row r="3065" spans="1:26" s="29" customFormat="1" ht="90.75" customHeight="1" x14ac:dyDescent="0.25">
      <c r="A3065" s="20"/>
      <c r="B3065" s="20"/>
      <c r="C3065" s="20"/>
      <c r="D3065" s="21"/>
      <c r="E3065" s="21"/>
      <c r="F3065" s="22"/>
      <c r="G3065" s="23"/>
      <c r="H3065" s="36">
        <f t="shared" si="733"/>
        <v>10.3125</v>
      </c>
      <c r="I3065" s="40">
        <v>625</v>
      </c>
      <c r="J3065" s="28">
        <f t="shared" si="732"/>
        <v>6445.3125</v>
      </c>
      <c r="K3065" s="37">
        <v>2</v>
      </c>
      <c r="L3065" s="31" t="s">
        <v>27</v>
      </c>
      <c r="M3065" s="31" t="s">
        <v>13</v>
      </c>
      <c r="N3065" s="41">
        <v>3</v>
      </c>
      <c r="O3065" s="46">
        <v>41.25</v>
      </c>
      <c r="P3065" s="86">
        <v>100</v>
      </c>
      <c r="Q3065" s="28">
        <v>7100</v>
      </c>
      <c r="R3065" s="48">
        <f t="shared" si="734"/>
        <v>292875</v>
      </c>
      <c r="S3065" s="30">
        <v>7</v>
      </c>
      <c r="T3065" s="28">
        <f>(R3065*7/100)</f>
        <v>20501.25</v>
      </c>
      <c r="U3065" s="36">
        <f t="shared" si="735"/>
        <v>272373.75</v>
      </c>
      <c r="V3065" s="28">
        <f t="shared" si="736"/>
        <v>278819.0625</v>
      </c>
      <c r="W3065" s="28">
        <f t="shared" si="737"/>
        <v>278819.0625</v>
      </c>
      <c r="X3065" s="28">
        <v>0</v>
      </c>
      <c r="Y3065" s="28">
        <f>(W3065-X3065)</f>
        <v>278819.0625</v>
      </c>
      <c r="Z3065" s="49">
        <v>3.0000000000000001E-3</v>
      </c>
    </row>
    <row r="3066" spans="1:26" s="29" customFormat="1" ht="90.75" customHeight="1" x14ac:dyDescent="0.25">
      <c r="A3066" s="20"/>
      <c r="B3066" s="20"/>
      <c r="C3066" s="20"/>
      <c r="D3066" s="21"/>
      <c r="E3066" s="21"/>
      <c r="F3066" s="22"/>
      <c r="G3066" s="23"/>
      <c r="H3066" s="36">
        <f t="shared" si="733"/>
        <v>108</v>
      </c>
      <c r="I3066" s="40">
        <v>625</v>
      </c>
      <c r="J3066" s="28">
        <f t="shared" si="732"/>
        <v>67500</v>
      </c>
      <c r="K3066" s="37">
        <v>3</v>
      </c>
      <c r="L3066" s="31" t="s">
        <v>48</v>
      </c>
      <c r="M3066" s="31"/>
      <c r="N3066" s="41">
        <v>3</v>
      </c>
      <c r="O3066" s="46">
        <v>432</v>
      </c>
      <c r="P3066" s="86">
        <v>100</v>
      </c>
      <c r="Q3066" s="28">
        <v>3500</v>
      </c>
      <c r="R3066" s="48">
        <f t="shared" si="734"/>
        <v>1512000</v>
      </c>
      <c r="S3066" s="30">
        <v>10</v>
      </c>
      <c r="T3066" s="28">
        <f>(R3066*10/100)</f>
        <v>151200</v>
      </c>
      <c r="U3066" s="36">
        <f t="shared" si="735"/>
        <v>1360800</v>
      </c>
      <c r="V3066" s="28">
        <f t="shared" si="736"/>
        <v>1428300</v>
      </c>
      <c r="W3066" s="28">
        <f t="shared" si="737"/>
        <v>1428300</v>
      </c>
      <c r="X3066" s="28">
        <v>0</v>
      </c>
      <c r="Y3066" s="28">
        <f>(W3066-X3066)</f>
        <v>1428300</v>
      </c>
      <c r="Z3066" s="49">
        <v>3.0000000000000001E-3</v>
      </c>
    </row>
    <row r="3067" spans="1:26" s="29" customFormat="1" ht="90.75" customHeight="1" x14ac:dyDescent="0.25">
      <c r="A3067" s="20"/>
      <c r="B3067" s="20"/>
      <c r="C3067" s="20"/>
      <c r="D3067" s="21"/>
      <c r="E3067" s="21"/>
      <c r="F3067" s="22"/>
      <c r="G3067" s="23"/>
      <c r="H3067" s="36">
        <f t="shared" si="733"/>
        <v>5.4249999999999998</v>
      </c>
      <c r="I3067" s="40">
        <v>625</v>
      </c>
      <c r="J3067" s="28">
        <f t="shared" si="732"/>
        <v>3390.625</v>
      </c>
      <c r="K3067" s="37">
        <v>4</v>
      </c>
      <c r="L3067" s="31" t="s">
        <v>27</v>
      </c>
      <c r="M3067" s="31" t="s">
        <v>13</v>
      </c>
      <c r="N3067" s="41">
        <v>3</v>
      </c>
      <c r="O3067" s="48">
        <v>21.7</v>
      </c>
      <c r="P3067" s="86">
        <v>100</v>
      </c>
      <c r="Q3067" s="36">
        <v>7100</v>
      </c>
      <c r="R3067" s="48">
        <f t="shared" si="734"/>
        <v>154070</v>
      </c>
      <c r="S3067" s="30">
        <v>4</v>
      </c>
      <c r="T3067" s="28">
        <f>(R3067*4/100)</f>
        <v>6162.8</v>
      </c>
      <c r="U3067" s="36">
        <f t="shared" si="735"/>
        <v>147907.20000000001</v>
      </c>
      <c r="V3067" s="28">
        <f t="shared" si="736"/>
        <v>151297.82500000001</v>
      </c>
      <c r="W3067" s="28">
        <f t="shared" si="737"/>
        <v>151297.82500000001</v>
      </c>
      <c r="X3067" s="28">
        <v>0</v>
      </c>
      <c r="Y3067" s="28">
        <f>(W3067-X3067)</f>
        <v>151297.82500000001</v>
      </c>
      <c r="Z3067" s="49">
        <v>3.0000000000000001E-3</v>
      </c>
    </row>
    <row r="3068" spans="1:26" s="29" customFormat="1" ht="90.75" customHeight="1" x14ac:dyDescent="0.25">
      <c r="A3068" s="20"/>
      <c r="B3068" s="20"/>
      <c r="C3068" s="20"/>
      <c r="D3068" s="21"/>
      <c r="E3068" s="21"/>
      <c r="F3068" s="22"/>
      <c r="G3068" s="23"/>
      <c r="H3068" s="36">
        <f t="shared" si="733"/>
        <v>61</v>
      </c>
      <c r="I3068" s="40">
        <v>625</v>
      </c>
      <c r="J3068" s="28">
        <f t="shared" si="732"/>
        <v>38125</v>
      </c>
      <c r="K3068" s="37">
        <v>5</v>
      </c>
      <c r="L3068" s="31" t="s">
        <v>29</v>
      </c>
      <c r="M3068" s="31"/>
      <c r="N3068" s="41">
        <v>3</v>
      </c>
      <c r="O3068" s="48">
        <v>244</v>
      </c>
      <c r="P3068" s="86">
        <v>100</v>
      </c>
      <c r="Q3068" s="36">
        <v>5550</v>
      </c>
      <c r="R3068" s="48">
        <f t="shared" si="734"/>
        <v>1354200</v>
      </c>
      <c r="S3068" s="30">
        <v>4</v>
      </c>
      <c r="T3068" s="28">
        <f>(R3068*4/100)</f>
        <v>54168</v>
      </c>
      <c r="U3068" s="36">
        <f t="shared" si="735"/>
        <v>1300032</v>
      </c>
      <c r="V3068" s="28">
        <f t="shared" si="736"/>
        <v>1338157</v>
      </c>
      <c r="W3068" s="28">
        <f t="shared" si="737"/>
        <v>1338157</v>
      </c>
      <c r="X3068" s="28">
        <v>0</v>
      </c>
      <c r="Y3068" s="28">
        <f>(W3068-X3068)</f>
        <v>1338157</v>
      </c>
      <c r="Z3068" s="49">
        <v>3.0000000000000001E-3</v>
      </c>
    </row>
    <row r="3069" spans="1:26" s="29" customFormat="1" ht="90.75" customHeight="1" x14ac:dyDescent="0.25">
      <c r="A3069" s="20"/>
      <c r="B3069" s="20"/>
      <c r="C3069" s="20"/>
      <c r="D3069" s="21"/>
      <c r="E3069" s="21"/>
      <c r="F3069" s="22"/>
      <c r="G3069" s="23"/>
      <c r="H3069" s="36">
        <f t="shared" si="733"/>
        <v>37.5</v>
      </c>
      <c r="I3069" s="40">
        <v>625</v>
      </c>
      <c r="J3069" s="28">
        <f t="shared" si="732"/>
        <v>23437.5</v>
      </c>
      <c r="K3069" s="37">
        <v>6</v>
      </c>
      <c r="L3069" s="31" t="s">
        <v>38</v>
      </c>
      <c r="M3069" s="31"/>
      <c r="N3069" s="41">
        <v>2</v>
      </c>
      <c r="O3069" s="48">
        <v>150</v>
      </c>
      <c r="P3069" s="86">
        <v>100</v>
      </c>
      <c r="Q3069" s="36">
        <v>7700</v>
      </c>
      <c r="R3069" s="48">
        <f t="shared" si="734"/>
        <v>1155000</v>
      </c>
      <c r="S3069" s="30">
        <v>7</v>
      </c>
      <c r="T3069" s="28">
        <f>(R3069*25/100)</f>
        <v>288750</v>
      </c>
      <c r="U3069" s="36">
        <f t="shared" si="735"/>
        <v>866250</v>
      </c>
      <c r="V3069" s="28">
        <f t="shared" si="736"/>
        <v>889687.5</v>
      </c>
      <c r="W3069" s="28">
        <f t="shared" si="737"/>
        <v>889687.5</v>
      </c>
      <c r="X3069" s="28">
        <v>0</v>
      </c>
      <c r="Y3069" s="28">
        <f>(W3069-X3069)</f>
        <v>889687.5</v>
      </c>
      <c r="Z3069" s="49">
        <v>2.0000000000000001E-4</v>
      </c>
    </row>
    <row r="3070" spans="1:26" s="29" customFormat="1" ht="90.75" customHeight="1" x14ac:dyDescent="0.25">
      <c r="A3070" s="20"/>
      <c r="B3070" s="20"/>
      <c r="C3070" s="20"/>
      <c r="D3070" s="21"/>
      <c r="E3070" s="21"/>
      <c r="F3070" s="22"/>
      <c r="G3070" s="23"/>
      <c r="H3070" s="36">
        <v>3007.76</v>
      </c>
      <c r="I3070" s="40">
        <v>625</v>
      </c>
      <c r="J3070" s="28">
        <f t="shared" si="732"/>
        <v>1879850.0000000002</v>
      </c>
      <c r="K3070" s="37"/>
      <c r="L3070" s="31"/>
      <c r="M3070" s="31"/>
      <c r="N3070" s="41"/>
      <c r="O3070" s="48"/>
      <c r="P3070" s="86"/>
      <c r="Q3070" s="36"/>
      <c r="R3070" s="48"/>
      <c r="S3070" s="30"/>
      <c r="T3070" s="28"/>
      <c r="U3070" s="36"/>
      <c r="V3070" s="28"/>
      <c r="W3070" s="28"/>
      <c r="X3070" s="28"/>
      <c r="Y3070" s="28"/>
      <c r="Z3070" s="27"/>
    </row>
    <row r="3071" spans="1:26" s="29" customFormat="1" ht="90.75" customHeight="1" x14ac:dyDescent="0.25">
      <c r="A3071" s="20">
        <v>1507</v>
      </c>
      <c r="B3071" s="20" t="s">
        <v>0</v>
      </c>
      <c r="C3071" s="20">
        <v>44426</v>
      </c>
      <c r="D3071" s="21">
        <v>0</v>
      </c>
      <c r="E3071" s="21">
        <v>2</v>
      </c>
      <c r="F3071" s="22">
        <v>0</v>
      </c>
      <c r="G3071" s="23" t="s">
        <v>211</v>
      </c>
      <c r="H3071" s="36">
        <f>(D3071*400)+(E3071*100)+F3071</f>
        <v>200</v>
      </c>
      <c r="I3071" s="40">
        <v>1000</v>
      </c>
      <c r="J3071" s="28">
        <f t="shared" ref="J3071" si="738">(H3071*I3071)</f>
        <v>200000</v>
      </c>
      <c r="K3071" s="37">
        <v>1</v>
      </c>
      <c r="L3071" s="31" t="s">
        <v>215</v>
      </c>
      <c r="M3071" s="31" t="s">
        <v>13</v>
      </c>
      <c r="N3071" s="31">
        <v>5</v>
      </c>
      <c r="O3071" s="48">
        <v>236</v>
      </c>
      <c r="P3071" s="35">
        <v>100</v>
      </c>
      <c r="Q3071" s="36">
        <v>6450</v>
      </c>
      <c r="R3071" s="36">
        <f>(O3071*Q3071)</f>
        <v>1522200</v>
      </c>
      <c r="S3071" s="37">
        <v>22</v>
      </c>
      <c r="T3071" s="28">
        <f>(R3071*34/100)</f>
        <v>517548</v>
      </c>
      <c r="U3071" s="36">
        <f>(R3071-T3071)</f>
        <v>1004652</v>
      </c>
      <c r="V3071" s="36">
        <f>(J3071+U3071)</f>
        <v>1204652</v>
      </c>
      <c r="W3071" s="28">
        <f t="shared" si="737"/>
        <v>1204652</v>
      </c>
      <c r="X3071" s="28"/>
      <c r="Y3071" s="28"/>
      <c r="Z3071" s="20"/>
    </row>
    <row r="3072" spans="1:26" s="29" customFormat="1" ht="90.75" customHeight="1" x14ac:dyDescent="0.25">
      <c r="A3072" s="20"/>
      <c r="B3072" s="20"/>
      <c r="C3072" s="20"/>
      <c r="D3072" s="21"/>
      <c r="E3072" s="21"/>
      <c r="F3072" s="22"/>
      <c r="G3072" s="23"/>
      <c r="H3072" s="36"/>
      <c r="I3072" s="40"/>
      <c r="J3072" s="28"/>
      <c r="K3072" s="37"/>
      <c r="L3072" s="31" t="s">
        <v>42</v>
      </c>
      <c r="M3072" s="31"/>
      <c r="N3072" s="31">
        <v>2</v>
      </c>
      <c r="O3072" s="48">
        <v>195.75</v>
      </c>
      <c r="P3072" s="35">
        <v>82.95</v>
      </c>
      <c r="Q3072" s="36"/>
      <c r="R3072" s="36"/>
      <c r="S3072" s="37"/>
      <c r="T3072" s="28"/>
      <c r="U3072" s="36"/>
      <c r="V3072" s="36"/>
      <c r="W3072" s="36">
        <f>(W3071*82.95/100)</f>
        <v>999258.83400000003</v>
      </c>
      <c r="X3072" s="28">
        <v>50000000</v>
      </c>
      <c r="Y3072" s="28"/>
      <c r="Z3072" s="20"/>
    </row>
    <row r="3073" spans="1:26" s="29" customFormat="1" ht="90.75" customHeight="1" x14ac:dyDescent="0.25">
      <c r="A3073" s="20"/>
      <c r="B3073" s="20"/>
      <c r="C3073" s="20"/>
      <c r="D3073" s="21"/>
      <c r="E3073" s="21"/>
      <c r="F3073" s="22"/>
      <c r="G3073" s="23"/>
      <c r="H3073" s="36"/>
      <c r="I3073" s="40"/>
      <c r="J3073" s="28"/>
      <c r="K3073" s="37"/>
      <c r="L3073" s="31" t="s">
        <v>31</v>
      </c>
      <c r="M3073" s="31"/>
      <c r="N3073" s="41">
        <v>2</v>
      </c>
      <c r="O3073" s="42">
        <v>28</v>
      </c>
      <c r="P3073" s="35">
        <v>11.86</v>
      </c>
      <c r="Q3073" s="36"/>
      <c r="R3073" s="36"/>
      <c r="S3073" s="37"/>
      <c r="T3073" s="28"/>
      <c r="U3073" s="36"/>
      <c r="V3073" s="36"/>
      <c r="W3073" s="36">
        <f>(W3071*11.86/100)</f>
        <v>142871.72719999999</v>
      </c>
      <c r="X3073" s="28"/>
      <c r="Y3073" s="28"/>
      <c r="Z3073" s="20"/>
    </row>
    <row r="3074" spans="1:26" s="29" customFormat="1" ht="90.75" customHeight="1" x14ac:dyDescent="0.25">
      <c r="A3074" s="20"/>
      <c r="B3074" s="20"/>
      <c r="C3074" s="20"/>
      <c r="D3074" s="21"/>
      <c r="E3074" s="21"/>
      <c r="F3074" s="22"/>
      <c r="G3074" s="23"/>
      <c r="H3074" s="36"/>
      <c r="I3074" s="40"/>
      <c r="J3074" s="28"/>
      <c r="K3074" s="37"/>
      <c r="L3074" s="31" t="s">
        <v>61</v>
      </c>
      <c r="M3074" s="31"/>
      <c r="N3074" s="31">
        <v>3</v>
      </c>
      <c r="O3074" s="48">
        <v>12.25</v>
      </c>
      <c r="P3074" s="35">
        <v>5.19</v>
      </c>
      <c r="Q3074" s="36"/>
      <c r="R3074" s="36"/>
      <c r="S3074" s="37"/>
      <c r="T3074" s="28"/>
      <c r="U3074" s="36"/>
      <c r="V3074" s="36"/>
      <c r="W3074" s="36">
        <f>(W3071*5.19/100)</f>
        <v>62521.438800000011</v>
      </c>
      <c r="X3074" s="28">
        <v>0</v>
      </c>
      <c r="Y3074" s="28">
        <f>(W3074-X3074)</f>
        <v>62521.438800000011</v>
      </c>
      <c r="Z3074" s="49">
        <v>3.0000000000000001E-3</v>
      </c>
    </row>
    <row r="3075" spans="1:26" s="29" customFormat="1" ht="90.75" customHeight="1" x14ac:dyDescent="0.25">
      <c r="A3075" s="20">
        <v>1508</v>
      </c>
      <c r="B3075" s="20" t="s">
        <v>0</v>
      </c>
      <c r="C3075" s="20">
        <v>44427</v>
      </c>
      <c r="D3075" s="21">
        <v>0</v>
      </c>
      <c r="E3075" s="21">
        <v>1</v>
      </c>
      <c r="F3075" s="22">
        <v>68</v>
      </c>
      <c r="G3075" s="23" t="s">
        <v>56</v>
      </c>
      <c r="H3075" s="36">
        <f>(D3075*400)+(E3075*100)+F3075</f>
        <v>168</v>
      </c>
      <c r="I3075" s="40" t="s">
        <v>23</v>
      </c>
      <c r="J3075" s="65">
        <f>(H3075*I3075)</f>
        <v>168000</v>
      </c>
      <c r="K3075" s="37">
        <v>1</v>
      </c>
      <c r="L3075" s="20" t="s">
        <v>43</v>
      </c>
      <c r="M3075" s="20" t="s">
        <v>13</v>
      </c>
      <c r="N3075" s="21">
        <v>2</v>
      </c>
      <c r="O3075" s="63">
        <v>266</v>
      </c>
      <c r="P3075" s="35">
        <v>100</v>
      </c>
      <c r="Q3075" s="77">
        <v>7700</v>
      </c>
      <c r="R3075" s="77">
        <f>(O3075*Q3075)</f>
        <v>2048200</v>
      </c>
      <c r="S3075" s="37">
        <v>6</v>
      </c>
      <c r="T3075" s="28">
        <f>(R3075*6/100)</f>
        <v>122892</v>
      </c>
      <c r="U3075" s="77">
        <f>(R3075-T3075)</f>
        <v>1925308</v>
      </c>
      <c r="V3075" s="77">
        <f>(J3075+U3075)</f>
        <v>2093308</v>
      </c>
      <c r="W3075" s="77">
        <f>(K3075+V3075)</f>
        <v>2093309</v>
      </c>
      <c r="X3075" s="28">
        <v>0</v>
      </c>
      <c r="Y3075" s="28">
        <f>(V3075)</f>
        <v>2093308</v>
      </c>
      <c r="Z3075" s="49">
        <v>2.0000000000000001E-4</v>
      </c>
    </row>
    <row r="3076" spans="1:26" s="29" customFormat="1" ht="90.75" customHeight="1" x14ac:dyDescent="0.25">
      <c r="A3076" s="20">
        <v>1509</v>
      </c>
      <c r="B3076" s="20" t="s">
        <v>0</v>
      </c>
      <c r="C3076" s="20">
        <v>15454</v>
      </c>
      <c r="D3076" s="21">
        <v>0</v>
      </c>
      <c r="E3076" s="21">
        <v>3</v>
      </c>
      <c r="F3076" s="22">
        <v>31</v>
      </c>
      <c r="G3076" s="23" t="s">
        <v>56</v>
      </c>
      <c r="H3076" s="24">
        <f>(D3076*400)+(E3076*100)+F3076</f>
        <v>331</v>
      </c>
      <c r="I3076" s="40" t="s">
        <v>123</v>
      </c>
      <c r="J3076" s="65">
        <f>(H3076*I3076)</f>
        <v>1489500</v>
      </c>
      <c r="K3076" s="30"/>
      <c r="L3076" s="20"/>
      <c r="M3076" s="35"/>
      <c r="N3076" s="30"/>
      <c r="O3076" s="36"/>
      <c r="P3076" s="86"/>
      <c r="Q3076" s="40"/>
      <c r="R3076" s="84"/>
      <c r="S3076" s="84"/>
      <c r="T3076" s="28"/>
      <c r="U3076" s="84"/>
      <c r="V3076" s="36"/>
      <c r="W3076" s="36"/>
      <c r="X3076" s="28"/>
      <c r="Y3076" s="26"/>
      <c r="Z3076" s="53"/>
    </row>
    <row r="3077" spans="1:26" s="29" customFormat="1" ht="90.75" customHeight="1" x14ac:dyDescent="0.25">
      <c r="A3077" s="20"/>
      <c r="B3077" s="20"/>
      <c r="C3077" s="20"/>
      <c r="D3077" s="21"/>
      <c r="E3077" s="21"/>
      <c r="F3077" s="22"/>
      <c r="G3077" s="23"/>
      <c r="H3077" s="36">
        <v>192.5</v>
      </c>
      <c r="I3077" s="40">
        <v>4500</v>
      </c>
      <c r="J3077" s="28">
        <f>(H3077*I3077)</f>
        <v>866250</v>
      </c>
      <c r="K3077" s="30">
        <v>1</v>
      </c>
      <c r="L3077" s="31" t="s">
        <v>215</v>
      </c>
      <c r="M3077" s="31" t="s">
        <v>40</v>
      </c>
      <c r="N3077" s="41">
        <v>2</v>
      </c>
      <c r="O3077" s="42">
        <v>30</v>
      </c>
      <c r="P3077" s="35">
        <v>100</v>
      </c>
      <c r="Q3077" s="36">
        <v>6450</v>
      </c>
      <c r="R3077" s="36">
        <f>(O3077*Q3077)</f>
        <v>193500</v>
      </c>
      <c r="S3077" s="37">
        <v>6</v>
      </c>
      <c r="T3077" s="28">
        <f>(R3077*20/100)</f>
        <v>38700</v>
      </c>
      <c r="U3077" s="36">
        <f>(R3077-T3077)</f>
        <v>154800</v>
      </c>
      <c r="V3077" s="36"/>
      <c r="W3077" s="36"/>
      <c r="X3077" s="28"/>
      <c r="Y3077" s="28"/>
      <c r="Z3077" s="49"/>
    </row>
    <row r="3078" spans="1:26" s="29" customFormat="1" ht="90.75" customHeight="1" x14ac:dyDescent="0.25">
      <c r="A3078" s="20"/>
      <c r="B3078" s="20"/>
      <c r="C3078" s="20"/>
      <c r="D3078" s="21"/>
      <c r="E3078" s="21"/>
      <c r="F3078" s="22"/>
      <c r="G3078" s="23"/>
      <c r="H3078" s="36"/>
      <c r="I3078" s="40"/>
      <c r="J3078" s="28"/>
      <c r="K3078" s="30">
        <v>2</v>
      </c>
      <c r="L3078" s="31" t="s">
        <v>31</v>
      </c>
      <c r="M3078" s="31"/>
      <c r="N3078" s="41"/>
      <c r="O3078" s="42">
        <v>26.25</v>
      </c>
      <c r="P3078" s="35">
        <v>100</v>
      </c>
      <c r="Q3078" s="36">
        <v>2550</v>
      </c>
      <c r="R3078" s="36">
        <f t="shared" ref="R3078:R3081" si="739">(O3078*Q3078)</f>
        <v>66937.5</v>
      </c>
      <c r="S3078" s="37">
        <v>6</v>
      </c>
      <c r="T3078" s="28">
        <f>(R3078*6/100)</f>
        <v>4016.25</v>
      </c>
      <c r="U3078" s="36">
        <f t="shared" ref="U3078:U3081" si="740">(R3078-T3078)</f>
        <v>62921.25</v>
      </c>
      <c r="V3078" s="36"/>
      <c r="W3078" s="36"/>
      <c r="X3078" s="28"/>
      <c r="Y3078" s="28"/>
      <c r="Z3078" s="20"/>
    </row>
    <row r="3079" spans="1:26" s="29" customFormat="1" ht="90.75" customHeight="1" x14ac:dyDescent="0.25">
      <c r="A3079" s="20"/>
      <c r="B3079" s="20"/>
      <c r="C3079" s="20"/>
      <c r="D3079" s="21"/>
      <c r="E3079" s="21"/>
      <c r="F3079" s="22"/>
      <c r="G3079" s="23"/>
      <c r="H3079" s="36"/>
      <c r="I3079" s="40"/>
      <c r="J3079" s="28"/>
      <c r="K3079" s="30"/>
      <c r="L3079" s="31"/>
      <c r="M3079" s="31"/>
      <c r="N3079" s="41"/>
      <c r="O3079" s="42"/>
      <c r="P3079" s="35"/>
      <c r="Q3079" s="36"/>
      <c r="R3079" s="36"/>
      <c r="S3079" s="37"/>
      <c r="T3079" s="28"/>
      <c r="U3079" s="36">
        <f>SUM(U3077:U3078)</f>
        <v>217721.25</v>
      </c>
      <c r="V3079" s="36">
        <f>(J3077+U3079)</f>
        <v>1083971.25</v>
      </c>
      <c r="W3079" s="36">
        <f>(V3079*100/100)</f>
        <v>1083971.25</v>
      </c>
      <c r="X3079" s="28">
        <v>50000000</v>
      </c>
      <c r="Y3079" s="28"/>
      <c r="Z3079" s="20"/>
    </row>
    <row r="3080" spans="1:26" s="29" customFormat="1" ht="90.75" customHeight="1" x14ac:dyDescent="0.25">
      <c r="A3080" s="20"/>
      <c r="B3080" s="20"/>
      <c r="C3080" s="20"/>
      <c r="D3080" s="21"/>
      <c r="E3080" s="21"/>
      <c r="F3080" s="22"/>
      <c r="G3080" s="23"/>
      <c r="H3080" s="36">
        <v>138.5</v>
      </c>
      <c r="I3080" s="40">
        <v>4500</v>
      </c>
      <c r="J3080" s="28">
        <f>(H3080*I3080)</f>
        <v>623250</v>
      </c>
      <c r="K3080" s="30">
        <v>3</v>
      </c>
      <c r="L3080" s="31" t="s">
        <v>43</v>
      </c>
      <c r="M3080" s="31" t="s">
        <v>13</v>
      </c>
      <c r="N3080" s="41">
        <v>3</v>
      </c>
      <c r="O3080" s="42">
        <v>119</v>
      </c>
      <c r="P3080" s="35">
        <v>100</v>
      </c>
      <c r="Q3080" s="36">
        <v>7700</v>
      </c>
      <c r="R3080" s="36">
        <f t="shared" si="739"/>
        <v>916300</v>
      </c>
      <c r="S3080" s="37">
        <v>6</v>
      </c>
      <c r="T3080" s="28">
        <f t="shared" ref="T3080:T3081" si="741">(R3080*6/100)</f>
        <v>54978</v>
      </c>
      <c r="U3080" s="36">
        <f t="shared" si="740"/>
        <v>861322</v>
      </c>
      <c r="V3080" s="36"/>
      <c r="W3080" s="36"/>
      <c r="X3080" s="28"/>
      <c r="Y3080" s="28"/>
      <c r="Z3080" s="49"/>
    </row>
    <row r="3081" spans="1:26" s="29" customFormat="1" ht="90.75" customHeight="1" x14ac:dyDescent="0.25">
      <c r="A3081" s="20"/>
      <c r="B3081" s="20"/>
      <c r="C3081" s="20"/>
      <c r="D3081" s="21"/>
      <c r="E3081" s="21"/>
      <c r="F3081" s="22"/>
      <c r="G3081" s="23"/>
      <c r="H3081" s="36"/>
      <c r="I3081" s="40"/>
      <c r="J3081" s="28"/>
      <c r="K3081" s="30">
        <v>4</v>
      </c>
      <c r="L3081" s="31" t="s">
        <v>31</v>
      </c>
      <c r="M3081" s="31"/>
      <c r="N3081" s="41"/>
      <c r="O3081" s="42">
        <v>19.5</v>
      </c>
      <c r="P3081" s="35">
        <v>100</v>
      </c>
      <c r="Q3081" s="36">
        <v>2550</v>
      </c>
      <c r="R3081" s="36">
        <f t="shared" si="739"/>
        <v>49725</v>
      </c>
      <c r="S3081" s="37">
        <v>6</v>
      </c>
      <c r="T3081" s="28">
        <f t="shared" si="741"/>
        <v>2983.5</v>
      </c>
      <c r="U3081" s="36">
        <f t="shared" si="740"/>
        <v>46741.5</v>
      </c>
      <c r="V3081" s="36"/>
      <c r="W3081" s="36"/>
      <c r="X3081" s="28"/>
      <c r="Y3081" s="28"/>
      <c r="Z3081" s="49"/>
    </row>
    <row r="3082" spans="1:26" s="29" customFormat="1" ht="90.75" customHeight="1" x14ac:dyDescent="0.25">
      <c r="A3082" s="20"/>
      <c r="B3082" s="20"/>
      <c r="C3082" s="20"/>
      <c r="D3082" s="21"/>
      <c r="E3082" s="21"/>
      <c r="F3082" s="22"/>
      <c r="G3082" s="23"/>
      <c r="H3082" s="36"/>
      <c r="I3082" s="40"/>
      <c r="J3082" s="28"/>
      <c r="K3082" s="30"/>
      <c r="L3082" s="31"/>
      <c r="M3082" s="31"/>
      <c r="N3082" s="41"/>
      <c r="O3082" s="42"/>
      <c r="P3082" s="35"/>
      <c r="Q3082" s="36"/>
      <c r="R3082" s="36"/>
      <c r="S3082" s="37"/>
      <c r="T3082" s="28"/>
      <c r="U3082" s="36">
        <f>SUM(U3080:U3081)</f>
        <v>908063.5</v>
      </c>
      <c r="V3082" s="36">
        <f>(J3080+U3082)</f>
        <v>1531313.5</v>
      </c>
      <c r="W3082" s="36">
        <f>(V3082*100/100)</f>
        <v>1531313.5</v>
      </c>
      <c r="X3082" s="28">
        <v>0</v>
      </c>
      <c r="Y3082" s="28">
        <f>(W3082-X3082)</f>
        <v>1531313.5</v>
      </c>
      <c r="Z3082" s="49">
        <v>2.0000000000000001E-4</v>
      </c>
    </row>
    <row r="3083" spans="1:26" s="29" customFormat="1" ht="90.75" customHeight="1" x14ac:dyDescent="0.25">
      <c r="A3083" s="20">
        <v>1510</v>
      </c>
      <c r="B3083" s="20" t="s">
        <v>0</v>
      </c>
      <c r="C3083" s="20">
        <v>43345</v>
      </c>
      <c r="D3083" s="21">
        <v>0</v>
      </c>
      <c r="E3083" s="21">
        <v>2</v>
      </c>
      <c r="F3083" s="22">
        <v>57</v>
      </c>
      <c r="G3083" s="23" t="s">
        <v>56</v>
      </c>
      <c r="H3083" s="24">
        <f>(D3083*400)+(E3083*100)+F3083</f>
        <v>257</v>
      </c>
      <c r="I3083" s="25" t="s">
        <v>115</v>
      </c>
      <c r="J3083" s="24">
        <f>(H3083*I3083)</f>
        <v>385500</v>
      </c>
      <c r="K3083" s="37">
        <v>1</v>
      </c>
      <c r="L3083" s="31" t="s">
        <v>43</v>
      </c>
      <c r="M3083" s="31" t="s">
        <v>13</v>
      </c>
      <c r="N3083" s="41">
        <v>2</v>
      </c>
      <c r="O3083" s="46">
        <v>553</v>
      </c>
      <c r="P3083" s="86">
        <v>100</v>
      </c>
      <c r="Q3083" s="36">
        <v>7700</v>
      </c>
      <c r="R3083" s="36">
        <f>(O3083*Q3083)</f>
        <v>4258100</v>
      </c>
      <c r="S3083" s="37">
        <v>32</v>
      </c>
      <c r="T3083" s="28">
        <f>(R3083*54/100)</f>
        <v>2299374</v>
      </c>
      <c r="U3083" s="36">
        <f>(R3083-T3083)</f>
        <v>1958726</v>
      </c>
      <c r="V3083" s="36">
        <f t="shared" ref="V3083:V3085" si="742">(J3083+U3083)</f>
        <v>2344226</v>
      </c>
      <c r="W3083" s="36">
        <f t="shared" ref="W3083:W3085" si="743">(V3083*100/100)</f>
        <v>2344226</v>
      </c>
      <c r="X3083" s="28">
        <v>0</v>
      </c>
      <c r="Y3083" s="28">
        <f>(W3083-X3083)</f>
        <v>2344226</v>
      </c>
      <c r="Z3083" s="49">
        <v>2.0000000000000001E-4</v>
      </c>
    </row>
    <row r="3084" spans="1:26" s="29" customFormat="1" ht="90.75" customHeight="1" x14ac:dyDescent="0.25">
      <c r="A3084" s="20">
        <v>1511</v>
      </c>
      <c r="B3084" s="20" t="s">
        <v>0</v>
      </c>
      <c r="C3084" s="20">
        <v>47404</v>
      </c>
      <c r="D3084" s="21">
        <v>0</v>
      </c>
      <c r="E3084" s="21">
        <v>2</v>
      </c>
      <c r="F3084" s="22">
        <v>14</v>
      </c>
      <c r="G3084" s="23" t="s">
        <v>56</v>
      </c>
      <c r="H3084" s="36">
        <f t="shared" ref="H3084:H3085" si="744">(D3084*400)+(E3084*100)+F3084</f>
        <v>214</v>
      </c>
      <c r="I3084" s="40">
        <v>1500</v>
      </c>
      <c r="J3084" s="65">
        <f t="shared" ref="J3084:J3088" si="745">(H3084*I3084)</f>
        <v>321000</v>
      </c>
      <c r="K3084" s="37">
        <v>1</v>
      </c>
      <c r="L3084" s="31" t="s">
        <v>43</v>
      </c>
      <c r="M3084" s="31" t="s">
        <v>13</v>
      </c>
      <c r="N3084" s="41">
        <v>2</v>
      </c>
      <c r="O3084" s="46">
        <v>104.5</v>
      </c>
      <c r="P3084" s="86">
        <v>100</v>
      </c>
      <c r="Q3084" s="36">
        <v>7700</v>
      </c>
      <c r="R3084" s="36">
        <f>(O3084*Q3084)</f>
        <v>804650</v>
      </c>
      <c r="S3084" s="37">
        <v>9</v>
      </c>
      <c r="T3084" s="28">
        <f>(R3084*9/100)</f>
        <v>72418.5</v>
      </c>
      <c r="U3084" s="36">
        <f>(R3084-T3084)</f>
        <v>732231.5</v>
      </c>
      <c r="V3084" s="36">
        <f t="shared" si="742"/>
        <v>1053231.5</v>
      </c>
      <c r="W3084" s="36">
        <f t="shared" si="743"/>
        <v>1053231.5</v>
      </c>
      <c r="X3084" s="28">
        <v>0</v>
      </c>
      <c r="Y3084" s="28">
        <f>(W3084-X3084)</f>
        <v>1053231.5</v>
      </c>
      <c r="Z3084" s="49">
        <v>2.0000000000000001E-4</v>
      </c>
    </row>
    <row r="3085" spans="1:26" s="50" customFormat="1" ht="90.75" customHeight="1" x14ac:dyDescent="0.25">
      <c r="A3085" s="20">
        <v>1512</v>
      </c>
      <c r="B3085" s="20" t="s">
        <v>0</v>
      </c>
      <c r="C3085" s="20">
        <v>44601</v>
      </c>
      <c r="D3085" s="21">
        <v>0</v>
      </c>
      <c r="E3085" s="21">
        <v>0</v>
      </c>
      <c r="F3085" s="22">
        <v>45</v>
      </c>
      <c r="G3085" s="23" t="s">
        <v>56</v>
      </c>
      <c r="H3085" s="36">
        <f t="shared" si="744"/>
        <v>45</v>
      </c>
      <c r="I3085" s="40">
        <v>1500</v>
      </c>
      <c r="J3085" s="65">
        <f t="shared" si="745"/>
        <v>67500</v>
      </c>
      <c r="K3085" s="37">
        <v>1</v>
      </c>
      <c r="L3085" s="31" t="s">
        <v>43</v>
      </c>
      <c r="M3085" s="31" t="s">
        <v>13</v>
      </c>
      <c r="N3085" s="41">
        <v>2</v>
      </c>
      <c r="O3085" s="46">
        <v>104.5</v>
      </c>
      <c r="P3085" s="86">
        <v>100</v>
      </c>
      <c r="Q3085" s="36">
        <v>7700</v>
      </c>
      <c r="R3085" s="36">
        <f>(O3085*Q3085)</f>
        <v>804650</v>
      </c>
      <c r="S3085" s="37">
        <v>32</v>
      </c>
      <c r="T3085" s="28">
        <f>(R3085*54/100)</f>
        <v>434511</v>
      </c>
      <c r="U3085" s="36">
        <f>(R3085-T3085)</f>
        <v>370139</v>
      </c>
      <c r="V3085" s="36">
        <f t="shared" si="742"/>
        <v>437639</v>
      </c>
      <c r="W3085" s="36">
        <f t="shared" si="743"/>
        <v>437639</v>
      </c>
      <c r="X3085" s="28">
        <v>0</v>
      </c>
      <c r="Y3085" s="28">
        <f>(W3085-X3085)</f>
        <v>437639</v>
      </c>
      <c r="Z3085" s="49">
        <v>2.0000000000000001E-4</v>
      </c>
    </row>
    <row r="3086" spans="1:26" s="120" customFormat="1" ht="90.75" customHeight="1" x14ac:dyDescent="0.25">
      <c r="A3086" s="20">
        <v>1513</v>
      </c>
      <c r="B3086" s="20" t="s">
        <v>0</v>
      </c>
      <c r="C3086" s="20">
        <v>46652</v>
      </c>
      <c r="D3086" s="21">
        <v>0</v>
      </c>
      <c r="E3086" s="21">
        <v>0</v>
      </c>
      <c r="F3086" s="22">
        <v>83</v>
      </c>
      <c r="G3086" s="23" t="s">
        <v>211</v>
      </c>
      <c r="H3086" s="36">
        <f>(D3086*400)+(E3086*100)+F3086</f>
        <v>83</v>
      </c>
      <c r="I3086" s="40">
        <v>1500</v>
      </c>
      <c r="J3086" s="28">
        <f t="shared" si="745"/>
        <v>124500</v>
      </c>
      <c r="K3086" s="37"/>
      <c r="L3086" s="31"/>
      <c r="M3086" s="31"/>
      <c r="N3086" s="41"/>
      <c r="O3086" s="46"/>
      <c r="P3086" s="86"/>
      <c r="Q3086" s="36"/>
      <c r="R3086" s="36"/>
      <c r="S3086" s="37"/>
      <c r="T3086" s="28"/>
      <c r="U3086" s="36"/>
      <c r="V3086" s="36"/>
      <c r="W3086" s="36"/>
      <c r="X3086" s="28"/>
      <c r="Y3086" s="28"/>
      <c r="Z3086" s="20"/>
    </row>
    <row r="3087" spans="1:26" s="120" customFormat="1" ht="90.75" customHeight="1" x14ac:dyDescent="0.25">
      <c r="A3087" s="20"/>
      <c r="B3087" s="20"/>
      <c r="C3087" s="20"/>
      <c r="D3087" s="21"/>
      <c r="E3087" s="21"/>
      <c r="F3087" s="22"/>
      <c r="G3087" s="23"/>
      <c r="H3087" s="36">
        <v>78</v>
      </c>
      <c r="I3087" s="40">
        <v>1500</v>
      </c>
      <c r="J3087" s="28">
        <f t="shared" si="745"/>
        <v>117000</v>
      </c>
      <c r="K3087" s="37"/>
      <c r="L3087" s="31" t="s">
        <v>215</v>
      </c>
      <c r="M3087" s="31" t="s">
        <v>13</v>
      </c>
      <c r="N3087" s="41">
        <v>2</v>
      </c>
      <c r="O3087" s="46">
        <v>136</v>
      </c>
      <c r="P3087" s="86">
        <v>100</v>
      </c>
      <c r="Q3087" s="36">
        <v>6450</v>
      </c>
      <c r="R3087" s="36">
        <f>(O3087*Q3087)</f>
        <v>877200</v>
      </c>
      <c r="S3087" s="37">
        <v>22</v>
      </c>
      <c r="T3087" s="28">
        <f>(R3087*34/100)</f>
        <v>298248</v>
      </c>
      <c r="U3087" s="36">
        <f>(R3087-T3087)</f>
        <v>578952</v>
      </c>
      <c r="V3087" s="36">
        <f>(J3087+U3087)</f>
        <v>695952</v>
      </c>
      <c r="W3087" s="36">
        <f>(V3087*100/100)</f>
        <v>695952</v>
      </c>
      <c r="X3087" s="28">
        <v>50000000</v>
      </c>
      <c r="Y3087" s="28"/>
      <c r="Z3087" s="20"/>
    </row>
    <row r="3088" spans="1:26" s="120" customFormat="1" ht="90.75" customHeight="1" x14ac:dyDescent="0.25">
      <c r="A3088" s="20"/>
      <c r="B3088" s="20"/>
      <c r="C3088" s="20"/>
      <c r="D3088" s="21"/>
      <c r="E3088" s="21"/>
      <c r="F3088" s="22"/>
      <c r="G3088" s="23"/>
      <c r="H3088" s="36">
        <f>(O3088*0.5)</f>
        <v>5</v>
      </c>
      <c r="I3088" s="40">
        <v>1500</v>
      </c>
      <c r="J3088" s="28">
        <f t="shared" si="745"/>
        <v>7500</v>
      </c>
      <c r="K3088" s="37"/>
      <c r="L3088" s="31" t="s">
        <v>29</v>
      </c>
      <c r="M3088" s="31"/>
      <c r="N3088" s="41">
        <v>3</v>
      </c>
      <c r="O3088" s="46">
        <v>10</v>
      </c>
      <c r="P3088" s="86">
        <v>100</v>
      </c>
      <c r="Q3088" s="36">
        <v>5550</v>
      </c>
      <c r="R3088" s="36">
        <f>(O3088*Q3088)</f>
        <v>55500</v>
      </c>
      <c r="S3088" s="37">
        <v>7</v>
      </c>
      <c r="T3088" s="28">
        <f>(R3088*7/100)</f>
        <v>3885</v>
      </c>
      <c r="U3088" s="36">
        <f>(R3088-T3088)</f>
        <v>51615</v>
      </c>
      <c r="V3088" s="36">
        <f>(J3088+U3088)</f>
        <v>59115</v>
      </c>
      <c r="W3088" s="36">
        <f>(V3088*100/100)</f>
        <v>59115</v>
      </c>
      <c r="X3088" s="28">
        <v>0</v>
      </c>
      <c r="Y3088" s="28">
        <f>(W3088-X3088)</f>
        <v>59115</v>
      </c>
      <c r="Z3088" s="49">
        <v>3.0000000000000001E-3</v>
      </c>
    </row>
    <row r="3089" spans="1:26" s="120" customFormat="1" ht="90.75" customHeight="1" x14ac:dyDescent="0.25">
      <c r="A3089" s="20">
        <v>1514</v>
      </c>
      <c r="B3089" s="20" t="s">
        <v>0</v>
      </c>
      <c r="C3089" s="20">
        <v>41239</v>
      </c>
      <c r="D3089" s="21">
        <v>0</v>
      </c>
      <c r="E3089" s="21">
        <v>1</v>
      </c>
      <c r="F3089" s="22">
        <v>2</v>
      </c>
      <c r="G3089" s="23" t="s">
        <v>211</v>
      </c>
      <c r="H3089" s="36">
        <f>(D3089*400)+(E3089*100)+F3089</f>
        <v>102</v>
      </c>
      <c r="I3089" s="40">
        <v>5000</v>
      </c>
      <c r="J3089" s="28">
        <f>(H3089*I3089)</f>
        <v>510000</v>
      </c>
      <c r="K3089" s="37">
        <v>1</v>
      </c>
      <c r="L3089" s="31" t="s">
        <v>215</v>
      </c>
      <c r="M3089" s="31" t="s">
        <v>13</v>
      </c>
      <c r="N3089" s="41">
        <v>5</v>
      </c>
      <c r="O3089" s="42">
        <v>270</v>
      </c>
      <c r="P3089" s="86" t="s">
        <v>256</v>
      </c>
      <c r="Q3089" s="36">
        <v>6450</v>
      </c>
      <c r="R3089" s="36">
        <f>(O3089*Q3089)</f>
        <v>1741500</v>
      </c>
      <c r="S3089" s="37">
        <v>19</v>
      </c>
      <c r="T3089" s="28">
        <f>(R3089*28/100)</f>
        <v>487620</v>
      </c>
      <c r="U3089" s="36">
        <f>(R3089-T3089)</f>
        <v>1253880</v>
      </c>
      <c r="V3089" s="36">
        <f>(J3089+U3089)</f>
        <v>1763880</v>
      </c>
      <c r="W3089" s="36">
        <f>(V3089*100/100)</f>
        <v>1763880</v>
      </c>
      <c r="X3089" s="28"/>
      <c r="Y3089" s="28"/>
      <c r="Z3089" s="20"/>
    </row>
    <row r="3090" spans="1:26" s="120" customFormat="1" ht="90.75" customHeight="1" x14ac:dyDescent="0.25">
      <c r="A3090" s="20"/>
      <c r="B3090" s="20"/>
      <c r="C3090" s="20"/>
      <c r="D3090" s="21"/>
      <c r="E3090" s="21"/>
      <c r="F3090" s="22"/>
      <c r="G3090" s="23"/>
      <c r="H3090" s="36"/>
      <c r="I3090" s="40"/>
      <c r="J3090" s="28"/>
      <c r="K3090" s="37"/>
      <c r="L3090" s="31" t="s">
        <v>69</v>
      </c>
      <c r="M3090" s="31"/>
      <c r="N3090" s="41"/>
      <c r="O3090" s="42">
        <v>136</v>
      </c>
      <c r="P3090" s="86">
        <f>(O3090*100/270)</f>
        <v>50.370370370370374</v>
      </c>
      <c r="Q3090" s="36"/>
      <c r="R3090" s="36"/>
      <c r="S3090" s="37"/>
      <c r="T3090" s="28"/>
      <c r="U3090" s="36"/>
      <c r="V3090" s="36"/>
      <c r="W3090" s="36">
        <f>(W3089*50.37/100)</f>
        <v>888466.35599999991</v>
      </c>
      <c r="X3090" s="28">
        <v>50000000</v>
      </c>
      <c r="Y3090" s="28"/>
      <c r="Z3090" s="20"/>
    </row>
    <row r="3091" spans="1:26" s="120" customFormat="1" ht="90.75" customHeight="1" x14ac:dyDescent="0.25">
      <c r="A3091" s="20"/>
      <c r="B3091" s="20"/>
      <c r="C3091" s="20"/>
      <c r="D3091" s="21"/>
      <c r="E3091" s="21"/>
      <c r="F3091" s="22"/>
      <c r="G3091" s="23"/>
      <c r="H3091" s="36"/>
      <c r="I3091" s="40"/>
      <c r="J3091" s="28"/>
      <c r="K3091" s="37"/>
      <c r="L3091" s="31" t="s">
        <v>61</v>
      </c>
      <c r="M3091" s="31"/>
      <c r="N3091" s="41"/>
      <c r="O3091" s="48">
        <v>20</v>
      </c>
      <c r="P3091" s="86">
        <f>(O3091*100/270)</f>
        <v>7.4074074074074074</v>
      </c>
      <c r="Q3091" s="36"/>
      <c r="R3091" s="36"/>
      <c r="S3091" s="37"/>
      <c r="T3091" s="28"/>
      <c r="U3091" s="36"/>
      <c r="V3091" s="36"/>
      <c r="W3091" s="36">
        <f>(W3089*7.41/100)</f>
        <v>130703.508</v>
      </c>
      <c r="X3091" s="28">
        <v>0</v>
      </c>
      <c r="Y3091" s="28">
        <f>(W3091-X3091)</f>
        <v>130703.508</v>
      </c>
      <c r="Z3091" s="49">
        <v>3.0000000000000001E-3</v>
      </c>
    </row>
    <row r="3092" spans="1:26" s="120" customFormat="1" ht="90.75" customHeight="1" x14ac:dyDescent="0.25">
      <c r="A3092" s="20"/>
      <c r="B3092" s="20"/>
      <c r="C3092" s="20"/>
      <c r="D3092" s="21"/>
      <c r="E3092" s="21"/>
      <c r="F3092" s="22"/>
      <c r="G3092" s="23"/>
      <c r="H3092" s="36"/>
      <c r="I3092" s="40"/>
      <c r="J3092" s="28"/>
      <c r="K3092" s="37"/>
      <c r="L3092" s="31" t="s">
        <v>45</v>
      </c>
      <c r="M3092" s="31"/>
      <c r="N3092" s="41"/>
      <c r="O3092" s="48">
        <v>114</v>
      </c>
      <c r="P3092" s="46">
        <f>(O3092*100/270)</f>
        <v>42.222222222222221</v>
      </c>
      <c r="Q3092" s="36"/>
      <c r="R3092" s="36"/>
      <c r="S3092" s="37"/>
      <c r="T3092" s="28"/>
      <c r="U3092" s="36"/>
      <c r="V3092" s="36"/>
      <c r="W3092" s="36">
        <f>(W3089*42.22/100)</f>
        <v>744710.13599999994</v>
      </c>
      <c r="X3092" s="28">
        <v>0</v>
      </c>
      <c r="Y3092" s="28">
        <f>(W3092-X3092)</f>
        <v>744710.13599999994</v>
      </c>
      <c r="Z3092" s="49">
        <v>3.0000000000000001E-3</v>
      </c>
    </row>
    <row r="3093" spans="1:26" s="120" customFormat="1" ht="90.75" customHeight="1" x14ac:dyDescent="0.25">
      <c r="A3093" s="20"/>
      <c r="B3093" s="20"/>
      <c r="C3093" s="20"/>
      <c r="D3093" s="21"/>
      <c r="E3093" s="21"/>
      <c r="F3093" s="22"/>
      <c r="G3093" s="23"/>
      <c r="H3093" s="36">
        <f>(O3093*0.25)</f>
        <v>9</v>
      </c>
      <c r="I3093" s="40">
        <v>5000</v>
      </c>
      <c r="J3093" s="28">
        <f>(H3093*I3093)</f>
        <v>45000</v>
      </c>
      <c r="K3093" s="37"/>
      <c r="L3093" s="31" t="s">
        <v>31</v>
      </c>
      <c r="M3093" s="31"/>
      <c r="N3093" s="41"/>
      <c r="O3093" s="42">
        <v>36</v>
      </c>
      <c r="P3093" s="46" t="s">
        <v>267</v>
      </c>
      <c r="Q3093" s="36">
        <v>2550</v>
      </c>
      <c r="R3093" s="36">
        <f>(O3093*Q3093)</f>
        <v>91800</v>
      </c>
      <c r="S3093" s="37">
        <v>19</v>
      </c>
      <c r="T3093" s="28">
        <f>(R3093*26/100)</f>
        <v>23868</v>
      </c>
      <c r="U3093" s="36">
        <f>(R3093-T3093)</f>
        <v>67932</v>
      </c>
      <c r="V3093" s="36">
        <f>(J3093+U3093)</f>
        <v>112932</v>
      </c>
      <c r="W3093" s="36">
        <f>(V3093*100/100)</f>
        <v>112932</v>
      </c>
      <c r="X3093" s="28">
        <v>50000000</v>
      </c>
      <c r="Y3093" s="28"/>
      <c r="Z3093" s="20"/>
    </row>
    <row r="3094" spans="1:26" s="120" customFormat="1" ht="90.75" customHeight="1" x14ac:dyDescent="0.25">
      <c r="A3094" s="20">
        <v>1515</v>
      </c>
      <c r="B3094" s="20" t="s">
        <v>0</v>
      </c>
      <c r="C3094" s="20">
        <v>42966</v>
      </c>
      <c r="D3094" s="21">
        <v>1</v>
      </c>
      <c r="E3094" s="21">
        <v>1</v>
      </c>
      <c r="F3094" s="22">
        <v>73</v>
      </c>
      <c r="G3094" s="23" t="s">
        <v>56</v>
      </c>
      <c r="H3094" s="36">
        <f>(D3094*400)+(E3094*100)+F3094</f>
        <v>573</v>
      </c>
      <c r="I3094" s="25" t="s">
        <v>9</v>
      </c>
      <c r="J3094" s="28">
        <f>(H3094*I3094)</f>
        <v>171900</v>
      </c>
      <c r="K3094" s="20"/>
      <c r="L3094" s="20"/>
      <c r="M3094" s="20"/>
      <c r="N3094" s="20"/>
      <c r="O3094" s="24"/>
      <c r="P3094" s="24"/>
      <c r="Q3094" s="25"/>
      <c r="R3094" s="24"/>
      <c r="S3094" s="20"/>
      <c r="T3094" s="27"/>
      <c r="U3094" s="20"/>
      <c r="V3094" s="20"/>
      <c r="W3094" s="26"/>
      <c r="X3094" s="27"/>
      <c r="Y3094" s="20"/>
      <c r="Z3094" s="20"/>
    </row>
    <row r="3095" spans="1:26" s="120" customFormat="1" ht="90.75" customHeight="1" x14ac:dyDescent="0.25">
      <c r="A3095" s="20"/>
      <c r="B3095" s="20"/>
      <c r="C3095" s="20"/>
      <c r="D3095" s="21"/>
      <c r="E3095" s="21"/>
      <c r="F3095" s="22"/>
      <c r="G3095" s="23"/>
      <c r="H3095" s="36">
        <f>(O3095*0.25)</f>
        <v>105</v>
      </c>
      <c r="I3095" s="40">
        <v>300</v>
      </c>
      <c r="J3095" s="28">
        <f t="shared" ref="J3095:J3098" si="746">(H3095*I3095)</f>
        <v>31500</v>
      </c>
      <c r="K3095" s="41">
        <v>1</v>
      </c>
      <c r="L3095" s="31" t="s">
        <v>43</v>
      </c>
      <c r="M3095" s="43" t="s">
        <v>13</v>
      </c>
      <c r="N3095" s="30">
        <v>2</v>
      </c>
      <c r="O3095" s="48">
        <v>420</v>
      </c>
      <c r="P3095" s="43"/>
      <c r="Q3095" s="44"/>
      <c r="R3095" s="48"/>
      <c r="S3095" s="41"/>
      <c r="T3095" s="45"/>
      <c r="U3095" s="48"/>
      <c r="V3095" s="48"/>
      <c r="W3095" s="48"/>
      <c r="X3095" s="47"/>
      <c r="Y3095" s="48"/>
      <c r="Z3095" s="49"/>
    </row>
    <row r="3096" spans="1:26" s="120" customFormat="1" ht="90.75" customHeight="1" x14ac:dyDescent="0.25">
      <c r="A3096" s="20"/>
      <c r="B3096" s="20"/>
      <c r="C3096" s="20"/>
      <c r="D3096" s="21"/>
      <c r="E3096" s="21"/>
      <c r="F3096" s="22"/>
      <c r="G3096" s="23"/>
      <c r="H3096" s="36">
        <f t="shared" ref="H3096:H3098" si="747">(O3096*0.25)</f>
        <v>35</v>
      </c>
      <c r="I3096" s="40">
        <v>300</v>
      </c>
      <c r="J3096" s="28">
        <f t="shared" si="746"/>
        <v>10500</v>
      </c>
      <c r="K3096" s="41"/>
      <c r="L3096" s="31" t="s">
        <v>43</v>
      </c>
      <c r="M3096" s="43" t="s">
        <v>13</v>
      </c>
      <c r="N3096" s="30">
        <v>2</v>
      </c>
      <c r="O3096" s="48">
        <v>140</v>
      </c>
      <c r="P3096" s="43">
        <v>100</v>
      </c>
      <c r="Q3096" s="44">
        <v>7700</v>
      </c>
      <c r="R3096" s="48">
        <f t="shared" ref="R3096" si="748">(O3096*Q3096)</f>
        <v>1078000</v>
      </c>
      <c r="S3096" s="41">
        <v>21</v>
      </c>
      <c r="T3096" s="45">
        <f>(R3096*32/100)</f>
        <v>344960</v>
      </c>
      <c r="U3096" s="48">
        <f>(R3096-T3096)</f>
        <v>733040</v>
      </c>
      <c r="V3096" s="48">
        <f>(J3096+U3096)</f>
        <v>743540</v>
      </c>
      <c r="W3096" s="48">
        <f>(V3096*100/100)</f>
        <v>743540</v>
      </c>
      <c r="X3096" s="47">
        <v>0</v>
      </c>
      <c r="Y3096" s="48">
        <f>(W3096-X3096)</f>
        <v>743540</v>
      </c>
      <c r="Z3096" s="49">
        <v>2.0000000000000001E-4</v>
      </c>
    </row>
    <row r="3097" spans="1:26" s="120" customFormat="1" ht="90.75" customHeight="1" x14ac:dyDescent="0.25">
      <c r="A3097" s="20"/>
      <c r="B3097" s="20"/>
      <c r="C3097" s="20"/>
      <c r="D3097" s="21"/>
      <c r="E3097" s="21"/>
      <c r="F3097" s="22"/>
      <c r="G3097" s="23"/>
      <c r="H3097" s="36">
        <f t="shared" si="747"/>
        <v>35</v>
      </c>
      <c r="I3097" s="40">
        <v>300</v>
      </c>
      <c r="J3097" s="28">
        <f t="shared" si="746"/>
        <v>10500</v>
      </c>
      <c r="K3097" s="41"/>
      <c r="L3097" s="31" t="s">
        <v>43</v>
      </c>
      <c r="M3097" s="43" t="s">
        <v>13</v>
      </c>
      <c r="N3097" s="30">
        <v>2</v>
      </c>
      <c r="O3097" s="48">
        <v>140</v>
      </c>
      <c r="P3097" s="43">
        <v>100</v>
      </c>
      <c r="Q3097" s="44">
        <v>7700</v>
      </c>
      <c r="R3097" s="48">
        <v>1078000</v>
      </c>
      <c r="S3097" s="41">
        <v>21</v>
      </c>
      <c r="T3097" s="45">
        <f t="shared" ref="T3097:T3098" si="749">(R3097*32/100)</f>
        <v>344960</v>
      </c>
      <c r="U3097" s="48">
        <f t="shared" ref="U3097:U3098" si="750">(R3097-T3097)</f>
        <v>733040</v>
      </c>
      <c r="V3097" s="48">
        <f t="shared" ref="V3097:V3098" si="751">(J3097+U3097)</f>
        <v>743540</v>
      </c>
      <c r="W3097" s="48">
        <f t="shared" ref="W3097:W3098" si="752">(V3097*100/100)</f>
        <v>743540</v>
      </c>
      <c r="X3097" s="47">
        <v>0</v>
      </c>
      <c r="Y3097" s="48">
        <f t="shared" ref="Y3097:Y3098" si="753">(W3097-X3097)</f>
        <v>743540</v>
      </c>
      <c r="Z3097" s="49">
        <v>2.0000000000000001E-4</v>
      </c>
    </row>
    <row r="3098" spans="1:26" s="120" customFormat="1" ht="90.75" customHeight="1" x14ac:dyDescent="0.25">
      <c r="A3098" s="20"/>
      <c r="B3098" s="20"/>
      <c r="C3098" s="20"/>
      <c r="D3098" s="21"/>
      <c r="E3098" s="21"/>
      <c r="F3098" s="22"/>
      <c r="G3098" s="23"/>
      <c r="H3098" s="36">
        <f t="shared" si="747"/>
        <v>35</v>
      </c>
      <c r="I3098" s="40">
        <v>300</v>
      </c>
      <c r="J3098" s="28">
        <f t="shared" si="746"/>
        <v>10500</v>
      </c>
      <c r="K3098" s="41"/>
      <c r="L3098" s="31" t="s">
        <v>43</v>
      </c>
      <c r="M3098" s="43" t="s">
        <v>13</v>
      </c>
      <c r="N3098" s="30">
        <v>2</v>
      </c>
      <c r="O3098" s="48">
        <v>140</v>
      </c>
      <c r="P3098" s="43">
        <v>100</v>
      </c>
      <c r="Q3098" s="44">
        <v>7700</v>
      </c>
      <c r="R3098" s="48">
        <v>1078000</v>
      </c>
      <c r="S3098" s="41">
        <v>21</v>
      </c>
      <c r="T3098" s="45">
        <f t="shared" si="749"/>
        <v>344960</v>
      </c>
      <c r="U3098" s="48">
        <f t="shared" si="750"/>
        <v>733040</v>
      </c>
      <c r="V3098" s="48">
        <f t="shared" si="751"/>
        <v>743540</v>
      </c>
      <c r="W3098" s="48">
        <f t="shared" si="752"/>
        <v>743540</v>
      </c>
      <c r="X3098" s="47">
        <v>0</v>
      </c>
      <c r="Y3098" s="48">
        <f t="shared" si="753"/>
        <v>743540</v>
      </c>
      <c r="Z3098" s="49">
        <v>2.0000000000000001E-4</v>
      </c>
    </row>
    <row r="3099" spans="1:26" s="120" customFormat="1" ht="90.75" customHeight="1" x14ac:dyDescent="0.25">
      <c r="A3099" s="20">
        <v>1516</v>
      </c>
      <c r="B3099" s="20" t="s">
        <v>0</v>
      </c>
      <c r="C3099" s="20">
        <v>42965</v>
      </c>
      <c r="D3099" s="21">
        <v>0</v>
      </c>
      <c r="E3099" s="21">
        <v>0</v>
      </c>
      <c r="F3099" s="22">
        <v>53</v>
      </c>
      <c r="G3099" s="23" t="s">
        <v>56</v>
      </c>
      <c r="H3099" s="36">
        <f t="shared" ref="H3099:H3104" si="754">(D3099*400)+(E3099*100)+F3099</f>
        <v>53</v>
      </c>
      <c r="I3099" s="25" t="s">
        <v>9</v>
      </c>
      <c r="J3099" s="28">
        <f t="shared" ref="J3099:J3101" si="755">(H3099*I3099)</f>
        <v>15900</v>
      </c>
      <c r="K3099" s="37">
        <v>1</v>
      </c>
      <c r="L3099" s="31" t="s">
        <v>215</v>
      </c>
      <c r="M3099" s="31" t="s">
        <v>40</v>
      </c>
      <c r="N3099" s="41">
        <v>2</v>
      </c>
      <c r="O3099" s="46">
        <v>45</v>
      </c>
      <c r="P3099" s="86">
        <v>100</v>
      </c>
      <c r="Q3099" s="36">
        <v>6450</v>
      </c>
      <c r="R3099" s="36">
        <f>(O3099*Q3099)</f>
        <v>290250</v>
      </c>
      <c r="S3099" s="37">
        <v>32</v>
      </c>
      <c r="T3099" s="28">
        <f>(R3099*93/100)</f>
        <v>269932.5</v>
      </c>
      <c r="U3099" s="36">
        <f>(R3099-T3099)</f>
        <v>20317.5</v>
      </c>
      <c r="V3099" s="36">
        <f>(J3099+U3099)</f>
        <v>36217.5</v>
      </c>
      <c r="W3099" s="36">
        <f>(V3099*100/100)</f>
        <v>36217.5</v>
      </c>
      <c r="X3099" s="28">
        <v>0</v>
      </c>
      <c r="Y3099" s="28">
        <f>(W3099-X3099)</f>
        <v>36217.5</v>
      </c>
      <c r="Z3099" s="49">
        <v>2.0000000000000001E-4</v>
      </c>
    </row>
    <row r="3100" spans="1:26" s="120" customFormat="1" ht="90.75" customHeight="1" x14ac:dyDescent="0.25">
      <c r="A3100" s="20">
        <v>1517</v>
      </c>
      <c r="B3100" s="20" t="s">
        <v>0</v>
      </c>
      <c r="C3100" s="20">
        <v>42967</v>
      </c>
      <c r="D3100" s="21">
        <v>0</v>
      </c>
      <c r="E3100" s="21">
        <v>3</v>
      </c>
      <c r="F3100" s="22">
        <v>23</v>
      </c>
      <c r="G3100" s="23" t="s">
        <v>198</v>
      </c>
      <c r="H3100" s="36">
        <f t="shared" si="754"/>
        <v>323</v>
      </c>
      <c r="I3100" s="25" t="s">
        <v>9</v>
      </c>
      <c r="J3100" s="28">
        <f t="shared" si="755"/>
        <v>96900</v>
      </c>
      <c r="K3100" s="20"/>
      <c r="L3100" s="20" t="s">
        <v>2</v>
      </c>
      <c r="M3100" s="20" t="s">
        <v>2</v>
      </c>
      <c r="N3100" s="20"/>
      <c r="O3100" s="24"/>
      <c r="P3100" s="24"/>
      <c r="Q3100" s="25"/>
      <c r="R3100" s="24"/>
      <c r="S3100" s="20" t="s">
        <v>2</v>
      </c>
      <c r="T3100" s="27"/>
      <c r="U3100" s="20"/>
      <c r="V3100" s="20"/>
      <c r="W3100" s="26"/>
      <c r="X3100" s="27"/>
      <c r="Y3100" s="20"/>
      <c r="Z3100" s="20"/>
    </row>
    <row r="3101" spans="1:26" s="120" customFormat="1" ht="90.75" customHeight="1" x14ac:dyDescent="0.25">
      <c r="A3101" s="20">
        <v>1518</v>
      </c>
      <c r="B3101" s="20" t="s">
        <v>0</v>
      </c>
      <c r="C3101" s="20">
        <v>42963</v>
      </c>
      <c r="D3101" s="21">
        <v>1</v>
      </c>
      <c r="E3101" s="21">
        <v>0</v>
      </c>
      <c r="F3101" s="22">
        <v>76</v>
      </c>
      <c r="G3101" s="23" t="s">
        <v>56</v>
      </c>
      <c r="H3101" s="36">
        <f t="shared" si="754"/>
        <v>476</v>
      </c>
      <c r="I3101" s="25" t="s">
        <v>155</v>
      </c>
      <c r="J3101" s="28">
        <f t="shared" si="755"/>
        <v>1475600</v>
      </c>
      <c r="K3101" s="37">
        <v>1</v>
      </c>
      <c r="L3101" s="31" t="s">
        <v>215</v>
      </c>
      <c r="M3101" s="31" t="s">
        <v>13</v>
      </c>
      <c r="N3101" s="41">
        <v>2</v>
      </c>
      <c r="O3101" s="46">
        <v>288</v>
      </c>
      <c r="P3101" s="86" t="s">
        <v>256</v>
      </c>
      <c r="Q3101" s="36">
        <v>6450</v>
      </c>
      <c r="R3101" s="36">
        <f>(O3101*Q3101)</f>
        <v>1857600</v>
      </c>
      <c r="S3101" s="37">
        <v>26</v>
      </c>
      <c r="T3101" s="28">
        <f t="shared" ref="T3101:T3102" si="756">(R3101*42/100)</f>
        <v>780192</v>
      </c>
      <c r="U3101" s="36">
        <f>(R3101-T3101)</f>
        <v>1077408</v>
      </c>
      <c r="V3101" s="20"/>
      <c r="W3101" s="26"/>
      <c r="X3101" s="27"/>
      <c r="Y3101" s="20"/>
      <c r="Z3101" s="20"/>
    </row>
    <row r="3102" spans="1:26" s="120" customFormat="1" ht="90.75" customHeight="1" x14ac:dyDescent="0.25">
      <c r="A3102" s="20"/>
      <c r="B3102" s="20"/>
      <c r="C3102" s="20"/>
      <c r="D3102" s="21"/>
      <c r="E3102" s="21"/>
      <c r="F3102" s="22"/>
      <c r="G3102" s="23"/>
      <c r="H3102" s="36"/>
      <c r="I3102" s="25"/>
      <c r="J3102" s="28"/>
      <c r="K3102" s="37">
        <v>2</v>
      </c>
      <c r="L3102" s="31" t="s">
        <v>31</v>
      </c>
      <c r="M3102" s="31"/>
      <c r="N3102" s="41"/>
      <c r="O3102" s="46">
        <v>16</v>
      </c>
      <c r="P3102" s="86">
        <v>100</v>
      </c>
      <c r="Q3102" s="36">
        <v>2550</v>
      </c>
      <c r="R3102" s="36">
        <f>(O3102*Q3102)</f>
        <v>40800</v>
      </c>
      <c r="S3102" s="37">
        <v>26</v>
      </c>
      <c r="T3102" s="28">
        <f t="shared" si="756"/>
        <v>17136</v>
      </c>
      <c r="U3102" s="36">
        <f>(R3102-T3102)</f>
        <v>23664</v>
      </c>
      <c r="V3102" s="20"/>
      <c r="W3102" s="26"/>
      <c r="X3102" s="27"/>
      <c r="Y3102" s="20"/>
      <c r="Z3102" s="20"/>
    </row>
    <row r="3103" spans="1:26" s="120" customFormat="1" ht="90.75" customHeight="1" x14ac:dyDescent="0.25">
      <c r="A3103" s="20"/>
      <c r="B3103" s="20"/>
      <c r="C3103" s="20"/>
      <c r="D3103" s="21"/>
      <c r="E3103" s="21"/>
      <c r="F3103" s="22"/>
      <c r="G3103" s="23"/>
      <c r="H3103" s="36"/>
      <c r="I3103" s="25"/>
      <c r="J3103" s="28"/>
      <c r="K3103" s="20"/>
      <c r="L3103" s="20"/>
      <c r="M3103" s="20"/>
      <c r="N3103" s="20"/>
      <c r="O3103" s="24"/>
      <c r="P3103" s="24"/>
      <c r="Q3103" s="25"/>
      <c r="R3103" s="24"/>
      <c r="S3103" s="20"/>
      <c r="T3103" s="27"/>
      <c r="U3103" s="78">
        <f>SUM(U3101:U3102)</f>
        <v>1101072</v>
      </c>
      <c r="V3103" s="80">
        <f>(J3101+U3103)</f>
        <v>2576672</v>
      </c>
      <c r="W3103" s="36">
        <f>(V3103*100/100)</f>
        <v>2576672</v>
      </c>
      <c r="X3103" s="28">
        <v>0</v>
      </c>
      <c r="Y3103" s="28">
        <f>(W3103-X3103)</f>
        <v>2576672</v>
      </c>
      <c r="Z3103" s="49">
        <v>2.0000000000000001E-4</v>
      </c>
    </row>
    <row r="3104" spans="1:26" s="120" customFormat="1" ht="90.75" customHeight="1" x14ac:dyDescent="0.25">
      <c r="A3104" s="20">
        <v>1519</v>
      </c>
      <c r="B3104" s="20" t="s">
        <v>0</v>
      </c>
      <c r="C3104" s="20">
        <v>42962</v>
      </c>
      <c r="D3104" s="21">
        <v>2</v>
      </c>
      <c r="E3104" s="21">
        <v>3</v>
      </c>
      <c r="F3104" s="22">
        <v>22</v>
      </c>
      <c r="G3104" s="23" t="s">
        <v>56</v>
      </c>
      <c r="H3104" s="36">
        <f t="shared" si="754"/>
        <v>1122</v>
      </c>
      <c r="I3104" s="40" t="s">
        <v>155</v>
      </c>
      <c r="J3104" s="65">
        <f>(H3104*I3104)</f>
        <v>3478200</v>
      </c>
      <c r="K3104" s="30"/>
      <c r="L3104" s="20"/>
      <c r="M3104" s="35"/>
      <c r="N3104" s="30"/>
      <c r="O3104" s="36"/>
      <c r="P3104" s="86"/>
      <c r="Q3104" s="40"/>
      <c r="R3104" s="84"/>
      <c r="S3104" s="84"/>
      <c r="T3104" s="28"/>
      <c r="U3104" s="84"/>
      <c r="V3104" s="36"/>
      <c r="W3104" s="36"/>
      <c r="X3104" s="28"/>
      <c r="Y3104" s="26"/>
      <c r="Z3104" s="53"/>
    </row>
    <row r="3105" spans="1:26" s="120" customFormat="1" ht="90.75" customHeight="1" x14ac:dyDescent="0.25">
      <c r="A3105" s="20"/>
      <c r="B3105" s="20"/>
      <c r="C3105" s="20"/>
      <c r="D3105" s="21"/>
      <c r="E3105" s="21"/>
      <c r="F3105" s="22"/>
      <c r="G3105" s="23"/>
      <c r="H3105" s="36"/>
      <c r="I3105" s="25"/>
      <c r="J3105" s="65"/>
      <c r="K3105" s="30">
        <v>1</v>
      </c>
      <c r="L3105" s="20" t="s">
        <v>43</v>
      </c>
      <c r="M3105" s="35" t="s">
        <v>13</v>
      </c>
      <c r="N3105" s="30"/>
      <c r="O3105" s="36"/>
      <c r="P3105" s="86"/>
      <c r="Q3105" s="40"/>
      <c r="R3105" s="84"/>
      <c r="S3105" s="84"/>
      <c r="T3105" s="28"/>
      <c r="U3105" s="84"/>
      <c r="V3105" s="36"/>
      <c r="W3105" s="36"/>
      <c r="X3105" s="28"/>
      <c r="Y3105" s="26"/>
      <c r="Z3105" s="53"/>
    </row>
    <row r="3106" spans="1:26" s="120" customFormat="1" ht="90.75" customHeight="1" x14ac:dyDescent="0.25">
      <c r="A3106" s="20"/>
      <c r="B3106" s="20" t="s">
        <v>0</v>
      </c>
      <c r="C3106" s="20">
        <v>42962</v>
      </c>
      <c r="D3106" s="21"/>
      <c r="E3106" s="21"/>
      <c r="F3106" s="22"/>
      <c r="G3106" s="23"/>
      <c r="H3106" s="36">
        <f>(O3106*0.25/100)</f>
        <v>0.6</v>
      </c>
      <c r="I3106" s="40" t="s">
        <v>155</v>
      </c>
      <c r="J3106" s="65">
        <f>(H3106*I3106)</f>
        <v>1860</v>
      </c>
      <c r="K3106" s="41"/>
      <c r="L3106" s="31" t="s">
        <v>43</v>
      </c>
      <c r="M3106" s="43" t="s">
        <v>13</v>
      </c>
      <c r="N3106" s="30">
        <v>2</v>
      </c>
      <c r="O3106" s="48">
        <v>240</v>
      </c>
      <c r="P3106" s="43">
        <v>100</v>
      </c>
      <c r="Q3106" s="44">
        <v>7700</v>
      </c>
      <c r="R3106" s="48">
        <f>(O3106*Q3106)</f>
        <v>1848000</v>
      </c>
      <c r="S3106" s="41">
        <v>25</v>
      </c>
      <c r="T3106" s="45">
        <f>(R3106*40/100)</f>
        <v>739200</v>
      </c>
      <c r="U3106" s="48">
        <f>(R3106-T3106)</f>
        <v>1108800</v>
      </c>
      <c r="V3106" s="48">
        <f>(J3106+U3106)</f>
        <v>1110660</v>
      </c>
      <c r="W3106" s="48">
        <f>(V3106*100/100)</f>
        <v>1110660</v>
      </c>
      <c r="X3106" s="47">
        <v>0</v>
      </c>
      <c r="Y3106" s="48">
        <f>(W3106-X3106)</f>
        <v>1110660</v>
      </c>
      <c r="Z3106" s="49">
        <v>2.0000000000000001E-4</v>
      </c>
    </row>
    <row r="3107" spans="1:26" s="29" customFormat="1" ht="90.75" customHeight="1" x14ac:dyDescent="0.25">
      <c r="A3107" s="20"/>
      <c r="B3107" s="20" t="s">
        <v>0</v>
      </c>
      <c r="C3107" s="20">
        <v>42962</v>
      </c>
      <c r="D3107" s="21"/>
      <c r="E3107" s="21"/>
      <c r="F3107" s="22"/>
      <c r="G3107" s="23"/>
      <c r="H3107" s="36">
        <f t="shared" ref="H3107:H3110" si="757">(O3107*0.25/100)</f>
        <v>0.4</v>
      </c>
      <c r="I3107" s="40" t="s">
        <v>155</v>
      </c>
      <c r="J3107" s="65">
        <f t="shared" ref="J3107:J3110" si="758">(H3107*I3107)</f>
        <v>1240</v>
      </c>
      <c r="K3107" s="41"/>
      <c r="L3107" s="31" t="s">
        <v>43</v>
      </c>
      <c r="M3107" s="43" t="s">
        <v>13</v>
      </c>
      <c r="N3107" s="30">
        <v>2</v>
      </c>
      <c r="O3107" s="48">
        <v>160</v>
      </c>
      <c r="P3107" s="43">
        <v>100</v>
      </c>
      <c r="Q3107" s="44">
        <v>7700</v>
      </c>
      <c r="R3107" s="48">
        <f t="shared" ref="R3107:R3114" si="759">(O3107*Q3107)</f>
        <v>1232000</v>
      </c>
      <c r="S3107" s="41">
        <v>25</v>
      </c>
      <c r="T3107" s="45">
        <f t="shared" ref="T3107:T3109" si="760">(R3107*40/100)</f>
        <v>492800</v>
      </c>
      <c r="U3107" s="48">
        <f t="shared" ref="U3107:U3109" si="761">(R3107-T3107)</f>
        <v>739200</v>
      </c>
      <c r="V3107" s="48">
        <f t="shared" ref="V3107:V3109" si="762">(J3107+U3107)</f>
        <v>740440</v>
      </c>
      <c r="W3107" s="48">
        <f t="shared" ref="W3107:W3110" si="763">(V3107*100/100)</f>
        <v>740440</v>
      </c>
      <c r="X3107" s="47">
        <v>0</v>
      </c>
      <c r="Y3107" s="48">
        <f t="shared" ref="Y3107:Y3110" si="764">(W3107-X3107)</f>
        <v>740440</v>
      </c>
      <c r="Z3107" s="49">
        <v>2.0000000000000001E-4</v>
      </c>
    </row>
    <row r="3108" spans="1:26" s="29" customFormat="1" ht="90.75" customHeight="1" x14ac:dyDescent="0.25">
      <c r="A3108" s="20"/>
      <c r="B3108" s="20" t="s">
        <v>0</v>
      </c>
      <c r="C3108" s="20">
        <v>42962</v>
      </c>
      <c r="D3108" s="21"/>
      <c r="E3108" s="21"/>
      <c r="F3108" s="22"/>
      <c r="G3108" s="23"/>
      <c r="H3108" s="36">
        <f t="shared" si="757"/>
        <v>0.3</v>
      </c>
      <c r="I3108" s="40" t="s">
        <v>155</v>
      </c>
      <c r="J3108" s="65">
        <f t="shared" si="758"/>
        <v>930</v>
      </c>
      <c r="K3108" s="41"/>
      <c r="L3108" s="31" t="s">
        <v>43</v>
      </c>
      <c r="M3108" s="43" t="s">
        <v>13</v>
      </c>
      <c r="N3108" s="30">
        <v>2</v>
      </c>
      <c r="O3108" s="48">
        <v>120</v>
      </c>
      <c r="P3108" s="43">
        <v>100</v>
      </c>
      <c r="Q3108" s="44">
        <v>7700</v>
      </c>
      <c r="R3108" s="48">
        <f t="shared" si="759"/>
        <v>924000</v>
      </c>
      <c r="S3108" s="41">
        <v>25</v>
      </c>
      <c r="T3108" s="45">
        <f t="shared" si="760"/>
        <v>369600</v>
      </c>
      <c r="U3108" s="48">
        <f t="shared" si="761"/>
        <v>554400</v>
      </c>
      <c r="V3108" s="48">
        <f t="shared" si="762"/>
        <v>555330</v>
      </c>
      <c r="W3108" s="48">
        <f t="shared" si="763"/>
        <v>555330</v>
      </c>
      <c r="X3108" s="47">
        <v>0</v>
      </c>
      <c r="Y3108" s="48">
        <f t="shared" si="764"/>
        <v>555330</v>
      </c>
      <c r="Z3108" s="49">
        <v>2.0000000000000001E-4</v>
      </c>
    </row>
    <row r="3109" spans="1:26" s="29" customFormat="1" ht="90.75" customHeight="1" x14ac:dyDescent="0.25">
      <c r="A3109" s="20"/>
      <c r="B3109" s="20" t="s">
        <v>0</v>
      </c>
      <c r="C3109" s="20">
        <v>42962</v>
      </c>
      <c r="D3109" s="21"/>
      <c r="E3109" s="21"/>
      <c r="F3109" s="22"/>
      <c r="G3109" s="23"/>
      <c r="H3109" s="36">
        <f t="shared" si="757"/>
        <v>0.2</v>
      </c>
      <c r="I3109" s="40" t="s">
        <v>155</v>
      </c>
      <c r="J3109" s="65">
        <f t="shared" si="758"/>
        <v>620</v>
      </c>
      <c r="K3109" s="41"/>
      <c r="L3109" s="31" t="s">
        <v>43</v>
      </c>
      <c r="M3109" s="43" t="s">
        <v>13</v>
      </c>
      <c r="N3109" s="30">
        <v>2</v>
      </c>
      <c r="O3109" s="48">
        <v>80</v>
      </c>
      <c r="P3109" s="43">
        <v>100</v>
      </c>
      <c r="Q3109" s="44">
        <v>7700</v>
      </c>
      <c r="R3109" s="48">
        <f t="shared" si="759"/>
        <v>616000</v>
      </c>
      <c r="S3109" s="41">
        <v>25</v>
      </c>
      <c r="T3109" s="45">
        <f t="shared" si="760"/>
        <v>246400</v>
      </c>
      <c r="U3109" s="48">
        <f t="shared" si="761"/>
        <v>369600</v>
      </c>
      <c r="V3109" s="48">
        <f t="shared" si="762"/>
        <v>370220</v>
      </c>
      <c r="W3109" s="48">
        <f t="shared" si="763"/>
        <v>370220</v>
      </c>
      <c r="X3109" s="47">
        <v>0</v>
      </c>
      <c r="Y3109" s="48">
        <f t="shared" si="764"/>
        <v>370220</v>
      </c>
      <c r="Z3109" s="49">
        <v>2.0000000000000001E-4</v>
      </c>
    </row>
    <row r="3110" spans="1:26" s="29" customFormat="1" ht="90.75" customHeight="1" x14ac:dyDescent="0.25">
      <c r="A3110" s="20"/>
      <c r="B3110" s="20" t="s">
        <v>0</v>
      </c>
      <c r="C3110" s="20">
        <v>42962</v>
      </c>
      <c r="D3110" s="21"/>
      <c r="E3110" s="21"/>
      <c r="F3110" s="22"/>
      <c r="G3110" s="23"/>
      <c r="H3110" s="36">
        <f t="shared" si="757"/>
        <v>0.625</v>
      </c>
      <c r="I3110" s="40" t="s">
        <v>155</v>
      </c>
      <c r="J3110" s="65">
        <f t="shared" si="758"/>
        <v>1937.5</v>
      </c>
      <c r="K3110" s="30">
        <v>2</v>
      </c>
      <c r="L3110" s="31" t="s">
        <v>43</v>
      </c>
      <c r="M3110" s="43" t="s">
        <v>13</v>
      </c>
      <c r="N3110" s="30">
        <v>2</v>
      </c>
      <c r="O3110" s="48">
        <v>250</v>
      </c>
      <c r="P3110" s="43">
        <v>100</v>
      </c>
      <c r="Q3110" s="44">
        <v>7700</v>
      </c>
      <c r="R3110" s="48">
        <f t="shared" si="759"/>
        <v>1925000</v>
      </c>
      <c r="S3110" s="41">
        <v>25</v>
      </c>
      <c r="T3110" s="45">
        <f t="shared" ref="T3110" si="765">(R3110*40/100)</f>
        <v>770000</v>
      </c>
      <c r="U3110" s="48">
        <f>(R3110-T3110)</f>
        <v>1155000</v>
      </c>
      <c r="V3110" s="48">
        <f>(J3110+U3110)</f>
        <v>1156937.5</v>
      </c>
      <c r="W3110" s="48">
        <f t="shared" si="763"/>
        <v>1156937.5</v>
      </c>
      <c r="X3110" s="47">
        <v>0</v>
      </c>
      <c r="Y3110" s="48">
        <f t="shared" si="764"/>
        <v>1156937.5</v>
      </c>
      <c r="Z3110" s="49">
        <v>2.0000000000000001E-4</v>
      </c>
    </row>
    <row r="3111" spans="1:26" s="29" customFormat="1" ht="90.75" customHeight="1" x14ac:dyDescent="0.25">
      <c r="A3111" s="20">
        <v>1520</v>
      </c>
      <c r="B3111" s="20" t="s">
        <v>0</v>
      </c>
      <c r="C3111" s="20">
        <v>42961</v>
      </c>
      <c r="D3111" s="21">
        <v>3</v>
      </c>
      <c r="E3111" s="21">
        <v>0</v>
      </c>
      <c r="F3111" s="22">
        <v>22</v>
      </c>
      <c r="G3111" s="23" t="s">
        <v>56</v>
      </c>
      <c r="H3111" s="36">
        <f t="shared" ref="H3111" si="766">(D3111*400)+(E3111*100)+F3111</f>
        <v>1222</v>
      </c>
      <c r="I3111" s="25" t="s">
        <v>173</v>
      </c>
      <c r="J3111" s="65">
        <f>(H3111*I3111)</f>
        <v>3421600</v>
      </c>
      <c r="K3111" s="41">
        <v>1</v>
      </c>
      <c r="L3111" s="31" t="s">
        <v>215</v>
      </c>
      <c r="M3111" s="43" t="s">
        <v>52</v>
      </c>
      <c r="N3111" s="30">
        <v>2</v>
      </c>
      <c r="O3111" s="48">
        <v>576</v>
      </c>
      <c r="P3111" s="43">
        <v>100</v>
      </c>
      <c r="Q3111" s="44">
        <v>6450</v>
      </c>
      <c r="R3111" s="48">
        <f t="shared" si="759"/>
        <v>3715200</v>
      </c>
      <c r="S3111" s="41">
        <v>31</v>
      </c>
      <c r="T3111" s="47">
        <f>(R3111*85/100)</f>
        <v>3157920</v>
      </c>
      <c r="U3111" s="121">
        <f>(R3111-T3111)</f>
        <v>557280</v>
      </c>
      <c r="V3111" s="48"/>
      <c r="W3111" s="48"/>
      <c r="X3111" s="47"/>
      <c r="Y3111" s="48"/>
      <c r="Z3111" s="53"/>
    </row>
    <row r="3112" spans="1:26" s="29" customFormat="1" ht="90.75" customHeight="1" x14ac:dyDescent="0.25">
      <c r="A3112" s="20"/>
      <c r="B3112" s="20"/>
      <c r="C3112" s="20"/>
      <c r="D3112" s="21"/>
      <c r="E3112" s="21"/>
      <c r="F3112" s="22"/>
      <c r="G3112" s="23"/>
      <c r="H3112" s="24"/>
      <c r="I3112" s="25"/>
      <c r="J3112" s="24"/>
      <c r="K3112" s="41">
        <v>2</v>
      </c>
      <c r="L3112" s="31" t="s">
        <v>31</v>
      </c>
      <c r="M3112" s="43"/>
      <c r="N3112" s="30"/>
      <c r="O3112" s="48">
        <v>75</v>
      </c>
      <c r="P3112" s="43">
        <v>100</v>
      </c>
      <c r="Q3112" s="44">
        <v>2550</v>
      </c>
      <c r="R3112" s="48">
        <f t="shared" si="759"/>
        <v>191250</v>
      </c>
      <c r="S3112" s="41">
        <v>31</v>
      </c>
      <c r="T3112" s="47">
        <f>(R3112*50/100)</f>
        <v>95625</v>
      </c>
      <c r="U3112" s="121">
        <f t="shared" ref="U3112" si="767">(R3112-T3112)</f>
        <v>95625</v>
      </c>
      <c r="V3112" s="48"/>
      <c r="W3112" s="48"/>
      <c r="X3112" s="47"/>
      <c r="Y3112" s="48"/>
      <c r="Z3112" s="53"/>
    </row>
    <row r="3113" spans="1:26" s="29" customFormat="1" ht="90.75" customHeight="1" x14ac:dyDescent="0.25">
      <c r="A3113" s="20"/>
      <c r="B3113" s="20"/>
      <c r="C3113" s="20"/>
      <c r="D3113" s="21"/>
      <c r="E3113" s="21"/>
      <c r="F3113" s="22"/>
      <c r="G3113" s="23"/>
      <c r="H3113" s="24"/>
      <c r="I3113" s="25"/>
      <c r="J3113" s="24"/>
      <c r="K3113" s="41"/>
      <c r="L3113" s="31"/>
      <c r="M3113" s="43"/>
      <c r="N3113" s="30"/>
      <c r="O3113" s="48"/>
      <c r="P3113" s="43"/>
      <c r="Q3113" s="44"/>
      <c r="R3113" s="41"/>
      <c r="S3113" s="41"/>
      <c r="T3113" s="47"/>
      <c r="U3113" s="48">
        <f>(U3111+U3112)</f>
        <v>652905</v>
      </c>
      <c r="V3113" s="48">
        <f>(J3111+U3113)</f>
        <v>4074505</v>
      </c>
      <c r="W3113" s="48">
        <f>(V3113*100/100)</f>
        <v>4074505</v>
      </c>
      <c r="X3113" s="47">
        <v>50000000</v>
      </c>
      <c r="Y3113" s="48"/>
      <c r="Z3113" s="49"/>
    </row>
    <row r="3114" spans="1:26" s="29" customFormat="1" ht="90.75" customHeight="1" x14ac:dyDescent="0.25">
      <c r="A3114" s="20">
        <v>1521</v>
      </c>
      <c r="B3114" s="20" t="s">
        <v>0</v>
      </c>
      <c r="C3114" s="20">
        <v>11536</v>
      </c>
      <c r="D3114" s="21">
        <v>0</v>
      </c>
      <c r="E3114" s="21">
        <v>2</v>
      </c>
      <c r="F3114" s="22">
        <v>49</v>
      </c>
      <c r="G3114" s="23" t="s">
        <v>56</v>
      </c>
      <c r="H3114" s="36">
        <f t="shared" ref="H3114" si="768">(D3114*400)+(E3114*100)+F3114</f>
        <v>249</v>
      </c>
      <c r="I3114" s="25" t="s">
        <v>155</v>
      </c>
      <c r="J3114" s="36">
        <f>(H3114*I3114)</f>
        <v>771900</v>
      </c>
      <c r="K3114" s="20">
        <v>1</v>
      </c>
      <c r="L3114" s="20" t="s">
        <v>16</v>
      </c>
      <c r="M3114" s="20" t="s">
        <v>51</v>
      </c>
      <c r="N3114" s="20">
        <v>2</v>
      </c>
      <c r="O3114" s="24">
        <v>96</v>
      </c>
      <c r="P3114" s="24">
        <v>100</v>
      </c>
      <c r="Q3114" s="25">
        <v>6450</v>
      </c>
      <c r="R3114" s="48">
        <f t="shared" si="759"/>
        <v>619200</v>
      </c>
      <c r="S3114" s="20">
        <v>15</v>
      </c>
      <c r="T3114" s="27">
        <f>(R3114*17/100)</f>
        <v>105264</v>
      </c>
      <c r="U3114" s="80">
        <f>(R3114-T3114)</f>
        <v>513936</v>
      </c>
      <c r="V3114" s="80">
        <f>(J3114+U3114)</f>
        <v>1285836</v>
      </c>
      <c r="W3114" s="26">
        <f>(V3114*100/100)</f>
        <v>1285836</v>
      </c>
      <c r="X3114" s="27">
        <v>50000000</v>
      </c>
      <c r="Y3114" s="20"/>
      <c r="Z3114" s="20"/>
    </row>
    <row r="3115" spans="1:26" s="29" customFormat="1" ht="90.75" customHeight="1" x14ac:dyDescent="0.25">
      <c r="A3115" s="20">
        <v>1522</v>
      </c>
      <c r="B3115" s="20" t="s">
        <v>0</v>
      </c>
      <c r="C3115" s="20">
        <v>11296</v>
      </c>
      <c r="D3115" s="21">
        <v>22</v>
      </c>
      <c r="E3115" s="21">
        <v>1</v>
      </c>
      <c r="F3115" s="22">
        <v>65</v>
      </c>
      <c r="G3115" s="23" t="s">
        <v>198</v>
      </c>
      <c r="H3115" s="36">
        <v>800</v>
      </c>
      <c r="I3115" s="40">
        <v>925</v>
      </c>
      <c r="J3115" s="28">
        <f t="shared" ref="J3115" si="769">(H3115*I3115)</f>
        <v>740000</v>
      </c>
      <c r="K3115" s="37"/>
      <c r="L3115" s="31"/>
      <c r="M3115" s="31"/>
      <c r="N3115" s="41"/>
      <c r="O3115" s="43"/>
      <c r="P3115" s="46"/>
      <c r="Q3115" s="36"/>
      <c r="R3115" s="36"/>
      <c r="S3115" s="37"/>
      <c r="T3115" s="28"/>
      <c r="U3115" s="36"/>
      <c r="V3115" s="36"/>
      <c r="W3115" s="36"/>
      <c r="X3115" s="28"/>
      <c r="Y3115" s="28"/>
      <c r="Z3115" s="20"/>
    </row>
    <row r="3116" spans="1:26" s="29" customFormat="1" ht="90.75" customHeight="1" x14ac:dyDescent="0.25">
      <c r="A3116" s="20"/>
      <c r="B3116" s="20"/>
      <c r="C3116" s="20"/>
      <c r="D3116" s="21"/>
      <c r="E3116" s="21"/>
      <c r="F3116" s="22"/>
      <c r="G3116" s="23"/>
      <c r="H3116" s="36"/>
      <c r="I3116" s="40"/>
      <c r="J3116" s="28"/>
      <c r="K3116" s="37">
        <v>1</v>
      </c>
      <c r="L3116" s="31" t="s">
        <v>215</v>
      </c>
      <c r="M3116" s="31" t="s">
        <v>13</v>
      </c>
      <c r="N3116" s="41"/>
      <c r="O3116" s="43">
        <v>189.6</v>
      </c>
      <c r="P3116" s="46">
        <v>100</v>
      </c>
      <c r="Q3116" s="36">
        <v>6450</v>
      </c>
      <c r="R3116" s="36">
        <f>(O3116*Q3116)</f>
        <v>1222920</v>
      </c>
      <c r="S3116" s="37">
        <v>27</v>
      </c>
      <c r="T3116" s="28">
        <f>(R3116*44/100)</f>
        <v>538084.80000000005</v>
      </c>
      <c r="U3116" s="36">
        <f>(R3116-T3116)</f>
        <v>684835.2</v>
      </c>
      <c r="V3116" s="36"/>
      <c r="W3116" s="36"/>
      <c r="X3116" s="28"/>
      <c r="Y3116" s="28"/>
      <c r="Z3116" s="20"/>
    </row>
    <row r="3117" spans="1:26" s="29" customFormat="1" ht="90.75" customHeight="1" x14ac:dyDescent="0.25">
      <c r="A3117" s="20"/>
      <c r="B3117" s="20"/>
      <c r="C3117" s="20"/>
      <c r="D3117" s="21"/>
      <c r="E3117" s="21"/>
      <c r="F3117" s="22"/>
      <c r="G3117" s="23"/>
      <c r="H3117" s="36"/>
      <c r="I3117" s="40"/>
      <c r="J3117" s="28"/>
      <c r="K3117" s="37">
        <v>2</v>
      </c>
      <c r="L3117" s="31" t="s">
        <v>31</v>
      </c>
      <c r="M3117" s="31"/>
      <c r="N3117" s="41"/>
      <c r="O3117" s="43">
        <v>71.5</v>
      </c>
      <c r="P3117" s="46">
        <v>100</v>
      </c>
      <c r="Q3117" s="36">
        <v>2550</v>
      </c>
      <c r="R3117" s="36">
        <f>(O3117*Q3117)</f>
        <v>182325</v>
      </c>
      <c r="S3117" s="37">
        <v>27</v>
      </c>
      <c r="T3117" s="28">
        <f>(R3117*44/100)</f>
        <v>80223</v>
      </c>
      <c r="U3117" s="36">
        <f>(R3117-T3117)</f>
        <v>102102</v>
      </c>
      <c r="V3117" s="36"/>
      <c r="W3117" s="36"/>
      <c r="X3117" s="28"/>
      <c r="Y3117" s="28"/>
      <c r="Z3117" s="20"/>
    </row>
    <row r="3118" spans="1:26" s="29" customFormat="1" ht="90.75" customHeight="1" x14ac:dyDescent="0.25">
      <c r="A3118" s="20"/>
      <c r="B3118" s="20"/>
      <c r="C3118" s="20"/>
      <c r="D3118" s="21"/>
      <c r="E3118" s="21"/>
      <c r="F3118" s="22"/>
      <c r="G3118" s="23"/>
      <c r="H3118" s="36"/>
      <c r="I3118" s="40"/>
      <c r="J3118" s="28"/>
      <c r="K3118" s="37">
        <v>3</v>
      </c>
      <c r="L3118" s="31" t="s">
        <v>215</v>
      </c>
      <c r="M3118" s="31" t="s">
        <v>40</v>
      </c>
      <c r="N3118" s="41"/>
      <c r="O3118" s="43">
        <v>16.5</v>
      </c>
      <c r="P3118" s="46">
        <v>100</v>
      </c>
      <c r="Q3118" s="36">
        <v>6450</v>
      </c>
      <c r="R3118" s="36">
        <f>(O3118*Q3118)</f>
        <v>106425</v>
      </c>
      <c r="S3118" s="37">
        <v>7</v>
      </c>
      <c r="T3118" s="28">
        <f>(R3118*25/100)</f>
        <v>26606.25</v>
      </c>
      <c r="U3118" s="36">
        <f>(R3118-T3118)</f>
        <v>79818.75</v>
      </c>
      <c r="V3118" s="36"/>
      <c r="W3118" s="36"/>
      <c r="X3118" s="28"/>
      <c r="Y3118" s="28"/>
      <c r="Z3118" s="20"/>
    </row>
    <row r="3119" spans="1:26" s="29" customFormat="1" ht="90.75" customHeight="1" x14ac:dyDescent="0.25">
      <c r="A3119" s="20"/>
      <c r="B3119" s="20"/>
      <c r="C3119" s="20"/>
      <c r="D3119" s="21"/>
      <c r="E3119" s="21"/>
      <c r="F3119" s="22"/>
      <c r="G3119" s="23"/>
      <c r="H3119" s="36"/>
      <c r="I3119" s="40"/>
      <c r="J3119" s="28"/>
      <c r="K3119" s="37">
        <v>4</v>
      </c>
      <c r="L3119" s="31" t="s">
        <v>31</v>
      </c>
      <c r="M3119" s="31"/>
      <c r="N3119" s="41"/>
      <c r="O3119" s="43">
        <v>30</v>
      </c>
      <c r="P3119" s="46">
        <v>100</v>
      </c>
      <c r="Q3119" s="36">
        <v>2550</v>
      </c>
      <c r="R3119" s="36">
        <f>(O3119*Q3119)</f>
        <v>76500</v>
      </c>
      <c r="S3119" s="37">
        <v>27</v>
      </c>
      <c r="T3119" s="28">
        <f t="shared" ref="T3119:T3120" si="770">(R3119*44/100)</f>
        <v>33660</v>
      </c>
      <c r="U3119" s="36">
        <f>(R3119-T3119)</f>
        <v>42840</v>
      </c>
      <c r="V3119" s="36"/>
      <c r="W3119" s="36"/>
      <c r="X3119" s="28"/>
      <c r="Y3119" s="28"/>
      <c r="Z3119" s="20"/>
    </row>
    <row r="3120" spans="1:26" s="29" customFormat="1" ht="90.75" customHeight="1" x14ac:dyDescent="0.25">
      <c r="A3120" s="20"/>
      <c r="B3120" s="20"/>
      <c r="C3120" s="20"/>
      <c r="D3120" s="21"/>
      <c r="E3120" s="21"/>
      <c r="F3120" s="22"/>
      <c r="G3120" s="23"/>
      <c r="H3120" s="36"/>
      <c r="I3120" s="40"/>
      <c r="J3120" s="28"/>
      <c r="K3120" s="37">
        <v>5</v>
      </c>
      <c r="L3120" s="31" t="s">
        <v>31</v>
      </c>
      <c r="M3120" s="31"/>
      <c r="N3120" s="41"/>
      <c r="O3120" s="43">
        <v>24</v>
      </c>
      <c r="P3120" s="46">
        <v>100</v>
      </c>
      <c r="Q3120" s="36">
        <v>2550</v>
      </c>
      <c r="R3120" s="36">
        <f>(O3120*Q3120)</f>
        <v>61200</v>
      </c>
      <c r="S3120" s="37">
        <v>27</v>
      </c>
      <c r="T3120" s="28">
        <f t="shared" si="770"/>
        <v>26928</v>
      </c>
      <c r="U3120" s="36">
        <f>(R3120-T3120)</f>
        <v>34272</v>
      </c>
      <c r="V3120" s="36"/>
      <c r="W3120" s="36"/>
      <c r="X3120" s="28"/>
      <c r="Y3120" s="28"/>
      <c r="Z3120" s="20"/>
    </row>
    <row r="3121" spans="1:26" s="29" customFormat="1" ht="90.75" customHeight="1" x14ac:dyDescent="0.25">
      <c r="A3121" s="20"/>
      <c r="B3121" s="20"/>
      <c r="C3121" s="20"/>
      <c r="D3121" s="21"/>
      <c r="E3121" s="21"/>
      <c r="F3121" s="22"/>
      <c r="G3121" s="23"/>
      <c r="H3121" s="36"/>
      <c r="I3121" s="40"/>
      <c r="J3121" s="28"/>
      <c r="K3121" s="37"/>
      <c r="L3121" s="31"/>
      <c r="M3121" s="31"/>
      <c r="N3121" s="41"/>
      <c r="O3121" s="43"/>
      <c r="P3121" s="46"/>
      <c r="Q3121" s="36"/>
      <c r="R3121" s="36"/>
      <c r="S3121" s="37"/>
      <c r="T3121" s="28"/>
      <c r="U3121" s="36">
        <f>(U3116+U3117+U3118+U3119+U3120)</f>
        <v>943867.95</v>
      </c>
      <c r="V3121" s="36">
        <f>(J3115+U3121)</f>
        <v>1683867.95</v>
      </c>
      <c r="W3121" s="36">
        <f>(V3121*100/100)</f>
        <v>1683867.95</v>
      </c>
      <c r="X3121" s="28">
        <v>50000000</v>
      </c>
      <c r="Y3121" s="28"/>
      <c r="Z3121" s="49"/>
    </row>
    <row r="3122" spans="1:26" s="29" customFormat="1" ht="90.75" customHeight="1" x14ac:dyDescent="0.25">
      <c r="A3122" s="20"/>
      <c r="B3122" s="20"/>
      <c r="C3122" s="20"/>
      <c r="D3122" s="21"/>
      <c r="E3122" s="21"/>
      <c r="F3122" s="22"/>
      <c r="G3122" s="23"/>
      <c r="H3122" s="36">
        <v>6000</v>
      </c>
      <c r="I3122" s="40">
        <v>925</v>
      </c>
      <c r="J3122" s="28">
        <f>(H3122*I3122)</f>
        <v>5550000</v>
      </c>
      <c r="K3122" s="37"/>
      <c r="L3122" s="31"/>
      <c r="M3122" s="31"/>
      <c r="N3122" s="41"/>
      <c r="O3122" s="43"/>
      <c r="P3122" s="46"/>
      <c r="Q3122" s="36"/>
      <c r="R3122" s="36"/>
      <c r="S3122" s="37"/>
      <c r="T3122" s="28"/>
      <c r="U3122" s="36"/>
      <c r="V3122" s="36"/>
      <c r="W3122" s="36"/>
      <c r="X3122" s="28"/>
      <c r="Y3122" s="26"/>
      <c r="Z3122" s="49"/>
    </row>
    <row r="3123" spans="1:26" s="29" customFormat="1" ht="90.75" customHeight="1" x14ac:dyDescent="0.25">
      <c r="A3123" s="20"/>
      <c r="B3123" s="20"/>
      <c r="C3123" s="20"/>
      <c r="D3123" s="21"/>
      <c r="E3123" s="21"/>
      <c r="F3123" s="22"/>
      <c r="G3123" s="23"/>
      <c r="H3123" s="36"/>
      <c r="I3123" s="40"/>
      <c r="J3123" s="28"/>
      <c r="K3123" s="37">
        <v>6</v>
      </c>
      <c r="L3123" s="31" t="s">
        <v>34</v>
      </c>
      <c r="M3123" s="31"/>
      <c r="N3123" s="41">
        <v>1</v>
      </c>
      <c r="O3123" s="46">
        <v>1800</v>
      </c>
      <c r="P3123" s="86">
        <v>100</v>
      </c>
      <c r="Q3123" s="36">
        <v>2100</v>
      </c>
      <c r="R3123" s="36">
        <f t="shared" ref="R3123:R3130" si="771">(O3123*Q3123)</f>
        <v>3780000</v>
      </c>
      <c r="S3123" s="37">
        <v>32</v>
      </c>
      <c r="T3123" s="28">
        <f>(R3123*54/100)</f>
        <v>2041200</v>
      </c>
      <c r="U3123" s="36">
        <f t="shared" ref="U3123:U3130" si="772">(R3123-T3123)</f>
        <v>1738800</v>
      </c>
      <c r="V3123" s="36"/>
      <c r="W3123" s="36"/>
      <c r="X3123" s="28"/>
      <c r="Y3123" s="28"/>
      <c r="Z3123" s="20"/>
    </row>
    <row r="3124" spans="1:26" s="29" customFormat="1" ht="90.75" customHeight="1" x14ac:dyDescent="0.25">
      <c r="A3124" s="20"/>
      <c r="B3124" s="20"/>
      <c r="C3124" s="20"/>
      <c r="D3124" s="21"/>
      <c r="E3124" s="21"/>
      <c r="F3124" s="22"/>
      <c r="G3124" s="23"/>
      <c r="H3124" s="36"/>
      <c r="I3124" s="40"/>
      <c r="J3124" s="28"/>
      <c r="K3124" s="37">
        <v>7</v>
      </c>
      <c r="L3124" s="31" t="s">
        <v>34</v>
      </c>
      <c r="M3124" s="31"/>
      <c r="N3124" s="41">
        <v>1</v>
      </c>
      <c r="O3124" s="46">
        <v>1800</v>
      </c>
      <c r="P3124" s="86">
        <v>100</v>
      </c>
      <c r="Q3124" s="36">
        <v>2100</v>
      </c>
      <c r="R3124" s="36">
        <f t="shared" si="771"/>
        <v>3780000</v>
      </c>
      <c r="S3124" s="37">
        <v>31</v>
      </c>
      <c r="T3124" s="28">
        <f>(R3124*54/100)</f>
        <v>2041200</v>
      </c>
      <c r="U3124" s="36">
        <f t="shared" si="772"/>
        <v>1738800</v>
      </c>
      <c r="V3124" s="36"/>
      <c r="W3124" s="36"/>
      <c r="X3124" s="28"/>
      <c r="Y3124" s="28"/>
      <c r="Z3124" s="20"/>
    </row>
    <row r="3125" spans="1:26" s="29" customFormat="1" ht="90.75" customHeight="1" x14ac:dyDescent="0.25">
      <c r="A3125" s="20"/>
      <c r="B3125" s="20"/>
      <c r="C3125" s="20"/>
      <c r="D3125" s="21"/>
      <c r="E3125" s="21"/>
      <c r="F3125" s="22"/>
      <c r="G3125" s="23"/>
      <c r="H3125" s="36"/>
      <c r="I3125" s="40"/>
      <c r="J3125" s="28"/>
      <c r="K3125" s="37">
        <v>8</v>
      </c>
      <c r="L3125" s="31" t="s">
        <v>34</v>
      </c>
      <c r="M3125" s="31"/>
      <c r="N3125" s="41">
        <v>1</v>
      </c>
      <c r="O3125" s="46">
        <v>1800</v>
      </c>
      <c r="P3125" s="86">
        <v>100</v>
      </c>
      <c r="Q3125" s="36">
        <v>2100</v>
      </c>
      <c r="R3125" s="36">
        <f t="shared" si="771"/>
        <v>3780000</v>
      </c>
      <c r="S3125" s="37">
        <v>31</v>
      </c>
      <c r="T3125" s="28">
        <f t="shared" ref="T3125:T3130" si="773">(R3125*54/100)</f>
        <v>2041200</v>
      </c>
      <c r="U3125" s="36">
        <f t="shared" si="772"/>
        <v>1738800</v>
      </c>
      <c r="V3125" s="36"/>
      <c r="W3125" s="36"/>
      <c r="X3125" s="28"/>
      <c r="Y3125" s="28"/>
      <c r="Z3125" s="20"/>
    </row>
    <row r="3126" spans="1:26" s="29" customFormat="1" ht="90.75" customHeight="1" x14ac:dyDescent="0.25">
      <c r="A3126" s="20"/>
      <c r="B3126" s="20"/>
      <c r="C3126" s="20"/>
      <c r="D3126" s="21"/>
      <c r="E3126" s="21"/>
      <c r="F3126" s="22"/>
      <c r="G3126" s="23"/>
      <c r="H3126" s="36"/>
      <c r="I3126" s="40"/>
      <c r="J3126" s="28"/>
      <c r="K3126" s="37">
        <v>9</v>
      </c>
      <c r="L3126" s="31" t="s">
        <v>34</v>
      </c>
      <c r="M3126" s="31"/>
      <c r="N3126" s="41">
        <v>1</v>
      </c>
      <c r="O3126" s="46">
        <v>1800</v>
      </c>
      <c r="P3126" s="86">
        <v>100</v>
      </c>
      <c r="Q3126" s="36">
        <v>2100</v>
      </c>
      <c r="R3126" s="36">
        <f t="shared" si="771"/>
        <v>3780000</v>
      </c>
      <c r="S3126" s="37">
        <v>31</v>
      </c>
      <c r="T3126" s="28">
        <f t="shared" si="773"/>
        <v>2041200</v>
      </c>
      <c r="U3126" s="36">
        <f t="shared" si="772"/>
        <v>1738800</v>
      </c>
      <c r="V3126" s="36"/>
      <c r="W3126" s="36"/>
      <c r="X3126" s="28"/>
      <c r="Y3126" s="28"/>
      <c r="Z3126" s="20"/>
    </row>
    <row r="3127" spans="1:26" s="29" customFormat="1" ht="90.75" customHeight="1" x14ac:dyDescent="0.25">
      <c r="A3127" s="20"/>
      <c r="B3127" s="20"/>
      <c r="C3127" s="20"/>
      <c r="D3127" s="21"/>
      <c r="E3127" s="21"/>
      <c r="F3127" s="22"/>
      <c r="G3127" s="23"/>
      <c r="H3127" s="36"/>
      <c r="I3127" s="40"/>
      <c r="J3127" s="28"/>
      <c r="K3127" s="37">
        <v>10</v>
      </c>
      <c r="L3127" s="31" t="s">
        <v>34</v>
      </c>
      <c r="M3127" s="31"/>
      <c r="N3127" s="41">
        <v>1</v>
      </c>
      <c r="O3127" s="46">
        <v>1440</v>
      </c>
      <c r="P3127" s="86">
        <v>100</v>
      </c>
      <c r="Q3127" s="36">
        <v>2100</v>
      </c>
      <c r="R3127" s="36">
        <f t="shared" si="771"/>
        <v>3024000</v>
      </c>
      <c r="S3127" s="37">
        <v>31</v>
      </c>
      <c r="T3127" s="28">
        <f t="shared" si="773"/>
        <v>1632960</v>
      </c>
      <c r="U3127" s="36">
        <f t="shared" si="772"/>
        <v>1391040</v>
      </c>
      <c r="V3127" s="36"/>
      <c r="W3127" s="36"/>
      <c r="X3127" s="28"/>
      <c r="Y3127" s="28"/>
      <c r="Z3127" s="20"/>
    </row>
    <row r="3128" spans="1:26" s="29" customFormat="1" ht="90.75" customHeight="1" x14ac:dyDescent="0.25">
      <c r="A3128" s="20"/>
      <c r="B3128" s="20"/>
      <c r="C3128" s="20"/>
      <c r="D3128" s="21"/>
      <c r="E3128" s="21"/>
      <c r="F3128" s="22"/>
      <c r="G3128" s="23"/>
      <c r="H3128" s="36"/>
      <c r="I3128" s="40"/>
      <c r="J3128" s="28"/>
      <c r="K3128" s="37">
        <v>11</v>
      </c>
      <c r="L3128" s="31" t="s">
        <v>43</v>
      </c>
      <c r="M3128" s="31" t="s">
        <v>13</v>
      </c>
      <c r="N3128" s="41">
        <v>1</v>
      </c>
      <c r="O3128" s="46">
        <v>60</v>
      </c>
      <c r="P3128" s="86">
        <v>100</v>
      </c>
      <c r="Q3128" s="36">
        <v>7700</v>
      </c>
      <c r="R3128" s="36">
        <f t="shared" si="771"/>
        <v>462000</v>
      </c>
      <c r="S3128" s="37">
        <v>31</v>
      </c>
      <c r="T3128" s="28">
        <f t="shared" si="773"/>
        <v>249480</v>
      </c>
      <c r="U3128" s="36">
        <f t="shared" si="772"/>
        <v>212520</v>
      </c>
      <c r="V3128" s="36"/>
      <c r="W3128" s="36"/>
      <c r="X3128" s="28"/>
      <c r="Y3128" s="28"/>
      <c r="Z3128" s="20"/>
    </row>
    <row r="3129" spans="1:26" s="29" customFormat="1" ht="90.75" customHeight="1" x14ac:dyDescent="0.25">
      <c r="A3129" s="20"/>
      <c r="B3129" s="20"/>
      <c r="C3129" s="20"/>
      <c r="D3129" s="21"/>
      <c r="E3129" s="21"/>
      <c r="F3129" s="22"/>
      <c r="G3129" s="23"/>
      <c r="H3129" s="36"/>
      <c r="I3129" s="40"/>
      <c r="J3129" s="28"/>
      <c r="K3129" s="37">
        <v>12</v>
      </c>
      <c r="L3129" s="31" t="s">
        <v>215</v>
      </c>
      <c r="M3129" s="31" t="s">
        <v>13</v>
      </c>
      <c r="N3129" s="41">
        <v>1</v>
      </c>
      <c r="O3129" s="46">
        <v>115.5</v>
      </c>
      <c r="P3129" s="86">
        <v>100</v>
      </c>
      <c r="Q3129" s="36">
        <v>6450</v>
      </c>
      <c r="R3129" s="36">
        <f t="shared" si="771"/>
        <v>744975</v>
      </c>
      <c r="S3129" s="37">
        <v>31</v>
      </c>
      <c r="T3129" s="28">
        <f t="shared" si="773"/>
        <v>402286.5</v>
      </c>
      <c r="U3129" s="36">
        <f t="shared" si="772"/>
        <v>342688.5</v>
      </c>
      <c r="V3129" s="36"/>
      <c r="W3129" s="36"/>
      <c r="X3129" s="28"/>
      <c r="Y3129" s="28"/>
      <c r="Z3129" s="20"/>
    </row>
    <row r="3130" spans="1:26" s="29" customFormat="1" ht="90.75" customHeight="1" x14ac:dyDescent="0.25">
      <c r="A3130" s="20"/>
      <c r="B3130" s="20"/>
      <c r="C3130" s="20"/>
      <c r="D3130" s="21"/>
      <c r="E3130" s="21"/>
      <c r="F3130" s="22"/>
      <c r="G3130" s="23"/>
      <c r="H3130" s="36"/>
      <c r="I3130" s="40"/>
      <c r="J3130" s="28"/>
      <c r="K3130" s="37">
        <v>13</v>
      </c>
      <c r="L3130" s="31" t="s">
        <v>31</v>
      </c>
      <c r="M3130" s="31"/>
      <c r="N3130" s="41">
        <v>1</v>
      </c>
      <c r="O3130" s="46">
        <v>16</v>
      </c>
      <c r="P3130" s="86">
        <v>100</v>
      </c>
      <c r="Q3130" s="36">
        <v>2550</v>
      </c>
      <c r="R3130" s="36">
        <f t="shared" si="771"/>
        <v>40800</v>
      </c>
      <c r="S3130" s="37">
        <v>31</v>
      </c>
      <c r="T3130" s="28">
        <f t="shared" si="773"/>
        <v>22032</v>
      </c>
      <c r="U3130" s="36">
        <f t="shared" si="772"/>
        <v>18768</v>
      </c>
      <c r="V3130" s="36"/>
      <c r="W3130" s="36"/>
      <c r="X3130" s="28"/>
      <c r="Y3130" s="28"/>
      <c r="Z3130" s="20"/>
    </row>
    <row r="3131" spans="1:26" s="29" customFormat="1" ht="90.75" customHeight="1" x14ac:dyDescent="0.25">
      <c r="A3131" s="20"/>
      <c r="B3131" s="20"/>
      <c r="C3131" s="20"/>
      <c r="D3131" s="21"/>
      <c r="E3131" s="21"/>
      <c r="F3131" s="22"/>
      <c r="G3131" s="23"/>
      <c r="H3131" s="36"/>
      <c r="I3131" s="40"/>
      <c r="J3131" s="28"/>
      <c r="K3131" s="37"/>
      <c r="L3131" s="31"/>
      <c r="M3131" s="31"/>
      <c r="N3131" s="41"/>
      <c r="O3131" s="46"/>
      <c r="P3131" s="86"/>
      <c r="Q3131" s="36"/>
      <c r="R3131" s="36"/>
      <c r="S3131" s="37"/>
      <c r="T3131" s="28"/>
      <c r="U3131" s="36">
        <f>(U3123+U3124+U3125+U3126+U3127+U3128+U3129+U3130)</f>
        <v>8920216.5</v>
      </c>
      <c r="V3131" s="36">
        <f>(J3122+U3131)</f>
        <v>14470216.5</v>
      </c>
      <c r="W3131" s="36">
        <f>(V3131*100/100)</f>
        <v>14470216.5</v>
      </c>
      <c r="X3131" s="28">
        <v>0</v>
      </c>
      <c r="Y3131" s="26">
        <v>0</v>
      </c>
      <c r="Z3131" s="49">
        <v>1E-4</v>
      </c>
    </row>
    <row r="3132" spans="1:26" s="29" customFormat="1" ht="90.75" customHeight="1" x14ac:dyDescent="0.25">
      <c r="A3132" s="20"/>
      <c r="B3132" s="20"/>
      <c r="C3132" s="20"/>
      <c r="D3132" s="21"/>
      <c r="E3132" s="21"/>
      <c r="F3132" s="22"/>
      <c r="G3132" s="23"/>
      <c r="H3132" s="36">
        <v>2165</v>
      </c>
      <c r="I3132" s="40">
        <v>925</v>
      </c>
      <c r="J3132" s="28">
        <f>(H3132*I3132)</f>
        <v>2002625</v>
      </c>
      <c r="K3132" s="37"/>
      <c r="L3132" s="31"/>
      <c r="M3132" s="31"/>
      <c r="N3132" s="41"/>
      <c r="O3132" s="46"/>
      <c r="P3132" s="86"/>
      <c r="Q3132" s="36"/>
      <c r="R3132" s="36"/>
      <c r="S3132" s="37"/>
      <c r="T3132" s="28"/>
      <c r="U3132" s="36"/>
      <c r="V3132" s="36">
        <f t="shared" ref="V3132" si="774">(J3132+U3132)</f>
        <v>2002625</v>
      </c>
      <c r="W3132" s="36">
        <f t="shared" ref="W3132" si="775">(V3132*100/100)</f>
        <v>2002625</v>
      </c>
      <c r="X3132" s="28">
        <v>0</v>
      </c>
      <c r="Y3132" s="26">
        <v>0</v>
      </c>
      <c r="Z3132" s="49">
        <v>1E-4</v>
      </c>
    </row>
    <row r="3133" spans="1:26" s="29" customFormat="1" ht="90.75" customHeight="1" x14ac:dyDescent="0.25">
      <c r="A3133" s="20">
        <v>1523</v>
      </c>
      <c r="B3133" s="20" t="s">
        <v>0</v>
      </c>
      <c r="C3133" s="20">
        <v>11513</v>
      </c>
      <c r="D3133" s="21">
        <v>0</v>
      </c>
      <c r="E3133" s="21">
        <v>3</v>
      </c>
      <c r="F3133" s="22">
        <v>28</v>
      </c>
      <c r="G3133" s="23" t="s">
        <v>198</v>
      </c>
      <c r="H3133" s="36">
        <f t="shared" ref="H3133:H3134" si="776">(D3133*400)+(E3133*100)+F3133</f>
        <v>328</v>
      </c>
      <c r="I3133" s="25" t="s">
        <v>9</v>
      </c>
      <c r="J3133" s="65">
        <f t="shared" ref="J3133:J3139" si="777">(H3133*I3133)</f>
        <v>98400</v>
      </c>
      <c r="K3133" s="20"/>
      <c r="L3133" s="20"/>
      <c r="M3133" s="20"/>
      <c r="N3133" s="20"/>
      <c r="O3133" s="24"/>
      <c r="P3133" s="24"/>
      <c r="Q3133" s="25"/>
      <c r="R3133" s="24"/>
      <c r="S3133" s="20"/>
      <c r="T3133" s="27"/>
      <c r="U3133" s="20"/>
      <c r="V3133" s="27">
        <f>(J3133+U3133)</f>
        <v>98400</v>
      </c>
      <c r="W3133" s="26">
        <f>(V3133*100/100)</f>
        <v>98400</v>
      </c>
      <c r="X3133" s="27">
        <v>0</v>
      </c>
      <c r="Y3133" s="20"/>
      <c r="Z3133" s="49">
        <v>1E-4</v>
      </c>
    </row>
    <row r="3134" spans="1:26" s="29" customFormat="1" ht="90.75" customHeight="1" x14ac:dyDescent="0.25">
      <c r="A3134" s="20">
        <v>1524</v>
      </c>
      <c r="B3134" s="20" t="s">
        <v>0</v>
      </c>
      <c r="C3134" s="20">
        <v>10526</v>
      </c>
      <c r="D3134" s="21">
        <v>4</v>
      </c>
      <c r="E3134" s="21">
        <v>2</v>
      </c>
      <c r="F3134" s="22">
        <v>90</v>
      </c>
      <c r="G3134" s="23" t="s">
        <v>211</v>
      </c>
      <c r="H3134" s="36">
        <f t="shared" si="776"/>
        <v>1890</v>
      </c>
      <c r="I3134" s="40" t="s">
        <v>155</v>
      </c>
      <c r="J3134" s="65">
        <f t="shared" si="777"/>
        <v>5859000</v>
      </c>
      <c r="K3134" s="30"/>
      <c r="L3134" s="20"/>
      <c r="M3134" s="35"/>
      <c r="N3134" s="30"/>
      <c r="O3134" s="36"/>
      <c r="P3134" s="86"/>
      <c r="Q3134" s="40"/>
      <c r="R3134" s="84"/>
      <c r="S3134" s="84"/>
      <c r="T3134" s="28"/>
      <c r="U3134" s="84"/>
      <c r="V3134" s="36"/>
      <c r="W3134" s="36"/>
      <c r="X3134" s="28"/>
      <c r="Y3134" s="26"/>
      <c r="Z3134" s="53"/>
    </row>
    <row r="3135" spans="1:26" s="29" customFormat="1" ht="90.75" customHeight="1" x14ac:dyDescent="0.25">
      <c r="A3135" s="20"/>
      <c r="B3135" s="20"/>
      <c r="C3135" s="20"/>
      <c r="D3135" s="21"/>
      <c r="E3135" s="21"/>
      <c r="F3135" s="22"/>
      <c r="G3135" s="23"/>
      <c r="H3135" s="36">
        <f>(O3135*0.25)</f>
        <v>122.5</v>
      </c>
      <c r="I3135" s="40">
        <v>3100</v>
      </c>
      <c r="J3135" s="28">
        <f t="shared" si="777"/>
        <v>379750</v>
      </c>
      <c r="K3135" s="37">
        <v>1</v>
      </c>
      <c r="L3135" s="31" t="s">
        <v>43</v>
      </c>
      <c r="M3135" s="31" t="s">
        <v>13</v>
      </c>
      <c r="N3135" s="41">
        <v>2</v>
      </c>
      <c r="O3135" s="46">
        <v>490</v>
      </c>
      <c r="P3135" s="46">
        <v>100</v>
      </c>
      <c r="Q3135" s="36">
        <v>7700</v>
      </c>
      <c r="R3135" s="36">
        <f>(O3135*Q3135)</f>
        <v>3773000</v>
      </c>
      <c r="S3135" s="37">
        <v>22</v>
      </c>
      <c r="T3135" s="28">
        <f>(R3135*34/100)</f>
        <v>1282820</v>
      </c>
      <c r="U3135" s="36">
        <f>(R3135-T3135)</f>
        <v>2490180</v>
      </c>
      <c r="V3135" s="36">
        <f>(J3135+U3135)</f>
        <v>2869930</v>
      </c>
      <c r="W3135" s="36">
        <f>(V3135*100/100)</f>
        <v>2869930</v>
      </c>
      <c r="X3135" s="28">
        <v>0</v>
      </c>
      <c r="Y3135" s="28">
        <f>(W3135-X3135)</f>
        <v>2869930</v>
      </c>
      <c r="Z3135" s="49">
        <v>2.0000000000000001E-4</v>
      </c>
    </row>
    <row r="3136" spans="1:26" s="29" customFormat="1" ht="90.75" customHeight="1" x14ac:dyDescent="0.25">
      <c r="A3136" s="20"/>
      <c r="B3136" s="20"/>
      <c r="C3136" s="20"/>
      <c r="D3136" s="21"/>
      <c r="E3136" s="21"/>
      <c r="F3136" s="22"/>
      <c r="G3136" s="23"/>
      <c r="H3136" s="36">
        <f>(O3136*0.25)</f>
        <v>30</v>
      </c>
      <c r="I3136" s="40">
        <v>3100</v>
      </c>
      <c r="J3136" s="28">
        <f t="shared" si="777"/>
        <v>93000</v>
      </c>
      <c r="K3136" s="37">
        <v>2</v>
      </c>
      <c r="L3136" s="31" t="s">
        <v>31</v>
      </c>
      <c r="M3136" s="31"/>
      <c r="N3136" s="41">
        <v>2</v>
      </c>
      <c r="O3136" s="46">
        <v>120</v>
      </c>
      <c r="P3136" s="46">
        <v>100</v>
      </c>
      <c r="Q3136" s="36">
        <v>2550</v>
      </c>
      <c r="R3136" s="36">
        <f>(O3136*Q3136)</f>
        <v>306000</v>
      </c>
      <c r="S3136" s="37">
        <v>12</v>
      </c>
      <c r="T3136" s="28">
        <f>(R3136*14/100)</f>
        <v>42840</v>
      </c>
      <c r="U3136" s="36">
        <f>(R3136-T3136)</f>
        <v>263160</v>
      </c>
      <c r="V3136" s="36">
        <f>(J3136+U3136)</f>
        <v>356160</v>
      </c>
      <c r="W3136" s="36">
        <f>(V3136*100/100)</f>
        <v>356160</v>
      </c>
      <c r="X3136" s="28">
        <v>0</v>
      </c>
      <c r="Y3136" s="28">
        <f>(W3136-X3136)</f>
        <v>356160</v>
      </c>
      <c r="Z3136" s="49">
        <v>2.0000000000000001E-4</v>
      </c>
    </row>
    <row r="3137" spans="1:26" s="29" customFormat="1" ht="90.75" customHeight="1" x14ac:dyDescent="0.25">
      <c r="A3137" s="20"/>
      <c r="B3137" s="20"/>
      <c r="C3137" s="20"/>
      <c r="D3137" s="21"/>
      <c r="E3137" s="21"/>
      <c r="F3137" s="22"/>
      <c r="G3137" s="23"/>
      <c r="H3137" s="36">
        <f>(O3137*0.25)</f>
        <v>4.5</v>
      </c>
      <c r="I3137" s="40">
        <v>3100</v>
      </c>
      <c r="J3137" s="28">
        <f t="shared" si="777"/>
        <v>13950</v>
      </c>
      <c r="K3137" s="37">
        <v>3</v>
      </c>
      <c r="L3137" s="31" t="s">
        <v>31</v>
      </c>
      <c r="M3137" s="31" t="s">
        <v>13</v>
      </c>
      <c r="N3137" s="41">
        <v>3</v>
      </c>
      <c r="O3137" s="46">
        <v>18</v>
      </c>
      <c r="P3137" s="46">
        <v>100</v>
      </c>
      <c r="Q3137" s="36">
        <v>7700</v>
      </c>
      <c r="R3137" s="36">
        <f>(O3137*Q3137)</f>
        <v>138600</v>
      </c>
      <c r="S3137" s="37">
        <v>9</v>
      </c>
      <c r="T3137" s="28">
        <f>(R3137*9/100)</f>
        <v>12474</v>
      </c>
      <c r="U3137" s="36">
        <f>(R3137-T3137)</f>
        <v>126126</v>
      </c>
      <c r="V3137" s="36">
        <f>(J3137+U3137)</f>
        <v>140076</v>
      </c>
      <c r="W3137" s="36">
        <f>(V3137*100/100)</f>
        <v>140076</v>
      </c>
      <c r="X3137" s="28">
        <v>0</v>
      </c>
      <c r="Y3137" s="28">
        <f>(W3137-X3137)</f>
        <v>140076</v>
      </c>
      <c r="Z3137" s="49">
        <v>3.0000000000000001E-3</v>
      </c>
    </row>
    <row r="3138" spans="1:26" s="29" customFormat="1" ht="90.75" customHeight="1" x14ac:dyDescent="0.25">
      <c r="A3138" s="20"/>
      <c r="B3138" s="20"/>
      <c r="C3138" s="20"/>
      <c r="D3138" s="21"/>
      <c r="E3138" s="21"/>
      <c r="F3138" s="22"/>
      <c r="G3138" s="23"/>
      <c r="H3138" s="36">
        <f>(O3138*0.25)</f>
        <v>48.75</v>
      </c>
      <c r="I3138" s="40">
        <v>3100</v>
      </c>
      <c r="J3138" s="28">
        <f t="shared" si="777"/>
        <v>151125</v>
      </c>
      <c r="K3138" s="37">
        <v>4</v>
      </c>
      <c r="L3138" s="31" t="s">
        <v>88</v>
      </c>
      <c r="M3138" s="31" t="s">
        <v>13</v>
      </c>
      <c r="N3138" s="41">
        <v>2</v>
      </c>
      <c r="O3138" s="46">
        <v>195</v>
      </c>
      <c r="P3138" s="46">
        <v>100</v>
      </c>
      <c r="Q3138" s="36">
        <v>2550</v>
      </c>
      <c r="R3138" s="36">
        <f>(O3138*Q3138)</f>
        <v>497250</v>
      </c>
      <c r="S3138" s="37">
        <v>24</v>
      </c>
      <c r="T3138" s="28">
        <f>(R3138*36/100)</f>
        <v>179010</v>
      </c>
      <c r="U3138" s="36">
        <f>(R3138-T3138)</f>
        <v>318240</v>
      </c>
      <c r="V3138" s="36">
        <f>(J3138+U3138)</f>
        <v>469365</v>
      </c>
      <c r="W3138" s="36">
        <f>(V3138*100/100)</f>
        <v>469365</v>
      </c>
      <c r="X3138" s="28">
        <v>0</v>
      </c>
      <c r="Y3138" s="28">
        <f>(W3138-X3138)</f>
        <v>469365</v>
      </c>
      <c r="Z3138" s="49">
        <v>3.0000000000000001E-3</v>
      </c>
    </row>
    <row r="3139" spans="1:26" s="29" customFormat="1" ht="90.75" customHeight="1" x14ac:dyDescent="0.25">
      <c r="A3139" s="20"/>
      <c r="B3139" s="37" t="s">
        <v>0</v>
      </c>
      <c r="C3139" s="37">
        <v>10526</v>
      </c>
      <c r="D3139" s="37"/>
      <c r="E3139" s="37"/>
      <c r="F3139" s="37"/>
      <c r="G3139" s="21" t="s">
        <v>209</v>
      </c>
      <c r="H3139" s="36">
        <f>(O3139*0.25)</f>
        <v>52</v>
      </c>
      <c r="I3139" s="40">
        <v>3100</v>
      </c>
      <c r="J3139" s="28">
        <f t="shared" si="777"/>
        <v>161200</v>
      </c>
      <c r="K3139" s="37">
        <v>5</v>
      </c>
      <c r="L3139" s="31" t="s">
        <v>29</v>
      </c>
      <c r="M3139" s="31" t="s">
        <v>13</v>
      </c>
      <c r="N3139" s="41">
        <v>3</v>
      </c>
      <c r="O3139" s="46">
        <v>208</v>
      </c>
      <c r="P3139" s="46">
        <v>100</v>
      </c>
      <c r="Q3139" s="36">
        <v>5550</v>
      </c>
      <c r="R3139" s="36">
        <f>(O3139*Q3139)</f>
        <v>1154400</v>
      </c>
      <c r="S3139" s="37">
        <v>12</v>
      </c>
      <c r="T3139" s="28">
        <f>(R3139*14/100)</f>
        <v>161616</v>
      </c>
      <c r="U3139" s="36">
        <f>(R3139-T3139)</f>
        <v>992784</v>
      </c>
      <c r="V3139" s="36">
        <f>(J3139+U3139)</f>
        <v>1153984</v>
      </c>
      <c r="W3139" s="36">
        <f>(V3139*100/100)</f>
        <v>1153984</v>
      </c>
      <c r="X3139" s="28">
        <v>0</v>
      </c>
      <c r="Y3139" s="28">
        <f>(W3139-X3139)</f>
        <v>1153984</v>
      </c>
      <c r="Z3139" s="49">
        <v>3.0000000000000001E-3</v>
      </c>
    </row>
    <row r="3140" spans="1:26" s="29" customFormat="1" ht="90.75" customHeight="1" x14ac:dyDescent="0.25">
      <c r="A3140" s="20">
        <v>1525</v>
      </c>
      <c r="B3140" s="20" t="s">
        <v>0</v>
      </c>
      <c r="C3140" s="20">
        <v>17625</v>
      </c>
      <c r="D3140" s="21">
        <v>3</v>
      </c>
      <c r="E3140" s="21">
        <v>0</v>
      </c>
      <c r="F3140" s="22">
        <v>74</v>
      </c>
      <c r="G3140" s="23" t="s">
        <v>211</v>
      </c>
      <c r="H3140" s="36">
        <f>(D3140*400)+(E3140*100)+F3140</f>
        <v>1274</v>
      </c>
      <c r="I3140" s="40">
        <v>300</v>
      </c>
      <c r="J3140" s="65">
        <f>(H3140*I3140)</f>
        <v>382200</v>
      </c>
      <c r="K3140" s="41"/>
      <c r="L3140" s="31"/>
      <c r="M3140" s="43"/>
      <c r="N3140" s="30"/>
      <c r="O3140" s="48"/>
      <c r="P3140" s="43"/>
      <c r="Q3140" s="44"/>
      <c r="R3140" s="41"/>
      <c r="S3140" s="41"/>
      <c r="T3140" s="47"/>
      <c r="U3140" s="41"/>
      <c r="V3140" s="48"/>
      <c r="W3140" s="48"/>
      <c r="X3140" s="47"/>
      <c r="Y3140" s="48"/>
      <c r="Z3140" s="53"/>
    </row>
    <row r="3141" spans="1:26" s="29" customFormat="1" ht="90.75" customHeight="1" x14ac:dyDescent="0.25">
      <c r="A3141" s="20"/>
      <c r="B3141" s="20"/>
      <c r="C3141" s="20"/>
      <c r="D3141" s="21"/>
      <c r="E3141" s="21"/>
      <c r="F3141" s="22"/>
      <c r="G3141" s="23"/>
      <c r="H3141" s="36">
        <v>404.25</v>
      </c>
      <c r="I3141" s="40">
        <v>425</v>
      </c>
      <c r="J3141" s="28">
        <f t="shared" ref="J3141:J3142" si="778">(H3141*I3141)</f>
        <v>171806.25</v>
      </c>
      <c r="K3141" s="30">
        <v>1</v>
      </c>
      <c r="L3141" s="31" t="s">
        <v>43</v>
      </c>
      <c r="M3141" s="31" t="s">
        <v>13</v>
      </c>
      <c r="N3141" s="41">
        <v>3</v>
      </c>
      <c r="O3141" s="48">
        <v>1617</v>
      </c>
      <c r="P3141" s="35">
        <v>100</v>
      </c>
      <c r="Q3141" s="36">
        <v>7700</v>
      </c>
      <c r="R3141" s="36">
        <f>(O3141*Q3141)</f>
        <v>12450900</v>
      </c>
      <c r="S3141" s="37">
        <v>21</v>
      </c>
      <c r="T3141" s="28">
        <f>(R3141*32/100)</f>
        <v>3984288</v>
      </c>
      <c r="U3141" s="36">
        <f>(R3141-T3141)</f>
        <v>8466612</v>
      </c>
      <c r="V3141" s="36">
        <f>(J3141+U3141)</f>
        <v>8638418.25</v>
      </c>
      <c r="W3141" s="36">
        <f>(V3141*100/100)</f>
        <v>8638418.25</v>
      </c>
      <c r="X3141" s="28">
        <v>0</v>
      </c>
      <c r="Y3141" s="28">
        <f>(W3141-X3141)</f>
        <v>8638418.25</v>
      </c>
      <c r="Z3141" s="49">
        <v>2.0000000000000001E-4</v>
      </c>
    </row>
    <row r="3142" spans="1:26" s="29" customFormat="1" ht="90.75" customHeight="1" x14ac:dyDescent="0.25">
      <c r="A3142" s="20"/>
      <c r="B3142" s="20"/>
      <c r="C3142" s="20"/>
      <c r="D3142" s="21"/>
      <c r="E3142" s="21"/>
      <c r="F3142" s="22"/>
      <c r="G3142" s="23"/>
      <c r="H3142" s="36">
        <v>869.75</v>
      </c>
      <c r="I3142" s="40">
        <v>425</v>
      </c>
      <c r="J3142" s="28">
        <f t="shared" si="778"/>
        <v>369643.75</v>
      </c>
      <c r="K3142" s="30"/>
      <c r="L3142" s="31"/>
      <c r="M3142" s="31"/>
      <c r="N3142" s="41"/>
      <c r="O3142" s="48"/>
      <c r="P3142" s="35"/>
      <c r="Q3142" s="36"/>
      <c r="R3142" s="36"/>
      <c r="S3142" s="37"/>
      <c r="T3142" s="28"/>
      <c r="U3142" s="36"/>
      <c r="V3142" s="36">
        <f>(J3142)</f>
        <v>369643.75</v>
      </c>
      <c r="W3142" s="36">
        <f>(V3142*100/100)</f>
        <v>369643.75</v>
      </c>
      <c r="X3142" s="28" t="s">
        <v>294</v>
      </c>
      <c r="Y3142" s="28"/>
      <c r="Z3142" s="49"/>
    </row>
    <row r="3143" spans="1:26" s="29" customFormat="1" ht="90.75" customHeight="1" x14ac:dyDescent="0.25">
      <c r="A3143" s="20">
        <v>1526</v>
      </c>
      <c r="B3143" s="20" t="s">
        <v>0</v>
      </c>
      <c r="C3143" s="20">
        <v>17626</v>
      </c>
      <c r="D3143" s="21">
        <v>5</v>
      </c>
      <c r="E3143" s="21">
        <v>0</v>
      </c>
      <c r="F3143" s="22">
        <v>73</v>
      </c>
      <c r="G3143" s="23" t="s">
        <v>56</v>
      </c>
      <c r="H3143" s="36">
        <f>(D3143*400)+(E3143*100)+F3143</f>
        <v>2073</v>
      </c>
      <c r="I3143" s="25">
        <v>3750</v>
      </c>
      <c r="J3143" s="65">
        <f>(H3143*I3143)</f>
        <v>7773750</v>
      </c>
      <c r="K3143" s="20"/>
      <c r="L3143" s="20"/>
      <c r="M3143" s="20"/>
      <c r="N3143" s="20"/>
      <c r="O3143" s="24"/>
      <c r="P3143" s="24"/>
      <c r="Q3143" s="25"/>
      <c r="R3143" s="24"/>
      <c r="S3143" s="20"/>
      <c r="T3143" s="27"/>
      <c r="U3143" s="20"/>
      <c r="V3143" s="20"/>
      <c r="W3143" s="26"/>
      <c r="X3143" s="27"/>
      <c r="Y3143" s="20"/>
      <c r="Z3143" s="20"/>
    </row>
    <row r="3144" spans="1:26" s="29" customFormat="1" ht="90.75" customHeight="1" x14ac:dyDescent="0.25">
      <c r="A3144" s="20"/>
      <c r="B3144" s="20"/>
      <c r="C3144" s="20"/>
      <c r="D3144" s="21"/>
      <c r="E3144" s="21"/>
      <c r="F3144" s="22"/>
      <c r="G3144" s="23"/>
      <c r="H3144" s="24"/>
      <c r="I3144" s="25"/>
      <c r="J3144" s="24"/>
      <c r="K3144" s="30">
        <v>1</v>
      </c>
      <c r="L3144" s="20" t="s">
        <v>215</v>
      </c>
      <c r="M3144" s="35" t="s">
        <v>50</v>
      </c>
      <c r="N3144" s="30">
        <v>2</v>
      </c>
      <c r="O3144" s="36">
        <v>143</v>
      </c>
      <c r="P3144" s="35">
        <v>100</v>
      </c>
      <c r="Q3144" s="40">
        <v>6450</v>
      </c>
      <c r="R3144" s="36">
        <f>(O3144*Q3144)</f>
        <v>922350</v>
      </c>
      <c r="S3144" s="84">
        <v>35</v>
      </c>
      <c r="T3144" s="28">
        <f>(R3144*85/100)</f>
        <v>783997.5</v>
      </c>
      <c r="U3144" s="36">
        <f>(R3144-T3144)</f>
        <v>138352.5</v>
      </c>
      <c r="V3144" s="36"/>
      <c r="W3144" s="36"/>
      <c r="X3144" s="28"/>
      <c r="Y3144" s="26"/>
      <c r="Z3144" s="49"/>
    </row>
    <row r="3145" spans="1:26" s="29" customFormat="1" ht="90.75" customHeight="1" x14ac:dyDescent="0.25">
      <c r="A3145" s="20"/>
      <c r="B3145" s="20"/>
      <c r="C3145" s="20"/>
      <c r="D3145" s="21"/>
      <c r="E3145" s="21"/>
      <c r="F3145" s="22"/>
      <c r="G3145" s="23"/>
      <c r="H3145" s="24"/>
      <c r="I3145" s="25"/>
      <c r="J3145" s="24"/>
      <c r="K3145" s="30">
        <v>2</v>
      </c>
      <c r="L3145" s="20" t="s">
        <v>31</v>
      </c>
      <c r="M3145" s="35"/>
      <c r="N3145" s="30">
        <v>0</v>
      </c>
      <c r="O3145" s="36">
        <v>306</v>
      </c>
      <c r="P3145" s="35">
        <v>100</v>
      </c>
      <c r="Q3145" s="40">
        <v>2550</v>
      </c>
      <c r="R3145" s="36">
        <f>(O3145*Q3145)</f>
        <v>780300</v>
      </c>
      <c r="S3145" s="84">
        <v>2</v>
      </c>
      <c r="T3145" s="28">
        <f>(R3145*2/100)</f>
        <v>15606</v>
      </c>
      <c r="U3145" s="36">
        <f>(R3145-T3145)</f>
        <v>764694</v>
      </c>
      <c r="V3145" s="36"/>
      <c r="W3145" s="36"/>
      <c r="X3145" s="28"/>
      <c r="Y3145" s="26"/>
      <c r="Z3145" s="53"/>
    </row>
    <row r="3146" spans="1:26" s="29" customFormat="1" ht="90.75" customHeight="1" x14ac:dyDescent="0.25">
      <c r="A3146" s="20">
        <v>1527</v>
      </c>
      <c r="B3146" s="20" t="s">
        <v>0</v>
      </c>
      <c r="C3146" s="20">
        <v>10527</v>
      </c>
      <c r="D3146" s="21">
        <v>1</v>
      </c>
      <c r="E3146" s="21">
        <v>0</v>
      </c>
      <c r="F3146" s="22">
        <v>58</v>
      </c>
      <c r="G3146" s="23" t="s">
        <v>211</v>
      </c>
      <c r="H3146" s="36">
        <v>2073</v>
      </c>
      <c r="I3146" s="40" t="s">
        <v>178</v>
      </c>
      <c r="J3146" s="65">
        <f>(H3146*I3146)</f>
        <v>9017550</v>
      </c>
      <c r="K3146" s="30"/>
      <c r="L3146" s="20"/>
      <c r="M3146" s="35"/>
      <c r="N3146" s="30"/>
      <c r="O3146" s="36"/>
      <c r="P3146" s="86"/>
      <c r="Q3146" s="40"/>
      <c r="R3146" s="84"/>
      <c r="S3146" s="84"/>
      <c r="T3146" s="28"/>
      <c r="U3146" s="84"/>
      <c r="V3146" s="36"/>
      <c r="W3146" s="36"/>
      <c r="X3146" s="28"/>
      <c r="Y3146" s="26"/>
      <c r="Z3146" s="53"/>
    </row>
    <row r="3147" spans="1:26" s="29" customFormat="1" ht="90.75" customHeight="1" x14ac:dyDescent="0.25">
      <c r="A3147" s="20"/>
      <c r="B3147" s="20"/>
      <c r="C3147" s="20"/>
      <c r="D3147" s="21"/>
      <c r="E3147" s="21"/>
      <c r="F3147" s="22"/>
      <c r="G3147" s="23"/>
      <c r="H3147" s="36">
        <v>229</v>
      </c>
      <c r="I3147" s="40">
        <v>4350</v>
      </c>
      <c r="J3147" s="28">
        <f t="shared" ref="J3147:J3148" si="779">(H3147*I3147)</f>
        <v>996150</v>
      </c>
      <c r="K3147" s="37">
        <v>1</v>
      </c>
      <c r="L3147" s="31" t="s">
        <v>215</v>
      </c>
      <c r="M3147" s="32" t="s">
        <v>13</v>
      </c>
      <c r="N3147" s="33">
        <v>2</v>
      </c>
      <c r="O3147" s="34">
        <v>82.5</v>
      </c>
      <c r="P3147" s="35">
        <v>100</v>
      </c>
      <c r="Q3147" s="36">
        <v>6450</v>
      </c>
      <c r="R3147" s="36">
        <f>(O3147*Q3147)</f>
        <v>532125</v>
      </c>
      <c r="S3147" s="37">
        <v>32</v>
      </c>
      <c r="T3147" s="28">
        <f>(R3147*52/100)</f>
        <v>276705</v>
      </c>
      <c r="U3147" s="36">
        <f>(R3147-T3147)</f>
        <v>255420</v>
      </c>
      <c r="V3147" s="36">
        <f>(J3147+U3147)</f>
        <v>1251570</v>
      </c>
      <c r="W3147" s="36">
        <f>(V3147*100/100)</f>
        <v>1251570</v>
      </c>
      <c r="X3147" s="28">
        <v>50000000</v>
      </c>
      <c r="Y3147" s="28"/>
      <c r="Z3147" s="49"/>
    </row>
    <row r="3148" spans="1:26" s="29" customFormat="1" ht="90.75" customHeight="1" x14ac:dyDescent="0.25">
      <c r="A3148" s="20"/>
      <c r="B3148" s="20" t="s">
        <v>0</v>
      </c>
      <c r="C3148" s="20">
        <v>10527</v>
      </c>
      <c r="D3148" s="21"/>
      <c r="E3148" s="21"/>
      <c r="F3148" s="22"/>
      <c r="G3148" s="23"/>
      <c r="H3148" s="36">
        <v>229</v>
      </c>
      <c r="I3148" s="40">
        <v>4350</v>
      </c>
      <c r="J3148" s="28">
        <f t="shared" si="779"/>
        <v>996150</v>
      </c>
      <c r="K3148" s="37"/>
      <c r="L3148" s="31"/>
      <c r="M3148" s="32"/>
      <c r="N3148" s="33"/>
      <c r="O3148" s="34"/>
      <c r="P3148" s="35"/>
      <c r="Q3148" s="36"/>
      <c r="R3148" s="36"/>
      <c r="S3148" s="37"/>
      <c r="T3148" s="28"/>
      <c r="U3148" s="36"/>
      <c r="V3148" s="36"/>
      <c r="W3148" s="36"/>
      <c r="X3148" s="28"/>
      <c r="Y3148" s="28"/>
      <c r="Z3148" s="52"/>
    </row>
    <row r="3149" spans="1:26" s="29" customFormat="1" ht="90.75" customHeight="1" x14ac:dyDescent="0.25">
      <c r="A3149" s="20"/>
      <c r="B3149" s="20"/>
      <c r="C3149" s="20"/>
      <c r="D3149" s="21"/>
      <c r="E3149" s="21"/>
      <c r="F3149" s="22"/>
      <c r="G3149" s="23"/>
      <c r="H3149" s="36"/>
      <c r="I3149" s="40"/>
      <c r="J3149" s="28"/>
      <c r="K3149" s="37">
        <v>2</v>
      </c>
      <c r="L3149" s="31" t="s">
        <v>179</v>
      </c>
      <c r="M3149" s="32" t="s">
        <v>13</v>
      </c>
      <c r="N3149" s="33">
        <v>3</v>
      </c>
      <c r="O3149" s="34">
        <v>150</v>
      </c>
      <c r="P3149" s="35">
        <v>100</v>
      </c>
      <c r="Q3149" s="36">
        <v>5500</v>
      </c>
      <c r="R3149" s="36">
        <f>(O3149*Q3149)</f>
        <v>825000</v>
      </c>
      <c r="S3149" s="37">
        <v>5</v>
      </c>
      <c r="T3149" s="28">
        <f>(R3149*5/100)</f>
        <v>41250</v>
      </c>
      <c r="U3149" s="36">
        <f>(R3149-T3149)</f>
        <v>783750</v>
      </c>
      <c r="V3149" s="36"/>
      <c r="W3149" s="36"/>
      <c r="X3149" s="28"/>
      <c r="Y3149" s="28"/>
      <c r="Z3149" s="20"/>
    </row>
    <row r="3150" spans="1:26" s="29" customFormat="1" ht="90.75" customHeight="1" x14ac:dyDescent="0.25">
      <c r="A3150" s="20"/>
      <c r="B3150" s="20"/>
      <c r="C3150" s="20"/>
      <c r="D3150" s="21"/>
      <c r="E3150" s="21"/>
      <c r="F3150" s="22"/>
      <c r="G3150" s="23"/>
      <c r="H3150" s="36"/>
      <c r="I3150" s="40"/>
      <c r="J3150" s="28"/>
      <c r="K3150" s="37">
        <v>3</v>
      </c>
      <c r="L3150" s="31" t="s">
        <v>64</v>
      </c>
      <c r="M3150" s="32" t="s">
        <v>13</v>
      </c>
      <c r="N3150" s="33">
        <v>3</v>
      </c>
      <c r="O3150" s="34">
        <v>6.48</v>
      </c>
      <c r="P3150" s="35">
        <v>100</v>
      </c>
      <c r="Q3150" s="36">
        <v>5900</v>
      </c>
      <c r="R3150" s="36">
        <f>(O3150*Q3150)</f>
        <v>38232</v>
      </c>
      <c r="S3150" s="37">
        <v>5</v>
      </c>
      <c r="T3150" s="28">
        <f t="shared" ref="T3150:T3151" si="780">(R3150*5/100)</f>
        <v>1911.6</v>
      </c>
      <c r="U3150" s="36">
        <f t="shared" ref="U3150:U3151" si="781">(R3150-T3150)</f>
        <v>36320.400000000001</v>
      </c>
      <c r="V3150" s="36"/>
      <c r="W3150" s="36"/>
      <c r="X3150" s="28"/>
      <c r="Y3150" s="28"/>
      <c r="Z3150" s="20"/>
    </row>
    <row r="3151" spans="1:26" s="29" customFormat="1" ht="90.75" customHeight="1" x14ac:dyDescent="0.25">
      <c r="A3151" s="20"/>
      <c r="B3151" s="20"/>
      <c r="C3151" s="20"/>
      <c r="D3151" s="21"/>
      <c r="E3151" s="21"/>
      <c r="F3151" s="22"/>
      <c r="G3151" s="23"/>
      <c r="H3151" s="36"/>
      <c r="I3151" s="40"/>
      <c r="J3151" s="28"/>
      <c r="K3151" s="37">
        <v>4</v>
      </c>
      <c r="L3151" s="31" t="s">
        <v>31</v>
      </c>
      <c r="M3151" s="32"/>
      <c r="N3151" s="33">
        <v>3</v>
      </c>
      <c r="O3151" s="34">
        <v>64</v>
      </c>
      <c r="P3151" s="35">
        <v>100</v>
      </c>
      <c r="Q3151" s="36">
        <v>2550</v>
      </c>
      <c r="R3151" s="36">
        <f>(O3151*Q3151)</f>
        <v>163200</v>
      </c>
      <c r="S3151" s="37">
        <v>5</v>
      </c>
      <c r="T3151" s="28">
        <f t="shared" si="780"/>
        <v>8160</v>
      </c>
      <c r="U3151" s="36">
        <f t="shared" si="781"/>
        <v>155040</v>
      </c>
      <c r="V3151" s="36"/>
      <c r="W3151" s="36"/>
      <c r="X3151" s="28"/>
      <c r="Y3151" s="28"/>
      <c r="Z3151" s="20"/>
    </row>
    <row r="3152" spans="1:26" s="29" customFormat="1" ht="90.75" customHeight="1" x14ac:dyDescent="0.25">
      <c r="A3152" s="20"/>
      <c r="B3152" s="20"/>
      <c r="C3152" s="20"/>
      <c r="D3152" s="21"/>
      <c r="E3152" s="21"/>
      <c r="F3152" s="22"/>
      <c r="G3152" s="23"/>
      <c r="H3152" s="36"/>
      <c r="I3152" s="44"/>
      <c r="J3152" s="65"/>
      <c r="K3152" s="33"/>
      <c r="L3152" s="31"/>
      <c r="M3152" s="112"/>
      <c r="N3152" s="30"/>
      <c r="O3152" s="90"/>
      <c r="P3152" s="82"/>
      <c r="Q3152" s="83"/>
      <c r="R3152" s="33"/>
      <c r="S3152" s="33"/>
      <c r="T3152" s="89"/>
      <c r="U3152" s="90">
        <f>(U3149+U3150+U3151)</f>
        <v>975110.4</v>
      </c>
      <c r="V3152" s="90">
        <f>(J3148+U3152)</f>
        <v>1971260.4</v>
      </c>
      <c r="W3152" s="90">
        <f>(V3152*100/100)</f>
        <v>1971260.4</v>
      </c>
      <c r="X3152" s="89">
        <v>0</v>
      </c>
      <c r="Y3152" s="48">
        <f>(W3152-X3152)</f>
        <v>1971260.4</v>
      </c>
      <c r="Z3152" s="49">
        <v>3.0000000000000001E-3</v>
      </c>
    </row>
    <row r="3153" spans="1:26" s="29" customFormat="1" ht="90.75" customHeight="1" x14ac:dyDescent="0.25">
      <c r="A3153" s="20">
        <v>1528</v>
      </c>
      <c r="B3153" s="20" t="s">
        <v>0</v>
      </c>
      <c r="C3153" s="20">
        <v>11515</v>
      </c>
      <c r="D3153" s="21">
        <v>1</v>
      </c>
      <c r="E3153" s="21">
        <v>1</v>
      </c>
      <c r="F3153" s="22">
        <v>93</v>
      </c>
      <c r="G3153" s="23" t="s">
        <v>209</v>
      </c>
      <c r="H3153" s="36">
        <f t="shared" ref="H3153:H3156" si="782">(D3153*400)+(E3153*100)+F3153</f>
        <v>593</v>
      </c>
      <c r="I3153" s="25" t="s">
        <v>9</v>
      </c>
      <c r="J3153" s="65">
        <f>(H3153*I3153)</f>
        <v>177900</v>
      </c>
      <c r="K3153" s="20">
        <v>1</v>
      </c>
      <c r="L3153" s="20" t="s">
        <v>223</v>
      </c>
      <c r="M3153" s="20" t="s">
        <v>2</v>
      </c>
      <c r="N3153" s="20">
        <v>3</v>
      </c>
      <c r="O3153" s="24">
        <v>720</v>
      </c>
      <c r="P3153" s="24">
        <v>100</v>
      </c>
      <c r="Q3153" s="25">
        <v>3550</v>
      </c>
      <c r="R3153" s="77">
        <f>(O3153*Q3153)</f>
        <v>2556000</v>
      </c>
      <c r="S3153" s="20">
        <v>7</v>
      </c>
      <c r="T3153" s="28">
        <f>(R3153*7/100)</f>
        <v>178920</v>
      </c>
      <c r="U3153" s="77">
        <f>(R3153-T3153)</f>
        <v>2377080</v>
      </c>
      <c r="V3153" s="77">
        <f>(J3153+U3153)</f>
        <v>2554980</v>
      </c>
      <c r="W3153" s="77">
        <f>(V3153*100/100)</f>
        <v>2554980</v>
      </c>
      <c r="X3153" s="28">
        <v>0</v>
      </c>
      <c r="Y3153" s="28">
        <f>(W3153-X3153)</f>
        <v>2554980</v>
      </c>
      <c r="Z3153" s="49">
        <v>3.0000000000000001E-3</v>
      </c>
    </row>
    <row r="3154" spans="1:26" s="29" customFormat="1" ht="90.75" customHeight="1" x14ac:dyDescent="0.25">
      <c r="A3154" s="20">
        <v>1529</v>
      </c>
      <c r="B3154" s="20" t="s">
        <v>0</v>
      </c>
      <c r="C3154" s="20">
        <v>10528</v>
      </c>
      <c r="D3154" s="21">
        <v>1</v>
      </c>
      <c r="E3154" s="21">
        <v>0</v>
      </c>
      <c r="F3154" s="22">
        <v>5</v>
      </c>
      <c r="G3154" s="23" t="s">
        <v>209</v>
      </c>
      <c r="H3154" s="36">
        <f t="shared" si="782"/>
        <v>405</v>
      </c>
      <c r="I3154" s="40">
        <v>4350</v>
      </c>
      <c r="J3154" s="65">
        <f>(H3154*I3154)</f>
        <v>1761750</v>
      </c>
      <c r="K3154" s="20">
        <v>1</v>
      </c>
      <c r="L3154" s="20" t="s">
        <v>223</v>
      </c>
      <c r="M3154" s="20" t="s">
        <v>2</v>
      </c>
      <c r="N3154" s="20">
        <v>3</v>
      </c>
      <c r="O3154" s="24">
        <v>720</v>
      </c>
      <c r="P3154" s="24">
        <v>100</v>
      </c>
      <c r="Q3154" s="25">
        <v>3550</v>
      </c>
      <c r="R3154" s="77">
        <f>(O3154*Q3154)</f>
        <v>2556000</v>
      </c>
      <c r="S3154" s="20">
        <v>10</v>
      </c>
      <c r="T3154" s="28">
        <f>(R3154*10/100)</f>
        <v>255600</v>
      </c>
      <c r="U3154" s="77">
        <f>(R3154-T3154)</f>
        <v>2300400</v>
      </c>
      <c r="V3154" s="77">
        <f>(J3154+U3154)</f>
        <v>4062150</v>
      </c>
      <c r="W3154" s="77">
        <f>(V3154*100/100)</f>
        <v>4062150</v>
      </c>
      <c r="X3154" s="28">
        <v>0</v>
      </c>
      <c r="Y3154" s="28">
        <f>(W3154-X3154)</f>
        <v>4062150</v>
      </c>
      <c r="Z3154" s="49">
        <v>3.0000000000000001E-3</v>
      </c>
    </row>
    <row r="3155" spans="1:26" s="29" customFormat="1" ht="90.75" customHeight="1" x14ac:dyDescent="0.25">
      <c r="A3155" s="20">
        <v>1530</v>
      </c>
      <c r="B3155" s="20" t="s">
        <v>0</v>
      </c>
      <c r="C3155" s="20">
        <v>10531</v>
      </c>
      <c r="D3155" s="21">
        <v>0</v>
      </c>
      <c r="E3155" s="21">
        <v>3</v>
      </c>
      <c r="F3155" s="22">
        <v>80</v>
      </c>
      <c r="G3155" s="23" t="s">
        <v>56</v>
      </c>
      <c r="H3155" s="36">
        <f t="shared" si="782"/>
        <v>380</v>
      </c>
      <c r="I3155" s="25" t="s">
        <v>180</v>
      </c>
      <c r="J3155" s="65">
        <f>(H3155*I3155)</f>
        <v>1425000</v>
      </c>
      <c r="K3155" s="20">
        <v>1</v>
      </c>
      <c r="L3155" s="20" t="s">
        <v>43</v>
      </c>
      <c r="M3155" s="20" t="s">
        <v>13</v>
      </c>
      <c r="N3155" s="20">
        <v>2</v>
      </c>
      <c r="O3155" s="24">
        <v>477.75</v>
      </c>
      <c r="P3155" s="24">
        <v>100</v>
      </c>
      <c r="Q3155" s="77">
        <v>7700</v>
      </c>
      <c r="R3155" s="77">
        <f>(O3155*Q3155)</f>
        <v>3678675</v>
      </c>
      <c r="S3155" s="20">
        <v>8</v>
      </c>
      <c r="T3155" s="28">
        <f>(R3155*8/100)</f>
        <v>294294</v>
      </c>
      <c r="U3155" s="77">
        <f>(R3155-T3155)</f>
        <v>3384381</v>
      </c>
      <c r="V3155" s="77">
        <f>(J3155+U3155)</f>
        <v>4809381</v>
      </c>
      <c r="W3155" s="77">
        <f>(V3155*100/100)</f>
        <v>4809381</v>
      </c>
      <c r="X3155" s="28">
        <v>0</v>
      </c>
      <c r="Y3155" s="28">
        <f>(W3155-X3155)</f>
        <v>4809381</v>
      </c>
      <c r="Z3155" s="49">
        <v>2.0000000000000001E-4</v>
      </c>
    </row>
    <row r="3156" spans="1:26" s="29" customFormat="1" ht="90.75" customHeight="1" x14ac:dyDescent="0.25">
      <c r="A3156" s="20">
        <v>1531</v>
      </c>
      <c r="B3156" s="20" t="s">
        <v>0</v>
      </c>
      <c r="C3156" s="20">
        <v>43211</v>
      </c>
      <c r="D3156" s="21">
        <v>4</v>
      </c>
      <c r="E3156" s="21">
        <v>0</v>
      </c>
      <c r="F3156" s="22">
        <v>80</v>
      </c>
      <c r="G3156" s="23" t="s">
        <v>211</v>
      </c>
      <c r="H3156" s="36">
        <f t="shared" si="782"/>
        <v>1680</v>
      </c>
      <c r="I3156" s="40" t="s">
        <v>155</v>
      </c>
      <c r="J3156" s="65">
        <f t="shared" ref="J3156" si="783">(H3156*I3156)</f>
        <v>5208000</v>
      </c>
      <c r="K3156" s="41"/>
      <c r="L3156" s="31"/>
      <c r="M3156" s="43"/>
      <c r="N3156" s="30"/>
      <c r="O3156" s="48"/>
      <c r="P3156" s="43"/>
      <c r="Q3156" s="44"/>
      <c r="R3156" s="41"/>
      <c r="S3156" s="41"/>
      <c r="T3156" s="47"/>
      <c r="U3156" s="41"/>
      <c r="V3156" s="48"/>
      <c r="W3156" s="48"/>
      <c r="X3156" s="47"/>
      <c r="Y3156" s="48"/>
      <c r="Z3156" s="53"/>
    </row>
    <row r="3157" spans="1:26" s="29" customFormat="1" ht="90.75" customHeight="1" x14ac:dyDescent="0.25">
      <c r="A3157" s="20"/>
      <c r="B3157" s="20"/>
      <c r="C3157" s="20"/>
      <c r="D3157" s="21"/>
      <c r="E3157" s="21"/>
      <c r="F3157" s="22"/>
      <c r="G3157" s="23"/>
      <c r="H3157" s="36">
        <v>1447.75</v>
      </c>
      <c r="I3157" s="40">
        <v>3100</v>
      </c>
      <c r="J3157" s="28">
        <f>(H3157*I3157)</f>
        <v>4488025</v>
      </c>
      <c r="K3157" s="37">
        <v>1</v>
      </c>
      <c r="L3157" s="31" t="s">
        <v>215</v>
      </c>
      <c r="M3157" s="31" t="s">
        <v>52</v>
      </c>
      <c r="N3157" s="41">
        <v>2</v>
      </c>
      <c r="O3157" s="46">
        <v>297</v>
      </c>
      <c r="P3157" s="86">
        <v>100</v>
      </c>
      <c r="Q3157" s="36">
        <v>6450</v>
      </c>
      <c r="R3157" s="36">
        <f>(O3157*Q3157)</f>
        <v>1915650</v>
      </c>
      <c r="S3157" s="37">
        <v>32</v>
      </c>
      <c r="T3157" s="28">
        <f>(R3157*85/100)</f>
        <v>1628302.5</v>
      </c>
      <c r="U3157" s="36">
        <f>(R3157-T3157)</f>
        <v>287347.5</v>
      </c>
      <c r="V3157" s="36"/>
      <c r="W3157" s="36"/>
      <c r="X3157" s="28"/>
      <c r="Y3157" s="28"/>
      <c r="Z3157" s="49"/>
    </row>
    <row r="3158" spans="1:26" s="29" customFormat="1" ht="90.75" customHeight="1" x14ac:dyDescent="0.25">
      <c r="A3158" s="20"/>
      <c r="B3158" s="20"/>
      <c r="C3158" s="20"/>
      <c r="D3158" s="21"/>
      <c r="E3158" s="21"/>
      <c r="F3158" s="22"/>
      <c r="G3158" s="23"/>
      <c r="H3158" s="36"/>
      <c r="I3158" s="40"/>
      <c r="J3158" s="28"/>
      <c r="K3158" s="37"/>
      <c r="L3158" s="31" t="s">
        <v>31</v>
      </c>
      <c r="M3158" s="31"/>
      <c r="N3158" s="41">
        <v>2</v>
      </c>
      <c r="O3158" s="46">
        <v>30</v>
      </c>
      <c r="P3158" s="86">
        <v>100</v>
      </c>
      <c r="Q3158" s="36">
        <v>2550</v>
      </c>
      <c r="R3158" s="36">
        <f t="shared" ref="R3158:R3172" si="784">(O3158*Q3158)</f>
        <v>76500</v>
      </c>
      <c r="S3158" s="37">
        <v>32</v>
      </c>
      <c r="T3158" s="28">
        <f t="shared" ref="T3158:T3160" si="785">(R3158*85/100)</f>
        <v>65025</v>
      </c>
      <c r="U3158" s="36">
        <f t="shared" ref="U3158:U3160" si="786">(R3158-T3158)</f>
        <v>11475</v>
      </c>
      <c r="V3158" s="36"/>
      <c r="W3158" s="36"/>
      <c r="X3158" s="28"/>
      <c r="Y3158" s="28"/>
      <c r="Z3158" s="20"/>
    </row>
    <row r="3159" spans="1:26" s="29" customFormat="1" ht="90.75" customHeight="1" x14ac:dyDescent="0.25">
      <c r="A3159" s="20"/>
      <c r="B3159" s="20"/>
      <c r="C3159" s="20"/>
      <c r="D3159" s="21"/>
      <c r="E3159" s="21"/>
      <c r="F3159" s="22"/>
      <c r="G3159" s="23"/>
      <c r="H3159" s="36"/>
      <c r="I3159" s="40"/>
      <c r="J3159" s="28"/>
      <c r="K3159" s="37"/>
      <c r="L3159" s="31" t="s">
        <v>31</v>
      </c>
      <c r="M3159" s="31"/>
      <c r="N3159" s="41">
        <v>2</v>
      </c>
      <c r="O3159" s="46">
        <v>84</v>
      </c>
      <c r="P3159" s="86">
        <v>100</v>
      </c>
      <c r="Q3159" s="36">
        <v>2550</v>
      </c>
      <c r="R3159" s="36">
        <f t="shared" si="784"/>
        <v>214200</v>
      </c>
      <c r="S3159" s="37">
        <v>32</v>
      </c>
      <c r="T3159" s="28">
        <f t="shared" si="785"/>
        <v>182070</v>
      </c>
      <c r="U3159" s="36">
        <f t="shared" si="786"/>
        <v>32130</v>
      </c>
      <c r="V3159" s="36"/>
      <c r="W3159" s="36"/>
      <c r="X3159" s="28"/>
      <c r="Y3159" s="28"/>
      <c r="Z3159" s="20"/>
    </row>
    <row r="3160" spans="1:26" s="29" customFormat="1" ht="90.75" customHeight="1" x14ac:dyDescent="0.25">
      <c r="A3160" s="20"/>
      <c r="B3160" s="20"/>
      <c r="C3160" s="20"/>
      <c r="D3160" s="21"/>
      <c r="E3160" s="21"/>
      <c r="F3160" s="22"/>
      <c r="G3160" s="23"/>
      <c r="H3160" s="36"/>
      <c r="I3160" s="40"/>
      <c r="J3160" s="28"/>
      <c r="K3160" s="37"/>
      <c r="L3160" s="31" t="s">
        <v>31</v>
      </c>
      <c r="M3160" s="31"/>
      <c r="N3160" s="41">
        <v>2</v>
      </c>
      <c r="O3160" s="46">
        <v>87.5</v>
      </c>
      <c r="P3160" s="86">
        <v>100</v>
      </c>
      <c r="Q3160" s="36">
        <v>2550</v>
      </c>
      <c r="R3160" s="36">
        <f t="shared" si="784"/>
        <v>223125</v>
      </c>
      <c r="S3160" s="37">
        <v>32</v>
      </c>
      <c r="T3160" s="28">
        <f t="shared" si="785"/>
        <v>189656.25</v>
      </c>
      <c r="U3160" s="36">
        <f t="shared" si="786"/>
        <v>33468.75</v>
      </c>
      <c r="V3160" s="36"/>
      <c r="W3160" s="36"/>
      <c r="X3160" s="28"/>
      <c r="Y3160" s="28"/>
      <c r="Z3160" s="20"/>
    </row>
    <row r="3161" spans="1:26" s="29" customFormat="1" ht="90.75" customHeight="1" x14ac:dyDescent="0.25">
      <c r="A3161" s="20"/>
      <c r="B3161" s="20"/>
      <c r="C3161" s="20"/>
      <c r="D3161" s="21"/>
      <c r="E3161" s="21"/>
      <c r="F3161" s="22"/>
      <c r="G3161" s="23"/>
      <c r="H3161" s="36"/>
      <c r="I3161" s="40"/>
      <c r="J3161" s="28"/>
      <c r="K3161" s="37"/>
      <c r="L3161" s="31"/>
      <c r="M3161" s="31"/>
      <c r="N3161" s="41"/>
      <c r="O3161" s="46"/>
      <c r="P3161" s="86"/>
      <c r="Q3161" s="36"/>
      <c r="R3161" s="36"/>
      <c r="S3161" s="37"/>
      <c r="T3161" s="28"/>
      <c r="U3161" s="36">
        <f>(U3157+U3158+U3159+U3160)</f>
        <v>364421.25</v>
      </c>
      <c r="V3161" s="36">
        <f>(J3157+U3161)</f>
        <v>4852446.25</v>
      </c>
      <c r="W3161" s="36">
        <f>(V3161*100/100)</f>
        <v>4852446.25</v>
      </c>
      <c r="X3161" s="28">
        <v>50000000</v>
      </c>
      <c r="Y3161" s="28"/>
      <c r="Z3161" s="49"/>
    </row>
    <row r="3162" spans="1:26" s="29" customFormat="1" ht="90.75" customHeight="1" x14ac:dyDescent="0.25">
      <c r="A3162" s="20"/>
      <c r="B3162" s="20"/>
      <c r="C3162" s="20"/>
      <c r="D3162" s="21"/>
      <c r="E3162" s="21"/>
      <c r="F3162" s="22"/>
      <c r="G3162" s="23"/>
      <c r="H3162" s="36">
        <v>34</v>
      </c>
      <c r="I3162" s="40">
        <v>3100</v>
      </c>
      <c r="J3162" s="28">
        <f t="shared" ref="J3162:J3172" si="787">(H3162*I3162)</f>
        <v>105400</v>
      </c>
      <c r="K3162" s="37">
        <v>2</v>
      </c>
      <c r="L3162" s="31" t="s">
        <v>215</v>
      </c>
      <c r="M3162" s="31" t="s">
        <v>13</v>
      </c>
      <c r="N3162" s="41">
        <v>2</v>
      </c>
      <c r="O3162" s="46">
        <v>55</v>
      </c>
      <c r="P3162" s="86">
        <v>100</v>
      </c>
      <c r="Q3162" s="36">
        <v>6450</v>
      </c>
      <c r="R3162" s="36">
        <f t="shared" si="784"/>
        <v>354750</v>
      </c>
      <c r="S3162" s="37">
        <v>32</v>
      </c>
      <c r="T3162" s="28">
        <f>(R3162*54/100)</f>
        <v>191565</v>
      </c>
      <c r="U3162" s="36">
        <f>(R3162-T3162)</f>
        <v>163185</v>
      </c>
      <c r="V3162" s="36"/>
      <c r="W3162" s="36"/>
      <c r="X3162" s="28"/>
      <c r="Y3162" s="28"/>
      <c r="Z3162" s="20"/>
    </row>
    <row r="3163" spans="1:26" s="29" customFormat="1" ht="90.75" customHeight="1" x14ac:dyDescent="0.25">
      <c r="A3163" s="20"/>
      <c r="B3163" s="20"/>
      <c r="C3163" s="20"/>
      <c r="D3163" s="21"/>
      <c r="E3163" s="21"/>
      <c r="F3163" s="22"/>
      <c r="G3163" s="23"/>
      <c r="H3163" s="36"/>
      <c r="I3163" s="40"/>
      <c r="J3163" s="28"/>
      <c r="K3163" s="37"/>
      <c r="L3163" s="31" t="s">
        <v>31</v>
      </c>
      <c r="M3163" s="31"/>
      <c r="N3163" s="41"/>
      <c r="O3163" s="46">
        <v>81</v>
      </c>
      <c r="P3163" s="86">
        <v>100</v>
      </c>
      <c r="Q3163" s="36">
        <v>2550</v>
      </c>
      <c r="R3163" s="36">
        <f t="shared" si="784"/>
        <v>206550</v>
      </c>
      <c r="S3163" s="37">
        <v>32</v>
      </c>
      <c r="T3163" s="28">
        <f>(R3163*54/100)</f>
        <v>111537</v>
      </c>
      <c r="U3163" s="36">
        <f>(R3163-T3163)</f>
        <v>95013</v>
      </c>
      <c r="V3163" s="36"/>
      <c r="W3163" s="36"/>
      <c r="X3163" s="28"/>
      <c r="Y3163" s="28"/>
      <c r="Z3163" s="20"/>
    </row>
    <row r="3164" spans="1:26" s="29" customFormat="1" ht="90.75" customHeight="1" x14ac:dyDescent="0.25">
      <c r="A3164" s="20"/>
      <c r="B3164" s="20"/>
      <c r="C3164" s="20"/>
      <c r="D3164" s="21"/>
      <c r="E3164" s="21"/>
      <c r="F3164" s="22"/>
      <c r="G3164" s="23"/>
      <c r="H3164" s="36"/>
      <c r="I3164" s="40"/>
      <c r="J3164" s="28"/>
      <c r="K3164" s="37"/>
      <c r="L3164" s="31"/>
      <c r="M3164" s="31"/>
      <c r="N3164" s="41"/>
      <c r="O3164" s="46"/>
      <c r="P3164" s="86"/>
      <c r="Q3164" s="36"/>
      <c r="R3164" s="36"/>
      <c r="S3164" s="37"/>
      <c r="T3164" s="28"/>
      <c r="U3164" s="36">
        <f>(U3162+U3163)</f>
        <v>258198</v>
      </c>
      <c r="V3164" s="36">
        <f>(J3160+U3164)</f>
        <v>258198</v>
      </c>
      <c r="W3164" s="36">
        <f>(V3164*100/100)</f>
        <v>258198</v>
      </c>
      <c r="X3164" s="28">
        <v>10000000</v>
      </c>
      <c r="Y3164" s="28"/>
      <c r="Z3164" s="49"/>
    </row>
    <row r="3165" spans="1:26" s="29" customFormat="1" ht="90.75" customHeight="1" x14ac:dyDescent="0.25">
      <c r="A3165" s="20"/>
      <c r="B3165" s="20"/>
      <c r="C3165" s="20"/>
      <c r="D3165" s="21"/>
      <c r="E3165" s="21"/>
      <c r="F3165" s="22"/>
      <c r="G3165" s="23"/>
      <c r="H3165" s="36">
        <v>27.75</v>
      </c>
      <c r="I3165" s="40">
        <v>3100</v>
      </c>
      <c r="J3165" s="28">
        <f t="shared" ref="J3165" si="788">(H3165*I3165)</f>
        <v>86025</v>
      </c>
      <c r="K3165" s="37">
        <v>3</v>
      </c>
      <c r="L3165" s="31" t="s">
        <v>215</v>
      </c>
      <c r="M3165" s="31" t="s">
        <v>13</v>
      </c>
      <c r="N3165" s="41">
        <v>2</v>
      </c>
      <c r="O3165" s="46">
        <v>78</v>
      </c>
      <c r="P3165" s="86">
        <v>100</v>
      </c>
      <c r="Q3165" s="36">
        <v>6450</v>
      </c>
      <c r="R3165" s="36">
        <f t="shared" si="784"/>
        <v>503100</v>
      </c>
      <c r="S3165" s="37">
        <v>32</v>
      </c>
      <c r="T3165" s="28">
        <f t="shared" ref="T3165:T3166" si="789">(R3165*54/100)</f>
        <v>271674</v>
      </c>
      <c r="U3165" s="36">
        <f t="shared" ref="U3165:U3166" si="790">(R3165-T3165)</f>
        <v>231426</v>
      </c>
      <c r="V3165" s="36"/>
      <c r="W3165" s="36"/>
      <c r="X3165" s="28"/>
      <c r="Y3165" s="28"/>
      <c r="Z3165" s="20"/>
    </row>
    <row r="3166" spans="1:26" s="29" customFormat="1" ht="90.75" customHeight="1" x14ac:dyDescent="0.25">
      <c r="A3166" s="20"/>
      <c r="B3166" s="20"/>
      <c r="C3166" s="20"/>
      <c r="D3166" s="21"/>
      <c r="E3166" s="21"/>
      <c r="F3166" s="22"/>
      <c r="G3166" s="23"/>
      <c r="H3166" s="36"/>
      <c r="I3166" s="40"/>
      <c r="J3166" s="28"/>
      <c r="K3166" s="37"/>
      <c r="L3166" s="31" t="s">
        <v>31</v>
      </c>
      <c r="M3166" s="31"/>
      <c r="N3166" s="41"/>
      <c r="O3166" s="46">
        <v>33</v>
      </c>
      <c r="P3166" s="86">
        <v>100</v>
      </c>
      <c r="Q3166" s="36">
        <v>2550</v>
      </c>
      <c r="R3166" s="36">
        <f t="shared" si="784"/>
        <v>84150</v>
      </c>
      <c r="S3166" s="37">
        <v>32</v>
      </c>
      <c r="T3166" s="28">
        <f t="shared" si="789"/>
        <v>45441</v>
      </c>
      <c r="U3166" s="36">
        <f t="shared" si="790"/>
        <v>38709</v>
      </c>
      <c r="V3166" s="36"/>
      <c r="W3166" s="36"/>
      <c r="X3166" s="28"/>
      <c r="Y3166" s="28"/>
      <c r="Z3166" s="20"/>
    </row>
    <row r="3167" spans="1:26" s="29" customFormat="1" ht="90.75" customHeight="1" x14ac:dyDescent="0.25">
      <c r="A3167" s="20"/>
      <c r="B3167" s="20"/>
      <c r="C3167" s="20"/>
      <c r="D3167" s="21"/>
      <c r="E3167" s="21"/>
      <c r="F3167" s="22"/>
      <c r="G3167" s="23"/>
      <c r="H3167" s="36"/>
      <c r="I3167" s="40"/>
      <c r="J3167" s="28"/>
      <c r="K3167" s="37"/>
      <c r="L3167" s="31"/>
      <c r="M3167" s="31"/>
      <c r="N3167" s="41"/>
      <c r="O3167" s="46"/>
      <c r="P3167" s="86"/>
      <c r="Q3167" s="36"/>
      <c r="R3167" s="36"/>
      <c r="S3167" s="37"/>
      <c r="T3167" s="28"/>
      <c r="U3167" s="36">
        <f>(U3165+U3166)</f>
        <v>270135</v>
      </c>
      <c r="V3167" s="36">
        <f>(J3163+U3167)</f>
        <v>270135</v>
      </c>
      <c r="W3167" s="36">
        <f>(V3167*100/100)</f>
        <v>270135</v>
      </c>
      <c r="X3167" s="28">
        <v>0</v>
      </c>
      <c r="Y3167" s="28">
        <f>(W3167-X3167)</f>
        <v>270135</v>
      </c>
      <c r="Z3167" s="49">
        <v>2.0000000000000001E-4</v>
      </c>
    </row>
    <row r="3168" spans="1:26" s="29" customFormat="1" ht="90.75" customHeight="1" x14ac:dyDescent="0.25">
      <c r="A3168" s="20"/>
      <c r="B3168" s="20"/>
      <c r="C3168" s="20"/>
      <c r="D3168" s="21"/>
      <c r="E3168" s="21"/>
      <c r="F3168" s="22"/>
      <c r="G3168" s="23"/>
      <c r="H3168" s="36">
        <f t="shared" ref="H3168:H3172" si="791">(O3168*0.25)</f>
        <v>30</v>
      </c>
      <c r="I3168" s="40">
        <v>3100</v>
      </c>
      <c r="J3168" s="28">
        <f t="shared" si="787"/>
        <v>93000</v>
      </c>
      <c r="K3168" s="37">
        <v>4</v>
      </c>
      <c r="L3168" s="31" t="s">
        <v>215</v>
      </c>
      <c r="M3168" s="31" t="s">
        <v>13</v>
      </c>
      <c r="N3168" s="41">
        <v>2</v>
      </c>
      <c r="O3168" s="46">
        <v>120</v>
      </c>
      <c r="P3168" s="86">
        <v>100</v>
      </c>
      <c r="Q3168" s="36">
        <v>6450</v>
      </c>
      <c r="R3168" s="36">
        <f t="shared" si="784"/>
        <v>774000</v>
      </c>
      <c r="S3168" s="37">
        <v>17</v>
      </c>
      <c r="T3168" s="28">
        <f>(R3168*24/100)</f>
        <v>185760</v>
      </c>
      <c r="U3168" s="36">
        <f>(R3168-T3168)</f>
        <v>588240</v>
      </c>
      <c r="V3168" s="36">
        <f>(J3168+U3168)</f>
        <v>681240</v>
      </c>
      <c r="W3168" s="36">
        <f t="shared" ref="W3168:W3172" si="792">(V3168*100/100)</f>
        <v>681240</v>
      </c>
      <c r="X3168" s="28">
        <v>0</v>
      </c>
      <c r="Y3168" s="28">
        <f>(W3168-X3168)</f>
        <v>681240</v>
      </c>
      <c r="Z3168" s="49">
        <v>2.0000000000000001E-4</v>
      </c>
    </row>
    <row r="3169" spans="1:26" s="29" customFormat="1" ht="90.75" customHeight="1" x14ac:dyDescent="0.25">
      <c r="A3169" s="20"/>
      <c r="B3169" s="20"/>
      <c r="C3169" s="20"/>
      <c r="D3169" s="21"/>
      <c r="E3169" s="21"/>
      <c r="F3169" s="22"/>
      <c r="G3169" s="23"/>
      <c r="H3169" s="36">
        <f t="shared" si="791"/>
        <v>14</v>
      </c>
      <c r="I3169" s="40">
        <v>3100</v>
      </c>
      <c r="J3169" s="28">
        <f t="shared" si="787"/>
        <v>43400</v>
      </c>
      <c r="K3169" s="37">
        <v>5</v>
      </c>
      <c r="L3169" s="31" t="s">
        <v>215</v>
      </c>
      <c r="M3169" s="31" t="s">
        <v>13</v>
      </c>
      <c r="N3169" s="41">
        <v>2</v>
      </c>
      <c r="O3169" s="46">
        <v>56</v>
      </c>
      <c r="P3169" s="86">
        <v>100</v>
      </c>
      <c r="Q3169" s="36">
        <v>6450</v>
      </c>
      <c r="R3169" s="36">
        <f t="shared" si="784"/>
        <v>361200</v>
      </c>
      <c r="S3169" s="37">
        <v>17</v>
      </c>
      <c r="T3169" s="28">
        <f t="shared" ref="T3169:T3170" si="793">(R3169*24/100)</f>
        <v>86688</v>
      </c>
      <c r="U3169" s="36">
        <f t="shared" ref="U3169:U3172" si="794">(R3169-T3169)</f>
        <v>274512</v>
      </c>
      <c r="V3169" s="36">
        <f t="shared" ref="V3169:V3172" si="795">(J3169+U3169)</f>
        <v>317912</v>
      </c>
      <c r="W3169" s="36">
        <f t="shared" si="792"/>
        <v>317912</v>
      </c>
      <c r="X3169" s="28">
        <v>0</v>
      </c>
      <c r="Y3169" s="28">
        <f>(W3169-X3169)</f>
        <v>317912</v>
      </c>
      <c r="Z3169" s="49">
        <v>2.0000000000000001E-4</v>
      </c>
    </row>
    <row r="3170" spans="1:26" s="29" customFormat="1" ht="90.75" customHeight="1" x14ac:dyDescent="0.25">
      <c r="A3170" s="20"/>
      <c r="B3170" s="20" t="s">
        <v>0</v>
      </c>
      <c r="C3170" s="20">
        <v>43211</v>
      </c>
      <c r="D3170" s="21"/>
      <c r="E3170" s="21"/>
      <c r="F3170" s="22"/>
      <c r="G3170" s="23"/>
      <c r="H3170" s="36">
        <f t="shared" si="791"/>
        <v>18</v>
      </c>
      <c r="I3170" s="40">
        <v>3100</v>
      </c>
      <c r="J3170" s="28">
        <f t="shared" si="787"/>
        <v>55800</v>
      </c>
      <c r="K3170" s="37">
        <v>6</v>
      </c>
      <c r="L3170" s="31" t="s">
        <v>215</v>
      </c>
      <c r="M3170" s="31" t="s">
        <v>13</v>
      </c>
      <c r="N3170" s="41">
        <v>2</v>
      </c>
      <c r="O3170" s="46">
        <v>72</v>
      </c>
      <c r="P3170" s="86">
        <v>100</v>
      </c>
      <c r="Q3170" s="36">
        <v>6450</v>
      </c>
      <c r="R3170" s="36">
        <f t="shared" si="784"/>
        <v>464400</v>
      </c>
      <c r="S3170" s="37">
        <v>17</v>
      </c>
      <c r="T3170" s="28">
        <f t="shared" si="793"/>
        <v>111456</v>
      </c>
      <c r="U3170" s="36">
        <f t="shared" si="794"/>
        <v>352944</v>
      </c>
      <c r="V3170" s="36">
        <f t="shared" si="795"/>
        <v>408744</v>
      </c>
      <c r="W3170" s="36">
        <f t="shared" si="792"/>
        <v>408744</v>
      </c>
      <c r="X3170" s="28">
        <v>0</v>
      </c>
      <c r="Y3170" s="28">
        <f>(W3170-X3170)</f>
        <v>408744</v>
      </c>
      <c r="Z3170" s="49">
        <v>2.0000000000000001E-4</v>
      </c>
    </row>
    <row r="3171" spans="1:26" s="29" customFormat="1" ht="90.75" customHeight="1" x14ac:dyDescent="0.25">
      <c r="A3171" s="20"/>
      <c r="B3171" s="20"/>
      <c r="C3171" s="20"/>
      <c r="D3171" s="21"/>
      <c r="E3171" s="21"/>
      <c r="F3171" s="22"/>
      <c r="G3171" s="23"/>
      <c r="H3171" s="36">
        <f t="shared" si="791"/>
        <v>50</v>
      </c>
      <c r="I3171" s="40">
        <v>3100</v>
      </c>
      <c r="J3171" s="28">
        <f t="shared" si="787"/>
        <v>155000</v>
      </c>
      <c r="K3171" s="37">
        <v>7</v>
      </c>
      <c r="L3171" s="31" t="s">
        <v>215</v>
      </c>
      <c r="M3171" s="31" t="s">
        <v>13</v>
      </c>
      <c r="N3171" s="41">
        <v>2</v>
      </c>
      <c r="O3171" s="46">
        <v>200</v>
      </c>
      <c r="P3171" s="86">
        <v>100</v>
      </c>
      <c r="Q3171" s="36">
        <v>6450</v>
      </c>
      <c r="R3171" s="36">
        <f t="shared" si="784"/>
        <v>1290000</v>
      </c>
      <c r="S3171" s="37">
        <v>26</v>
      </c>
      <c r="T3171" s="28">
        <f>(R3171*42/100)</f>
        <v>541800</v>
      </c>
      <c r="U3171" s="36">
        <f t="shared" si="794"/>
        <v>748200</v>
      </c>
      <c r="V3171" s="36">
        <f t="shared" si="795"/>
        <v>903200</v>
      </c>
      <c r="W3171" s="36">
        <f t="shared" si="792"/>
        <v>903200</v>
      </c>
      <c r="X3171" s="28">
        <v>10000000</v>
      </c>
      <c r="Y3171" s="28"/>
      <c r="Z3171" s="20"/>
    </row>
    <row r="3172" spans="1:26" s="29" customFormat="1" ht="90.75" customHeight="1" x14ac:dyDescent="0.25">
      <c r="A3172" s="20"/>
      <c r="B3172" s="20"/>
      <c r="C3172" s="20"/>
      <c r="D3172" s="21"/>
      <c r="E3172" s="21"/>
      <c r="F3172" s="22"/>
      <c r="G3172" s="23"/>
      <c r="H3172" s="36">
        <f t="shared" si="791"/>
        <v>6</v>
      </c>
      <c r="I3172" s="40">
        <v>3100</v>
      </c>
      <c r="J3172" s="28">
        <f t="shared" si="787"/>
        <v>18600</v>
      </c>
      <c r="K3172" s="37"/>
      <c r="L3172" s="31" t="s">
        <v>31</v>
      </c>
      <c r="M3172" s="31"/>
      <c r="N3172" s="41">
        <v>3</v>
      </c>
      <c r="O3172" s="46">
        <v>24</v>
      </c>
      <c r="P3172" s="86">
        <v>100</v>
      </c>
      <c r="Q3172" s="36">
        <v>2550</v>
      </c>
      <c r="R3172" s="36">
        <f t="shared" si="784"/>
        <v>61200</v>
      </c>
      <c r="S3172" s="37">
        <v>26</v>
      </c>
      <c r="T3172" s="28">
        <f>(R3172*42/100)</f>
        <v>25704</v>
      </c>
      <c r="U3172" s="36">
        <f t="shared" si="794"/>
        <v>35496</v>
      </c>
      <c r="V3172" s="36">
        <f t="shared" si="795"/>
        <v>54096</v>
      </c>
      <c r="W3172" s="36">
        <f t="shared" si="792"/>
        <v>54096</v>
      </c>
      <c r="X3172" s="28">
        <v>0</v>
      </c>
      <c r="Y3172" s="28">
        <f>(W3172-X3172)</f>
        <v>54096</v>
      </c>
      <c r="Z3172" s="49">
        <v>3.0000000000000001E-3</v>
      </c>
    </row>
    <row r="3173" spans="1:26" s="29" customFormat="1" ht="90.75" customHeight="1" x14ac:dyDescent="0.25">
      <c r="A3173" s="20"/>
      <c r="B3173" s="20" t="s">
        <v>0</v>
      </c>
      <c r="C3173" s="20">
        <v>43211</v>
      </c>
      <c r="D3173" s="21"/>
      <c r="E3173" s="21"/>
      <c r="F3173" s="22"/>
      <c r="G3173" s="23" t="s">
        <v>209</v>
      </c>
      <c r="H3173" s="24">
        <v>52.5</v>
      </c>
      <c r="I3173" s="25" t="s">
        <v>155</v>
      </c>
      <c r="J3173" s="24">
        <f>(H3173*I3173)</f>
        <v>162750</v>
      </c>
      <c r="K3173" s="20"/>
      <c r="L3173" s="20"/>
      <c r="M3173" s="20"/>
      <c r="N3173" s="20"/>
      <c r="O3173" s="24"/>
      <c r="P3173" s="24"/>
      <c r="Q3173" s="25"/>
      <c r="R3173" s="24"/>
      <c r="S3173" s="20"/>
      <c r="T3173" s="27"/>
      <c r="U3173" s="20"/>
      <c r="V3173" s="27">
        <f>(J3173+U3173)</f>
        <v>162750</v>
      </c>
      <c r="W3173" s="26">
        <f>(V3173*100/100)</f>
        <v>162750</v>
      </c>
      <c r="X3173" s="27">
        <v>0</v>
      </c>
      <c r="Y3173" s="80">
        <f>(W3173-X3173)</f>
        <v>162750</v>
      </c>
      <c r="Z3173" s="49">
        <v>3.0000000000000001E-3</v>
      </c>
    </row>
    <row r="3174" spans="1:26" s="29" customFormat="1" ht="90.75" customHeight="1" x14ac:dyDescent="0.25">
      <c r="A3174" s="20">
        <v>1532</v>
      </c>
      <c r="B3174" s="20" t="s">
        <v>0</v>
      </c>
      <c r="C3174" s="20">
        <v>10506</v>
      </c>
      <c r="D3174" s="21">
        <v>4</v>
      </c>
      <c r="E3174" s="21">
        <v>0</v>
      </c>
      <c r="F3174" s="22">
        <v>80</v>
      </c>
      <c r="G3174" s="23" t="s">
        <v>211</v>
      </c>
      <c r="H3174" s="36">
        <f>(D3174*400)+(E3174*100)+F3174</f>
        <v>1680</v>
      </c>
      <c r="I3174" s="40" t="s">
        <v>155</v>
      </c>
      <c r="J3174" s="65">
        <f>(H3174*I3174)</f>
        <v>5208000</v>
      </c>
      <c r="K3174" s="41"/>
      <c r="L3174" s="31"/>
      <c r="M3174" s="43"/>
      <c r="N3174" s="30"/>
      <c r="O3174" s="48"/>
      <c r="P3174" s="43"/>
      <c r="Q3174" s="44"/>
      <c r="R3174" s="41"/>
      <c r="S3174" s="41"/>
      <c r="T3174" s="47"/>
      <c r="U3174" s="41"/>
      <c r="V3174" s="48"/>
      <c r="W3174" s="48"/>
      <c r="X3174" s="47"/>
      <c r="Y3174" s="48"/>
      <c r="Z3174" s="53"/>
    </row>
    <row r="3175" spans="1:26" s="29" customFormat="1" ht="90.75" customHeight="1" x14ac:dyDescent="0.25">
      <c r="A3175" s="20"/>
      <c r="B3175" s="20"/>
      <c r="C3175" s="20"/>
      <c r="D3175" s="21"/>
      <c r="E3175" s="21"/>
      <c r="F3175" s="22"/>
      <c r="G3175" s="23"/>
      <c r="H3175" s="36">
        <v>1579.37</v>
      </c>
      <c r="I3175" s="40">
        <v>3100</v>
      </c>
      <c r="J3175" s="28">
        <f t="shared" ref="J3175" si="796">(H3175*I3175)</f>
        <v>4896047</v>
      </c>
      <c r="K3175" s="37"/>
      <c r="L3175" s="31"/>
      <c r="M3175" s="31"/>
      <c r="N3175" s="41"/>
      <c r="O3175" s="43"/>
      <c r="P3175" s="46"/>
      <c r="Q3175" s="48"/>
      <c r="R3175" s="48"/>
      <c r="S3175" s="31"/>
      <c r="T3175" s="28"/>
      <c r="U3175" s="36"/>
      <c r="V3175" s="36"/>
      <c r="W3175" s="36"/>
      <c r="X3175" s="28"/>
      <c r="Y3175" s="28"/>
      <c r="Z3175" s="20"/>
    </row>
    <row r="3176" spans="1:26" s="29" customFormat="1" ht="90.75" customHeight="1" x14ac:dyDescent="0.25">
      <c r="A3176" s="20"/>
      <c r="B3176" s="20"/>
      <c r="C3176" s="20"/>
      <c r="D3176" s="21"/>
      <c r="E3176" s="21"/>
      <c r="F3176" s="22"/>
      <c r="G3176" s="23"/>
      <c r="H3176" s="36"/>
      <c r="I3176" s="40"/>
      <c r="J3176" s="28"/>
      <c r="K3176" s="37">
        <v>1</v>
      </c>
      <c r="L3176" s="31" t="s">
        <v>215</v>
      </c>
      <c r="M3176" s="31" t="s">
        <v>13</v>
      </c>
      <c r="N3176" s="41">
        <v>2</v>
      </c>
      <c r="O3176" s="43">
        <v>400</v>
      </c>
      <c r="P3176" s="46">
        <v>100</v>
      </c>
      <c r="Q3176" s="48">
        <v>6450</v>
      </c>
      <c r="R3176" s="48">
        <f>(O3176*Q3176)</f>
        <v>2580000</v>
      </c>
      <c r="S3176" s="31">
        <v>12</v>
      </c>
      <c r="T3176" s="28">
        <f>(R3176*14/100)</f>
        <v>361200</v>
      </c>
      <c r="U3176" s="36">
        <f>(R3176-T3176)</f>
        <v>2218800</v>
      </c>
      <c r="V3176" s="36"/>
      <c r="W3176" s="36"/>
      <c r="X3176" s="28"/>
      <c r="Y3176" s="28"/>
      <c r="Z3176" s="20"/>
    </row>
    <row r="3177" spans="1:26" s="29" customFormat="1" ht="90.75" customHeight="1" x14ac:dyDescent="0.25">
      <c r="A3177" s="20"/>
      <c r="B3177" s="20"/>
      <c r="C3177" s="20"/>
      <c r="D3177" s="21"/>
      <c r="E3177" s="21"/>
      <c r="F3177" s="22"/>
      <c r="G3177" s="23"/>
      <c r="H3177" s="36"/>
      <c r="I3177" s="40"/>
      <c r="J3177" s="28"/>
      <c r="K3177" s="37">
        <v>2</v>
      </c>
      <c r="L3177" s="31" t="s">
        <v>181</v>
      </c>
      <c r="M3177" s="31"/>
      <c r="N3177" s="41">
        <v>2</v>
      </c>
      <c r="O3177" s="46">
        <v>104.5</v>
      </c>
      <c r="P3177" s="46">
        <v>100</v>
      </c>
      <c r="Q3177" s="48">
        <v>2550</v>
      </c>
      <c r="R3177" s="48">
        <f t="shared" ref="R3177:R3180" si="797">(O3177*Q3177)</f>
        <v>266475</v>
      </c>
      <c r="S3177" s="31">
        <v>12</v>
      </c>
      <c r="T3177" s="28">
        <f t="shared" ref="T3177:T3182" si="798">(R3177*14/100)</f>
        <v>37306.5</v>
      </c>
      <c r="U3177" s="36">
        <f t="shared" ref="U3177:U3180" si="799">(R3177-T3177)</f>
        <v>229168.5</v>
      </c>
      <c r="V3177" s="36"/>
      <c r="W3177" s="36"/>
      <c r="X3177" s="28"/>
      <c r="Y3177" s="28"/>
      <c r="Z3177" s="20"/>
    </row>
    <row r="3178" spans="1:26" s="29" customFormat="1" ht="90.75" customHeight="1" x14ac:dyDescent="0.25">
      <c r="A3178" s="20"/>
      <c r="B3178" s="20"/>
      <c r="C3178" s="20"/>
      <c r="D3178" s="21"/>
      <c r="E3178" s="21"/>
      <c r="F3178" s="22"/>
      <c r="G3178" s="23"/>
      <c r="H3178" s="36"/>
      <c r="I3178" s="40"/>
      <c r="J3178" s="28"/>
      <c r="K3178" s="37">
        <v>3</v>
      </c>
      <c r="L3178" s="31" t="s">
        <v>31</v>
      </c>
      <c r="M3178" s="31"/>
      <c r="N3178" s="41">
        <v>2</v>
      </c>
      <c r="O3178" s="46">
        <v>36.75</v>
      </c>
      <c r="P3178" s="46">
        <v>100</v>
      </c>
      <c r="Q3178" s="48">
        <v>2550</v>
      </c>
      <c r="R3178" s="48">
        <f t="shared" si="797"/>
        <v>93712.5</v>
      </c>
      <c r="S3178" s="31">
        <v>12</v>
      </c>
      <c r="T3178" s="28">
        <f t="shared" si="798"/>
        <v>13119.75</v>
      </c>
      <c r="U3178" s="36">
        <f t="shared" si="799"/>
        <v>80592.75</v>
      </c>
      <c r="V3178" s="36"/>
      <c r="W3178" s="36"/>
      <c r="X3178" s="28"/>
      <c r="Y3178" s="28"/>
      <c r="Z3178" s="20"/>
    </row>
    <row r="3179" spans="1:26" s="29" customFormat="1" ht="90.75" customHeight="1" x14ac:dyDescent="0.25">
      <c r="A3179" s="20"/>
      <c r="B3179" s="20"/>
      <c r="C3179" s="20"/>
      <c r="D3179" s="21"/>
      <c r="E3179" s="21"/>
      <c r="F3179" s="22"/>
      <c r="G3179" s="23"/>
      <c r="H3179" s="36"/>
      <c r="I3179" s="40"/>
      <c r="J3179" s="28"/>
      <c r="K3179" s="37">
        <v>4</v>
      </c>
      <c r="L3179" s="31" t="s">
        <v>181</v>
      </c>
      <c r="M3179" s="31"/>
      <c r="N3179" s="41">
        <v>2</v>
      </c>
      <c r="O3179" s="46">
        <v>97.5</v>
      </c>
      <c r="P3179" s="46">
        <v>100</v>
      </c>
      <c r="Q3179" s="48">
        <v>2550</v>
      </c>
      <c r="R3179" s="48">
        <f t="shared" si="797"/>
        <v>248625</v>
      </c>
      <c r="S3179" s="31">
        <v>12</v>
      </c>
      <c r="T3179" s="28">
        <f t="shared" si="798"/>
        <v>34807.5</v>
      </c>
      <c r="U3179" s="36">
        <f t="shared" si="799"/>
        <v>213817.5</v>
      </c>
      <c r="V3179" s="36"/>
      <c r="W3179" s="36"/>
      <c r="X3179" s="28"/>
      <c r="Y3179" s="28"/>
      <c r="Z3179" s="20"/>
    </row>
    <row r="3180" spans="1:26" s="29" customFormat="1" ht="90.75" customHeight="1" x14ac:dyDescent="0.25">
      <c r="A3180" s="20"/>
      <c r="B3180" s="20"/>
      <c r="C3180" s="20"/>
      <c r="D3180" s="21"/>
      <c r="E3180" s="21"/>
      <c r="F3180" s="22"/>
      <c r="G3180" s="23"/>
      <c r="H3180" s="36"/>
      <c r="I3180" s="40"/>
      <c r="J3180" s="28"/>
      <c r="K3180" s="37">
        <v>5</v>
      </c>
      <c r="L3180" s="31" t="s">
        <v>181</v>
      </c>
      <c r="M3180" s="31"/>
      <c r="N3180" s="41">
        <v>2</v>
      </c>
      <c r="O3180" s="46">
        <v>172.5</v>
      </c>
      <c r="P3180" s="46">
        <v>100</v>
      </c>
      <c r="Q3180" s="48">
        <v>2550</v>
      </c>
      <c r="R3180" s="48">
        <f t="shared" si="797"/>
        <v>439875</v>
      </c>
      <c r="S3180" s="31">
        <v>12</v>
      </c>
      <c r="T3180" s="28">
        <f t="shared" si="798"/>
        <v>61582.5</v>
      </c>
      <c r="U3180" s="36">
        <f t="shared" si="799"/>
        <v>378292.5</v>
      </c>
      <c r="V3180" s="36"/>
      <c r="W3180" s="36"/>
      <c r="X3180" s="28"/>
      <c r="Y3180" s="28"/>
      <c r="Z3180" s="20"/>
    </row>
    <row r="3181" spans="1:26" s="29" customFormat="1" ht="90.75" customHeight="1" x14ac:dyDescent="0.25">
      <c r="A3181" s="20"/>
      <c r="B3181" s="20"/>
      <c r="C3181" s="20"/>
      <c r="D3181" s="21"/>
      <c r="E3181" s="21"/>
      <c r="F3181" s="22"/>
      <c r="G3181" s="23"/>
      <c r="H3181" s="36"/>
      <c r="I3181" s="40"/>
      <c r="J3181" s="28"/>
      <c r="K3181" s="37"/>
      <c r="L3181" s="31"/>
      <c r="M3181" s="31"/>
      <c r="N3181" s="41"/>
      <c r="O3181" s="46"/>
      <c r="P3181" s="46"/>
      <c r="Q3181" s="48"/>
      <c r="R3181" s="48"/>
      <c r="S3181" s="31"/>
      <c r="T3181" s="28"/>
      <c r="U3181" s="36">
        <f>(U3176+U3177+U3178+U3179+U3180)</f>
        <v>3120671.25</v>
      </c>
      <c r="V3181" s="36">
        <f>(J3175+U3181)</f>
        <v>8016718.25</v>
      </c>
      <c r="W3181" s="36">
        <f>(V3181*100/100)</f>
        <v>8016718.25</v>
      </c>
      <c r="X3181" s="28">
        <v>50000000</v>
      </c>
      <c r="Y3181" s="28">
        <v>0</v>
      </c>
      <c r="Z3181" s="49">
        <v>2.0000000000000001E-4</v>
      </c>
    </row>
    <row r="3182" spans="1:26" s="29" customFormat="1" ht="90.75" customHeight="1" x14ac:dyDescent="0.25">
      <c r="A3182" s="20"/>
      <c r="B3182" s="20"/>
      <c r="C3182" s="20"/>
      <c r="D3182" s="21"/>
      <c r="E3182" s="21"/>
      <c r="F3182" s="22"/>
      <c r="G3182" s="23"/>
      <c r="H3182" s="36">
        <f>(O3182*0.25)</f>
        <v>45.5</v>
      </c>
      <c r="I3182" s="40">
        <v>3100</v>
      </c>
      <c r="J3182" s="28">
        <f t="shared" ref="J3182:J3187" si="800">(H3182*I3182)</f>
        <v>141050</v>
      </c>
      <c r="K3182" s="37">
        <v>6</v>
      </c>
      <c r="L3182" s="31" t="s">
        <v>12</v>
      </c>
      <c r="M3182" s="31" t="s">
        <v>13</v>
      </c>
      <c r="N3182" s="41">
        <v>2</v>
      </c>
      <c r="O3182" s="46">
        <v>182</v>
      </c>
      <c r="P3182" s="46">
        <v>100</v>
      </c>
      <c r="Q3182" s="48">
        <v>7700</v>
      </c>
      <c r="R3182" s="48">
        <f>(O3182*Q3182)</f>
        <v>1401400</v>
      </c>
      <c r="S3182" s="31">
        <v>12</v>
      </c>
      <c r="T3182" s="28">
        <f t="shared" si="798"/>
        <v>196196</v>
      </c>
      <c r="U3182" s="36">
        <f>(R3182-T3182)</f>
        <v>1205204</v>
      </c>
      <c r="V3182" s="36">
        <f>(J3182+U3182)</f>
        <v>1346254</v>
      </c>
      <c r="W3182" s="36">
        <f>(V3182*100/100)</f>
        <v>1346254</v>
      </c>
      <c r="X3182" s="28">
        <v>0</v>
      </c>
      <c r="Y3182" s="28">
        <f>(W3182-X3182)</f>
        <v>1346254</v>
      </c>
      <c r="Z3182" s="49">
        <v>2.0000000000000001E-4</v>
      </c>
    </row>
    <row r="3183" spans="1:26" s="29" customFormat="1" ht="90.75" customHeight="1" x14ac:dyDescent="0.25">
      <c r="A3183" s="20"/>
      <c r="B3183" s="20"/>
      <c r="C3183" s="20"/>
      <c r="D3183" s="21"/>
      <c r="E3183" s="21"/>
      <c r="F3183" s="22"/>
      <c r="G3183" s="23"/>
      <c r="H3183" s="36">
        <f>(O3183*0.25)</f>
        <v>55.125</v>
      </c>
      <c r="I3183" s="40">
        <v>3100</v>
      </c>
      <c r="J3183" s="28">
        <f t="shared" si="800"/>
        <v>170887.5</v>
      </c>
      <c r="K3183" s="37">
        <v>7</v>
      </c>
      <c r="L3183" s="31" t="s">
        <v>12</v>
      </c>
      <c r="M3183" s="31" t="s">
        <v>13</v>
      </c>
      <c r="N3183" s="41">
        <v>2</v>
      </c>
      <c r="O3183" s="46">
        <v>220.5</v>
      </c>
      <c r="P3183" s="46">
        <v>100</v>
      </c>
      <c r="Q3183" s="48">
        <v>7700</v>
      </c>
      <c r="R3183" s="48">
        <f>(O3183*Q3183)</f>
        <v>1697850</v>
      </c>
      <c r="S3183" s="31">
        <v>7</v>
      </c>
      <c r="T3183" s="28">
        <f>(R3183*7/100)</f>
        <v>118849.5</v>
      </c>
      <c r="U3183" s="36">
        <f>(R3183-T3183)</f>
        <v>1579000.5</v>
      </c>
      <c r="V3183" s="36">
        <f>(J3183+U3183)</f>
        <v>1749888</v>
      </c>
      <c r="W3183" s="36">
        <f>(V3183*100/100)</f>
        <v>1749888</v>
      </c>
      <c r="X3183" s="28">
        <v>0</v>
      </c>
      <c r="Y3183" s="28">
        <f>(W3183-X3183)</f>
        <v>1749888</v>
      </c>
      <c r="Z3183" s="49">
        <v>3.0000000000000001E-3</v>
      </c>
    </row>
    <row r="3184" spans="1:26" s="29" customFormat="1" ht="90.75" customHeight="1" x14ac:dyDescent="0.25">
      <c r="A3184" s="20">
        <v>1533</v>
      </c>
      <c r="B3184" s="20" t="s">
        <v>0</v>
      </c>
      <c r="C3184" s="20">
        <v>46324</v>
      </c>
      <c r="D3184" s="21">
        <v>1</v>
      </c>
      <c r="E3184" s="21">
        <v>2</v>
      </c>
      <c r="F3184" s="22">
        <v>21</v>
      </c>
      <c r="G3184" s="23" t="s">
        <v>209</v>
      </c>
      <c r="H3184" s="36">
        <f>(D3184*400)+(E3184*100)+F3184</f>
        <v>621</v>
      </c>
      <c r="I3184" s="25" t="s">
        <v>180</v>
      </c>
      <c r="J3184" s="24">
        <f t="shared" si="800"/>
        <v>2328750</v>
      </c>
      <c r="K3184" s="20"/>
      <c r="L3184" s="20"/>
      <c r="M3184" s="20"/>
      <c r="N3184" s="20"/>
      <c r="O3184" s="24"/>
      <c r="P3184" s="24"/>
      <c r="Q3184" s="25"/>
      <c r="R3184" s="24"/>
      <c r="S3184" s="20"/>
      <c r="T3184" s="27"/>
      <c r="U3184" s="20"/>
      <c r="V3184" s="20"/>
      <c r="W3184" s="26"/>
      <c r="X3184" s="27"/>
      <c r="Y3184" s="20"/>
      <c r="Z3184" s="20"/>
    </row>
    <row r="3185" spans="1:26" s="29" customFormat="1" ht="90.75" customHeight="1" x14ac:dyDescent="0.25">
      <c r="A3185" s="20"/>
      <c r="B3185" s="20"/>
      <c r="C3185" s="20"/>
      <c r="D3185" s="21"/>
      <c r="E3185" s="21"/>
      <c r="F3185" s="22"/>
      <c r="G3185" s="23"/>
      <c r="H3185" s="24">
        <v>14.87</v>
      </c>
      <c r="I3185" s="25" t="s">
        <v>180</v>
      </c>
      <c r="J3185" s="24">
        <f t="shared" si="800"/>
        <v>55762.5</v>
      </c>
      <c r="K3185" s="20"/>
      <c r="L3185" s="20" t="s">
        <v>181</v>
      </c>
      <c r="M3185" s="20"/>
      <c r="N3185" s="20"/>
      <c r="O3185" s="24">
        <v>59.5</v>
      </c>
      <c r="P3185" s="46">
        <v>100</v>
      </c>
      <c r="Q3185" s="25">
        <v>2550</v>
      </c>
      <c r="R3185" s="48">
        <f>(O3185*Q3185)</f>
        <v>151725</v>
      </c>
      <c r="S3185" s="20">
        <v>1</v>
      </c>
      <c r="T3185" s="27">
        <f>(R3185*1/100)</f>
        <v>1517.25</v>
      </c>
      <c r="U3185" s="78">
        <f>(R3185-T3185)</f>
        <v>150207.75</v>
      </c>
      <c r="V3185" s="27">
        <f>(J3185+U3185)</f>
        <v>205970.25</v>
      </c>
      <c r="W3185" s="26">
        <f>(V3185*100/100)</f>
        <v>205970.25</v>
      </c>
      <c r="X3185" s="28">
        <v>0</v>
      </c>
      <c r="Y3185" s="28">
        <f>(W3185-X3185)</f>
        <v>205970.25</v>
      </c>
      <c r="Z3185" s="49">
        <v>3.0000000000000001E-3</v>
      </c>
    </row>
    <row r="3186" spans="1:26" s="29" customFormat="1" ht="90.75" customHeight="1" x14ac:dyDescent="0.25">
      <c r="A3186" s="20">
        <v>1534</v>
      </c>
      <c r="B3186" s="20" t="s">
        <v>0</v>
      </c>
      <c r="C3186" s="20">
        <v>44459</v>
      </c>
      <c r="D3186" s="21">
        <v>1</v>
      </c>
      <c r="E3186" s="21">
        <v>3</v>
      </c>
      <c r="F3186" s="22">
        <v>28</v>
      </c>
      <c r="G3186" s="23" t="s">
        <v>211</v>
      </c>
      <c r="H3186" s="36">
        <f>(D3186*400)+(E3186*100)+F3186</f>
        <v>728</v>
      </c>
      <c r="I3186" s="25" t="s">
        <v>155</v>
      </c>
      <c r="J3186" s="24">
        <f t="shared" si="800"/>
        <v>2256800</v>
      </c>
      <c r="K3186" s="20">
        <v>1</v>
      </c>
      <c r="L3186" s="20" t="s">
        <v>16</v>
      </c>
      <c r="M3186" s="20" t="s">
        <v>13</v>
      </c>
      <c r="N3186" s="20"/>
      <c r="O3186" s="24"/>
      <c r="P3186" s="24"/>
      <c r="Q3186" s="25"/>
      <c r="R3186" s="24"/>
      <c r="S3186" s="20"/>
      <c r="T3186" s="27"/>
      <c r="U3186" s="20"/>
      <c r="V3186" s="20"/>
      <c r="W3186" s="26"/>
      <c r="X3186" s="27"/>
      <c r="Y3186" s="20"/>
      <c r="Z3186" s="20"/>
    </row>
    <row r="3187" spans="1:26" s="29" customFormat="1" ht="90.75" customHeight="1" x14ac:dyDescent="0.25">
      <c r="A3187" s="20"/>
      <c r="B3187" s="20"/>
      <c r="C3187" s="20"/>
      <c r="D3187" s="21"/>
      <c r="E3187" s="21"/>
      <c r="F3187" s="22"/>
      <c r="G3187" s="23"/>
      <c r="H3187" s="36">
        <v>598.46</v>
      </c>
      <c r="I3187" s="40">
        <v>3100</v>
      </c>
      <c r="J3187" s="28">
        <f t="shared" si="800"/>
        <v>1855226</v>
      </c>
      <c r="K3187" s="30"/>
      <c r="L3187" s="31"/>
      <c r="M3187" s="31"/>
      <c r="N3187" s="41"/>
      <c r="O3187" s="42"/>
      <c r="P3187" s="35"/>
      <c r="Q3187" s="36"/>
      <c r="R3187" s="36"/>
      <c r="S3187" s="37"/>
      <c r="T3187" s="28"/>
      <c r="U3187" s="36"/>
      <c r="V3187" s="36"/>
      <c r="W3187" s="36"/>
      <c r="X3187" s="28"/>
      <c r="Y3187" s="28"/>
      <c r="Z3187" s="20"/>
    </row>
    <row r="3188" spans="1:26" s="29" customFormat="1" ht="90.75" customHeight="1" x14ac:dyDescent="0.25">
      <c r="A3188" s="20"/>
      <c r="B3188" s="20"/>
      <c r="C3188" s="20"/>
      <c r="D3188" s="21"/>
      <c r="E3188" s="21"/>
      <c r="F3188" s="22"/>
      <c r="G3188" s="23"/>
      <c r="H3188" s="36"/>
      <c r="I3188" s="40"/>
      <c r="J3188" s="28"/>
      <c r="K3188" s="30">
        <v>1</v>
      </c>
      <c r="L3188" s="31" t="s">
        <v>215</v>
      </c>
      <c r="M3188" s="31" t="s">
        <v>13</v>
      </c>
      <c r="N3188" s="41">
        <v>2</v>
      </c>
      <c r="O3188" s="42">
        <v>94.5</v>
      </c>
      <c r="P3188" s="35">
        <v>100</v>
      </c>
      <c r="Q3188" s="36">
        <v>6450</v>
      </c>
      <c r="R3188" s="36">
        <f t="shared" ref="R3188:R3207" si="801">(O3188*Q3188)</f>
        <v>609525</v>
      </c>
      <c r="S3188" s="37">
        <v>5</v>
      </c>
      <c r="T3188" s="28">
        <f>(R3188*5/100)</f>
        <v>30476.25</v>
      </c>
      <c r="U3188" s="36">
        <f t="shared" ref="U3188:U3207" si="802">(R3188-T3188)</f>
        <v>579048.75</v>
      </c>
      <c r="V3188" s="36"/>
      <c r="W3188" s="36"/>
      <c r="X3188" s="28"/>
      <c r="Y3188" s="28"/>
      <c r="Z3188" s="20"/>
    </row>
    <row r="3189" spans="1:26" s="29" customFormat="1" ht="90.75" customHeight="1" x14ac:dyDescent="0.25">
      <c r="A3189" s="20"/>
      <c r="B3189" s="20"/>
      <c r="C3189" s="20"/>
      <c r="D3189" s="21"/>
      <c r="E3189" s="21"/>
      <c r="F3189" s="22"/>
      <c r="G3189" s="23"/>
      <c r="H3189" s="36"/>
      <c r="I3189" s="40"/>
      <c r="J3189" s="28"/>
      <c r="K3189" s="30">
        <v>2</v>
      </c>
      <c r="L3189" s="31" t="s">
        <v>31</v>
      </c>
      <c r="M3189" s="31"/>
      <c r="N3189" s="41">
        <v>2</v>
      </c>
      <c r="O3189" s="42">
        <v>15</v>
      </c>
      <c r="P3189" s="35">
        <v>100</v>
      </c>
      <c r="Q3189" s="36">
        <v>2550</v>
      </c>
      <c r="R3189" s="36">
        <f t="shared" si="801"/>
        <v>38250</v>
      </c>
      <c r="S3189" s="37">
        <v>5</v>
      </c>
      <c r="T3189" s="28">
        <f>(R3189*5/100)</f>
        <v>1912.5</v>
      </c>
      <c r="U3189" s="36">
        <f t="shared" si="802"/>
        <v>36337.5</v>
      </c>
      <c r="V3189" s="36"/>
      <c r="W3189" s="36"/>
      <c r="X3189" s="28"/>
      <c r="Y3189" s="28"/>
      <c r="Z3189" s="20"/>
    </row>
    <row r="3190" spans="1:26" s="29" customFormat="1" ht="90.75" customHeight="1" x14ac:dyDescent="0.25">
      <c r="A3190" s="20"/>
      <c r="B3190" s="20"/>
      <c r="C3190" s="20"/>
      <c r="D3190" s="21"/>
      <c r="E3190" s="21"/>
      <c r="F3190" s="22"/>
      <c r="G3190" s="23"/>
      <c r="H3190" s="36"/>
      <c r="I3190" s="40"/>
      <c r="J3190" s="28"/>
      <c r="K3190" s="30">
        <v>3</v>
      </c>
      <c r="L3190" s="31" t="s">
        <v>215</v>
      </c>
      <c r="M3190" s="31" t="s">
        <v>13</v>
      </c>
      <c r="N3190" s="41">
        <v>2</v>
      </c>
      <c r="O3190" s="42">
        <v>200</v>
      </c>
      <c r="P3190" s="35">
        <v>100</v>
      </c>
      <c r="Q3190" s="36">
        <v>6450</v>
      </c>
      <c r="R3190" s="36">
        <f t="shared" si="801"/>
        <v>1290000</v>
      </c>
      <c r="S3190" s="37">
        <v>32</v>
      </c>
      <c r="T3190" s="28">
        <f>(R3190*54/100)</f>
        <v>696600</v>
      </c>
      <c r="U3190" s="36">
        <f t="shared" si="802"/>
        <v>593400</v>
      </c>
      <c r="V3190" s="36"/>
      <c r="W3190" s="36"/>
      <c r="X3190" s="28"/>
      <c r="Y3190" s="28"/>
      <c r="Z3190" s="20"/>
    </row>
    <row r="3191" spans="1:26" s="29" customFormat="1" ht="90.75" customHeight="1" x14ac:dyDescent="0.25">
      <c r="A3191" s="20"/>
      <c r="B3191" s="20"/>
      <c r="C3191" s="20"/>
      <c r="D3191" s="21"/>
      <c r="E3191" s="21"/>
      <c r="F3191" s="22"/>
      <c r="G3191" s="23"/>
      <c r="H3191" s="36"/>
      <c r="I3191" s="40"/>
      <c r="J3191" s="28"/>
      <c r="K3191" s="30">
        <v>4</v>
      </c>
      <c r="L3191" s="31" t="s">
        <v>31</v>
      </c>
      <c r="M3191" s="31"/>
      <c r="N3191" s="41">
        <v>2</v>
      </c>
      <c r="O3191" s="42">
        <v>85.5</v>
      </c>
      <c r="P3191" s="35">
        <v>100</v>
      </c>
      <c r="Q3191" s="36">
        <v>2550</v>
      </c>
      <c r="R3191" s="36">
        <f t="shared" si="801"/>
        <v>218025</v>
      </c>
      <c r="S3191" s="37">
        <v>32</v>
      </c>
      <c r="T3191" s="28">
        <f>(R3191*54/100)</f>
        <v>117733.5</v>
      </c>
      <c r="U3191" s="36">
        <f t="shared" si="802"/>
        <v>100291.5</v>
      </c>
      <c r="V3191" s="36"/>
      <c r="W3191" s="36"/>
      <c r="X3191" s="28"/>
      <c r="Y3191" s="28"/>
      <c r="Z3191" s="20"/>
    </row>
    <row r="3192" spans="1:26" s="29" customFormat="1" ht="90.75" customHeight="1" x14ac:dyDescent="0.25">
      <c r="A3192" s="20"/>
      <c r="B3192" s="20"/>
      <c r="C3192" s="20"/>
      <c r="D3192" s="21"/>
      <c r="E3192" s="21"/>
      <c r="F3192" s="22"/>
      <c r="G3192" s="23"/>
      <c r="H3192" s="36"/>
      <c r="I3192" s="40"/>
      <c r="J3192" s="28"/>
      <c r="K3192" s="30"/>
      <c r="L3192" s="31"/>
      <c r="M3192" s="31"/>
      <c r="N3192" s="41"/>
      <c r="O3192" s="42"/>
      <c r="P3192" s="35"/>
      <c r="Q3192" s="36"/>
      <c r="R3192" s="36"/>
      <c r="S3192" s="37"/>
      <c r="T3192" s="28"/>
      <c r="U3192" s="36">
        <f>(U3188+U3189+U3190+U3191)</f>
        <v>1309077.75</v>
      </c>
      <c r="V3192" s="36">
        <f>(J3187+U3192)</f>
        <v>3164303.75</v>
      </c>
      <c r="W3192" s="36">
        <f>(V3192*100/100)</f>
        <v>3164303.75</v>
      </c>
      <c r="X3192" s="28">
        <v>50000000</v>
      </c>
      <c r="Y3192" s="28"/>
      <c r="Z3192" s="49"/>
    </row>
    <row r="3193" spans="1:26" s="29" customFormat="1" ht="90.75" customHeight="1" x14ac:dyDescent="0.25">
      <c r="A3193" s="20"/>
      <c r="B3193" s="20"/>
      <c r="C3193" s="20"/>
      <c r="D3193" s="21"/>
      <c r="E3193" s="21"/>
      <c r="F3193" s="22"/>
      <c r="G3193" s="23"/>
      <c r="H3193" s="36">
        <v>13.12</v>
      </c>
      <c r="I3193" s="40">
        <v>3100</v>
      </c>
      <c r="J3193" s="28">
        <f t="shared" ref="J3193:J3207" si="803">(H3193*I3193)</f>
        <v>40672</v>
      </c>
      <c r="K3193" s="30">
        <v>5</v>
      </c>
      <c r="L3193" s="31" t="s">
        <v>215</v>
      </c>
      <c r="M3193" s="31" t="s">
        <v>13</v>
      </c>
      <c r="N3193" s="41">
        <v>2</v>
      </c>
      <c r="O3193" s="42">
        <v>52.5</v>
      </c>
      <c r="P3193" s="35">
        <v>100</v>
      </c>
      <c r="Q3193" s="36">
        <v>6450</v>
      </c>
      <c r="R3193" s="36">
        <f t="shared" si="801"/>
        <v>338625</v>
      </c>
      <c r="S3193" s="37">
        <v>7</v>
      </c>
      <c r="T3193" s="28">
        <f>(R3193*7/100)</f>
        <v>23703.75</v>
      </c>
      <c r="U3193" s="36">
        <f t="shared" si="802"/>
        <v>314921.25</v>
      </c>
      <c r="V3193" s="36">
        <f t="shared" ref="V3193:V3207" si="804">(J3193+U3193)</f>
        <v>355593.25</v>
      </c>
      <c r="W3193" s="36">
        <f t="shared" ref="W3193:W3207" si="805">(V3193*100/100)</f>
        <v>355593.25</v>
      </c>
      <c r="X3193" s="28">
        <v>0</v>
      </c>
      <c r="Y3193" s="28">
        <f t="shared" ref="Y3193:Y3207" si="806">(W3193-X3193)</f>
        <v>355593.25</v>
      </c>
      <c r="Z3193" s="49">
        <v>2.0000000000000001E-4</v>
      </c>
    </row>
    <row r="3194" spans="1:26" s="29" customFormat="1" ht="90.75" customHeight="1" x14ac:dyDescent="0.25">
      <c r="A3194" s="20"/>
      <c r="B3194" s="20"/>
      <c r="C3194" s="20"/>
      <c r="D3194" s="21"/>
      <c r="E3194" s="21"/>
      <c r="F3194" s="22"/>
      <c r="G3194" s="23"/>
      <c r="H3194" s="36">
        <v>13.12</v>
      </c>
      <c r="I3194" s="40">
        <v>3100</v>
      </c>
      <c r="J3194" s="28">
        <f t="shared" si="803"/>
        <v>40672</v>
      </c>
      <c r="K3194" s="30">
        <v>6</v>
      </c>
      <c r="L3194" s="31" t="s">
        <v>215</v>
      </c>
      <c r="M3194" s="31" t="s">
        <v>13</v>
      </c>
      <c r="N3194" s="41">
        <v>2</v>
      </c>
      <c r="O3194" s="42">
        <v>52.5</v>
      </c>
      <c r="P3194" s="35">
        <v>100</v>
      </c>
      <c r="Q3194" s="36">
        <v>6450</v>
      </c>
      <c r="R3194" s="36">
        <f t="shared" si="801"/>
        <v>338625</v>
      </c>
      <c r="S3194" s="37">
        <v>7</v>
      </c>
      <c r="T3194" s="28">
        <f t="shared" ref="T3194:T3207" si="807">(R3194*7/100)</f>
        <v>23703.75</v>
      </c>
      <c r="U3194" s="36">
        <f t="shared" si="802"/>
        <v>314921.25</v>
      </c>
      <c r="V3194" s="36">
        <f t="shared" si="804"/>
        <v>355593.25</v>
      </c>
      <c r="W3194" s="36">
        <f t="shared" si="805"/>
        <v>355593.25</v>
      </c>
      <c r="X3194" s="28">
        <v>0</v>
      </c>
      <c r="Y3194" s="28">
        <f t="shared" si="806"/>
        <v>355593.25</v>
      </c>
      <c r="Z3194" s="49">
        <v>2.0000000000000001E-4</v>
      </c>
    </row>
    <row r="3195" spans="1:26" s="29" customFormat="1" ht="90.75" customHeight="1" x14ac:dyDescent="0.25">
      <c r="A3195" s="20"/>
      <c r="B3195" s="20"/>
      <c r="C3195" s="20"/>
      <c r="D3195" s="21"/>
      <c r="E3195" s="21"/>
      <c r="F3195" s="22"/>
      <c r="G3195" s="23"/>
      <c r="H3195" s="36">
        <v>6.25</v>
      </c>
      <c r="I3195" s="40">
        <v>3100</v>
      </c>
      <c r="J3195" s="28">
        <f t="shared" si="803"/>
        <v>19375</v>
      </c>
      <c r="K3195" s="30">
        <v>7</v>
      </c>
      <c r="L3195" s="31" t="s">
        <v>31</v>
      </c>
      <c r="M3195" s="31"/>
      <c r="N3195" s="41">
        <v>2</v>
      </c>
      <c r="O3195" s="42">
        <v>25</v>
      </c>
      <c r="P3195" s="35">
        <v>100</v>
      </c>
      <c r="Q3195" s="36">
        <v>2550</v>
      </c>
      <c r="R3195" s="36">
        <f t="shared" si="801"/>
        <v>63750</v>
      </c>
      <c r="S3195" s="37">
        <v>7</v>
      </c>
      <c r="T3195" s="28">
        <f t="shared" si="807"/>
        <v>4462.5</v>
      </c>
      <c r="U3195" s="36">
        <f t="shared" si="802"/>
        <v>59287.5</v>
      </c>
      <c r="V3195" s="36">
        <f t="shared" si="804"/>
        <v>78662.5</v>
      </c>
      <c r="W3195" s="36">
        <f t="shared" si="805"/>
        <v>78662.5</v>
      </c>
      <c r="X3195" s="28">
        <v>0</v>
      </c>
      <c r="Y3195" s="28">
        <f t="shared" si="806"/>
        <v>78662.5</v>
      </c>
      <c r="Z3195" s="49">
        <v>2.0000000000000001E-4</v>
      </c>
    </row>
    <row r="3196" spans="1:26" s="29" customFormat="1" ht="90.75" customHeight="1" x14ac:dyDescent="0.25">
      <c r="A3196" s="20"/>
      <c r="B3196" s="20"/>
      <c r="C3196" s="20"/>
      <c r="D3196" s="21"/>
      <c r="E3196" s="21"/>
      <c r="F3196" s="22"/>
      <c r="G3196" s="23"/>
      <c r="H3196" s="36">
        <v>8.5500000000000007</v>
      </c>
      <c r="I3196" s="40">
        <v>3100</v>
      </c>
      <c r="J3196" s="28">
        <f t="shared" si="803"/>
        <v>26505.000000000004</v>
      </c>
      <c r="K3196" s="30">
        <v>8</v>
      </c>
      <c r="L3196" s="31" t="s">
        <v>215</v>
      </c>
      <c r="M3196" s="31" t="s">
        <v>13</v>
      </c>
      <c r="N3196" s="41">
        <v>2</v>
      </c>
      <c r="O3196" s="42">
        <v>34.200000000000003</v>
      </c>
      <c r="P3196" s="35">
        <v>100</v>
      </c>
      <c r="Q3196" s="36">
        <v>6450</v>
      </c>
      <c r="R3196" s="36">
        <f t="shared" si="801"/>
        <v>220590.00000000003</v>
      </c>
      <c r="S3196" s="37">
        <v>7</v>
      </c>
      <c r="T3196" s="28">
        <f t="shared" si="807"/>
        <v>15441.300000000003</v>
      </c>
      <c r="U3196" s="36">
        <f t="shared" si="802"/>
        <v>205148.7</v>
      </c>
      <c r="V3196" s="36">
        <f t="shared" si="804"/>
        <v>231653.7</v>
      </c>
      <c r="W3196" s="36">
        <f t="shared" si="805"/>
        <v>231653.7</v>
      </c>
      <c r="X3196" s="28">
        <v>0</v>
      </c>
      <c r="Y3196" s="28">
        <f t="shared" si="806"/>
        <v>231653.7</v>
      </c>
      <c r="Z3196" s="49">
        <v>2.0000000000000001E-4</v>
      </c>
    </row>
    <row r="3197" spans="1:26" s="29" customFormat="1" ht="90.75" customHeight="1" x14ac:dyDescent="0.25">
      <c r="A3197" s="20"/>
      <c r="B3197" s="20"/>
      <c r="C3197" s="20"/>
      <c r="D3197" s="21"/>
      <c r="E3197" s="21"/>
      <c r="F3197" s="22"/>
      <c r="G3197" s="23"/>
      <c r="H3197" s="36">
        <v>8.5500000000000007</v>
      </c>
      <c r="I3197" s="40">
        <v>3100</v>
      </c>
      <c r="J3197" s="28">
        <f t="shared" si="803"/>
        <v>26505.000000000004</v>
      </c>
      <c r="K3197" s="30">
        <v>9</v>
      </c>
      <c r="L3197" s="31" t="s">
        <v>215</v>
      </c>
      <c r="M3197" s="31" t="s">
        <v>13</v>
      </c>
      <c r="N3197" s="41">
        <v>2</v>
      </c>
      <c r="O3197" s="42">
        <v>34.200000000000003</v>
      </c>
      <c r="P3197" s="35">
        <v>100</v>
      </c>
      <c r="Q3197" s="36">
        <v>6450</v>
      </c>
      <c r="R3197" s="36">
        <f t="shared" si="801"/>
        <v>220590.00000000003</v>
      </c>
      <c r="S3197" s="37">
        <v>7</v>
      </c>
      <c r="T3197" s="28">
        <f t="shared" si="807"/>
        <v>15441.300000000003</v>
      </c>
      <c r="U3197" s="36">
        <f t="shared" si="802"/>
        <v>205148.7</v>
      </c>
      <c r="V3197" s="36">
        <f t="shared" si="804"/>
        <v>231653.7</v>
      </c>
      <c r="W3197" s="36">
        <f t="shared" si="805"/>
        <v>231653.7</v>
      </c>
      <c r="X3197" s="28">
        <v>0</v>
      </c>
      <c r="Y3197" s="28">
        <f t="shared" si="806"/>
        <v>231653.7</v>
      </c>
      <c r="Z3197" s="49">
        <v>2.0000000000000001E-4</v>
      </c>
    </row>
    <row r="3198" spans="1:26" s="29" customFormat="1" ht="90.75" customHeight="1" x14ac:dyDescent="0.25">
      <c r="A3198" s="20"/>
      <c r="B3198" s="20"/>
      <c r="C3198" s="20"/>
      <c r="D3198" s="21"/>
      <c r="E3198" s="21"/>
      <c r="F3198" s="22"/>
      <c r="G3198" s="23"/>
      <c r="H3198" s="36">
        <v>8.5500000000000007</v>
      </c>
      <c r="I3198" s="40">
        <v>3100</v>
      </c>
      <c r="J3198" s="28">
        <f t="shared" si="803"/>
        <v>26505.000000000004</v>
      </c>
      <c r="K3198" s="30">
        <v>10</v>
      </c>
      <c r="L3198" s="31" t="s">
        <v>215</v>
      </c>
      <c r="M3198" s="31" t="s">
        <v>13</v>
      </c>
      <c r="N3198" s="41">
        <v>2</v>
      </c>
      <c r="O3198" s="42">
        <v>34.200000000000003</v>
      </c>
      <c r="P3198" s="35">
        <v>100</v>
      </c>
      <c r="Q3198" s="36">
        <v>6450</v>
      </c>
      <c r="R3198" s="36">
        <f t="shared" si="801"/>
        <v>220590.00000000003</v>
      </c>
      <c r="S3198" s="37">
        <v>7</v>
      </c>
      <c r="T3198" s="28">
        <f t="shared" si="807"/>
        <v>15441.300000000003</v>
      </c>
      <c r="U3198" s="36">
        <f t="shared" si="802"/>
        <v>205148.7</v>
      </c>
      <c r="V3198" s="36">
        <f t="shared" si="804"/>
        <v>231653.7</v>
      </c>
      <c r="W3198" s="36">
        <f t="shared" si="805"/>
        <v>231653.7</v>
      </c>
      <c r="X3198" s="28">
        <v>0</v>
      </c>
      <c r="Y3198" s="28">
        <f t="shared" si="806"/>
        <v>231653.7</v>
      </c>
      <c r="Z3198" s="49">
        <v>2.0000000000000001E-4</v>
      </c>
    </row>
    <row r="3199" spans="1:26" s="29" customFormat="1" ht="90.75" customHeight="1" x14ac:dyDescent="0.25">
      <c r="A3199" s="20"/>
      <c r="B3199" s="20"/>
      <c r="C3199" s="20"/>
      <c r="D3199" s="21"/>
      <c r="E3199" s="21"/>
      <c r="F3199" s="22"/>
      <c r="G3199" s="23"/>
      <c r="H3199" s="36">
        <v>8.5500000000000007</v>
      </c>
      <c r="I3199" s="40">
        <v>3100</v>
      </c>
      <c r="J3199" s="28">
        <f t="shared" si="803"/>
        <v>26505.000000000004</v>
      </c>
      <c r="K3199" s="30">
        <v>11</v>
      </c>
      <c r="L3199" s="31" t="s">
        <v>215</v>
      </c>
      <c r="M3199" s="31" t="s">
        <v>13</v>
      </c>
      <c r="N3199" s="41">
        <v>2</v>
      </c>
      <c r="O3199" s="42">
        <v>34.200000000000003</v>
      </c>
      <c r="P3199" s="35">
        <v>100</v>
      </c>
      <c r="Q3199" s="36">
        <v>6450</v>
      </c>
      <c r="R3199" s="36">
        <f t="shared" si="801"/>
        <v>220590.00000000003</v>
      </c>
      <c r="S3199" s="37">
        <v>7</v>
      </c>
      <c r="T3199" s="28">
        <f t="shared" si="807"/>
        <v>15441.300000000003</v>
      </c>
      <c r="U3199" s="36">
        <f t="shared" si="802"/>
        <v>205148.7</v>
      </c>
      <c r="V3199" s="36">
        <f t="shared" si="804"/>
        <v>231653.7</v>
      </c>
      <c r="W3199" s="36">
        <f t="shared" si="805"/>
        <v>231653.7</v>
      </c>
      <c r="X3199" s="28">
        <v>0</v>
      </c>
      <c r="Y3199" s="28">
        <f t="shared" si="806"/>
        <v>231653.7</v>
      </c>
      <c r="Z3199" s="49">
        <v>2.0000000000000001E-4</v>
      </c>
    </row>
    <row r="3200" spans="1:26" s="29" customFormat="1" ht="90.75" customHeight="1" x14ac:dyDescent="0.25">
      <c r="A3200" s="20"/>
      <c r="B3200" s="20"/>
      <c r="C3200" s="20"/>
      <c r="D3200" s="21"/>
      <c r="E3200" s="21"/>
      <c r="F3200" s="22"/>
      <c r="G3200" s="23"/>
      <c r="H3200" s="36">
        <v>8.5500000000000007</v>
      </c>
      <c r="I3200" s="40">
        <v>3100</v>
      </c>
      <c r="J3200" s="28">
        <f t="shared" si="803"/>
        <v>26505.000000000004</v>
      </c>
      <c r="K3200" s="30">
        <v>12</v>
      </c>
      <c r="L3200" s="31" t="s">
        <v>215</v>
      </c>
      <c r="M3200" s="31" t="s">
        <v>13</v>
      </c>
      <c r="N3200" s="41">
        <v>2</v>
      </c>
      <c r="O3200" s="42">
        <v>34.200000000000003</v>
      </c>
      <c r="P3200" s="35">
        <v>100</v>
      </c>
      <c r="Q3200" s="36">
        <v>6450</v>
      </c>
      <c r="R3200" s="36">
        <f t="shared" si="801"/>
        <v>220590.00000000003</v>
      </c>
      <c r="S3200" s="37">
        <v>7</v>
      </c>
      <c r="T3200" s="28">
        <f t="shared" si="807"/>
        <v>15441.300000000003</v>
      </c>
      <c r="U3200" s="36">
        <f t="shared" si="802"/>
        <v>205148.7</v>
      </c>
      <c r="V3200" s="36">
        <f t="shared" si="804"/>
        <v>231653.7</v>
      </c>
      <c r="W3200" s="36">
        <f t="shared" si="805"/>
        <v>231653.7</v>
      </c>
      <c r="X3200" s="28">
        <v>0</v>
      </c>
      <c r="Y3200" s="28">
        <f t="shared" si="806"/>
        <v>231653.7</v>
      </c>
      <c r="Z3200" s="49">
        <v>2.0000000000000001E-4</v>
      </c>
    </row>
    <row r="3201" spans="1:26" s="29" customFormat="1" ht="90.75" customHeight="1" x14ac:dyDescent="0.25">
      <c r="A3201" s="20"/>
      <c r="B3201" s="20"/>
      <c r="C3201" s="20"/>
      <c r="D3201" s="21"/>
      <c r="E3201" s="21"/>
      <c r="F3201" s="22"/>
      <c r="G3201" s="23"/>
      <c r="H3201" s="36">
        <v>8.5500000000000007</v>
      </c>
      <c r="I3201" s="40">
        <v>3100</v>
      </c>
      <c r="J3201" s="28">
        <f t="shared" si="803"/>
        <v>26505.000000000004</v>
      </c>
      <c r="K3201" s="30">
        <v>13</v>
      </c>
      <c r="L3201" s="31" t="s">
        <v>215</v>
      </c>
      <c r="M3201" s="31" t="s">
        <v>13</v>
      </c>
      <c r="N3201" s="41">
        <v>2</v>
      </c>
      <c r="O3201" s="42">
        <v>34.200000000000003</v>
      </c>
      <c r="P3201" s="35">
        <v>100</v>
      </c>
      <c r="Q3201" s="36">
        <v>6450</v>
      </c>
      <c r="R3201" s="36">
        <f t="shared" si="801"/>
        <v>220590.00000000003</v>
      </c>
      <c r="S3201" s="37">
        <v>7</v>
      </c>
      <c r="T3201" s="28">
        <f t="shared" si="807"/>
        <v>15441.300000000003</v>
      </c>
      <c r="U3201" s="36">
        <f t="shared" si="802"/>
        <v>205148.7</v>
      </c>
      <c r="V3201" s="36">
        <f t="shared" si="804"/>
        <v>231653.7</v>
      </c>
      <c r="W3201" s="36">
        <f t="shared" si="805"/>
        <v>231653.7</v>
      </c>
      <c r="X3201" s="28">
        <v>0</v>
      </c>
      <c r="Y3201" s="28">
        <f t="shared" si="806"/>
        <v>231653.7</v>
      </c>
      <c r="Z3201" s="49">
        <v>2.0000000000000001E-4</v>
      </c>
    </row>
    <row r="3202" spans="1:26" s="29" customFormat="1" ht="90.75" customHeight="1" x14ac:dyDescent="0.25">
      <c r="A3202" s="20"/>
      <c r="B3202" s="20"/>
      <c r="C3202" s="20"/>
      <c r="D3202" s="21"/>
      <c r="E3202" s="21"/>
      <c r="F3202" s="22"/>
      <c r="G3202" s="23"/>
      <c r="H3202" s="36">
        <v>8.5500000000000007</v>
      </c>
      <c r="I3202" s="40">
        <v>3100</v>
      </c>
      <c r="J3202" s="28">
        <f t="shared" si="803"/>
        <v>26505.000000000004</v>
      </c>
      <c r="K3202" s="30">
        <v>14</v>
      </c>
      <c r="L3202" s="31" t="s">
        <v>215</v>
      </c>
      <c r="M3202" s="31" t="s">
        <v>13</v>
      </c>
      <c r="N3202" s="41">
        <v>2</v>
      </c>
      <c r="O3202" s="42">
        <v>34.200000000000003</v>
      </c>
      <c r="P3202" s="35">
        <v>100</v>
      </c>
      <c r="Q3202" s="36">
        <v>6450</v>
      </c>
      <c r="R3202" s="36">
        <f t="shared" si="801"/>
        <v>220590.00000000003</v>
      </c>
      <c r="S3202" s="37">
        <v>7</v>
      </c>
      <c r="T3202" s="28">
        <f t="shared" si="807"/>
        <v>15441.300000000003</v>
      </c>
      <c r="U3202" s="36">
        <f t="shared" si="802"/>
        <v>205148.7</v>
      </c>
      <c r="V3202" s="36">
        <f t="shared" si="804"/>
        <v>231653.7</v>
      </c>
      <c r="W3202" s="36">
        <f t="shared" si="805"/>
        <v>231653.7</v>
      </c>
      <c r="X3202" s="28">
        <v>0</v>
      </c>
      <c r="Y3202" s="28">
        <f t="shared" si="806"/>
        <v>231653.7</v>
      </c>
      <c r="Z3202" s="49">
        <v>2.0000000000000001E-4</v>
      </c>
    </row>
    <row r="3203" spans="1:26" s="29" customFormat="1" ht="90.75" customHeight="1" x14ac:dyDescent="0.25">
      <c r="A3203" s="20"/>
      <c r="B3203" s="20"/>
      <c r="C3203" s="20"/>
      <c r="D3203" s="21"/>
      <c r="E3203" s="21"/>
      <c r="F3203" s="22"/>
      <c r="G3203" s="23"/>
      <c r="H3203" s="36">
        <v>8.5500000000000007</v>
      </c>
      <c r="I3203" s="40">
        <v>3100</v>
      </c>
      <c r="J3203" s="28">
        <f t="shared" si="803"/>
        <v>26505.000000000004</v>
      </c>
      <c r="K3203" s="30">
        <v>15</v>
      </c>
      <c r="L3203" s="31" t="s">
        <v>215</v>
      </c>
      <c r="M3203" s="31" t="s">
        <v>13</v>
      </c>
      <c r="N3203" s="41">
        <v>2</v>
      </c>
      <c r="O3203" s="42">
        <v>34.200000000000003</v>
      </c>
      <c r="P3203" s="35">
        <v>100</v>
      </c>
      <c r="Q3203" s="36">
        <v>6450</v>
      </c>
      <c r="R3203" s="36">
        <f t="shared" si="801"/>
        <v>220590.00000000003</v>
      </c>
      <c r="S3203" s="37">
        <v>7</v>
      </c>
      <c r="T3203" s="28">
        <f t="shared" si="807"/>
        <v>15441.300000000003</v>
      </c>
      <c r="U3203" s="36">
        <f t="shared" si="802"/>
        <v>205148.7</v>
      </c>
      <c r="V3203" s="36">
        <f t="shared" si="804"/>
        <v>231653.7</v>
      </c>
      <c r="W3203" s="36">
        <f t="shared" si="805"/>
        <v>231653.7</v>
      </c>
      <c r="X3203" s="28">
        <v>0</v>
      </c>
      <c r="Y3203" s="28">
        <f t="shared" si="806"/>
        <v>231653.7</v>
      </c>
      <c r="Z3203" s="49">
        <v>2.0000000000000001E-4</v>
      </c>
    </row>
    <row r="3204" spans="1:26" s="29" customFormat="1" ht="90.75" customHeight="1" x14ac:dyDescent="0.25">
      <c r="A3204" s="20"/>
      <c r="B3204" s="20"/>
      <c r="C3204" s="20"/>
      <c r="D3204" s="21"/>
      <c r="E3204" s="21"/>
      <c r="F3204" s="22"/>
      <c r="G3204" s="23"/>
      <c r="H3204" s="36">
        <v>8.5500000000000007</v>
      </c>
      <c r="I3204" s="40">
        <v>3100</v>
      </c>
      <c r="J3204" s="28">
        <f t="shared" si="803"/>
        <v>26505.000000000004</v>
      </c>
      <c r="K3204" s="30">
        <v>16</v>
      </c>
      <c r="L3204" s="31" t="s">
        <v>215</v>
      </c>
      <c r="M3204" s="31" t="s">
        <v>13</v>
      </c>
      <c r="N3204" s="41">
        <v>2</v>
      </c>
      <c r="O3204" s="42">
        <v>34.200000000000003</v>
      </c>
      <c r="P3204" s="35">
        <v>100</v>
      </c>
      <c r="Q3204" s="36">
        <v>6450</v>
      </c>
      <c r="R3204" s="36">
        <f t="shared" si="801"/>
        <v>220590.00000000003</v>
      </c>
      <c r="S3204" s="37">
        <v>7</v>
      </c>
      <c r="T3204" s="28">
        <f t="shared" si="807"/>
        <v>15441.300000000003</v>
      </c>
      <c r="U3204" s="36">
        <f t="shared" si="802"/>
        <v>205148.7</v>
      </c>
      <c r="V3204" s="36">
        <f t="shared" si="804"/>
        <v>231653.7</v>
      </c>
      <c r="W3204" s="36">
        <f t="shared" si="805"/>
        <v>231653.7</v>
      </c>
      <c r="X3204" s="28">
        <v>0</v>
      </c>
      <c r="Y3204" s="28">
        <f t="shared" si="806"/>
        <v>231653.7</v>
      </c>
      <c r="Z3204" s="49">
        <v>2.0000000000000001E-4</v>
      </c>
    </row>
    <row r="3205" spans="1:26" s="29" customFormat="1" ht="90.75" customHeight="1" x14ac:dyDescent="0.25">
      <c r="A3205" s="20"/>
      <c r="B3205" s="20"/>
      <c r="C3205" s="20"/>
      <c r="D3205" s="21"/>
      <c r="E3205" s="21"/>
      <c r="F3205" s="22"/>
      <c r="G3205" s="23"/>
      <c r="H3205" s="36">
        <v>8.5500000000000007</v>
      </c>
      <c r="I3205" s="40">
        <v>3100</v>
      </c>
      <c r="J3205" s="28">
        <f t="shared" si="803"/>
        <v>26505.000000000004</v>
      </c>
      <c r="K3205" s="30">
        <v>17</v>
      </c>
      <c r="L3205" s="31" t="s">
        <v>215</v>
      </c>
      <c r="M3205" s="31" t="s">
        <v>13</v>
      </c>
      <c r="N3205" s="41">
        <v>2</v>
      </c>
      <c r="O3205" s="42">
        <v>34.200000000000003</v>
      </c>
      <c r="P3205" s="35">
        <v>100</v>
      </c>
      <c r="Q3205" s="36">
        <v>6450</v>
      </c>
      <c r="R3205" s="36">
        <f t="shared" si="801"/>
        <v>220590.00000000003</v>
      </c>
      <c r="S3205" s="37">
        <v>7</v>
      </c>
      <c r="T3205" s="28">
        <f t="shared" si="807"/>
        <v>15441.300000000003</v>
      </c>
      <c r="U3205" s="36">
        <f t="shared" si="802"/>
        <v>205148.7</v>
      </c>
      <c r="V3205" s="36">
        <f t="shared" si="804"/>
        <v>231653.7</v>
      </c>
      <c r="W3205" s="36">
        <f t="shared" si="805"/>
        <v>231653.7</v>
      </c>
      <c r="X3205" s="28">
        <v>0</v>
      </c>
      <c r="Y3205" s="28">
        <f t="shared" si="806"/>
        <v>231653.7</v>
      </c>
      <c r="Z3205" s="49">
        <v>2.0000000000000001E-4</v>
      </c>
    </row>
    <row r="3206" spans="1:26" s="29" customFormat="1" ht="90.75" customHeight="1" x14ac:dyDescent="0.25">
      <c r="A3206" s="20"/>
      <c r="B3206" s="20"/>
      <c r="C3206" s="20"/>
      <c r="D3206" s="21"/>
      <c r="E3206" s="21"/>
      <c r="F3206" s="22"/>
      <c r="G3206" s="23"/>
      <c r="H3206" s="36">
        <v>8.5500000000000007</v>
      </c>
      <c r="I3206" s="40">
        <v>3100</v>
      </c>
      <c r="J3206" s="28">
        <f t="shared" si="803"/>
        <v>26505.000000000004</v>
      </c>
      <c r="K3206" s="30">
        <v>18</v>
      </c>
      <c r="L3206" s="31" t="s">
        <v>215</v>
      </c>
      <c r="M3206" s="31" t="s">
        <v>13</v>
      </c>
      <c r="N3206" s="41">
        <v>2</v>
      </c>
      <c r="O3206" s="42">
        <v>34.200000000000003</v>
      </c>
      <c r="P3206" s="35">
        <v>100</v>
      </c>
      <c r="Q3206" s="36">
        <v>6450</v>
      </c>
      <c r="R3206" s="36">
        <f t="shared" si="801"/>
        <v>220590.00000000003</v>
      </c>
      <c r="S3206" s="37">
        <v>7</v>
      </c>
      <c r="T3206" s="28">
        <f t="shared" si="807"/>
        <v>15441.300000000003</v>
      </c>
      <c r="U3206" s="36">
        <f t="shared" si="802"/>
        <v>205148.7</v>
      </c>
      <c r="V3206" s="36">
        <f t="shared" si="804"/>
        <v>231653.7</v>
      </c>
      <c r="W3206" s="36">
        <f t="shared" si="805"/>
        <v>231653.7</v>
      </c>
      <c r="X3206" s="28">
        <v>0</v>
      </c>
      <c r="Y3206" s="28">
        <f t="shared" si="806"/>
        <v>231653.7</v>
      </c>
      <c r="Z3206" s="49">
        <v>2.0000000000000001E-4</v>
      </c>
    </row>
    <row r="3207" spans="1:26" s="29" customFormat="1" ht="90.75" customHeight="1" x14ac:dyDescent="0.25">
      <c r="A3207" s="20"/>
      <c r="B3207" s="20"/>
      <c r="C3207" s="20"/>
      <c r="D3207" s="21"/>
      <c r="E3207" s="21"/>
      <c r="F3207" s="22"/>
      <c r="G3207" s="23"/>
      <c r="H3207" s="36">
        <v>3</v>
      </c>
      <c r="I3207" s="40">
        <v>3100</v>
      </c>
      <c r="J3207" s="28">
        <f t="shared" si="803"/>
        <v>9300</v>
      </c>
      <c r="K3207" s="30">
        <v>19</v>
      </c>
      <c r="L3207" s="31" t="s">
        <v>15</v>
      </c>
      <c r="M3207" s="31"/>
      <c r="N3207" s="41">
        <v>3</v>
      </c>
      <c r="O3207" s="42">
        <v>12</v>
      </c>
      <c r="P3207" s="35">
        <v>100</v>
      </c>
      <c r="Q3207" s="36">
        <v>5950</v>
      </c>
      <c r="R3207" s="36">
        <f t="shared" si="801"/>
        <v>71400</v>
      </c>
      <c r="S3207" s="37">
        <v>7</v>
      </c>
      <c r="T3207" s="28">
        <f t="shared" si="807"/>
        <v>4998</v>
      </c>
      <c r="U3207" s="36">
        <f t="shared" si="802"/>
        <v>66402</v>
      </c>
      <c r="V3207" s="36">
        <f t="shared" si="804"/>
        <v>75702</v>
      </c>
      <c r="W3207" s="36">
        <f t="shared" si="805"/>
        <v>75702</v>
      </c>
      <c r="X3207" s="28">
        <v>0</v>
      </c>
      <c r="Y3207" s="28">
        <f t="shared" si="806"/>
        <v>75702</v>
      </c>
      <c r="Z3207" s="49">
        <v>3.0000000000000001E-3</v>
      </c>
    </row>
    <row r="3208" spans="1:26" s="29" customFormat="1" ht="90.75" customHeight="1" x14ac:dyDescent="0.25">
      <c r="A3208" s="20">
        <v>1535</v>
      </c>
      <c r="B3208" s="20" t="s">
        <v>0</v>
      </c>
      <c r="C3208" s="20">
        <v>38368</v>
      </c>
      <c r="D3208" s="21">
        <v>17</v>
      </c>
      <c r="E3208" s="21">
        <v>0</v>
      </c>
      <c r="F3208" s="22">
        <v>85</v>
      </c>
      <c r="G3208" s="23" t="s">
        <v>211</v>
      </c>
      <c r="H3208" s="36">
        <f>(D3208*400)+(E3208*100)+F3208</f>
        <v>6885</v>
      </c>
      <c r="I3208" s="40">
        <v>3100</v>
      </c>
      <c r="J3208" s="28">
        <f>(H3208*I3208)</f>
        <v>21343500</v>
      </c>
      <c r="K3208" s="37"/>
      <c r="L3208" s="31"/>
      <c r="M3208" s="31"/>
      <c r="N3208" s="41"/>
      <c r="O3208" s="42"/>
      <c r="P3208" s="86"/>
      <c r="Q3208" s="36"/>
      <c r="R3208" s="36"/>
      <c r="S3208" s="37"/>
      <c r="T3208" s="28"/>
      <c r="U3208" s="36"/>
      <c r="V3208" s="36"/>
      <c r="W3208" s="36"/>
      <c r="X3208" s="28"/>
      <c r="Y3208" s="28"/>
      <c r="Z3208" s="20"/>
    </row>
    <row r="3209" spans="1:26" s="29" customFormat="1" ht="90.75" customHeight="1" x14ac:dyDescent="0.25">
      <c r="A3209" s="20"/>
      <c r="B3209" s="20"/>
      <c r="C3209" s="20"/>
      <c r="D3209" s="21"/>
      <c r="E3209" s="21"/>
      <c r="F3209" s="22"/>
      <c r="G3209" s="23"/>
      <c r="H3209" s="36">
        <v>6777.5</v>
      </c>
      <c r="I3209" s="40">
        <v>3100</v>
      </c>
      <c r="J3209" s="28">
        <f>(H3209*I3209)</f>
        <v>21010250</v>
      </c>
      <c r="K3209" s="37">
        <v>1</v>
      </c>
      <c r="L3209" s="31" t="s">
        <v>215</v>
      </c>
      <c r="M3209" s="31" t="s">
        <v>24</v>
      </c>
      <c r="N3209" s="41">
        <v>2</v>
      </c>
      <c r="O3209" s="42">
        <v>264</v>
      </c>
      <c r="P3209" s="86" t="s">
        <v>256</v>
      </c>
      <c r="Q3209" s="36">
        <v>6450</v>
      </c>
      <c r="R3209" s="36">
        <f>(O3209*Q3209)</f>
        <v>1702800</v>
      </c>
      <c r="S3209" s="37">
        <v>32</v>
      </c>
      <c r="T3209" s="28">
        <f>(R3209*54/100)</f>
        <v>919512</v>
      </c>
      <c r="U3209" s="36">
        <f>(R3209-T3209)</f>
        <v>783288</v>
      </c>
      <c r="V3209" s="36"/>
      <c r="W3209" s="36"/>
      <c r="X3209" s="28"/>
      <c r="Y3209" s="28"/>
      <c r="Z3209" s="20"/>
    </row>
    <row r="3210" spans="1:26" s="29" customFormat="1" ht="90.75" customHeight="1" x14ac:dyDescent="0.25">
      <c r="A3210" s="20"/>
      <c r="B3210" s="20"/>
      <c r="C3210" s="20"/>
      <c r="D3210" s="21"/>
      <c r="E3210" s="21"/>
      <c r="F3210" s="22"/>
      <c r="G3210" s="23"/>
      <c r="H3210" s="36"/>
      <c r="I3210" s="40"/>
      <c r="J3210" s="28"/>
      <c r="K3210" s="37">
        <v>2</v>
      </c>
      <c r="L3210" s="31" t="s">
        <v>29</v>
      </c>
      <c r="M3210" s="31"/>
      <c r="N3210" s="41">
        <v>2</v>
      </c>
      <c r="O3210" s="42">
        <v>48</v>
      </c>
      <c r="P3210" s="86" t="s">
        <v>256</v>
      </c>
      <c r="Q3210" s="36">
        <v>5550</v>
      </c>
      <c r="R3210" s="36">
        <f>(O3210*Q3210)</f>
        <v>266400</v>
      </c>
      <c r="S3210" s="37">
        <v>32</v>
      </c>
      <c r="T3210" s="28">
        <f>(R3210*54/100)</f>
        <v>143856</v>
      </c>
      <c r="U3210" s="36">
        <f>(R3210-T3210)</f>
        <v>122544</v>
      </c>
      <c r="V3210" s="36"/>
      <c r="W3210" s="36"/>
      <c r="X3210" s="28"/>
      <c r="Y3210" s="28"/>
      <c r="Z3210" s="20"/>
    </row>
    <row r="3211" spans="1:26" s="29" customFormat="1" ht="90.75" customHeight="1" x14ac:dyDescent="0.25">
      <c r="A3211" s="20"/>
      <c r="B3211" s="20"/>
      <c r="C3211" s="20"/>
      <c r="D3211" s="21"/>
      <c r="E3211" s="21"/>
      <c r="F3211" s="22"/>
      <c r="G3211" s="23"/>
      <c r="H3211" s="36"/>
      <c r="I3211" s="40"/>
      <c r="J3211" s="28"/>
      <c r="K3211" s="37"/>
      <c r="L3211" s="31"/>
      <c r="M3211" s="31"/>
      <c r="N3211" s="41"/>
      <c r="O3211" s="42"/>
      <c r="P3211" s="86"/>
      <c r="Q3211" s="36"/>
      <c r="R3211" s="36"/>
      <c r="S3211" s="37"/>
      <c r="T3211" s="28"/>
      <c r="U3211" s="36">
        <f>SUBTOTAL(9,U3209:U3210)</f>
        <v>905832</v>
      </c>
      <c r="V3211" s="36">
        <f>(J3208+U3211)</f>
        <v>22249332</v>
      </c>
      <c r="W3211" s="36">
        <f>(V3211*100/100)</f>
        <v>22249332</v>
      </c>
      <c r="X3211" s="28">
        <v>50000000</v>
      </c>
      <c r="Y3211" s="28"/>
      <c r="Z3211" s="20"/>
    </row>
    <row r="3212" spans="1:26" s="29" customFormat="1" ht="90.75" customHeight="1" x14ac:dyDescent="0.25">
      <c r="A3212" s="20"/>
      <c r="B3212" s="20"/>
      <c r="C3212" s="20"/>
      <c r="D3212" s="21"/>
      <c r="E3212" s="21"/>
      <c r="F3212" s="22"/>
      <c r="G3212" s="23"/>
      <c r="H3212" s="36">
        <f t="shared" ref="H3212:H3213" si="808">(O3212*0.025)</f>
        <v>4.5</v>
      </c>
      <c r="I3212" s="40">
        <v>3100</v>
      </c>
      <c r="J3212" s="28">
        <f t="shared" ref="J3212:J3213" si="809">(H3212*I3212)</f>
        <v>13950</v>
      </c>
      <c r="K3212" s="37">
        <v>3</v>
      </c>
      <c r="L3212" s="31" t="s">
        <v>41</v>
      </c>
      <c r="M3212" s="31"/>
      <c r="N3212" s="41">
        <v>3</v>
      </c>
      <c r="O3212" s="42">
        <v>180</v>
      </c>
      <c r="P3212" s="86" t="s">
        <v>256</v>
      </c>
      <c r="Q3212" s="36">
        <v>6400</v>
      </c>
      <c r="R3212" s="36">
        <f t="shared" ref="R3212:R3213" si="810">(O3212*Q3212)</f>
        <v>1152000</v>
      </c>
      <c r="S3212" s="37">
        <v>7</v>
      </c>
      <c r="T3212" s="28">
        <f>(R3212*7/100)</f>
        <v>80640</v>
      </c>
      <c r="U3212" s="36">
        <f>(R3212-T3212)</f>
        <v>1071360</v>
      </c>
      <c r="V3212" s="36">
        <f>(J3212+U3212)</f>
        <v>1085310</v>
      </c>
      <c r="W3212" s="36">
        <f>(V3212*100/100)</f>
        <v>1085310</v>
      </c>
      <c r="X3212" s="28">
        <v>0</v>
      </c>
      <c r="Y3212" s="28">
        <f>(W3212-X3212)</f>
        <v>1085310</v>
      </c>
      <c r="Z3212" s="49">
        <v>3.0000000000000001E-3</v>
      </c>
    </row>
    <row r="3213" spans="1:26" s="29" customFormat="1" ht="90.75" customHeight="1" x14ac:dyDescent="0.25">
      <c r="A3213" s="20"/>
      <c r="B3213" s="20"/>
      <c r="C3213" s="20"/>
      <c r="D3213" s="21"/>
      <c r="E3213" s="21"/>
      <c r="F3213" s="22"/>
      <c r="G3213" s="23"/>
      <c r="H3213" s="36">
        <f t="shared" si="808"/>
        <v>3</v>
      </c>
      <c r="I3213" s="40">
        <v>3100</v>
      </c>
      <c r="J3213" s="28">
        <f t="shared" si="809"/>
        <v>9300</v>
      </c>
      <c r="K3213" s="37">
        <v>4</v>
      </c>
      <c r="L3213" s="31" t="s">
        <v>43</v>
      </c>
      <c r="M3213" s="31"/>
      <c r="N3213" s="41">
        <v>2</v>
      </c>
      <c r="O3213" s="42">
        <v>120</v>
      </c>
      <c r="P3213" s="86" t="s">
        <v>256</v>
      </c>
      <c r="Q3213" s="36">
        <v>7700</v>
      </c>
      <c r="R3213" s="36">
        <f t="shared" si="810"/>
        <v>924000</v>
      </c>
      <c r="S3213" s="37">
        <v>5</v>
      </c>
      <c r="T3213" s="28">
        <f>(R3213*5/100)</f>
        <v>46200</v>
      </c>
      <c r="U3213" s="36">
        <f t="shared" ref="U3213" si="811">(R3213-T3213)</f>
        <v>877800</v>
      </c>
      <c r="V3213" s="36">
        <f t="shared" ref="V3213" si="812">(J3213+U3213)</f>
        <v>887100</v>
      </c>
      <c r="W3213" s="36">
        <f>(V3213*100/100)</f>
        <v>887100</v>
      </c>
      <c r="X3213" s="28">
        <v>0</v>
      </c>
      <c r="Y3213" s="28">
        <f>(W3213-X3213)</f>
        <v>887100</v>
      </c>
      <c r="Z3213" s="49">
        <v>2.0000000000000001E-4</v>
      </c>
    </row>
    <row r="3214" spans="1:26" s="29" customFormat="1" ht="90.75" customHeight="1" x14ac:dyDescent="0.25">
      <c r="A3214" s="20"/>
      <c r="B3214" s="20" t="s">
        <v>0</v>
      </c>
      <c r="C3214" s="20">
        <v>38368</v>
      </c>
      <c r="D3214" s="21"/>
      <c r="E3214" s="21"/>
      <c r="F3214" s="22"/>
      <c r="G3214" s="23"/>
      <c r="H3214" s="24">
        <v>100</v>
      </c>
      <c r="I3214" s="25">
        <v>3100</v>
      </c>
      <c r="J3214" s="24">
        <f>(H3214*I3214)</f>
        <v>310000</v>
      </c>
      <c r="K3214" s="20"/>
      <c r="L3214" s="20"/>
      <c r="M3214" s="20"/>
      <c r="N3214" s="20"/>
      <c r="O3214" s="24"/>
      <c r="P3214" s="24"/>
      <c r="Q3214" s="25"/>
      <c r="R3214" s="24"/>
      <c r="S3214" s="20"/>
      <c r="T3214" s="27"/>
      <c r="U3214" s="20"/>
      <c r="V3214" s="27">
        <f>(J3214+U3214)</f>
        <v>310000</v>
      </c>
      <c r="W3214" s="26">
        <f>(V3214*100/100)</f>
        <v>310000</v>
      </c>
      <c r="X3214" s="27">
        <v>0</v>
      </c>
      <c r="Y3214" s="80">
        <f>(W3214-X3214)</f>
        <v>310000</v>
      </c>
      <c r="Z3214" s="49">
        <v>3.0000000000000001E-3</v>
      </c>
    </row>
    <row r="3215" spans="1:26" s="29" customFormat="1" ht="90.75" customHeight="1" x14ac:dyDescent="0.25">
      <c r="A3215" s="20">
        <v>1536</v>
      </c>
      <c r="B3215" s="20" t="s">
        <v>0</v>
      </c>
      <c r="C3215" s="20">
        <v>26248</v>
      </c>
      <c r="D3215" s="21">
        <v>8</v>
      </c>
      <c r="E3215" s="21">
        <v>1</v>
      </c>
      <c r="F3215" s="22">
        <v>35</v>
      </c>
      <c r="G3215" s="23" t="s">
        <v>56</v>
      </c>
      <c r="H3215" s="36">
        <f>(D3215*400)+(E3215*100)+F3215</f>
        <v>3335</v>
      </c>
      <c r="I3215" s="40">
        <v>3100</v>
      </c>
      <c r="J3215" s="28">
        <f t="shared" ref="J3215:J3216" si="813">(H3215*I3215)</f>
        <v>10338500</v>
      </c>
      <c r="K3215" s="30">
        <v>1</v>
      </c>
      <c r="L3215" s="20" t="s">
        <v>215</v>
      </c>
      <c r="M3215" s="35" t="s">
        <v>51</v>
      </c>
      <c r="N3215" s="30">
        <v>5</v>
      </c>
      <c r="O3215" s="36">
        <v>64</v>
      </c>
      <c r="P3215" s="86">
        <v>100</v>
      </c>
      <c r="Q3215" s="40">
        <v>6450</v>
      </c>
      <c r="R3215" s="36">
        <f>(O3215*Q3215)</f>
        <v>412800</v>
      </c>
      <c r="S3215" s="84">
        <v>12</v>
      </c>
      <c r="T3215" s="28">
        <f>(R3215*14/100)</f>
        <v>57792</v>
      </c>
      <c r="U3215" s="36">
        <f>(R3215-T3215)</f>
        <v>355008</v>
      </c>
      <c r="V3215" s="36"/>
      <c r="W3215" s="36"/>
      <c r="X3215" s="28"/>
      <c r="Y3215" s="26"/>
      <c r="Z3215" s="53"/>
    </row>
    <row r="3216" spans="1:26" s="29" customFormat="1" ht="90.75" customHeight="1" x14ac:dyDescent="0.25">
      <c r="A3216" s="20"/>
      <c r="B3216" s="20"/>
      <c r="C3216" s="20"/>
      <c r="D3216" s="21"/>
      <c r="E3216" s="21"/>
      <c r="F3216" s="22"/>
      <c r="G3216" s="23"/>
      <c r="H3216" s="36">
        <v>400</v>
      </c>
      <c r="I3216" s="40">
        <v>3100</v>
      </c>
      <c r="J3216" s="28">
        <f t="shared" si="813"/>
        <v>1240000</v>
      </c>
      <c r="K3216" s="30">
        <v>2</v>
      </c>
      <c r="L3216" s="20" t="s">
        <v>215</v>
      </c>
      <c r="M3216" s="35" t="s">
        <v>51</v>
      </c>
      <c r="N3216" s="30"/>
      <c r="O3216" s="36">
        <v>80</v>
      </c>
      <c r="P3216" s="86">
        <v>100</v>
      </c>
      <c r="Q3216" s="40">
        <v>6450</v>
      </c>
      <c r="R3216" s="36">
        <f t="shared" ref="R3216:R3220" si="814">(O3216*Q3216)</f>
        <v>516000</v>
      </c>
      <c r="S3216" s="84">
        <v>12</v>
      </c>
      <c r="T3216" s="28">
        <f t="shared" ref="T3216:T3218" si="815">(R3216*14/100)</f>
        <v>72240</v>
      </c>
      <c r="U3216" s="36">
        <f t="shared" ref="U3216:U3218" si="816">(R3216-T3216)</f>
        <v>443760</v>
      </c>
      <c r="V3216" s="36"/>
      <c r="W3216" s="36"/>
      <c r="X3216" s="28"/>
      <c r="Y3216" s="26"/>
      <c r="Z3216" s="53"/>
    </row>
    <row r="3217" spans="1:26" s="29" customFormat="1" ht="90.75" customHeight="1" x14ac:dyDescent="0.25">
      <c r="A3217" s="20"/>
      <c r="B3217" s="20"/>
      <c r="C3217" s="20"/>
      <c r="D3217" s="21"/>
      <c r="E3217" s="21"/>
      <c r="F3217" s="22"/>
      <c r="G3217" s="23"/>
      <c r="H3217" s="36"/>
      <c r="I3217" s="25"/>
      <c r="J3217" s="65"/>
      <c r="K3217" s="30">
        <v>3</v>
      </c>
      <c r="L3217" s="20" t="s">
        <v>31</v>
      </c>
      <c r="M3217" s="35" t="s">
        <v>51</v>
      </c>
      <c r="N3217" s="30"/>
      <c r="O3217" s="36">
        <v>64</v>
      </c>
      <c r="P3217" s="86">
        <v>100</v>
      </c>
      <c r="Q3217" s="40">
        <v>2550</v>
      </c>
      <c r="R3217" s="36">
        <f t="shared" si="814"/>
        <v>163200</v>
      </c>
      <c r="S3217" s="84">
        <v>12</v>
      </c>
      <c r="T3217" s="28">
        <f t="shared" si="815"/>
        <v>22848</v>
      </c>
      <c r="U3217" s="36">
        <f t="shared" si="816"/>
        <v>140352</v>
      </c>
      <c r="V3217" s="36"/>
      <c r="W3217" s="36"/>
      <c r="X3217" s="28"/>
      <c r="Y3217" s="26"/>
      <c r="Z3217" s="53"/>
    </row>
    <row r="3218" spans="1:26" s="29" customFormat="1" ht="90.75" customHeight="1" x14ac:dyDescent="0.25">
      <c r="A3218" s="20"/>
      <c r="B3218" s="20"/>
      <c r="C3218" s="20"/>
      <c r="D3218" s="21"/>
      <c r="E3218" s="21"/>
      <c r="F3218" s="22"/>
      <c r="G3218" s="23"/>
      <c r="H3218" s="36"/>
      <c r="I3218" s="25"/>
      <c r="J3218" s="65"/>
      <c r="K3218" s="30">
        <v>4</v>
      </c>
      <c r="L3218" s="20" t="s">
        <v>215</v>
      </c>
      <c r="M3218" s="35" t="s">
        <v>46</v>
      </c>
      <c r="N3218" s="30"/>
      <c r="O3218" s="36">
        <v>64</v>
      </c>
      <c r="P3218" s="86">
        <v>100</v>
      </c>
      <c r="Q3218" s="40">
        <v>6450</v>
      </c>
      <c r="R3218" s="36">
        <f t="shared" si="814"/>
        <v>412800</v>
      </c>
      <c r="S3218" s="84">
        <v>12</v>
      </c>
      <c r="T3218" s="28">
        <f t="shared" si="815"/>
        <v>57792</v>
      </c>
      <c r="U3218" s="36">
        <f t="shared" si="816"/>
        <v>355008</v>
      </c>
      <c r="V3218" s="36"/>
      <c r="W3218" s="36"/>
      <c r="X3218" s="28"/>
      <c r="Y3218" s="26"/>
      <c r="Z3218" s="53"/>
    </row>
    <row r="3219" spans="1:26" s="29" customFormat="1" ht="90.75" customHeight="1" x14ac:dyDescent="0.25">
      <c r="A3219" s="20"/>
      <c r="B3219" s="20"/>
      <c r="C3219" s="20"/>
      <c r="D3219" s="21"/>
      <c r="E3219" s="21"/>
      <c r="F3219" s="22"/>
      <c r="G3219" s="23"/>
      <c r="H3219" s="36"/>
      <c r="I3219" s="25"/>
      <c r="J3219" s="65"/>
      <c r="K3219" s="30"/>
      <c r="L3219" s="20"/>
      <c r="M3219" s="35"/>
      <c r="N3219" s="30"/>
      <c r="O3219" s="36"/>
      <c r="P3219" s="86"/>
      <c r="Q3219" s="40"/>
      <c r="R3219" s="36"/>
      <c r="S3219" s="84"/>
      <c r="T3219" s="28"/>
      <c r="U3219" s="36">
        <f>(U3215+U3216+U3217+U3218)</f>
        <v>1294128</v>
      </c>
      <c r="V3219" s="36">
        <f>(H3216+U3219)</f>
        <v>1294528</v>
      </c>
      <c r="W3219" s="36">
        <f>(V3219*100/100)</f>
        <v>1294528</v>
      </c>
      <c r="X3219" s="28">
        <v>50000000</v>
      </c>
      <c r="Y3219" s="26"/>
      <c r="Z3219" s="49"/>
    </row>
    <row r="3220" spans="1:26" s="29" customFormat="1" ht="90.75" customHeight="1" x14ac:dyDescent="0.25">
      <c r="A3220" s="20"/>
      <c r="B3220" s="20"/>
      <c r="C3220" s="20"/>
      <c r="D3220" s="21"/>
      <c r="E3220" s="21"/>
      <c r="F3220" s="22"/>
      <c r="G3220" s="23"/>
      <c r="H3220" s="36">
        <v>22.5</v>
      </c>
      <c r="I3220" s="40">
        <v>3100</v>
      </c>
      <c r="J3220" s="28">
        <f t="shared" ref="J3220:J3221" si="817">(H3220*I3220)</f>
        <v>69750</v>
      </c>
      <c r="K3220" s="30">
        <v>5</v>
      </c>
      <c r="L3220" s="20" t="s">
        <v>43</v>
      </c>
      <c r="M3220" s="35" t="s">
        <v>51</v>
      </c>
      <c r="N3220" s="30"/>
      <c r="O3220" s="36">
        <v>90</v>
      </c>
      <c r="P3220" s="86">
        <v>100</v>
      </c>
      <c r="Q3220" s="40">
        <v>7700</v>
      </c>
      <c r="R3220" s="36">
        <f t="shared" si="814"/>
        <v>693000</v>
      </c>
      <c r="S3220" s="84">
        <v>12</v>
      </c>
      <c r="T3220" s="28">
        <f>(R3220*14/100)</f>
        <v>97020</v>
      </c>
      <c r="U3220" s="36">
        <f>(R3220-T3220)</f>
        <v>595980</v>
      </c>
      <c r="V3220" s="36">
        <f>(J3220+U3220)</f>
        <v>665730</v>
      </c>
      <c r="W3220" s="36">
        <f>(V3220*100/100)</f>
        <v>665730</v>
      </c>
      <c r="X3220" s="28">
        <v>0</v>
      </c>
      <c r="Y3220" s="26">
        <f>(W3220-X3220)</f>
        <v>665730</v>
      </c>
      <c r="Z3220" s="49">
        <v>2.0000000000000001E-4</v>
      </c>
    </row>
    <row r="3221" spans="1:26" s="29" customFormat="1" ht="90.75" customHeight="1" x14ac:dyDescent="0.25">
      <c r="A3221" s="20">
        <v>1537</v>
      </c>
      <c r="B3221" s="20" t="s">
        <v>0</v>
      </c>
      <c r="C3221" s="20">
        <v>10519</v>
      </c>
      <c r="D3221" s="21">
        <v>0</v>
      </c>
      <c r="E3221" s="21">
        <v>1</v>
      </c>
      <c r="F3221" s="22">
        <v>20</v>
      </c>
      <c r="G3221" s="23" t="s">
        <v>56</v>
      </c>
      <c r="H3221" s="36">
        <f>(D3221*400)+(E3221*100)+F3221</f>
        <v>120</v>
      </c>
      <c r="I3221" s="40" t="s">
        <v>172</v>
      </c>
      <c r="J3221" s="28">
        <f t="shared" si="817"/>
        <v>600000</v>
      </c>
      <c r="K3221" s="30">
        <v>1</v>
      </c>
      <c r="L3221" s="20" t="s">
        <v>215</v>
      </c>
      <c r="M3221" s="35" t="s">
        <v>54</v>
      </c>
      <c r="N3221" s="30">
        <v>2</v>
      </c>
      <c r="O3221" s="36">
        <v>214.25</v>
      </c>
      <c r="P3221" s="86">
        <v>100</v>
      </c>
      <c r="Q3221" s="40">
        <v>6450</v>
      </c>
      <c r="R3221" s="36">
        <f>(O3221*Q3221)</f>
        <v>1381912.5</v>
      </c>
      <c r="S3221" s="84">
        <v>11</v>
      </c>
      <c r="T3221" s="28">
        <f>(R3221*34/100)</f>
        <v>469850.25</v>
      </c>
      <c r="U3221" s="36">
        <f>(R3221-T3221)</f>
        <v>912062.25</v>
      </c>
      <c r="V3221" s="36"/>
      <c r="W3221" s="36"/>
      <c r="X3221" s="28"/>
      <c r="Y3221" s="26"/>
      <c r="Z3221" s="53"/>
    </row>
    <row r="3222" spans="1:26" s="29" customFormat="1" ht="90.75" customHeight="1" x14ac:dyDescent="0.25">
      <c r="A3222" s="20"/>
      <c r="B3222" s="20"/>
      <c r="C3222" s="20"/>
      <c r="D3222" s="21"/>
      <c r="E3222" s="21"/>
      <c r="F3222" s="22"/>
      <c r="G3222" s="23"/>
      <c r="H3222" s="36"/>
      <c r="I3222" s="25"/>
      <c r="J3222" s="65"/>
      <c r="K3222" s="30"/>
      <c r="L3222" s="20" t="s">
        <v>215</v>
      </c>
      <c r="M3222" s="35" t="s">
        <v>54</v>
      </c>
      <c r="N3222" s="30"/>
      <c r="O3222" s="36">
        <v>172.25</v>
      </c>
      <c r="P3222" s="86">
        <v>100</v>
      </c>
      <c r="Q3222" s="40">
        <v>6450</v>
      </c>
      <c r="R3222" s="36">
        <f t="shared" ref="R3222:R3223" si="818">(O3222*Q3222)</f>
        <v>1111012.5</v>
      </c>
      <c r="S3222" s="84">
        <v>11</v>
      </c>
      <c r="T3222" s="28">
        <f>(R3222*34/100)</f>
        <v>377744.25</v>
      </c>
      <c r="U3222" s="36">
        <f t="shared" ref="U3222:U3223" si="819">(R3222-T3222)</f>
        <v>733268.25</v>
      </c>
      <c r="V3222" s="36"/>
      <c r="W3222" s="36"/>
      <c r="X3222" s="28"/>
      <c r="Y3222" s="26"/>
      <c r="Z3222" s="53"/>
    </row>
    <row r="3223" spans="1:26" s="29" customFormat="1" ht="90.75" customHeight="1" x14ac:dyDescent="0.25">
      <c r="A3223" s="20"/>
      <c r="B3223" s="20"/>
      <c r="C3223" s="20"/>
      <c r="D3223" s="21"/>
      <c r="E3223" s="21"/>
      <c r="F3223" s="22"/>
      <c r="G3223" s="23"/>
      <c r="H3223" s="36"/>
      <c r="I3223" s="25"/>
      <c r="J3223" s="65"/>
      <c r="K3223" s="30"/>
      <c r="L3223" s="20" t="s">
        <v>43</v>
      </c>
      <c r="M3223" s="35" t="s">
        <v>13</v>
      </c>
      <c r="N3223" s="30"/>
      <c r="O3223" s="36">
        <v>266</v>
      </c>
      <c r="P3223" s="86">
        <v>100</v>
      </c>
      <c r="Q3223" s="40">
        <v>7700</v>
      </c>
      <c r="R3223" s="36">
        <f t="shared" si="818"/>
        <v>2048200</v>
      </c>
      <c r="S3223" s="84">
        <v>11</v>
      </c>
      <c r="T3223" s="28">
        <f>(R3223*12/100)</f>
        <v>245784</v>
      </c>
      <c r="U3223" s="36">
        <f t="shared" si="819"/>
        <v>1802416</v>
      </c>
      <c r="V3223" s="36"/>
      <c r="W3223" s="36"/>
      <c r="X3223" s="28"/>
      <c r="Y3223" s="26"/>
      <c r="Z3223" s="53"/>
    </row>
    <row r="3224" spans="1:26" s="29" customFormat="1" ht="90.75" customHeight="1" x14ac:dyDescent="0.25">
      <c r="A3224" s="20"/>
      <c r="B3224" s="20"/>
      <c r="C3224" s="20"/>
      <c r="D3224" s="21"/>
      <c r="E3224" s="21"/>
      <c r="F3224" s="22"/>
      <c r="G3224" s="23"/>
      <c r="H3224" s="36"/>
      <c r="I3224" s="25"/>
      <c r="J3224" s="65"/>
      <c r="K3224" s="30"/>
      <c r="L3224" s="20"/>
      <c r="M3224" s="35"/>
      <c r="N3224" s="30"/>
      <c r="O3224" s="36"/>
      <c r="P3224" s="86"/>
      <c r="Q3224" s="40"/>
      <c r="R3224" s="36"/>
      <c r="S3224" s="84"/>
      <c r="T3224" s="28"/>
      <c r="U3224" s="36">
        <f>(U3221+U3222+U3223)</f>
        <v>3447746.5</v>
      </c>
      <c r="V3224" s="36">
        <f>(J3221+U3224)</f>
        <v>4047746.5</v>
      </c>
      <c r="W3224" s="36">
        <f>(V3224*100/100)</f>
        <v>4047746.5</v>
      </c>
      <c r="X3224" s="28">
        <v>0</v>
      </c>
      <c r="Y3224" s="26">
        <f>(W3224-X3224)</f>
        <v>4047746.5</v>
      </c>
      <c r="Z3224" s="49">
        <v>2.0000000000000001E-4</v>
      </c>
    </row>
    <row r="3225" spans="1:26" s="29" customFormat="1" ht="90.75" customHeight="1" x14ac:dyDescent="0.25">
      <c r="A3225" s="20">
        <v>1538</v>
      </c>
      <c r="B3225" s="20" t="s">
        <v>0</v>
      </c>
      <c r="C3225" s="20">
        <v>11329</v>
      </c>
      <c r="D3225" s="21">
        <v>0</v>
      </c>
      <c r="E3225" s="21">
        <v>1</v>
      </c>
      <c r="F3225" s="22">
        <v>28</v>
      </c>
      <c r="G3225" s="23" t="s">
        <v>211</v>
      </c>
      <c r="H3225" s="36">
        <f>(D3225*400)+(E3225*100)+F3225</f>
        <v>128</v>
      </c>
      <c r="I3225" s="40" t="s">
        <v>172</v>
      </c>
      <c r="J3225" s="65">
        <f>(H3225*I3225)</f>
        <v>640000</v>
      </c>
      <c r="K3225" s="41">
        <v>1</v>
      </c>
      <c r="L3225" s="31" t="s">
        <v>215</v>
      </c>
      <c r="M3225" s="43" t="s">
        <v>52</v>
      </c>
      <c r="N3225" s="30">
        <v>5</v>
      </c>
      <c r="O3225" s="48">
        <v>202.5</v>
      </c>
      <c r="P3225" s="43"/>
      <c r="Q3225" s="44"/>
      <c r="R3225" s="41"/>
      <c r="S3225" s="41"/>
      <c r="T3225" s="47"/>
      <c r="U3225" s="41"/>
      <c r="V3225" s="48"/>
      <c r="W3225" s="48"/>
      <c r="X3225" s="47"/>
      <c r="Y3225" s="48"/>
      <c r="Z3225" s="53"/>
    </row>
    <row r="3226" spans="1:26" s="29" customFormat="1" ht="90.75" customHeight="1" x14ac:dyDescent="0.25">
      <c r="A3226" s="20"/>
      <c r="B3226" s="20"/>
      <c r="C3226" s="20"/>
      <c r="D3226" s="21"/>
      <c r="E3226" s="21"/>
      <c r="F3226" s="22"/>
      <c r="G3226" s="23"/>
      <c r="H3226" s="36">
        <v>122</v>
      </c>
      <c r="I3226" s="40">
        <v>5000</v>
      </c>
      <c r="J3226" s="28">
        <f>(H3226*I3226)</f>
        <v>610000</v>
      </c>
      <c r="K3226" s="30">
        <v>1</v>
      </c>
      <c r="L3226" s="31" t="s">
        <v>215</v>
      </c>
      <c r="M3226" s="31" t="s">
        <v>52</v>
      </c>
      <c r="N3226" s="41">
        <v>2</v>
      </c>
      <c r="O3226" s="42">
        <v>202.5</v>
      </c>
      <c r="P3226" s="35">
        <v>100</v>
      </c>
      <c r="Q3226" s="36">
        <v>6450</v>
      </c>
      <c r="R3226" s="36">
        <f>(O3226*Q3226)</f>
        <v>1306125</v>
      </c>
      <c r="S3226" s="37">
        <v>32</v>
      </c>
      <c r="T3226" s="28">
        <f>(R3226*85/100)</f>
        <v>1110206.25</v>
      </c>
      <c r="U3226" s="36">
        <f>(R3226-T3226)</f>
        <v>195918.75</v>
      </c>
      <c r="V3226" s="36">
        <f>(J3226+U3226)</f>
        <v>805918.75</v>
      </c>
      <c r="W3226" s="36">
        <f>(V3226*100/100)</f>
        <v>805918.75</v>
      </c>
      <c r="X3226" s="28">
        <v>50000000</v>
      </c>
      <c r="Y3226" s="28"/>
      <c r="Z3226" s="49"/>
    </row>
    <row r="3227" spans="1:26" s="29" customFormat="1" ht="90.75" customHeight="1" x14ac:dyDescent="0.25">
      <c r="A3227" s="20"/>
      <c r="B3227" s="20"/>
      <c r="C3227" s="20"/>
      <c r="D3227" s="21"/>
      <c r="E3227" s="21"/>
      <c r="F3227" s="22"/>
      <c r="G3227" s="23"/>
      <c r="H3227" s="36">
        <v>6</v>
      </c>
      <c r="I3227" s="40">
        <v>5000</v>
      </c>
      <c r="J3227" s="28">
        <f>(H3227*I3227)</f>
        <v>30000</v>
      </c>
      <c r="K3227" s="30">
        <v>2</v>
      </c>
      <c r="L3227" s="31" t="s">
        <v>31</v>
      </c>
      <c r="M3227" s="32"/>
      <c r="N3227" s="33">
        <v>3</v>
      </c>
      <c r="O3227" s="34">
        <v>24</v>
      </c>
      <c r="P3227" s="35">
        <v>100</v>
      </c>
      <c r="Q3227" s="36">
        <v>2550</v>
      </c>
      <c r="R3227" s="36">
        <f>(O3227*Q3227)</f>
        <v>61200</v>
      </c>
      <c r="S3227" s="37">
        <v>32</v>
      </c>
      <c r="T3227" s="28">
        <f>(R3227*54/100)</f>
        <v>33048</v>
      </c>
      <c r="U3227" s="36">
        <f>(R3227-T3227)</f>
        <v>28152</v>
      </c>
      <c r="V3227" s="36">
        <f>(J3227+U3227)</f>
        <v>58152</v>
      </c>
      <c r="W3227" s="36">
        <f>(V3227*100/100)</f>
        <v>58152</v>
      </c>
      <c r="X3227" s="28">
        <v>0</v>
      </c>
      <c r="Y3227" s="28">
        <f>(W3227-X3227)</f>
        <v>58152</v>
      </c>
      <c r="Z3227" s="49">
        <v>3.0000000000000001E-3</v>
      </c>
    </row>
    <row r="3228" spans="1:26" s="29" customFormat="1" ht="90.75" customHeight="1" x14ac:dyDescent="0.25">
      <c r="A3228" s="20">
        <v>1539</v>
      </c>
      <c r="B3228" s="20" t="s">
        <v>0</v>
      </c>
      <c r="C3228" s="20">
        <v>10558</v>
      </c>
      <c r="D3228" s="21">
        <v>0</v>
      </c>
      <c r="E3228" s="21">
        <v>1</v>
      </c>
      <c r="F3228" s="22">
        <v>86</v>
      </c>
      <c r="G3228" s="23" t="s">
        <v>211</v>
      </c>
      <c r="H3228" s="36">
        <f>(D3228*400)+(E3228*100)+F3228</f>
        <v>186</v>
      </c>
      <c r="I3228" s="40" t="s">
        <v>172</v>
      </c>
      <c r="J3228" s="65">
        <f>(H3228*I3228)</f>
        <v>930000</v>
      </c>
      <c r="K3228" s="41"/>
      <c r="L3228" s="31"/>
      <c r="M3228" s="43"/>
      <c r="N3228" s="30"/>
      <c r="O3228" s="48"/>
      <c r="P3228" s="43"/>
      <c r="Q3228" s="44"/>
      <c r="R3228" s="41"/>
      <c r="S3228" s="41"/>
      <c r="T3228" s="47"/>
      <c r="U3228" s="41"/>
      <c r="V3228" s="48"/>
      <c r="W3228" s="48"/>
      <c r="X3228" s="47"/>
      <c r="Y3228" s="48"/>
      <c r="Z3228" s="53"/>
    </row>
    <row r="3229" spans="1:26" s="29" customFormat="1" ht="90.75" customHeight="1" x14ac:dyDescent="0.25">
      <c r="A3229" s="20"/>
      <c r="B3229" s="20"/>
      <c r="C3229" s="20"/>
      <c r="D3229" s="21"/>
      <c r="E3229" s="21"/>
      <c r="F3229" s="22"/>
      <c r="G3229" s="23"/>
      <c r="H3229" s="77">
        <v>142</v>
      </c>
      <c r="I3229" s="40">
        <v>5000</v>
      </c>
      <c r="J3229" s="28">
        <f>(H3229*I3229)</f>
        <v>710000</v>
      </c>
      <c r="K3229" s="20"/>
      <c r="L3229" s="20"/>
      <c r="M3229" s="20"/>
      <c r="N3229" s="21"/>
      <c r="O3229" s="63"/>
      <c r="P3229" s="52"/>
      <c r="Q3229" s="63"/>
      <c r="R3229" s="63"/>
      <c r="S3229" s="20"/>
      <c r="T3229" s="28"/>
      <c r="U3229" s="77"/>
      <c r="V3229" s="77"/>
      <c r="W3229" s="77"/>
      <c r="X3229" s="28"/>
      <c r="Y3229" s="28"/>
      <c r="Z3229" s="20"/>
    </row>
    <row r="3230" spans="1:26" s="29" customFormat="1" ht="90.75" customHeight="1" x14ac:dyDescent="0.25">
      <c r="A3230" s="20"/>
      <c r="B3230" s="20"/>
      <c r="C3230" s="20"/>
      <c r="D3230" s="21"/>
      <c r="E3230" s="21"/>
      <c r="F3230" s="22"/>
      <c r="G3230" s="23"/>
      <c r="H3230" s="77"/>
      <c r="I3230" s="40"/>
      <c r="J3230" s="28"/>
      <c r="K3230" s="37">
        <v>1</v>
      </c>
      <c r="L3230" s="20" t="s">
        <v>215</v>
      </c>
      <c r="M3230" s="20" t="s">
        <v>52</v>
      </c>
      <c r="N3230" s="21">
        <v>2</v>
      </c>
      <c r="O3230" s="63">
        <v>189</v>
      </c>
      <c r="P3230" s="35">
        <v>100</v>
      </c>
      <c r="Q3230" s="77">
        <v>6450</v>
      </c>
      <c r="R3230" s="77">
        <f>(O3230*Q3230)</f>
        <v>1219050</v>
      </c>
      <c r="S3230" s="37">
        <v>32</v>
      </c>
      <c r="T3230" s="28">
        <f>(R3230*85/100)</f>
        <v>1036192.5</v>
      </c>
      <c r="U3230" s="77">
        <f>(R3230-T3230)</f>
        <v>182857.5</v>
      </c>
      <c r="V3230" s="77"/>
      <c r="W3230" s="77"/>
      <c r="X3230" s="28"/>
      <c r="Y3230" s="28"/>
      <c r="Z3230" s="20"/>
    </row>
    <row r="3231" spans="1:26" s="29" customFormat="1" ht="90.75" customHeight="1" x14ac:dyDescent="0.25">
      <c r="A3231" s="20"/>
      <c r="B3231" s="20"/>
      <c r="C3231" s="20"/>
      <c r="D3231" s="21"/>
      <c r="E3231" s="21"/>
      <c r="F3231" s="22"/>
      <c r="G3231" s="23"/>
      <c r="H3231" s="77"/>
      <c r="I3231" s="40"/>
      <c r="J3231" s="28"/>
      <c r="K3231" s="37">
        <v>2</v>
      </c>
      <c r="L3231" s="20" t="s">
        <v>31</v>
      </c>
      <c r="M3231" s="20"/>
      <c r="N3231" s="21"/>
      <c r="O3231" s="20">
        <v>38</v>
      </c>
      <c r="P3231" s="35">
        <v>100</v>
      </c>
      <c r="Q3231" s="77">
        <v>2550</v>
      </c>
      <c r="R3231" s="77">
        <f t="shared" ref="R3231:R3234" si="820">(O3231*Q3231)</f>
        <v>96900</v>
      </c>
      <c r="S3231" s="37"/>
      <c r="T3231" s="28">
        <f>(R3231*50/100)</f>
        <v>48450</v>
      </c>
      <c r="U3231" s="77">
        <f t="shared" ref="U3231:U3234" si="821">(R3231-T3231)</f>
        <v>48450</v>
      </c>
      <c r="V3231" s="77"/>
      <c r="W3231" s="77"/>
      <c r="X3231" s="28"/>
      <c r="Y3231" s="28"/>
      <c r="Z3231" s="20"/>
    </row>
    <row r="3232" spans="1:26" s="29" customFormat="1" ht="90.75" customHeight="1" x14ac:dyDescent="0.25">
      <c r="A3232" s="20"/>
      <c r="B3232" s="20"/>
      <c r="C3232" s="20"/>
      <c r="D3232" s="21"/>
      <c r="E3232" s="21"/>
      <c r="F3232" s="22"/>
      <c r="G3232" s="23"/>
      <c r="H3232" s="77"/>
      <c r="I3232" s="40"/>
      <c r="J3232" s="28"/>
      <c r="K3232" s="37"/>
      <c r="L3232" s="20"/>
      <c r="M3232" s="20"/>
      <c r="N3232" s="21"/>
      <c r="O3232" s="20"/>
      <c r="P3232" s="35"/>
      <c r="Q3232" s="77"/>
      <c r="R3232" s="77"/>
      <c r="S3232" s="37"/>
      <c r="T3232" s="28"/>
      <c r="U3232" s="77">
        <f>SUM(U3230:U3231)</f>
        <v>231307.5</v>
      </c>
      <c r="V3232" s="77">
        <f>(J3229+U3232)</f>
        <v>941307.5</v>
      </c>
      <c r="W3232" s="77">
        <f>(V3232*100/100)</f>
        <v>941307.5</v>
      </c>
      <c r="X3232" s="28">
        <v>10000000</v>
      </c>
      <c r="Y3232" s="28"/>
      <c r="Z3232" s="49"/>
    </row>
    <row r="3233" spans="1:26" s="29" customFormat="1" ht="90.75" customHeight="1" x14ac:dyDescent="0.25">
      <c r="A3233" s="20"/>
      <c r="B3233" s="20"/>
      <c r="C3233" s="20"/>
      <c r="D3233" s="21"/>
      <c r="E3233" s="21"/>
      <c r="F3233" s="22"/>
      <c r="G3233" s="23"/>
      <c r="H3233" s="77">
        <v>3.5</v>
      </c>
      <c r="I3233" s="40">
        <v>5000</v>
      </c>
      <c r="J3233" s="28">
        <f t="shared" ref="J3233:J3234" si="822">(H3233*I3233)</f>
        <v>17500</v>
      </c>
      <c r="K3233" s="37">
        <v>3</v>
      </c>
      <c r="L3233" s="20" t="s">
        <v>31</v>
      </c>
      <c r="M3233" s="20"/>
      <c r="N3233" s="21"/>
      <c r="O3233" s="20">
        <v>14</v>
      </c>
      <c r="P3233" s="35">
        <v>100</v>
      </c>
      <c r="Q3233" s="77">
        <v>2550</v>
      </c>
      <c r="R3233" s="77">
        <f t="shared" si="820"/>
        <v>35700</v>
      </c>
      <c r="S3233" s="37"/>
      <c r="T3233" s="28">
        <f>(R3233*50/100)</f>
        <v>17850</v>
      </c>
      <c r="U3233" s="77">
        <f t="shared" si="821"/>
        <v>17850</v>
      </c>
      <c r="V3233" s="77">
        <f t="shared" ref="V3233:V3234" si="823">(J3233+U3233)</f>
        <v>35350</v>
      </c>
      <c r="W3233" s="77">
        <f t="shared" ref="W3233:W3234" si="824">(V3233*100/100)</f>
        <v>35350</v>
      </c>
      <c r="X3233" s="28">
        <v>0</v>
      </c>
      <c r="Y3233" s="28">
        <f t="shared" ref="Y3233:Y3234" si="825">(W3233-X3233)</f>
        <v>35350</v>
      </c>
      <c r="Z3233" s="49">
        <v>3.0000000000000001E-3</v>
      </c>
    </row>
    <row r="3234" spans="1:26" s="29" customFormat="1" ht="90.75" customHeight="1" x14ac:dyDescent="0.25">
      <c r="A3234" s="20"/>
      <c r="B3234" s="20"/>
      <c r="C3234" s="20"/>
      <c r="D3234" s="21"/>
      <c r="E3234" s="21"/>
      <c r="F3234" s="22"/>
      <c r="G3234" s="23"/>
      <c r="H3234" s="77">
        <v>40.5</v>
      </c>
      <c r="I3234" s="40">
        <v>5000</v>
      </c>
      <c r="J3234" s="28">
        <f t="shared" si="822"/>
        <v>202500</v>
      </c>
      <c r="K3234" s="37">
        <v>4</v>
      </c>
      <c r="L3234" s="20" t="s">
        <v>184</v>
      </c>
      <c r="M3234" s="20" t="s">
        <v>24</v>
      </c>
      <c r="N3234" s="21">
        <v>2</v>
      </c>
      <c r="O3234" s="20">
        <v>162</v>
      </c>
      <c r="P3234" s="35">
        <v>100</v>
      </c>
      <c r="Q3234" s="77">
        <v>7750</v>
      </c>
      <c r="R3234" s="77">
        <f t="shared" si="820"/>
        <v>1255500</v>
      </c>
      <c r="S3234" s="37">
        <v>21</v>
      </c>
      <c r="T3234" s="28">
        <f>(R3234*32/100)</f>
        <v>401760</v>
      </c>
      <c r="U3234" s="77">
        <f t="shared" si="821"/>
        <v>853740</v>
      </c>
      <c r="V3234" s="77">
        <f t="shared" si="823"/>
        <v>1056240</v>
      </c>
      <c r="W3234" s="77">
        <f t="shared" si="824"/>
        <v>1056240</v>
      </c>
      <c r="X3234" s="28">
        <v>0</v>
      </c>
      <c r="Y3234" s="28">
        <f t="shared" si="825"/>
        <v>1056240</v>
      </c>
      <c r="Z3234" s="49">
        <v>2.0000000000000001E-4</v>
      </c>
    </row>
    <row r="3235" spans="1:26" s="29" customFormat="1" ht="90.75" customHeight="1" x14ac:dyDescent="0.25">
      <c r="A3235" s="20">
        <v>1540</v>
      </c>
      <c r="B3235" s="20" t="s">
        <v>0</v>
      </c>
      <c r="C3235" s="20">
        <v>26252</v>
      </c>
      <c r="D3235" s="21">
        <v>3</v>
      </c>
      <c r="E3235" s="21">
        <v>3</v>
      </c>
      <c r="F3235" s="22">
        <v>95</v>
      </c>
      <c r="G3235" s="23" t="s">
        <v>211</v>
      </c>
      <c r="H3235" s="36">
        <f>(D3235*400)+(E3235*100)+F3235</f>
        <v>1595</v>
      </c>
      <c r="I3235" s="25" t="s">
        <v>155</v>
      </c>
      <c r="J3235" s="65">
        <f>(H3235*I3235)</f>
        <v>4944500</v>
      </c>
      <c r="K3235" s="20"/>
      <c r="L3235" s="20"/>
      <c r="M3235" s="20"/>
      <c r="N3235" s="20"/>
      <c r="O3235" s="24"/>
      <c r="P3235" s="24"/>
      <c r="Q3235" s="25"/>
      <c r="R3235" s="24"/>
      <c r="S3235" s="20"/>
      <c r="T3235" s="27"/>
      <c r="U3235" s="20"/>
      <c r="V3235" s="20"/>
      <c r="W3235" s="26"/>
      <c r="X3235" s="27"/>
      <c r="Y3235" s="20"/>
      <c r="Z3235" s="20"/>
    </row>
    <row r="3236" spans="1:26" s="29" customFormat="1" ht="90.75" customHeight="1" x14ac:dyDescent="0.25">
      <c r="A3236" s="20"/>
      <c r="B3236" s="20"/>
      <c r="C3236" s="20"/>
      <c r="D3236" s="21"/>
      <c r="E3236" s="21"/>
      <c r="F3236" s="22"/>
      <c r="G3236" s="23"/>
      <c r="H3236" s="36">
        <v>61.5</v>
      </c>
      <c r="I3236" s="40" t="s">
        <v>155</v>
      </c>
      <c r="J3236" s="65">
        <f t="shared" ref="J3236:J3237" si="826">(H3236*I3236)</f>
        <v>190650</v>
      </c>
      <c r="K3236" s="20">
        <v>1</v>
      </c>
      <c r="L3236" s="20" t="s">
        <v>185</v>
      </c>
      <c r="M3236" s="20" t="s">
        <v>186</v>
      </c>
      <c r="N3236" s="20">
        <v>3</v>
      </c>
      <c r="O3236" s="24">
        <v>246</v>
      </c>
      <c r="P3236" s="43">
        <v>100</v>
      </c>
      <c r="Q3236" s="40">
        <v>6450</v>
      </c>
      <c r="R3236" s="36">
        <f>(O3236*Q3236)</f>
        <v>1586700</v>
      </c>
      <c r="S3236" s="84">
        <v>21</v>
      </c>
      <c r="T3236" s="28">
        <f>(R3236*32/100)</f>
        <v>507744</v>
      </c>
      <c r="U3236" s="36">
        <f>(R3236-T3236)</f>
        <v>1078956</v>
      </c>
      <c r="V3236" s="36">
        <f>(J3236+U3236)</f>
        <v>1269606</v>
      </c>
      <c r="W3236" s="36">
        <f>(V3236*100/100)</f>
        <v>1269606</v>
      </c>
      <c r="X3236" s="28">
        <v>0</v>
      </c>
      <c r="Y3236" s="26">
        <f>(W3236-X3236)</f>
        <v>1269606</v>
      </c>
      <c r="Z3236" s="49" t="s">
        <v>268</v>
      </c>
    </row>
    <row r="3237" spans="1:26" s="29" customFormat="1" ht="90.75" customHeight="1" x14ac:dyDescent="0.25">
      <c r="A3237" s="20"/>
      <c r="B3237" s="20"/>
      <c r="C3237" s="20"/>
      <c r="D3237" s="21"/>
      <c r="E3237" s="21"/>
      <c r="F3237" s="22"/>
      <c r="G3237" s="23"/>
      <c r="H3237" s="36">
        <v>1533.5</v>
      </c>
      <c r="I3237" s="40" t="s">
        <v>155</v>
      </c>
      <c r="J3237" s="65">
        <f t="shared" si="826"/>
        <v>4753850</v>
      </c>
      <c r="K3237" s="30"/>
      <c r="L3237" s="20"/>
      <c r="M3237" s="35"/>
      <c r="N3237" s="30"/>
      <c r="O3237" s="36"/>
      <c r="P3237" s="43"/>
      <c r="Q3237" s="40"/>
      <c r="R3237" s="84"/>
      <c r="S3237" s="84"/>
      <c r="T3237" s="28"/>
      <c r="U3237" s="84"/>
      <c r="V3237" s="36">
        <f>(J3237+U3237)</f>
        <v>4753850</v>
      </c>
      <c r="W3237" s="36">
        <f>(V3237*100/1000)</f>
        <v>475385</v>
      </c>
      <c r="X3237" s="28" t="s">
        <v>294</v>
      </c>
      <c r="Y3237" s="26"/>
      <c r="Z3237" s="49"/>
    </row>
    <row r="3238" spans="1:26" s="29" customFormat="1" ht="90.75" customHeight="1" x14ac:dyDescent="0.25">
      <c r="A3238" s="20">
        <v>1541</v>
      </c>
      <c r="B3238" s="20" t="s">
        <v>0</v>
      </c>
      <c r="C3238" s="20">
        <v>26091</v>
      </c>
      <c r="D3238" s="21">
        <v>10</v>
      </c>
      <c r="E3238" s="21">
        <v>0</v>
      </c>
      <c r="F3238" s="22">
        <v>81</v>
      </c>
      <c r="G3238" s="23" t="s">
        <v>56</v>
      </c>
      <c r="H3238" s="36">
        <f>(D3238*400)+(E3238*100)+F3238</f>
        <v>4081</v>
      </c>
      <c r="I3238" s="40" t="s">
        <v>155</v>
      </c>
      <c r="J3238" s="65">
        <f>(H3238*I3238)</f>
        <v>12651100</v>
      </c>
      <c r="K3238" s="41"/>
      <c r="L3238" s="31"/>
      <c r="M3238" s="43"/>
      <c r="N3238" s="30"/>
      <c r="O3238" s="48"/>
      <c r="P3238" s="43"/>
      <c r="Q3238" s="44"/>
      <c r="R3238" s="41"/>
      <c r="S3238" s="41"/>
      <c r="T3238" s="47"/>
      <c r="U3238" s="41"/>
      <c r="V3238" s="48"/>
      <c r="W3238" s="48"/>
      <c r="X3238" s="47"/>
      <c r="Y3238" s="48"/>
      <c r="Z3238" s="53"/>
    </row>
    <row r="3239" spans="1:26" s="29" customFormat="1" ht="90.75" customHeight="1" x14ac:dyDescent="0.25">
      <c r="A3239" s="20"/>
      <c r="B3239" s="20"/>
      <c r="C3239" s="20"/>
      <c r="D3239" s="21"/>
      <c r="E3239" s="21"/>
      <c r="F3239" s="22"/>
      <c r="G3239" s="23"/>
      <c r="H3239" s="36">
        <v>105</v>
      </c>
      <c r="I3239" s="40" t="s">
        <v>155</v>
      </c>
      <c r="J3239" s="65">
        <f t="shared" ref="J3239:J3249" si="827">(H3239*I3239)</f>
        <v>325500</v>
      </c>
      <c r="K3239" s="41">
        <v>1</v>
      </c>
      <c r="L3239" s="31" t="s">
        <v>43</v>
      </c>
      <c r="M3239" s="43" t="s">
        <v>13</v>
      </c>
      <c r="N3239" s="30">
        <v>2</v>
      </c>
      <c r="O3239" s="48">
        <v>420</v>
      </c>
      <c r="P3239" s="43">
        <v>100</v>
      </c>
      <c r="Q3239" s="44">
        <v>7700</v>
      </c>
      <c r="R3239" s="41">
        <f>(O3239*Q3239)</f>
        <v>3234000</v>
      </c>
      <c r="S3239" s="41">
        <v>26</v>
      </c>
      <c r="T3239" s="45">
        <f>(R3239*42/100)</f>
        <v>1358280</v>
      </c>
      <c r="U3239" s="48">
        <f>(R3239-T3239)</f>
        <v>1875720</v>
      </c>
      <c r="V3239" s="48">
        <f>(J3239+U3239)</f>
        <v>2201220</v>
      </c>
      <c r="W3239" s="48">
        <f>(V3239*100/100)</f>
        <v>2201220</v>
      </c>
      <c r="X3239" s="47">
        <v>0</v>
      </c>
      <c r="Y3239" s="48">
        <f>(W3239-X3239)</f>
        <v>2201220</v>
      </c>
      <c r="Z3239" s="49">
        <v>2.0000000000000001E-4</v>
      </c>
    </row>
    <row r="3240" spans="1:26" s="29" customFormat="1" ht="90.75" customHeight="1" x14ac:dyDescent="0.25">
      <c r="A3240" s="20"/>
      <c r="B3240" s="20"/>
      <c r="C3240" s="20"/>
      <c r="D3240" s="21"/>
      <c r="E3240" s="21"/>
      <c r="F3240" s="22"/>
      <c r="G3240" s="23"/>
      <c r="H3240" s="36">
        <v>115.5</v>
      </c>
      <c r="I3240" s="40" t="s">
        <v>155</v>
      </c>
      <c r="J3240" s="65">
        <f t="shared" si="827"/>
        <v>358050</v>
      </c>
      <c r="K3240" s="41">
        <v>2</v>
      </c>
      <c r="L3240" s="31" t="s">
        <v>43</v>
      </c>
      <c r="M3240" s="43" t="s">
        <v>13</v>
      </c>
      <c r="N3240" s="30">
        <v>5</v>
      </c>
      <c r="O3240" s="48">
        <v>462</v>
      </c>
      <c r="P3240" s="43">
        <v>100</v>
      </c>
      <c r="Q3240" s="44">
        <v>7700</v>
      </c>
      <c r="R3240" s="41">
        <f>(O3240*Q3240)</f>
        <v>3557400</v>
      </c>
      <c r="S3240" s="41">
        <v>28</v>
      </c>
      <c r="T3240" s="45">
        <f>(R3240*46/100)</f>
        <v>1636404</v>
      </c>
      <c r="U3240" s="48">
        <f>(R3240-T3240)</f>
        <v>1920996</v>
      </c>
      <c r="V3240" s="48">
        <f>(J3240+U3240)</f>
        <v>2279046</v>
      </c>
      <c r="W3240" s="48">
        <f>(V3240*100/100)</f>
        <v>2279046</v>
      </c>
      <c r="X3240" s="47">
        <v>0</v>
      </c>
      <c r="Y3240" s="48">
        <f>(W3240-X3240)</f>
        <v>2279046</v>
      </c>
      <c r="Z3240" s="49">
        <v>2.0000000000000001E-4</v>
      </c>
    </row>
    <row r="3241" spans="1:26" s="29" customFormat="1" ht="90.75" customHeight="1" x14ac:dyDescent="0.25">
      <c r="A3241" s="20"/>
      <c r="B3241" s="20"/>
      <c r="C3241" s="20"/>
      <c r="D3241" s="21"/>
      <c r="E3241" s="21"/>
      <c r="F3241" s="22"/>
      <c r="G3241" s="23"/>
      <c r="H3241" s="36">
        <v>3860.5</v>
      </c>
      <c r="I3241" s="40" t="s">
        <v>155</v>
      </c>
      <c r="J3241" s="65">
        <f t="shared" si="827"/>
        <v>11967550</v>
      </c>
      <c r="K3241" s="41"/>
      <c r="L3241" s="31"/>
      <c r="M3241" s="43"/>
      <c r="N3241" s="30"/>
      <c r="O3241" s="48"/>
      <c r="P3241" s="43"/>
      <c r="Q3241" s="44"/>
      <c r="R3241" s="41"/>
      <c r="S3241" s="41"/>
      <c r="T3241" s="47"/>
      <c r="U3241" s="48"/>
      <c r="V3241" s="48">
        <f>(J3241+U3241)</f>
        <v>11967550</v>
      </c>
      <c r="W3241" s="48">
        <f>(V3241*100/100)</f>
        <v>11967550</v>
      </c>
      <c r="X3241" s="47" t="s">
        <v>294</v>
      </c>
      <c r="Y3241" s="48"/>
      <c r="Z3241" s="49"/>
    </row>
    <row r="3242" spans="1:26" s="29" customFormat="1" ht="90.75" customHeight="1" x14ac:dyDescent="0.25">
      <c r="A3242" s="20">
        <v>1542</v>
      </c>
      <c r="B3242" s="20" t="s">
        <v>0</v>
      </c>
      <c r="C3242" s="20">
        <v>10520</v>
      </c>
      <c r="D3242" s="21">
        <v>5</v>
      </c>
      <c r="E3242" s="21">
        <v>2</v>
      </c>
      <c r="F3242" s="22">
        <v>76</v>
      </c>
      <c r="G3242" s="23" t="s">
        <v>211</v>
      </c>
      <c r="H3242" s="36">
        <f>(D3242*400)+(E3242*100)+F3242</f>
        <v>2276</v>
      </c>
      <c r="I3242" s="40">
        <v>3100</v>
      </c>
      <c r="J3242" s="28">
        <f t="shared" si="827"/>
        <v>7055600</v>
      </c>
      <c r="K3242" s="37"/>
      <c r="L3242" s="31"/>
      <c r="M3242" s="31"/>
      <c r="N3242" s="41"/>
      <c r="O3242" s="42"/>
      <c r="P3242" s="35"/>
      <c r="Q3242" s="36"/>
      <c r="R3242" s="36"/>
      <c r="S3242" s="37"/>
      <c r="T3242" s="28"/>
      <c r="U3242" s="36"/>
      <c r="V3242" s="36"/>
      <c r="W3242" s="36"/>
      <c r="X3242" s="28"/>
      <c r="Y3242" s="28"/>
      <c r="Z3242" s="20"/>
    </row>
    <row r="3243" spans="1:26" s="29" customFormat="1" ht="90.75" customHeight="1" x14ac:dyDescent="0.25">
      <c r="A3243" s="20"/>
      <c r="B3243" s="20"/>
      <c r="C3243" s="20"/>
      <c r="D3243" s="21"/>
      <c r="E3243" s="21"/>
      <c r="F3243" s="22"/>
      <c r="G3243" s="23"/>
      <c r="H3243" s="36">
        <v>2236</v>
      </c>
      <c r="I3243" s="40">
        <v>3100</v>
      </c>
      <c r="J3243" s="28">
        <f t="shared" si="827"/>
        <v>6931600</v>
      </c>
      <c r="K3243" s="37"/>
      <c r="L3243" s="31" t="s">
        <v>215</v>
      </c>
      <c r="M3243" s="31" t="s">
        <v>13</v>
      </c>
      <c r="N3243" s="41">
        <v>2</v>
      </c>
      <c r="O3243" s="48">
        <v>160</v>
      </c>
      <c r="P3243" s="35">
        <v>100</v>
      </c>
      <c r="Q3243" s="36">
        <v>6450</v>
      </c>
      <c r="R3243" s="36">
        <f>(O3243*Q3243)</f>
        <v>1032000</v>
      </c>
      <c r="S3243" s="37">
        <v>32</v>
      </c>
      <c r="T3243" s="28">
        <f>(R3243*54/100)</f>
        <v>557280</v>
      </c>
      <c r="U3243" s="36">
        <f>(R3243-T3243)</f>
        <v>474720</v>
      </c>
      <c r="V3243" s="36">
        <f>(J3243+U3243)</f>
        <v>7406320</v>
      </c>
      <c r="W3243" s="36"/>
      <c r="X3243" s="28"/>
      <c r="Y3243" s="28"/>
      <c r="Z3243" s="20"/>
    </row>
    <row r="3244" spans="1:26" s="29" customFormat="1" ht="90.75" customHeight="1" x14ac:dyDescent="0.25">
      <c r="A3244" s="20"/>
      <c r="B3244" s="20"/>
      <c r="C3244" s="20"/>
      <c r="D3244" s="21"/>
      <c r="E3244" s="21"/>
      <c r="F3244" s="22"/>
      <c r="G3244" s="23"/>
      <c r="H3244" s="36"/>
      <c r="I3244" s="40"/>
      <c r="J3244" s="28"/>
      <c r="K3244" s="37"/>
      <c r="L3244" s="31" t="s">
        <v>17</v>
      </c>
      <c r="M3244" s="31" t="s">
        <v>13</v>
      </c>
      <c r="N3244" s="41">
        <v>2</v>
      </c>
      <c r="O3244" s="48">
        <v>9</v>
      </c>
      <c r="P3244" s="35">
        <v>100</v>
      </c>
      <c r="Q3244" s="36">
        <v>5900</v>
      </c>
      <c r="R3244" s="36">
        <f>(O3244*Q3244)</f>
        <v>53100</v>
      </c>
      <c r="S3244" s="37">
        <v>32</v>
      </c>
      <c r="T3244" s="28">
        <f>(R3244*54/100)</f>
        <v>28674</v>
      </c>
      <c r="U3244" s="36">
        <f>(R3244-T3244)</f>
        <v>24426</v>
      </c>
      <c r="V3244" s="36">
        <f>(J3244+U3244)</f>
        <v>24426</v>
      </c>
      <c r="W3244" s="36"/>
      <c r="X3244" s="28"/>
      <c r="Y3244" s="28"/>
      <c r="Z3244" s="20"/>
    </row>
    <row r="3245" spans="1:26" s="29" customFormat="1" ht="90.75" customHeight="1" x14ac:dyDescent="0.25">
      <c r="A3245" s="20"/>
      <c r="B3245" s="20"/>
      <c r="C3245" s="20"/>
      <c r="D3245" s="21"/>
      <c r="E3245" s="21"/>
      <c r="F3245" s="22"/>
      <c r="G3245" s="23"/>
      <c r="H3245" s="36"/>
      <c r="I3245" s="40"/>
      <c r="J3245" s="28"/>
      <c r="K3245" s="37"/>
      <c r="L3245" s="31"/>
      <c r="M3245" s="31"/>
      <c r="N3245" s="41"/>
      <c r="O3245" s="48"/>
      <c r="P3245" s="35"/>
      <c r="Q3245" s="36"/>
      <c r="R3245" s="36"/>
      <c r="S3245" s="37"/>
      <c r="T3245" s="28"/>
      <c r="U3245" s="36"/>
      <c r="V3245" s="36">
        <f>(V3243+V3244)</f>
        <v>7430746</v>
      </c>
      <c r="W3245" s="36">
        <f>(J3243+V3245)</f>
        <v>14362346</v>
      </c>
      <c r="X3245" s="28">
        <v>50000000</v>
      </c>
      <c r="Y3245" s="28"/>
      <c r="Z3245" s="49"/>
    </row>
    <row r="3246" spans="1:26" s="29" customFormat="1" ht="90.75" customHeight="1" x14ac:dyDescent="0.25">
      <c r="A3246" s="20"/>
      <c r="B3246" s="20" t="s">
        <v>0</v>
      </c>
      <c r="C3246" s="20">
        <v>10520</v>
      </c>
      <c r="D3246" s="21"/>
      <c r="E3246" s="21"/>
      <c r="F3246" s="22"/>
      <c r="G3246" s="23" t="s">
        <v>209</v>
      </c>
      <c r="H3246" s="36">
        <f>(O3246*0.25)</f>
        <v>40</v>
      </c>
      <c r="I3246" s="40">
        <v>3100</v>
      </c>
      <c r="J3246" s="28">
        <f t="shared" si="827"/>
        <v>124000</v>
      </c>
      <c r="K3246" s="37"/>
      <c r="L3246" s="31" t="s">
        <v>43</v>
      </c>
      <c r="M3246" s="31" t="s">
        <v>113</v>
      </c>
      <c r="N3246" s="41">
        <v>3</v>
      </c>
      <c r="O3246" s="48">
        <v>160</v>
      </c>
      <c r="P3246" s="35">
        <v>100</v>
      </c>
      <c r="Q3246" s="36">
        <v>7700</v>
      </c>
      <c r="R3246" s="36">
        <f>(O3246*Q3246)</f>
        <v>1232000</v>
      </c>
      <c r="S3246" s="37">
        <v>4</v>
      </c>
      <c r="T3246" s="28">
        <f>(R3246*4/100)</f>
        <v>49280</v>
      </c>
      <c r="U3246" s="36">
        <f>(R3246-T3246)</f>
        <v>1182720</v>
      </c>
      <c r="V3246" s="36">
        <f>(J3246+U3246)</f>
        <v>1306720</v>
      </c>
      <c r="W3246" s="36">
        <f>(V3246*100/100)</f>
        <v>1306720</v>
      </c>
      <c r="X3246" s="28"/>
      <c r="Y3246" s="28"/>
      <c r="Z3246" s="20"/>
    </row>
    <row r="3247" spans="1:26" s="29" customFormat="1" ht="90.75" customHeight="1" x14ac:dyDescent="0.25">
      <c r="A3247" s="20"/>
      <c r="B3247" s="20" t="s">
        <v>0</v>
      </c>
      <c r="C3247" s="20">
        <v>10520</v>
      </c>
      <c r="D3247" s="21"/>
      <c r="E3247" s="21"/>
      <c r="F3247" s="22"/>
      <c r="G3247" s="23" t="s">
        <v>209</v>
      </c>
      <c r="H3247" s="36">
        <f>(O3247*0.25)</f>
        <v>20</v>
      </c>
      <c r="I3247" s="40">
        <v>3100</v>
      </c>
      <c r="J3247" s="28">
        <f t="shared" si="827"/>
        <v>62000</v>
      </c>
      <c r="K3247" s="37"/>
      <c r="L3247" s="31"/>
      <c r="M3247" s="31"/>
      <c r="N3247" s="41"/>
      <c r="O3247" s="48">
        <v>80</v>
      </c>
      <c r="P3247" s="35">
        <v>50</v>
      </c>
      <c r="Q3247" s="36"/>
      <c r="R3247" s="36"/>
      <c r="S3247" s="37"/>
      <c r="T3247" s="28"/>
      <c r="U3247" s="36"/>
      <c r="V3247" s="36"/>
      <c r="W3247" s="36">
        <f>(W3246*50/100)</f>
        <v>653360</v>
      </c>
      <c r="X3247" s="28">
        <v>0</v>
      </c>
      <c r="Y3247" s="28">
        <f>(W3247-X3247)</f>
        <v>653360</v>
      </c>
      <c r="Z3247" s="49">
        <v>3.0000000000000001E-3</v>
      </c>
    </row>
    <row r="3248" spans="1:26" s="29" customFormat="1" ht="90.75" customHeight="1" x14ac:dyDescent="0.25">
      <c r="A3248" s="20"/>
      <c r="B3248" s="20"/>
      <c r="C3248" s="20"/>
      <c r="D3248" s="21"/>
      <c r="E3248" s="21"/>
      <c r="F3248" s="22"/>
      <c r="G3248" s="23"/>
      <c r="H3248" s="36">
        <f>(O3248*0.25)</f>
        <v>20</v>
      </c>
      <c r="I3248" s="40">
        <v>3100</v>
      </c>
      <c r="J3248" s="28">
        <f t="shared" si="827"/>
        <v>62000</v>
      </c>
      <c r="K3248" s="37"/>
      <c r="L3248" s="31"/>
      <c r="M3248" s="31"/>
      <c r="N3248" s="41"/>
      <c r="O3248" s="48">
        <v>80</v>
      </c>
      <c r="P3248" s="35">
        <v>50</v>
      </c>
      <c r="Q3248" s="36"/>
      <c r="R3248" s="36"/>
      <c r="S3248" s="37"/>
      <c r="T3248" s="28"/>
      <c r="U3248" s="36"/>
      <c r="V3248" s="36"/>
      <c r="W3248" s="36">
        <f>(W3246*50/100)</f>
        <v>653360</v>
      </c>
      <c r="X3248" s="28">
        <v>0</v>
      </c>
      <c r="Y3248" s="28">
        <f>(W3248-X3248)</f>
        <v>653360</v>
      </c>
      <c r="Z3248" s="49">
        <v>3.0000000000000001E-3</v>
      </c>
    </row>
    <row r="3249" spans="1:26" s="29" customFormat="1" ht="90.75" customHeight="1" x14ac:dyDescent="0.25">
      <c r="A3249" s="20">
        <v>1543</v>
      </c>
      <c r="B3249" s="20" t="s">
        <v>0</v>
      </c>
      <c r="C3249" s="20">
        <v>11463</v>
      </c>
      <c r="D3249" s="21">
        <v>0</v>
      </c>
      <c r="E3249" s="21">
        <v>0</v>
      </c>
      <c r="F3249" s="22">
        <v>38</v>
      </c>
      <c r="G3249" s="23" t="s">
        <v>211</v>
      </c>
      <c r="H3249" s="36">
        <f>(D3249*400)+(E3249*100)+F3249</f>
        <v>38</v>
      </c>
      <c r="I3249" s="25">
        <v>5000</v>
      </c>
      <c r="J3249" s="65">
        <f t="shared" si="827"/>
        <v>190000</v>
      </c>
      <c r="K3249" s="37">
        <v>1</v>
      </c>
      <c r="L3249" s="31" t="s">
        <v>215</v>
      </c>
      <c r="M3249" s="31" t="s">
        <v>52</v>
      </c>
      <c r="N3249" s="41">
        <v>2</v>
      </c>
      <c r="O3249" s="42">
        <v>152</v>
      </c>
      <c r="P3249" s="35">
        <v>100</v>
      </c>
      <c r="Q3249" s="36">
        <v>6450</v>
      </c>
      <c r="R3249" s="36">
        <f t="shared" ref="R3249" si="828">(O3249*Q3249)</f>
        <v>980400</v>
      </c>
      <c r="S3249" s="37">
        <v>42</v>
      </c>
      <c r="T3249" s="28">
        <f>(R3249*85/100)</f>
        <v>833340</v>
      </c>
      <c r="U3249" s="36">
        <f>(R3249-T3249)</f>
        <v>147060</v>
      </c>
      <c r="V3249" s="36">
        <f>(J3249+U3249)</f>
        <v>337060</v>
      </c>
      <c r="W3249" s="36">
        <f>(V3249*100/100)</f>
        <v>337060</v>
      </c>
      <c r="X3249" s="28"/>
      <c r="Y3249" s="28"/>
      <c r="Z3249" s="20"/>
    </row>
    <row r="3250" spans="1:26" s="29" customFormat="1" ht="90.75" customHeight="1" x14ac:dyDescent="0.25">
      <c r="A3250" s="20"/>
      <c r="B3250" s="20"/>
      <c r="C3250" s="20"/>
      <c r="D3250" s="21"/>
      <c r="E3250" s="21"/>
      <c r="F3250" s="22"/>
      <c r="G3250" s="23"/>
      <c r="H3250" s="36">
        <f t="shared" ref="H3250" si="829">(D3250*400)+(E3250*100)+F3250</f>
        <v>0</v>
      </c>
      <c r="I3250" s="40"/>
      <c r="J3250" s="65"/>
      <c r="K3250" s="37"/>
      <c r="L3250" s="31" t="s">
        <v>59</v>
      </c>
      <c r="M3250" s="31" t="s">
        <v>46</v>
      </c>
      <c r="N3250" s="41"/>
      <c r="O3250" s="48">
        <v>97</v>
      </c>
      <c r="P3250" s="46">
        <v>67.11</v>
      </c>
      <c r="Q3250" s="36"/>
      <c r="R3250" s="36"/>
      <c r="S3250" s="37"/>
      <c r="T3250" s="28"/>
      <c r="U3250" s="36"/>
      <c r="V3250" s="36"/>
      <c r="W3250" s="36">
        <f>(W3249*67.11/100)</f>
        <v>226200.96600000001</v>
      </c>
      <c r="X3250" s="28">
        <v>10000000</v>
      </c>
      <c r="Y3250" s="28"/>
      <c r="Z3250" s="20"/>
    </row>
    <row r="3251" spans="1:26" s="29" customFormat="1" ht="90.75" customHeight="1" x14ac:dyDescent="0.25">
      <c r="A3251" s="20"/>
      <c r="B3251" s="20"/>
      <c r="C3251" s="20"/>
      <c r="D3251" s="21"/>
      <c r="E3251" s="21"/>
      <c r="F3251" s="22"/>
      <c r="G3251" s="23"/>
      <c r="H3251" s="36"/>
      <c r="I3251" s="44"/>
      <c r="J3251" s="65"/>
      <c r="K3251" s="37"/>
      <c r="L3251" s="31" t="s">
        <v>61</v>
      </c>
      <c r="M3251" s="31" t="s">
        <v>51</v>
      </c>
      <c r="N3251" s="41"/>
      <c r="O3251" s="48">
        <v>50</v>
      </c>
      <c r="P3251" s="46">
        <v>32.89</v>
      </c>
      <c r="Q3251" s="36"/>
      <c r="R3251" s="36"/>
      <c r="S3251" s="37"/>
      <c r="T3251" s="28"/>
      <c r="U3251" s="36"/>
      <c r="V3251" s="36"/>
      <c r="W3251" s="36">
        <f>(W3249*32.89/100)</f>
        <v>110859.034</v>
      </c>
      <c r="X3251" s="28">
        <v>0</v>
      </c>
      <c r="Y3251" s="28">
        <f>(W3251-X3251)</f>
        <v>110859.034</v>
      </c>
      <c r="Z3251" s="49">
        <v>3.0000000000000001E-3</v>
      </c>
    </row>
    <row r="3252" spans="1:26" s="29" customFormat="1" ht="90.75" customHeight="1" x14ac:dyDescent="0.25">
      <c r="A3252" s="20">
        <v>1544</v>
      </c>
      <c r="B3252" s="20" t="s">
        <v>0</v>
      </c>
      <c r="C3252" s="20">
        <v>11465</v>
      </c>
      <c r="D3252" s="21">
        <v>0</v>
      </c>
      <c r="E3252" s="21">
        <v>0</v>
      </c>
      <c r="F3252" s="22">
        <v>24</v>
      </c>
      <c r="G3252" s="23" t="s">
        <v>211</v>
      </c>
      <c r="H3252" s="36">
        <f>(D3252*400)+(E3252*100)+F3252</f>
        <v>24</v>
      </c>
      <c r="I3252" s="25" t="s">
        <v>172</v>
      </c>
      <c r="J3252" s="65">
        <f t="shared" ref="J3252" si="830">(H3252*I3252)</f>
        <v>120000</v>
      </c>
      <c r="K3252" s="30"/>
      <c r="L3252" s="31"/>
      <c r="M3252" s="31"/>
      <c r="N3252" s="41"/>
      <c r="O3252" s="42"/>
      <c r="P3252" s="35"/>
      <c r="Q3252" s="36"/>
      <c r="R3252" s="36"/>
      <c r="S3252" s="37"/>
      <c r="T3252" s="28"/>
      <c r="U3252" s="36"/>
      <c r="V3252" s="36"/>
      <c r="W3252" s="36"/>
      <c r="X3252" s="28"/>
      <c r="Y3252" s="28"/>
      <c r="Z3252" s="20"/>
    </row>
    <row r="3253" spans="1:26" s="29" customFormat="1" ht="90.75" customHeight="1" x14ac:dyDescent="0.25">
      <c r="A3253" s="20"/>
      <c r="B3253" s="20"/>
      <c r="C3253" s="20"/>
      <c r="D3253" s="21"/>
      <c r="E3253" s="21"/>
      <c r="F3253" s="22"/>
      <c r="G3253" s="23"/>
      <c r="H3253" s="36"/>
      <c r="I3253" s="25"/>
      <c r="J3253" s="65"/>
      <c r="K3253" s="30">
        <v>1</v>
      </c>
      <c r="L3253" s="31" t="s">
        <v>43</v>
      </c>
      <c r="M3253" s="31" t="s">
        <v>13</v>
      </c>
      <c r="N3253" s="41">
        <v>2</v>
      </c>
      <c r="O3253" s="42">
        <v>96</v>
      </c>
      <c r="P3253" s="35">
        <v>100</v>
      </c>
      <c r="Q3253" s="36">
        <v>7700</v>
      </c>
      <c r="R3253" s="36">
        <f>(O3253*Q3253)</f>
        <v>739200</v>
      </c>
      <c r="S3253" s="37">
        <v>22</v>
      </c>
      <c r="T3253" s="28">
        <f>(R3253*34/100)</f>
        <v>251328</v>
      </c>
      <c r="U3253" s="36">
        <f>(R3253-T3253)</f>
        <v>487872</v>
      </c>
      <c r="V3253" s="36">
        <f>(J3252+U3253)</f>
        <v>607872</v>
      </c>
      <c r="W3253" s="36">
        <f>(V3253*100/100)</f>
        <v>607872</v>
      </c>
      <c r="X3253" s="28"/>
      <c r="Y3253" s="28"/>
      <c r="Z3253" s="20"/>
    </row>
    <row r="3254" spans="1:26" s="29" customFormat="1" ht="90.75" customHeight="1" x14ac:dyDescent="0.25">
      <c r="A3254" s="20"/>
      <c r="B3254" s="20"/>
      <c r="C3254" s="20"/>
      <c r="D3254" s="21"/>
      <c r="E3254" s="21"/>
      <c r="F3254" s="22"/>
      <c r="G3254" s="23"/>
      <c r="H3254" s="36"/>
      <c r="I3254" s="25"/>
      <c r="J3254" s="65"/>
      <c r="K3254" s="30"/>
      <c r="L3254" s="31"/>
      <c r="M3254" s="31"/>
      <c r="N3254" s="41"/>
      <c r="O3254" s="42">
        <v>74</v>
      </c>
      <c r="P3254" s="35">
        <v>77.08</v>
      </c>
      <c r="Q3254" s="36"/>
      <c r="R3254" s="36"/>
      <c r="S3254" s="37"/>
      <c r="T3254" s="28"/>
      <c r="U3254" s="36"/>
      <c r="V3254" s="36"/>
      <c r="W3254" s="36">
        <f>(W3253*77.08/100)</f>
        <v>468547.73759999999</v>
      </c>
      <c r="X3254" s="28">
        <v>50000000</v>
      </c>
      <c r="Y3254" s="28"/>
      <c r="Z3254" s="20"/>
    </row>
    <row r="3255" spans="1:26" s="29" customFormat="1" ht="90.75" customHeight="1" x14ac:dyDescent="0.25">
      <c r="A3255" s="20"/>
      <c r="B3255" s="20"/>
      <c r="C3255" s="20"/>
      <c r="D3255" s="21"/>
      <c r="E3255" s="21"/>
      <c r="F3255" s="22"/>
      <c r="G3255" s="23"/>
      <c r="H3255" s="24"/>
      <c r="I3255" s="25"/>
      <c r="J3255" s="65"/>
      <c r="K3255" s="30"/>
      <c r="L3255" s="31" t="s">
        <v>61</v>
      </c>
      <c r="M3255" s="31"/>
      <c r="N3255" s="41">
        <v>3</v>
      </c>
      <c r="O3255" s="42">
        <v>45</v>
      </c>
      <c r="P3255" s="35">
        <v>22.92</v>
      </c>
      <c r="Q3255" s="36"/>
      <c r="R3255" s="36"/>
      <c r="S3255" s="37"/>
      <c r="T3255" s="28"/>
      <c r="U3255" s="36"/>
      <c r="V3255" s="36"/>
      <c r="W3255" s="36">
        <f>(W3253*22.92/100)</f>
        <v>139324.26240000001</v>
      </c>
      <c r="X3255" s="28">
        <v>0</v>
      </c>
      <c r="Y3255" s="28">
        <f>(W3255-X3255)</f>
        <v>139324.26240000001</v>
      </c>
      <c r="Z3255" s="49">
        <v>3.0000000000000001E-3</v>
      </c>
    </row>
    <row r="3256" spans="1:26" s="29" customFormat="1" ht="90.75" customHeight="1" x14ac:dyDescent="0.25">
      <c r="A3256" s="20">
        <v>1545</v>
      </c>
      <c r="B3256" s="20" t="s">
        <v>0</v>
      </c>
      <c r="C3256" s="20">
        <v>11326</v>
      </c>
      <c r="D3256" s="21">
        <v>0</v>
      </c>
      <c r="E3256" s="21">
        <v>0</v>
      </c>
      <c r="F3256" s="22">
        <v>19</v>
      </c>
      <c r="G3256" s="23" t="s">
        <v>211</v>
      </c>
      <c r="H3256" s="36">
        <f>(D3256*400)+(E3256*100)+F3256</f>
        <v>19</v>
      </c>
      <c r="I3256" s="40" t="s">
        <v>172</v>
      </c>
      <c r="J3256" s="65">
        <f t="shared" ref="J3256" si="831">(H3256*I3256)</f>
        <v>95000</v>
      </c>
      <c r="K3256" s="37">
        <v>1</v>
      </c>
      <c r="L3256" s="31" t="s">
        <v>43</v>
      </c>
      <c r="M3256" s="31" t="s">
        <v>13</v>
      </c>
      <c r="N3256" s="41"/>
      <c r="O3256" s="46">
        <v>63</v>
      </c>
      <c r="P3256" s="86">
        <v>100</v>
      </c>
      <c r="Q3256" s="36">
        <v>7700</v>
      </c>
      <c r="R3256" s="36">
        <f>(O3256*Q3256)</f>
        <v>485100</v>
      </c>
      <c r="S3256" s="37">
        <v>22</v>
      </c>
      <c r="T3256" s="28">
        <f>(R3256*34/100)</f>
        <v>164934</v>
      </c>
      <c r="U3256" s="36">
        <f>(R3256-T3256)</f>
        <v>320166</v>
      </c>
      <c r="V3256" s="36">
        <f>(J3256+U3256)</f>
        <v>415166</v>
      </c>
      <c r="W3256" s="36">
        <f>(V3256*100/100)</f>
        <v>415166</v>
      </c>
      <c r="X3256" s="28"/>
      <c r="Y3256" s="28"/>
      <c r="Z3256" s="20"/>
    </row>
    <row r="3257" spans="1:26" s="29" customFormat="1" ht="90.75" customHeight="1" x14ac:dyDescent="0.25">
      <c r="A3257" s="20"/>
      <c r="B3257" s="20"/>
      <c r="C3257" s="20"/>
      <c r="D3257" s="21"/>
      <c r="E3257" s="21"/>
      <c r="F3257" s="22"/>
      <c r="G3257" s="23"/>
      <c r="H3257" s="36"/>
      <c r="I3257" s="44"/>
      <c r="J3257" s="65"/>
      <c r="K3257" s="37"/>
      <c r="L3257" s="31" t="s">
        <v>69</v>
      </c>
      <c r="M3257" s="31" t="s">
        <v>13</v>
      </c>
      <c r="N3257" s="41"/>
      <c r="O3257" s="46">
        <v>43</v>
      </c>
      <c r="P3257" s="86">
        <v>68.25</v>
      </c>
      <c r="Q3257" s="36"/>
      <c r="R3257" s="36"/>
      <c r="S3257" s="37"/>
      <c r="T3257" s="28"/>
      <c r="U3257" s="36"/>
      <c r="V3257" s="36"/>
      <c r="W3257" s="36">
        <f>(W3256*68.25/100)</f>
        <v>283350.79499999998</v>
      </c>
      <c r="X3257" s="28">
        <v>10000000</v>
      </c>
      <c r="Y3257" s="28"/>
      <c r="Z3257" s="20"/>
    </row>
    <row r="3258" spans="1:26" s="29" customFormat="1" ht="90.75" customHeight="1" x14ac:dyDescent="0.25">
      <c r="A3258" s="20"/>
      <c r="B3258" s="20"/>
      <c r="C3258" s="20"/>
      <c r="D3258" s="21"/>
      <c r="E3258" s="21"/>
      <c r="F3258" s="22"/>
      <c r="G3258" s="23"/>
      <c r="H3258" s="36"/>
      <c r="I3258" s="44"/>
      <c r="J3258" s="65"/>
      <c r="K3258" s="37"/>
      <c r="L3258" s="31" t="s">
        <v>90</v>
      </c>
      <c r="M3258" s="31"/>
      <c r="N3258" s="41"/>
      <c r="O3258" s="46">
        <v>20</v>
      </c>
      <c r="P3258" s="86">
        <v>31.75</v>
      </c>
      <c r="Q3258" s="36"/>
      <c r="R3258" s="36"/>
      <c r="S3258" s="37"/>
      <c r="T3258" s="28"/>
      <c r="U3258" s="36"/>
      <c r="V3258" s="36"/>
      <c r="W3258" s="36">
        <f>(W3256*31.75/100)</f>
        <v>131815.20499999999</v>
      </c>
      <c r="X3258" s="28">
        <v>0</v>
      </c>
      <c r="Y3258" s="28">
        <f>(W3258-X3258)</f>
        <v>131815.20499999999</v>
      </c>
      <c r="Z3258" s="49">
        <v>3.0000000000000001E-3</v>
      </c>
    </row>
    <row r="3259" spans="1:26" s="29" customFormat="1" ht="90.75" customHeight="1" x14ac:dyDescent="0.25">
      <c r="A3259" s="20">
        <v>1546</v>
      </c>
      <c r="B3259" s="20" t="s">
        <v>0</v>
      </c>
      <c r="C3259" s="20">
        <v>11518</v>
      </c>
      <c r="D3259" s="21">
        <v>0</v>
      </c>
      <c r="E3259" s="21">
        <v>0</v>
      </c>
      <c r="F3259" s="22">
        <v>33</v>
      </c>
      <c r="G3259" s="23"/>
      <c r="H3259" s="36">
        <f>(D3259*400)+(E3259*100)+F3259</f>
        <v>33</v>
      </c>
      <c r="I3259" s="40" t="s">
        <v>172</v>
      </c>
      <c r="J3259" s="65">
        <f t="shared" ref="J3259" si="832">(H3259*I3259)</f>
        <v>165000</v>
      </c>
      <c r="K3259" s="30">
        <v>1</v>
      </c>
      <c r="L3259" s="31" t="s">
        <v>43</v>
      </c>
      <c r="M3259" s="31" t="s">
        <v>13</v>
      </c>
      <c r="N3259" s="41">
        <v>3</v>
      </c>
      <c r="O3259" s="42">
        <v>33</v>
      </c>
      <c r="P3259" s="35">
        <v>100</v>
      </c>
      <c r="Q3259" s="36">
        <v>7700</v>
      </c>
      <c r="R3259" s="36">
        <f>(O3259*Q3259)</f>
        <v>254100</v>
      </c>
      <c r="S3259" s="37">
        <v>32</v>
      </c>
      <c r="T3259" s="28">
        <f>(R3259*54/100)</f>
        <v>137214</v>
      </c>
      <c r="U3259" s="36">
        <f>(R3259-T3259)</f>
        <v>116886</v>
      </c>
      <c r="V3259" s="36">
        <f>(J3259+U3259)</f>
        <v>281886</v>
      </c>
      <c r="W3259" s="36">
        <f>(V3259*100/100)</f>
        <v>281886</v>
      </c>
      <c r="X3259" s="28">
        <v>0</v>
      </c>
      <c r="Y3259" s="28">
        <f>(W3259-X3259)</f>
        <v>281886</v>
      </c>
      <c r="Z3259" s="49">
        <v>3.0000000000000001E-3</v>
      </c>
    </row>
    <row r="3260" spans="1:26" s="29" customFormat="1" ht="90.75" customHeight="1" x14ac:dyDescent="0.25">
      <c r="A3260" s="20">
        <v>1547</v>
      </c>
      <c r="B3260" s="20" t="s">
        <v>0</v>
      </c>
      <c r="C3260" s="20">
        <v>10508</v>
      </c>
      <c r="D3260" s="21">
        <v>0</v>
      </c>
      <c r="E3260" s="21">
        <v>0</v>
      </c>
      <c r="F3260" s="22">
        <v>40</v>
      </c>
      <c r="G3260" s="23">
        <v>2</v>
      </c>
      <c r="H3260" s="24">
        <v>40</v>
      </c>
      <c r="I3260" s="25">
        <v>1500</v>
      </c>
      <c r="J3260" s="24">
        <v>60000</v>
      </c>
      <c r="K3260" s="20">
        <v>1</v>
      </c>
      <c r="L3260" s="20" t="s">
        <v>215</v>
      </c>
      <c r="M3260" s="20" t="s">
        <v>24</v>
      </c>
      <c r="N3260" s="20"/>
      <c r="O3260" s="24">
        <v>60</v>
      </c>
      <c r="P3260" s="24">
        <v>100</v>
      </c>
      <c r="Q3260" s="25">
        <v>6450</v>
      </c>
      <c r="R3260" s="24">
        <v>387000</v>
      </c>
      <c r="S3260" s="20">
        <v>42</v>
      </c>
      <c r="T3260" s="27">
        <f>(R3260*85/100)</f>
        <v>328950</v>
      </c>
      <c r="U3260" s="27">
        <f>(R3260-T3260)</f>
        <v>58050</v>
      </c>
      <c r="V3260" s="27">
        <f>(J3260+U3260)</f>
        <v>118050</v>
      </c>
      <c r="W3260" s="36">
        <f>(V3260*100/100)</f>
        <v>118050</v>
      </c>
      <c r="X3260" s="27"/>
      <c r="Y3260" s="20"/>
      <c r="Z3260" s="20"/>
    </row>
    <row r="3261" spans="1:26" s="29" customFormat="1" ht="90.75" customHeight="1" x14ac:dyDescent="0.25">
      <c r="A3261" s="20"/>
      <c r="B3261" s="20"/>
      <c r="C3261" s="20"/>
      <c r="D3261" s="21"/>
      <c r="E3261" s="21"/>
      <c r="F3261" s="22"/>
      <c r="G3261" s="23"/>
      <c r="H3261" s="24"/>
      <c r="I3261" s="25"/>
      <c r="J3261" s="24"/>
      <c r="K3261" s="20"/>
      <c r="L3261" s="20" t="s">
        <v>59</v>
      </c>
      <c r="M3261" s="20" t="s">
        <v>46</v>
      </c>
      <c r="N3261" s="20"/>
      <c r="O3261" s="24">
        <v>30</v>
      </c>
      <c r="P3261" s="24">
        <v>50</v>
      </c>
      <c r="Q3261" s="25"/>
      <c r="R3261" s="24"/>
      <c r="S3261" s="20"/>
      <c r="T3261" s="27"/>
      <c r="U3261" s="20"/>
      <c r="V3261" s="20"/>
      <c r="W3261" s="36">
        <f>(W3260*50/100)</f>
        <v>59025</v>
      </c>
      <c r="X3261" s="27"/>
      <c r="Y3261" s="20"/>
      <c r="Z3261" s="20"/>
    </row>
    <row r="3262" spans="1:26" s="29" customFormat="1" ht="90.75" customHeight="1" x14ac:dyDescent="0.25">
      <c r="A3262" s="20"/>
      <c r="B3262" s="20"/>
      <c r="C3262" s="20"/>
      <c r="D3262" s="21"/>
      <c r="E3262" s="21"/>
      <c r="F3262" s="22"/>
      <c r="G3262" s="23"/>
      <c r="H3262" s="24"/>
      <c r="I3262" s="25"/>
      <c r="J3262" s="24"/>
      <c r="K3262" s="20"/>
      <c r="L3262" s="20" t="s">
        <v>60</v>
      </c>
      <c r="M3262" s="20" t="s">
        <v>51</v>
      </c>
      <c r="N3262" s="20"/>
      <c r="O3262" s="24">
        <v>30</v>
      </c>
      <c r="P3262" s="24">
        <v>50</v>
      </c>
      <c r="Q3262" s="25"/>
      <c r="R3262" s="24"/>
      <c r="S3262" s="20"/>
      <c r="T3262" s="27"/>
      <c r="U3262" s="20"/>
      <c r="V3262" s="20"/>
      <c r="W3262" s="36">
        <f>(W3260*50/100)</f>
        <v>59025</v>
      </c>
      <c r="X3262" s="27">
        <v>0</v>
      </c>
      <c r="Y3262" s="26">
        <v>59025</v>
      </c>
      <c r="Z3262" s="49">
        <v>3.0000000000000001E-3</v>
      </c>
    </row>
    <row r="3263" spans="1:26" s="29" customFormat="1" ht="90.75" customHeight="1" x14ac:dyDescent="0.25">
      <c r="A3263" s="20">
        <v>1548</v>
      </c>
      <c r="B3263" s="20" t="s">
        <v>0</v>
      </c>
      <c r="C3263" s="20">
        <v>10537</v>
      </c>
      <c r="D3263" s="21">
        <v>0</v>
      </c>
      <c r="E3263" s="21">
        <v>1</v>
      </c>
      <c r="F3263" s="22">
        <v>10</v>
      </c>
      <c r="G3263" s="23" t="s">
        <v>211</v>
      </c>
      <c r="H3263" s="24">
        <v>40</v>
      </c>
      <c r="I3263" s="25" t="s">
        <v>115</v>
      </c>
      <c r="J3263" s="24">
        <v>60000</v>
      </c>
      <c r="K3263" s="37">
        <v>1</v>
      </c>
      <c r="L3263" s="31" t="s">
        <v>43</v>
      </c>
      <c r="M3263" s="31" t="s">
        <v>269</v>
      </c>
      <c r="N3263" s="41">
        <v>5</v>
      </c>
      <c r="O3263" s="42">
        <v>324</v>
      </c>
      <c r="P3263" s="35">
        <v>100</v>
      </c>
      <c r="Q3263" s="36">
        <v>7700</v>
      </c>
      <c r="R3263" s="36">
        <f>(O3263*Q3263)</f>
        <v>2494800</v>
      </c>
      <c r="S3263" s="37">
        <v>32</v>
      </c>
      <c r="T3263" s="28">
        <f>(R3263*54/100)</f>
        <v>1347192</v>
      </c>
      <c r="U3263" s="36">
        <f>(R3263-T3263)</f>
        <v>1147608</v>
      </c>
      <c r="V3263" s="36">
        <f>(J3263+U3263)</f>
        <v>1207608</v>
      </c>
      <c r="W3263" s="36">
        <f>(V3263*100/100)</f>
        <v>1207608</v>
      </c>
      <c r="X3263" s="28"/>
      <c r="Y3263" s="28"/>
      <c r="Z3263" s="20"/>
    </row>
    <row r="3264" spans="1:26" s="29" customFormat="1" ht="90.75" customHeight="1" x14ac:dyDescent="0.25">
      <c r="A3264" s="20"/>
      <c r="B3264" s="20"/>
      <c r="C3264" s="20"/>
      <c r="D3264" s="21"/>
      <c r="E3264" s="21"/>
      <c r="F3264" s="22"/>
      <c r="G3264" s="23"/>
      <c r="H3264" s="24"/>
      <c r="I3264" s="25"/>
      <c r="J3264" s="24"/>
      <c r="K3264" s="37"/>
      <c r="L3264" s="31" t="s">
        <v>69</v>
      </c>
      <c r="M3264" s="31"/>
      <c r="N3264" s="41">
        <v>2</v>
      </c>
      <c r="O3264" s="122">
        <v>234</v>
      </c>
      <c r="P3264" s="35">
        <v>72.23</v>
      </c>
      <c r="Q3264" s="36"/>
      <c r="R3264" s="36"/>
      <c r="S3264" s="37"/>
      <c r="T3264" s="28"/>
      <c r="U3264" s="36"/>
      <c r="V3264" s="36"/>
      <c r="W3264" s="36">
        <f>(W3263*72.23/100)</f>
        <v>872255.25840000005</v>
      </c>
      <c r="X3264" s="28">
        <v>50000000</v>
      </c>
      <c r="Y3264" s="28"/>
      <c r="Z3264" s="49"/>
    </row>
    <row r="3265" spans="1:26" s="29" customFormat="1" ht="90.75" customHeight="1" x14ac:dyDescent="0.25">
      <c r="A3265" s="20"/>
      <c r="B3265" s="20"/>
      <c r="C3265" s="20"/>
      <c r="D3265" s="21"/>
      <c r="E3265" s="21"/>
      <c r="F3265" s="22"/>
      <c r="G3265" s="23"/>
      <c r="H3265" s="24"/>
      <c r="I3265" s="25"/>
      <c r="J3265" s="24"/>
      <c r="K3265" s="37"/>
      <c r="L3265" s="31" t="s">
        <v>61</v>
      </c>
      <c r="M3265" s="31"/>
      <c r="N3265" s="41">
        <v>3</v>
      </c>
      <c r="O3265" s="42">
        <v>22.5</v>
      </c>
      <c r="P3265" s="43">
        <v>6.94</v>
      </c>
      <c r="Q3265" s="36"/>
      <c r="R3265" s="36"/>
      <c r="S3265" s="37"/>
      <c r="T3265" s="28"/>
      <c r="U3265" s="36"/>
      <c r="V3265" s="36"/>
      <c r="W3265" s="36">
        <f>(W3263*6.94/100)</f>
        <v>83807.995200000005</v>
      </c>
      <c r="X3265" s="28">
        <v>0</v>
      </c>
      <c r="Y3265" s="28">
        <f>(W3265-X3265)</f>
        <v>83807.995200000005</v>
      </c>
      <c r="Z3265" s="49">
        <v>3.0000000000000001E-3</v>
      </c>
    </row>
    <row r="3266" spans="1:26" s="29" customFormat="1" ht="90.75" customHeight="1" x14ac:dyDescent="0.25">
      <c r="A3266" s="20"/>
      <c r="B3266" s="20"/>
      <c r="C3266" s="20"/>
      <c r="D3266" s="21"/>
      <c r="E3266" s="21"/>
      <c r="F3266" s="22"/>
      <c r="G3266" s="23"/>
      <c r="H3266" s="24"/>
      <c r="I3266" s="25"/>
      <c r="J3266" s="24"/>
      <c r="K3266" s="37"/>
      <c r="L3266" s="31" t="s">
        <v>270</v>
      </c>
      <c r="M3266" s="31"/>
      <c r="N3266" s="41">
        <v>3</v>
      </c>
      <c r="O3266" s="42">
        <v>22.5</v>
      </c>
      <c r="P3266" s="43">
        <v>6.94</v>
      </c>
      <c r="Q3266" s="36"/>
      <c r="R3266" s="36"/>
      <c r="S3266" s="37"/>
      <c r="T3266" s="28"/>
      <c r="U3266" s="36"/>
      <c r="V3266" s="36"/>
      <c r="W3266" s="36">
        <f>(W3263*6.94/100)</f>
        <v>83807.995200000005</v>
      </c>
      <c r="X3266" s="28">
        <v>0</v>
      </c>
      <c r="Y3266" s="28">
        <f>(W3266-X3266)</f>
        <v>83807.995200000005</v>
      </c>
      <c r="Z3266" s="49">
        <v>3.0000000000000001E-3</v>
      </c>
    </row>
    <row r="3267" spans="1:26" s="29" customFormat="1" ht="90.75" customHeight="1" x14ac:dyDescent="0.25">
      <c r="A3267" s="20"/>
      <c r="B3267" s="20"/>
      <c r="C3267" s="20"/>
      <c r="D3267" s="21"/>
      <c r="E3267" s="21"/>
      <c r="F3267" s="22"/>
      <c r="G3267" s="23"/>
      <c r="H3267" s="24"/>
      <c r="I3267" s="25"/>
      <c r="J3267" s="24"/>
      <c r="K3267" s="37"/>
      <c r="L3267" s="31" t="s">
        <v>83</v>
      </c>
      <c r="M3267" s="31"/>
      <c r="N3267" s="41">
        <v>3</v>
      </c>
      <c r="O3267" s="42">
        <v>45</v>
      </c>
      <c r="P3267" s="43">
        <v>13.89</v>
      </c>
      <c r="Q3267" s="36"/>
      <c r="R3267" s="36"/>
      <c r="S3267" s="37"/>
      <c r="T3267" s="28"/>
      <c r="U3267" s="36"/>
      <c r="V3267" s="36"/>
      <c r="W3267" s="36">
        <f>(W3263*13.89/100)</f>
        <v>167736.7512</v>
      </c>
      <c r="X3267" s="28">
        <v>0</v>
      </c>
      <c r="Y3267" s="28">
        <f>(W3267-X3267)</f>
        <v>167736.7512</v>
      </c>
      <c r="Z3267" s="49">
        <v>3.0000000000000001E-3</v>
      </c>
    </row>
    <row r="3268" spans="1:26" s="29" customFormat="1" ht="90.75" customHeight="1" x14ac:dyDescent="0.25">
      <c r="A3268" s="20">
        <v>1549</v>
      </c>
      <c r="B3268" s="20" t="s">
        <v>0</v>
      </c>
      <c r="C3268" s="20">
        <v>10539</v>
      </c>
      <c r="D3268" s="21">
        <v>0</v>
      </c>
      <c r="E3268" s="21">
        <v>0</v>
      </c>
      <c r="F3268" s="22">
        <v>34</v>
      </c>
      <c r="G3268" s="23" t="s">
        <v>211</v>
      </c>
      <c r="H3268" s="77">
        <f>(D3268*400)+(E3268*100)+F3268</f>
        <v>34</v>
      </c>
      <c r="I3268" s="40">
        <v>1500</v>
      </c>
      <c r="J3268" s="28">
        <f>(H3268*I3268)</f>
        <v>51000</v>
      </c>
      <c r="K3268" s="37">
        <v>1</v>
      </c>
      <c r="L3268" s="20" t="s">
        <v>43</v>
      </c>
      <c r="M3268" s="20" t="s">
        <v>13</v>
      </c>
      <c r="N3268" s="21">
        <v>5</v>
      </c>
      <c r="O3268" s="63">
        <v>119.7</v>
      </c>
      <c r="P3268" s="35">
        <v>100</v>
      </c>
      <c r="Q3268" s="77">
        <v>7700</v>
      </c>
      <c r="R3268" s="77">
        <f>(O3268*Q3268)</f>
        <v>921690</v>
      </c>
      <c r="S3268" s="37">
        <v>32</v>
      </c>
      <c r="T3268" s="28">
        <f>(R3268*54/100)</f>
        <v>497712.6</v>
      </c>
      <c r="U3268" s="77">
        <f>(R3268-T3268)</f>
        <v>423977.4</v>
      </c>
      <c r="V3268" s="77">
        <f>(J3268+U3268)</f>
        <v>474977.4</v>
      </c>
      <c r="W3268" s="36">
        <f>(V3268*100/100)</f>
        <v>474977.4</v>
      </c>
      <c r="X3268" s="28"/>
      <c r="Y3268" s="28"/>
      <c r="Z3268" s="20"/>
    </row>
    <row r="3269" spans="1:26" s="29" customFormat="1" ht="90.75" customHeight="1" x14ac:dyDescent="0.25">
      <c r="A3269" s="20"/>
      <c r="B3269" s="20"/>
      <c r="C3269" s="20"/>
      <c r="D3269" s="21"/>
      <c r="E3269" s="21"/>
      <c r="F3269" s="22"/>
      <c r="G3269" s="23"/>
      <c r="H3269" s="77"/>
      <c r="I3269" s="40"/>
      <c r="J3269" s="28"/>
      <c r="K3269" s="37"/>
      <c r="L3269" s="20"/>
      <c r="M3269" s="20"/>
      <c r="N3269" s="21">
        <v>2</v>
      </c>
      <c r="O3269" s="63">
        <v>102.9</v>
      </c>
      <c r="P3269" s="35">
        <v>85.96</v>
      </c>
      <c r="Q3269" s="77"/>
      <c r="R3269" s="77"/>
      <c r="S3269" s="37"/>
      <c r="T3269" s="28"/>
      <c r="U3269" s="77"/>
      <c r="V3269" s="77"/>
      <c r="W3269" s="36">
        <f>(W3268*85.96/100)</f>
        <v>408290.57303999999</v>
      </c>
      <c r="X3269" s="28">
        <v>50000000</v>
      </c>
      <c r="Y3269" s="28"/>
      <c r="Z3269" s="49"/>
    </row>
    <row r="3270" spans="1:26" s="29" customFormat="1" ht="90.75" customHeight="1" x14ac:dyDescent="0.25">
      <c r="A3270" s="20"/>
      <c r="B3270" s="20"/>
      <c r="C3270" s="20"/>
      <c r="D3270" s="21"/>
      <c r="E3270" s="21"/>
      <c r="F3270" s="22"/>
      <c r="G3270" s="23"/>
      <c r="H3270" s="77"/>
      <c r="I3270" s="40"/>
      <c r="J3270" s="28"/>
      <c r="K3270" s="37"/>
      <c r="L3270" s="20"/>
      <c r="M3270" s="20"/>
      <c r="N3270" s="21">
        <v>3</v>
      </c>
      <c r="O3270" s="63">
        <v>16.8</v>
      </c>
      <c r="P3270" s="35">
        <v>14.04</v>
      </c>
      <c r="Q3270" s="77"/>
      <c r="R3270" s="77"/>
      <c r="S3270" s="37"/>
      <c r="T3270" s="28"/>
      <c r="U3270" s="77"/>
      <c r="V3270" s="77"/>
      <c r="W3270" s="36">
        <f>(W3268*14.04/100)</f>
        <v>66686.826959999991</v>
      </c>
      <c r="X3270" s="28">
        <v>0</v>
      </c>
      <c r="Y3270" s="28">
        <f>(W3270-X3270)</f>
        <v>66686.826959999991</v>
      </c>
      <c r="Z3270" s="49">
        <v>3.0000000000000001E-3</v>
      </c>
    </row>
    <row r="3271" spans="1:26" s="29" customFormat="1" ht="90.75" customHeight="1" x14ac:dyDescent="0.25">
      <c r="A3271" s="20">
        <v>1550</v>
      </c>
      <c r="B3271" s="20" t="s">
        <v>0</v>
      </c>
      <c r="C3271" s="20">
        <v>15743</v>
      </c>
      <c r="D3271" s="21">
        <v>0</v>
      </c>
      <c r="E3271" s="21">
        <v>0</v>
      </c>
      <c r="F3271" s="22">
        <v>61</v>
      </c>
      <c r="G3271" s="23" t="s">
        <v>211</v>
      </c>
      <c r="H3271" s="24">
        <f>(D3271*400)+(E3271*100)+F3271</f>
        <v>61</v>
      </c>
      <c r="I3271" s="25" t="s">
        <v>115</v>
      </c>
      <c r="J3271" s="28">
        <f>(H3271*I3271)</f>
        <v>91500</v>
      </c>
      <c r="K3271" s="30">
        <v>1</v>
      </c>
      <c r="L3271" s="31" t="s">
        <v>43</v>
      </c>
      <c r="M3271" s="31" t="s">
        <v>13</v>
      </c>
      <c r="N3271" s="41">
        <v>2</v>
      </c>
      <c r="O3271" s="42">
        <v>255</v>
      </c>
      <c r="P3271" s="35">
        <v>100</v>
      </c>
      <c r="Q3271" s="36">
        <v>7700</v>
      </c>
      <c r="R3271" s="36">
        <f>(O3271*Q3271)</f>
        <v>1963500</v>
      </c>
      <c r="S3271" s="37">
        <v>42</v>
      </c>
      <c r="T3271" s="28">
        <f>(R3271*74/100)</f>
        <v>1452990</v>
      </c>
      <c r="U3271" s="36">
        <f>(R3271-T3271)</f>
        <v>510510</v>
      </c>
      <c r="V3271" s="36">
        <f>(J3270+U3271)</f>
        <v>510510</v>
      </c>
      <c r="W3271" s="36">
        <f>(V3271*100/100)</f>
        <v>510510</v>
      </c>
      <c r="X3271" s="28"/>
      <c r="Y3271" s="28"/>
      <c r="Z3271" s="20"/>
    </row>
    <row r="3272" spans="1:26" s="29" customFormat="1" ht="90.75" customHeight="1" x14ac:dyDescent="0.25">
      <c r="A3272" s="20"/>
      <c r="B3272" s="20"/>
      <c r="C3272" s="20"/>
      <c r="D3272" s="21"/>
      <c r="E3272" s="21"/>
      <c r="F3272" s="22"/>
      <c r="G3272" s="23"/>
      <c r="H3272" s="24"/>
      <c r="I3272" s="25"/>
      <c r="J3272" s="24"/>
      <c r="K3272" s="30"/>
      <c r="L3272" s="31" t="s">
        <v>42</v>
      </c>
      <c r="M3272" s="31"/>
      <c r="N3272" s="41">
        <v>2</v>
      </c>
      <c r="O3272" s="31">
        <v>182.75</v>
      </c>
      <c r="P3272" s="46">
        <v>71.67</v>
      </c>
      <c r="Q3272" s="36"/>
      <c r="R3272" s="36"/>
      <c r="S3272" s="37"/>
      <c r="T3272" s="28"/>
      <c r="U3272" s="36"/>
      <c r="V3272" s="36"/>
      <c r="W3272" s="36">
        <f>(W3271*71.67/100)</f>
        <v>365882.51700000005</v>
      </c>
      <c r="X3272" s="28">
        <v>50000000</v>
      </c>
      <c r="Y3272" s="28"/>
      <c r="Z3272" s="49"/>
    </row>
    <row r="3273" spans="1:26" s="29" customFormat="1" ht="90.75" customHeight="1" x14ac:dyDescent="0.25">
      <c r="A3273" s="20"/>
      <c r="B3273" s="20"/>
      <c r="C3273" s="20"/>
      <c r="D3273" s="21"/>
      <c r="E3273" s="21"/>
      <c r="F3273" s="22"/>
      <c r="G3273" s="23"/>
      <c r="H3273" s="24"/>
      <c r="I3273" s="25"/>
      <c r="J3273" s="24"/>
      <c r="K3273" s="30"/>
      <c r="L3273" s="31" t="s">
        <v>271</v>
      </c>
      <c r="M3273" s="31"/>
      <c r="N3273" s="41">
        <v>3</v>
      </c>
      <c r="O3273" s="31">
        <v>72.25</v>
      </c>
      <c r="P3273" s="46">
        <v>28.33</v>
      </c>
      <c r="Q3273" s="36"/>
      <c r="R3273" s="36"/>
      <c r="S3273" s="37"/>
      <c r="T3273" s="28"/>
      <c r="U3273" s="36"/>
      <c r="V3273" s="36"/>
      <c r="W3273" s="36">
        <f>(W3271*28.33/100)</f>
        <v>144627.48299999998</v>
      </c>
      <c r="X3273" s="28">
        <v>0</v>
      </c>
      <c r="Y3273" s="28">
        <f>(W3273-X3273)</f>
        <v>144627.48299999998</v>
      </c>
      <c r="Z3273" s="49">
        <v>3.0000000000000001E-3</v>
      </c>
    </row>
    <row r="3274" spans="1:26" s="29" customFormat="1" ht="90.75" customHeight="1" x14ac:dyDescent="0.25">
      <c r="A3274" s="20">
        <v>1551</v>
      </c>
      <c r="B3274" s="20" t="s">
        <v>0</v>
      </c>
      <c r="C3274" s="20">
        <v>10540</v>
      </c>
      <c r="D3274" s="21">
        <v>0</v>
      </c>
      <c r="E3274" s="21">
        <v>0</v>
      </c>
      <c r="F3274" s="22">
        <v>65</v>
      </c>
      <c r="G3274" s="23" t="s">
        <v>211</v>
      </c>
      <c r="H3274" s="36">
        <f>(D3274*400)+(E3274*100)+F3274</f>
        <v>65</v>
      </c>
      <c r="I3274" s="40" t="s">
        <v>115</v>
      </c>
      <c r="J3274" s="65">
        <f>(H3274*I3274)</f>
        <v>97500</v>
      </c>
      <c r="K3274" s="37">
        <v>1</v>
      </c>
      <c r="L3274" s="20" t="s">
        <v>43</v>
      </c>
      <c r="M3274" s="20" t="s">
        <v>13</v>
      </c>
      <c r="N3274" s="21">
        <v>5</v>
      </c>
      <c r="O3274" s="63">
        <v>120</v>
      </c>
      <c r="P3274" s="35">
        <v>100</v>
      </c>
      <c r="Q3274" s="77">
        <v>7700</v>
      </c>
      <c r="R3274" s="77">
        <f>(O3274*Q3274)</f>
        <v>924000</v>
      </c>
      <c r="S3274" s="37">
        <v>32</v>
      </c>
      <c r="T3274" s="28">
        <f>(R3274*54/100)</f>
        <v>498960</v>
      </c>
      <c r="U3274" s="77">
        <f>(R3274-T3274)</f>
        <v>425040</v>
      </c>
      <c r="V3274" s="77">
        <f>(J3274+U3274)</f>
        <v>522540</v>
      </c>
      <c r="W3274" s="36">
        <f>(V3274*100/100)</f>
        <v>522540</v>
      </c>
      <c r="X3274" s="28"/>
      <c r="Y3274" s="28"/>
      <c r="Z3274" s="20"/>
    </row>
    <row r="3275" spans="1:26" s="29" customFormat="1" ht="90.75" customHeight="1" x14ac:dyDescent="0.25">
      <c r="A3275" s="20"/>
      <c r="B3275" s="20"/>
      <c r="C3275" s="20"/>
      <c r="D3275" s="21"/>
      <c r="E3275" s="21"/>
      <c r="F3275" s="22"/>
      <c r="G3275" s="23"/>
      <c r="H3275" s="36"/>
      <c r="I3275" s="40"/>
      <c r="J3275" s="65"/>
      <c r="K3275" s="37"/>
      <c r="L3275" s="20"/>
      <c r="M3275" s="20"/>
      <c r="N3275" s="21">
        <v>2</v>
      </c>
      <c r="O3275" s="63">
        <v>96</v>
      </c>
      <c r="P3275" s="35">
        <v>80</v>
      </c>
      <c r="Q3275" s="77"/>
      <c r="R3275" s="77"/>
      <c r="S3275" s="37"/>
      <c r="T3275" s="28"/>
      <c r="U3275" s="77"/>
      <c r="V3275" s="77"/>
      <c r="W3275" s="36">
        <f>(W3274*80/100)</f>
        <v>418032</v>
      </c>
      <c r="X3275" s="28">
        <v>50000000</v>
      </c>
      <c r="Y3275" s="28" t="s">
        <v>225</v>
      </c>
      <c r="Z3275" s="20" t="s">
        <v>225</v>
      </c>
    </row>
    <row r="3276" spans="1:26" s="29" customFormat="1" ht="90.75" customHeight="1" x14ac:dyDescent="0.25">
      <c r="A3276" s="20"/>
      <c r="B3276" s="20"/>
      <c r="C3276" s="20"/>
      <c r="D3276" s="21"/>
      <c r="E3276" s="21"/>
      <c r="F3276" s="22"/>
      <c r="G3276" s="23"/>
      <c r="H3276" s="36"/>
      <c r="I3276" s="44"/>
      <c r="J3276" s="65"/>
      <c r="K3276" s="37"/>
      <c r="L3276" s="20"/>
      <c r="M3276" s="20"/>
      <c r="N3276" s="21">
        <v>3</v>
      </c>
      <c r="O3276" s="63">
        <v>24</v>
      </c>
      <c r="P3276" s="35">
        <v>20</v>
      </c>
      <c r="Q3276" s="77"/>
      <c r="R3276" s="77"/>
      <c r="S3276" s="37"/>
      <c r="T3276" s="28"/>
      <c r="U3276" s="77"/>
      <c r="V3276" s="77"/>
      <c r="W3276" s="36">
        <f>(W3274*20/100)</f>
        <v>104508</v>
      </c>
      <c r="X3276" s="28">
        <v>0</v>
      </c>
      <c r="Y3276" s="28">
        <f>(W3276)</f>
        <v>104508</v>
      </c>
      <c r="Z3276" s="49">
        <v>3.0000000000000001E-3</v>
      </c>
    </row>
    <row r="3277" spans="1:26" s="29" customFormat="1" ht="90.75" customHeight="1" x14ac:dyDescent="0.25">
      <c r="A3277" s="20">
        <v>1552</v>
      </c>
      <c r="B3277" s="20" t="s">
        <v>0</v>
      </c>
      <c r="C3277" s="20">
        <v>10542</v>
      </c>
      <c r="D3277" s="21">
        <v>0</v>
      </c>
      <c r="E3277" s="21">
        <v>0</v>
      </c>
      <c r="F3277" s="22">
        <v>26</v>
      </c>
      <c r="G3277" s="23" t="s">
        <v>56</v>
      </c>
      <c r="H3277" s="36">
        <f t="shared" ref="H3277" si="833">(D3277*400)+(E3277*100)+F3277</f>
        <v>26</v>
      </c>
      <c r="I3277" s="40" t="s">
        <v>115</v>
      </c>
      <c r="J3277" s="65">
        <f>(H3277*I3277)</f>
        <v>39000</v>
      </c>
      <c r="K3277" s="30">
        <v>1</v>
      </c>
      <c r="L3277" s="20" t="s">
        <v>43</v>
      </c>
      <c r="M3277" s="35" t="s">
        <v>13</v>
      </c>
      <c r="N3277" s="30">
        <v>2</v>
      </c>
      <c r="O3277" s="36">
        <v>96</v>
      </c>
      <c r="P3277" s="86">
        <v>100</v>
      </c>
      <c r="Q3277" s="40">
        <v>7700</v>
      </c>
      <c r="R3277" s="36">
        <f>(O3277*Q3277)</f>
        <v>739200</v>
      </c>
      <c r="S3277" s="84"/>
      <c r="T3277" s="28"/>
      <c r="U3277" s="84"/>
      <c r="V3277" s="36"/>
      <c r="W3277" s="36"/>
      <c r="X3277" s="28"/>
      <c r="Y3277" s="26"/>
      <c r="Z3277" s="49"/>
    </row>
    <row r="3278" spans="1:26" s="29" customFormat="1" ht="90.75" customHeight="1" x14ac:dyDescent="0.25">
      <c r="A3278" s="20"/>
      <c r="B3278" s="20"/>
      <c r="C3278" s="20"/>
      <c r="D3278" s="21"/>
      <c r="E3278" s="21"/>
      <c r="F3278" s="22"/>
      <c r="G3278" s="23"/>
      <c r="H3278" s="36">
        <v>6.25</v>
      </c>
      <c r="I3278" s="40" t="s">
        <v>115</v>
      </c>
      <c r="J3278" s="65">
        <f t="shared" ref="J3278:J3283" si="834">(H3278*I3278)</f>
        <v>9375</v>
      </c>
      <c r="K3278" s="30"/>
      <c r="L3278" s="20"/>
      <c r="M3278" s="35" t="s">
        <v>272</v>
      </c>
      <c r="N3278" s="30"/>
      <c r="O3278" s="36">
        <v>24</v>
      </c>
      <c r="P3278" s="86">
        <v>25</v>
      </c>
      <c r="Q3278" s="40">
        <v>7700</v>
      </c>
      <c r="R3278" s="36">
        <f t="shared" ref="R3278:R3281" si="835">(O3278*Q3278)</f>
        <v>184800</v>
      </c>
      <c r="S3278" s="84">
        <v>27</v>
      </c>
      <c r="T3278" s="28">
        <f>(R3278*44/100)</f>
        <v>81312</v>
      </c>
      <c r="U3278" s="36">
        <f>(R3278-T3278)</f>
        <v>103488</v>
      </c>
      <c r="V3278" s="36">
        <f>(J3278+U3278)</f>
        <v>112863</v>
      </c>
      <c r="W3278" s="36">
        <f>(V3278*100/100)</f>
        <v>112863</v>
      </c>
      <c r="X3278" s="28"/>
      <c r="Y3278" s="26"/>
      <c r="Z3278" s="49"/>
    </row>
    <row r="3279" spans="1:26" s="29" customFormat="1" ht="90.75" customHeight="1" x14ac:dyDescent="0.25">
      <c r="A3279" s="20"/>
      <c r="B3279" s="20"/>
      <c r="C3279" s="20"/>
      <c r="D3279" s="21"/>
      <c r="E3279" s="21"/>
      <c r="F3279" s="22"/>
      <c r="G3279" s="23"/>
      <c r="H3279" s="36">
        <v>6.25</v>
      </c>
      <c r="I3279" s="40" t="s">
        <v>115</v>
      </c>
      <c r="J3279" s="65">
        <f t="shared" si="834"/>
        <v>9375</v>
      </c>
      <c r="K3279" s="30"/>
      <c r="L3279" s="20"/>
      <c r="M3279" s="35" t="s">
        <v>182</v>
      </c>
      <c r="N3279" s="30"/>
      <c r="O3279" s="36">
        <v>24</v>
      </c>
      <c r="P3279" s="86">
        <v>25</v>
      </c>
      <c r="Q3279" s="40">
        <v>7700</v>
      </c>
      <c r="R3279" s="36">
        <f t="shared" si="835"/>
        <v>184800</v>
      </c>
      <c r="S3279" s="84">
        <v>27</v>
      </c>
      <c r="T3279" s="28">
        <f t="shared" ref="T3279:T3281" si="836">(R3279*44/100)</f>
        <v>81312</v>
      </c>
      <c r="U3279" s="36">
        <f t="shared" ref="U3279:U3281" si="837">(R3279-T3279)</f>
        <v>103488</v>
      </c>
      <c r="V3279" s="36">
        <f t="shared" ref="V3279:V3281" si="838">(J3279+U3279)</f>
        <v>112863</v>
      </c>
      <c r="W3279" s="36">
        <f t="shared" ref="W3279:W3281" si="839">(V3279*100/100)</f>
        <v>112863</v>
      </c>
      <c r="X3279" s="28">
        <v>0</v>
      </c>
      <c r="Y3279" s="26">
        <f>(W3279-X3279)</f>
        <v>112863</v>
      </c>
      <c r="Z3279" s="49">
        <v>2.0000000000000001E-4</v>
      </c>
    </row>
    <row r="3280" spans="1:26" s="29" customFormat="1" ht="90.75" customHeight="1" x14ac:dyDescent="0.25">
      <c r="A3280" s="20"/>
      <c r="B3280" s="20"/>
      <c r="C3280" s="20"/>
      <c r="D3280" s="21"/>
      <c r="E3280" s="21"/>
      <c r="F3280" s="22"/>
      <c r="G3280" s="23"/>
      <c r="H3280" s="36">
        <v>6.25</v>
      </c>
      <c r="I3280" s="40" t="s">
        <v>115</v>
      </c>
      <c r="J3280" s="65">
        <f t="shared" si="834"/>
        <v>9375</v>
      </c>
      <c r="K3280" s="30"/>
      <c r="L3280" s="20"/>
      <c r="M3280" s="35" t="s">
        <v>182</v>
      </c>
      <c r="N3280" s="30"/>
      <c r="O3280" s="36">
        <v>24</v>
      </c>
      <c r="P3280" s="86">
        <v>25</v>
      </c>
      <c r="Q3280" s="40">
        <v>7700</v>
      </c>
      <c r="R3280" s="36">
        <f t="shared" si="835"/>
        <v>184800</v>
      </c>
      <c r="S3280" s="84">
        <v>27</v>
      </c>
      <c r="T3280" s="28">
        <f t="shared" si="836"/>
        <v>81312</v>
      </c>
      <c r="U3280" s="36">
        <f t="shared" si="837"/>
        <v>103488</v>
      </c>
      <c r="V3280" s="36">
        <f t="shared" si="838"/>
        <v>112863</v>
      </c>
      <c r="W3280" s="36">
        <f t="shared" si="839"/>
        <v>112863</v>
      </c>
      <c r="X3280" s="28">
        <v>0</v>
      </c>
      <c r="Y3280" s="26">
        <f t="shared" ref="Y3280:Y3281" si="840">(W3280-X3280)</f>
        <v>112863</v>
      </c>
      <c r="Z3280" s="49">
        <v>2.0000000000000001E-4</v>
      </c>
    </row>
    <row r="3281" spans="1:26" s="29" customFormat="1" ht="90.75" customHeight="1" x14ac:dyDescent="0.25">
      <c r="A3281" s="20"/>
      <c r="B3281" s="20"/>
      <c r="C3281" s="20"/>
      <c r="D3281" s="21"/>
      <c r="E3281" s="21"/>
      <c r="F3281" s="22"/>
      <c r="G3281" s="23"/>
      <c r="H3281" s="36">
        <v>6.25</v>
      </c>
      <c r="I3281" s="40" t="s">
        <v>115</v>
      </c>
      <c r="J3281" s="65">
        <f t="shared" si="834"/>
        <v>9375</v>
      </c>
      <c r="K3281" s="30"/>
      <c r="L3281" s="20"/>
      <c r="M3281" s="35" t="s">
        <v>182</v>
      </c>
      <c r="N3281" s="30"/>
      <c r="O3281" s="36">
        <v>24</v>
      </c>
      <c r="P3281" s="86">
        <v>25</v>
      </c>
      <c r="Q3281" s="40">
        <v>7700</v>
      </c>
      <c r="R3281" s="36">
        <f t="shared" si="835"/>
        <v>184800</v>
      </c>
      <c r="S3281" s="84">
        <v>27</v>
      </c>
      <c r="T3281" s="28">
        <f t="shared" si="836"/>
        <v>81312</v>
      </c>
      <c r="U3281" s="36">
        <f t="shared" si="837"/>
        <v>103488</v>
      </c>
      <c r="V3281" s="36">
        <f t="shared" si="838"/>
        <v>112863</v>
      </c>
      <c r="W3281" s="36">
        <f t="shared" si="839"/>
        <v>112863</v>
      </c>
      <c r="X3281" s="28">
        <v>0</v>
      </c>
      <c r="Y3281" s="26">
        <f t="shared" si="840"/>
        <v>112863</v>
      </c>
      <c r="Z3281" s="49">
        <v>2.0000000000000001E-4</v>
      </c>
    </row>
    <row r="3282" spans="1:26" s="29" customFormat="1" ht="90.75" customHeight="1" x14ac:dyDescent="0.25">
      <c r="A3282" s="20">
        <v>1553</v>
      </c>
      <c r="B3282" s="20" t="s">
        <v>0</v>
      </c>
      <c r="C3282" s="20">
        <v>10553</v>
      </c>
      <c r="D3282" s="21">
        <v>0</v>
      </c>
      <c r="E3282" s="21">
        <v>0</v>
      </c>
      <c r="F3282" s="22">
        <v>26</v>
      </c>
      <c r="G3282" s="23" t="s">
        <v>56</v>
      </c>
      <c r="H3282" s="36">
        <f>(D3282*400)+(E3282*100)+F3282</f>
        <v>26</v>
      </c>
      <c r="I3282" s="25" t="s">
        <v>115</v>
      </c>
      <c r="J3282" s="65">
        <f t="shared" si="834"/>
        <v>39000</v>
      </c>
      <c r="K3282" s="20"/>
      <c r="L3282" s="20"/>
      <c r="M3282" s="20"/>
      <c r="N3282" s="20"/>
      <c r="O3282" s="24"/>
      <c r="P3282" s="24"/>
      <c r="Q3282" s="25"/>
      <c r="R3282" s="24"/>
      <c r="S3282" s="20"/>
      <c r="T3282" s="27"/>
      <c r="U3282" s="20"/>
      <c r="V3282" s="20"/>
      <c r="W3282" s="26"/>
      <c r="X3282" s="27"/>
      <c r="Y3282" s="20"/>
      <c r="Z3282" s="20"/>
    </row>
    <row r="3283" spans="1:26" s="29" customFormat="1" ht="90.75" customHeight="1" x14ac:dyDescent="0.25">
      <c r="A3283" s="20">
        <v>1554</v>
      </c>
      <c r="B3283" s="20" t="s">
        <v>0</v>
      </c>
      <c r="C3283" s="20">
        <v>10554</v>
      </c>
      <c r="D3283" s="21">
        <v>0</v>
      </c>
      <c r="E3283" s="21">
        <v>0</v>
      </c>
      <c r="F3283" s="22">
        <v>25</v>
      </c>
      <c r="G3283" s="23" t="s">
        <v>211</v>
      </c>
      <c r="H3283" s="36">
        <v>25</v>
      </c>
      <c r="I3283" s="40">
        <v>1500</v>
      </c>
      <c r="J3283" s="65">
        <f t="shared" si="834"/>
        <v>37500</v>
      </c>
      <c r="K3283" s="37"/>
      <c r="L3283" s="31"/>
      <c r="M3283" s="31"/>
      <c r="N3283" s="41"/>
      <c r="O3283" s="46"/>
      <c r="P3283" s="86"/>
      <c r="Q3283" s="36"/>
      <c r="R3283" s="36"/>
      <c r="S3283" s="37"/>
      <c r="T3283" s="28"/>
      <c r="U3283" s="36"/>
      <c r="V3283" s="36"/>
      <c r="W3283" s="36"/>
      <c r="X3283" s="28"/>
      <c r="Y3283" s="28"/>
      <c r="Z3283" s="20"/>
    </row>
    <row r="3284" spans="1:26" s="29" customFormat="1" ht="90.75" customHeight="1" x14ac:dyDescent="0.25">
      <c r="A3284" s="20"/>
      <c r="B3284" s="20"/>
      <c r="C3284" s="20"/>
      <c r="D3284" s="21"/>
      <c r="E3284" s="21"/>
      <c r="F3284" s="22"/>
      <c r="G3284" s="23"/>
      <c r="H3284" s="36"/>
      <c r="I3284" s="40"/>
      <c r="J3284" s="65">
        <v>76500</v>
      </c>
      <c r="K3284" s="37">
        <v>1</v>
      </c>
      <c r="L3284" s="31" t="s">
        <v>215</v>
      </c>
      <c r="M3284" s="31" t="s">
        <v>24</v>
      </c>
      <c r="N3284" s="41">
        <v>5</v>
      </c>
      <c r="O3284" s="46">
        <v>200</v>
      </c>
      <c r="P3284" s="86">
        <v>100</v>
      </c>
      <c r="Q3284" s="36">
        <v>6450</v>
      </c>
      <c r="R3284" s="36">
        <f>(O3284*Q3284)</f>
        <v>1290000</v>
      </c>
      <c r="S3284" s="37">
        <v>22</v>
      </c>
      <c r="T3284" s="28">
        <f>(R3284*34/100)</f>
        <v>438600</v>
      </c>
      <c r="U3284" s="36">
        <f>(R3284-T3284)</f>
        <v>851400</v>
      </c>
      <c r="V3284" s="36">
        <f>(J3284+U3284)</f>
        <v>927900</v>
      </c>
      <c r="W3284" s="36">
        <f>(V3284*100/100)</f>
        <v>927900</v>
      </c>
      <c r="X3284" s="28"/>
      <c r="Y3284" s="28"/>
      <c r="Z3284" s="20"/>
    </row>
    <row r="3285" spans="1:26" s="29" customFormat="1" ht="90.75" customHeight="1" x14ac:dyDescent="0.25">
      <c r="A3285" s="20"/>
      <c r="B3285" s="20"/>
      <c r="C3285" s="20"/>
      <c r="D3285" s="21"/>
      <c r="E3285" s="21"/>
      <c r="F3285" s="22"/>
      <c r="G3285" s="23"/>
      <c r="H3285" s="36"/>
      <c r="I3285" s="40"/>
      <c r="J3285" s="28"/>
      <c r="K3285" s="37"/>
      <c r="L3285" s="31"/>
      <c r="M3285" s="31"/>
      <c r="N3285" s="41"/>
      <c r="O3285" s="46">
        <v>150</v>
      </c>
      <c r="P3285" s="86">
        <v>75</v>
      </c>
      <c r="Q3285" s="36"/>
      <c r="R3285" s="36"/>
      <c r="S3285" s="37"/>
      <c r="T3285" s="28"/>
      <c r="U3285" s="36"/>
      <c r="V3285" s="36"/>
      <c r="W3285" s="36">
        <f>(W3284*75/100)</f>
        <v>695925</v>
      </c>
      <c r="X3285" s="28">
        <v>50000000</v>
      </c>
      <c r="Y3285" s="28"/>
      <c r="Z3285" s="20"/>
    </row>
    <row r="3286" spans="1:26" s="29" customFormat="1" ht="90.75" customHeight="1" x14ac:dyDescent="0.25">
      <c r="A3286" s="20"/>
      <c r="B3286" s="20"/>
      <c r="C3286" s="20"/>
      <c r="D3286" s="21"/>
      <c r="E3286" s="21"/>
      <c r="F3286" s="22"/>
      <c r="G3286" s="23"/>
      <c r="H3286" s="36"/>
      <c r="I3286" s="40"/>
      <c r="J3286" s="28"/>
      <c r="K3286" s="37"/>
      <c r="L3286" s="31"/>
      <c r="M3286" s="31"/>
      <c r="N3286" s="41"/>
      <c r="O3286" s="46">
        <v>25</v>
      </c>
      <c r="P3286" s="86">
        <v>12.5</v>
      </c>
      <c r="Q3286" s="36"/>
      <c r="R3286" s="36"/>
      <c r="S3286" s="37"/>
      <c r="T3286" s="28"/>
      <c r="U3286" s="36"/>
      <c r="V3286" s="36"/>
      <c r="W3286" s="36">
        <f>(W3284*12.5/100)</f>
        <v>115987.5</v>
      </c>
      <c r="X3286" s="28"/>
      <c r="Y3286" s="28"/>
      <c r="Z3286" s="20"/>
    </row>
    <row r="3287" spans="1:26" s="29" customFormat="1" ht="90.75" customHeight="1" x14ac:dyDescent="0.25">
      <c r="A3287" s="20"/>
      <c r="B3287" s="20"/>
      <c r="C3287" s="20"/>
      <c r="D3287" s="21"/>
      <c r="E3287" s="21"/>
      <c r="F3287" s="22"/>
      <c r="G3287" s="23"/>
      <c r="H3287" s="36"/>
      <c r="I3287" s="40"/>
      <c r="J3287" s="28"/>
      <c r="K3287" s="37"/>
      <c r="L3287" s="31"/>
      <c r="M3287" s="31"/>
      <c r="N3287" s="41"/>
      <c r="O3287" s="46">
        <v>25</v>
      </c>
      <c r="P3287" s="86">
        <v>12.5</v>
      </c>
      <c r="Q3287" s="36"/>
      <c r="R3287" s="36"/>
      <c r="S3287" s="37"/>
      <c r="T3287" s="28"/>
      <c r="U3287" s="36"/>
      <c r="V3287" s="36"/>
      <c r="W3287" s="36">
        <f>(W3284*12.5/100)</f>
        <v>115987.5</v>
      </c>
      <c r="X3287" s="28">
        <v>0</v>
      </c>
      <c r="Y3287" s="28">
        <f>(W3287-X3287)</f>
        <v>115987.5</v>
      </c>
      <c r="Z3287" s="49">
        <v>3.0000000000000001E-3</v>
      </c>
    </row>
    <row r="3288" spans="1:26" s="29" customFormat="1" ht="90.75" customHeight="1" x14ac:dyDescent="0.25">
      <c r="A3288" s="20">
        <v>1555</v>
      </c>
      <c r="B3288" s="20" t="s">
        <v>0</v>
      </c>
      <c r="C3288" s="20">
        <v>11327</v>
      </c>
      <c r="D3288" s="21">
        <v>1</v>
      </c>
      <c r="E3288" s="21">
        <v>3</v>
      </c>
      <c r="F3288" s="22">
        <v>22</v>
      </c>
      <c r="G3288" s="23" t="s">
        <v>56</v>
      </c>
      <c r="H3288" s="36">
        <f>(D3288*400)+(E3288*100)+F3288</f>
        <v>722</v>
      </c>
      <c r="I3288" s="40">
        <v>3750</v>
      </c>
      <c r="J3288" s="28">
        <f t="shared" ref="J3288:J3294" si="841">(H3288*I3288)</f>
        <v>2707500</v>
      </c>
      <c r="K3288" s="37"/>
      <c r="L3288" s="31"/>
      <c r="M3288" s="31"/>
      <c r="N3288" s="41"/>
      <c r="O3288" s="42"/>
      <c r="P3288" s="35"/>
      <c r="Q3288" s="36"/>
      <c r="R3288" s="36"/>
      <c r="S3288" s="37"/>
      <c r="T3288" s="28"/>
      <c r="U3288" s="36"/>
      <c r="V3288" s="36"/>
      <c r="W3288" s="36"/>
      <c r="X3288" s="28"/>
      <c r="Y3288" s="28"/>
      <c r="Z3288" s="52"/>
    </row>
    <row r="3289" spans="1:26" s="29" customFormat="1" ht="90.75" customHeight="1" x14ac:dyDescent="0.25">
      <c r="A3289" s="20"/>
      <c r="B3289" s="20"/>
      <c r="C3289" s="20"/>
      <c r="D3289" s="21"/>
      <c r="E3289" s="21"/>
      <c r="F3289" s="22"/>
      <c r="G3289" s="23"/>
      <c r="H3289" s="36">
        <f>(O3289*0.25)</f>
        <v>11.375</v>
      </c>
      <c r="I3289" s="40">
        <v>3750</v>
      </c>
      <c r="J3289" s="28">
        <f t="shared" si="841"/>
        <v>42656.25</v>
      </c>
      <c r="K3289" s="37">
        <v>1</v>
      </c>
      <c r="L3289" s="31" t="s">
        <v>27</v>
      </c>
      <c r="M3289" s="31" t="s">
        <v>13</v>
      </c>
      <c r="N3289" s="41">
        <v>3</v>
      </c>
      <c r="O3289" s="42">
        <v>45.5</v>
      </c>
      <c r="P3289" s="35">
        <v>100</v>
      </c>
      <c r="Q3289" s="36">
        <v>7100</v>
      </c>
      <c r="R3289" s="36">
        <f>(O3289*Q3289)</f>
        <v>323050</v>
      </c>
      <c r="S3289" s="37">
        <v>6</v>
      </c>
      <c r="T3289" s="28">
        <f>(R3289*6/100)</f>
        <v>19383</v>
      </c>
      <c r="U3289" s="36">
        <f>(R3289-T3289)</f>
        <v>303667</v>
      </c>
      <c r="V3289" s="36">
        <f t="shared" ref="V3289:V3294" si="842">(J3289+U3289)</f>
        <v>346323.25</v>
      </c>
      <c r="W3289" s="36">
        <f t="shared" ref="W3289:W3294" si="843">(V3289*100/100)</f>
        <v>346323.25</v>
      </c>
      <c r="X3289" s="28">
        <v>0</v>
      </c>
      <c r="Y3289" s="28">
        <f t="shared" ref="Y3289:Y3294" si="844">(W3289-X3289)</f>
        <v>346323.25</v>
      </c>
      <c r="Z3289" s="49">
        <v>3.0000000000000001E-3</v>
      </c>
    </row>
    <row r="3290" spans="1:26" s="29" customFormat="1" ht="90.75" customHeight="1" x14ac:dyDescent="0.25">
      <c r="A3290" s="20"/>
      <c r="B3290" s="20"/>
      <c r="C3290" s="20"/>
      <c r="D3290" s="21"/>
      <c r="E3290" s="21"/>
      <c r="F3290" s="22"/>
      <c r="G3290" s="23"/>
      <c r="H3290" s="36">
        <f>(O3290*0.25)</f>
        <v>17.5</v>
      </c>
      <c r="I3290" s="40">
        <v>3750</v>
      </c>
      <c r="J3290" s="28">
        <f t="shared" si="841"/>
        <v>65625</v>
      </c>
      <c r="K3290" s="37">
        <v>2</v>
      </c>
      <c r="L3290" s="31" t="s">
        <v>29</v>
      </c>
      <c r="M3290" s="31" t="s">
        <v>13</v>
      </c>
      <c r="N3290" s="41">
        <v>3</v>
      </c>
      <c r="O3290" s="42">
        <v>70</v>
      </c>
      <c r="P3290" s="35">
        <v>100</v>
      </c>
      <c r="Q3290" s="36">
        <v>5550</v>
      </c>
      <c r="R3290" s="36">
        <f>(O3290*Q3290)</f>
        <v>388500</v>
      </c>
      <c r="S3290" s="37">
        <v>6</v>
      </c>
      <c r="T3290" s="28">
        <f t="shared" ref="T3290:T3293" si="845">(R3290*6/100)</f>
        <v>23310</v>
      </c>
      <c r="U3290" s="36">
        <f>(R3290-T3290)</f>
        <v>365190</v>
      </c>
      <c r="V3290" s="36">
        <f t="shared" si="842"/>
        <v>430815</v>
      </c>
      <c r="W3290" s="36">
        <f t="shared" si="843"/>
        <v>430815</v>
      </c>
      <c r="X3290" s="28">
        <v>0</v>
      </c>
      <c r="Y3290" s="28">
        <f t="shared" si="844"/>
        <v>430815</v>
      </c>
      <c r="Z3290" s="49">
        <v>3.0000000000000001E-3</v>
      </c>
    </row>
    <row r="3291" spans="1:26" s="29" customFormat="1" ht="90.75" customHeight="1" x14ac:dyDescent="0.25">
      <c r="A3291" s="20"/>
      <c r="B3291" s="20"/>
      <c r="C3291" s="20"/>
      <c r="D3291" s="21"/>
      <c r="E3291" s="21"/>
      <c r="F3291" s="22"/>
      <c r="G3291" s="23"/>
      <c r="H3291" s="36">
        <f>(O3291*0.25)</f>
        <v>185.5</v>
      </c>
      <c r="I3291" s="40">
        <v>3750</v>
      </c>
      <c r="J3291" s="28">
        <f t="shared" si="841"/>
        <v>695625</v>
      </c>
      <c r="K3291" s="37">
        <v>3</v>
      </c>
      <c r="L3291" s="31" t="s">
        <v>48</v>
      </c>
      <c r="M3291" s="31" t="s">
        <v>13</v>
      </c>
      <c r="N3291" s="41">
        <v>3</v>
      </c>
      <c r="O3291" s="42">
        <v>742</v>
      </c>
      <c r="P3291" s="35">
        <v>100</v>
      </c>
      <c r="Q3291" s="36">
        <v>3500</v>
      </c>
      <c r="R3291" s="36">
        <f>(O3291*Q3291)</f>
        <v>2597000</v>
      </c>
      <c r="S3291" s="37">
        <v>6</v>
      </c>
      <c r="T3291" s="28">
        <f t="shared" si="845"/>
        <v>155820</v>
      </c>
      <c r="U3291" s="36">
        <f>(R3291-T3291)</f>
        <v>2441180</v>
      </c>
      <c r="V3291" s="36">
        <f t="shared" si="842"/>
        <v>3136805</v>
      </c>
      <c r="W3291" s="36">
        <f t="shared" si="843"/>
        <v>3136805</v>
      </c>
      <c r="X3291" s="28">
        <v>0</v>
      </c>
      <c r="Y3291" s="28">
        <f t="shared" si="844"/>
        <v>3136805</v>
      </c>
      <c r="Z3291" s="49">
        <v>3.0000000000000001E-3</v>
      </c>
    </row>
    <row r="3292" spans="1:26" s="29" customFormat="1" ht="90.75" customHeight="1" x14ac:dyDescent="0.25">
      <c r="A3292" s="20"/>
      <c r="B3292" s="20"/>
      <c r="C3292" s="20"/>
      <c r="D3292" s="21"/>
      <c r="E3292" s="21"/>
      <c r="F3292" s="22"/>
      <c r="G3292" s="23"/>
      <c r="H3292" s="36">
        <f>(O3292*0.25)</f>
        <v>42</v>
      </c>
      <c r="I3292" s="40">
        <v>3750</v>
      </c>
      <c r="J3292" s="28">
        <f t="shared" si="841"/>
        <v>157500</v>
      </c>
      <c r="K3292" s="37">
        <v>4</v>
      </c>
      <c r="L3292" s="31" t="s">
        <v>29</v>
      </c>
      <c r="M3292" s="31" t="s">
        <v>13</v>
      </c>
      <c r="N3292" s="41">
        <v>3</v>
      </c>
      <c r="O3292" s="42">
        <v>168</v>
      </c>
      <c r="P3292" s="35">
        <v>100</v>
      </c>
      <c r="Q3292" s="36">
        <v>5550</v>
      </c>
      <c r="R3292" s="36">
        <f>(O3292*Q3292)</f>
        <v>932400</v>
      </c>
      <c r="S3292" s="37">
        <v>6</v>
      </c>
      <c r="T3292" s="28">
        <f t="shared" si="845"/>
        <v>55944</v>
      </c>
      <c r="U3292" s="36">
        <f>(R3292-T3292)</f>
        <v>876456</v>
      </c>
      <c r="V3292" s="36">
        <f t="shared" si="842"/>
        <v>1033956</v>
      </c>
      <c r="W3292" s="36">
        <f t="shared" si="843"/>
        <v>1033956</v>
      </c>
      <c r="X3292" s="28">
        <v>0</v>
      </c>
      <c r="Y3292" s="28">
        <f t="shared" si="844"/>
        <v>1033956</v>
      </c>
      <c r="Z3292" s="49">
        <v>3.0000000000000001E-3</v>
      </c>
    </row>
    <row r="3293" spans="1:26" s="29" customFormat="1" ht="90.75" customHeight="1" x14ac:dyDescent="0.25">
      <c r="A3293" s="20"/>
      <c r="B3293" s="20"/>
      <c r="C3293" s="20"/>
      <c r="D3293" s="21"/>
      <c r="E3293" s="21"/>
      <c r="F3293" s="22"/>
      <c r="G3293" s="23"/>
      <c r="H3293" s="36">
        <f>(O3293*0.25)</f>
        <v>34.125</v>
      </c>
      <c r="I3293" s="40">
        <v>3750</v>
      </c>
      <c r="J3293" s="28">
        <f t="shared" si="841"/>
        <v>127968.75</v>
      </c>
      <c r="K3293" s="37">
        <v>5</v>
      </c>
      <c r="L3293" s="31" t="s">
        <v>43</v>
      </c>
      <c r="M3293" s="31" t="s">
        <v>13</v>
      </c>
      <c r="N3293" s="41">
        <v>2</v>
      </c>
      <c r="O3293" s="42">
        <v>136.5</v>
      </c>
      <c r="P3293" s="35">
        <v>100</v>
      </c>
      <c r="Q3293" s="36">
        <v>7700</v>
      </c>
      <c r="R3293" s="36">
        <f>(O3293*Q3293)</f>
        <v>1051050</v>
      </c>
      <c r="S3293" s="37">
        <v>6</v>
      </c>
      <c r="T3293" s="28">
        <f t="shared" si="845"/>
        <v>63063</v>
      </c>
      <c r="U3293" s="36">
        <f>(R3293-T3293)</f>
        <v>987987</v>
      </c>
      <c r="V3293" s="36">
        <f t="shared" si="842"/>
        <v>1115955.75</v>
      </c>
      <c r="W3293" s="36">
        <f t="shared" si="843"/>
        <v>1115955.75</v>
      </c>
      <c r="X3293" s="28">
        <v>0</v>
      </c>
      <c r="Y3293" s="28">
        <f t="shared" si="844"/>
        <v>1115955.75</v>
      </c>
      <c r="Z3293" s="49">
        <v>2.0000000000000001E-4</v>
      </c>
    </row>
    <row r="3294" spans="1:26" s="29" customFormat="1" ht="90.75" customHeight="1" x14ac:dyDescent="0.25">
      <c r="A3294" s="20"/>
      <c r="B3294" s="20"/>
      <c r="C3294" s="20"/>
      <c r="D3294" s="21"/>
      <c r="E3294" s="21"/>
      <c r="F3294" s="22"/>
      <c r="G3294" s="23"/>
      <c r="H3294" s="36">
        <v>431.5</v>
      </c>
      <c r="I3294" s="40">
        <v>3750</v>
      </c>
      <c r="J3294" s="28">
        <f t="shared" si="841"/>
        <v>1618125</v>
      </c>
      <c r="K3294" s="37"/>
      <c r="L3294" s="31"/>
      <c r="M3294" s="31"/>
      <c r="N3294" s="41"/>
      <c r="O3294" s="42"/>
      <c r="P3294" s="35"/>
      <c r="Q3294" s="36"/>
      <c r="R3294" s="36"/>
      <c r="S3294" s="37"/>
      <c r="T3294" s="28"/>
      <c r="U3294" s="36"/>
      <c r="V3294" s="36">
        <f t="shared" si="842"/>
        <v>1618125</v>
      </c>
      <c r="W3294" s="36">
        <f t="shared" si="843"/>
        <v>1618125</v>
      </c>
      <c r="X3294" s="28">
        <v>0</v>
      </c>
      <c r="Y3294" s="28">
        <f t="shared" si="844"/>
        <v>1618125</v>
      </c>
      <c r="Z3294" s="49">
        <v>3.0000000000000001E-3</v>
      </c>
    </row>
    <row r="3295" spans="1:26" s="29" customFormat="1" ht="90.75" customHeight="1" x14ac:dyDescent="0.25">
      <c r="A3295" s="20">
        <v>1556</v>
      </c>
      <c r="B3295" s="20" t="s">
        <v>0</v>
      </c>
      <c r="C3295" s="20">
        <v>10556</v>
      </c>
      <c r="D3295" s="21">
        <v>0</v>
      </c>
      <c r="E3295" s="21">
        <v>3</v>
      </c>
      <c r="F3295" s="22">
        <v>34</v>
      </c>
      <c r="G3295" s="23" t="s">
        <v>56</v>
      </c>
      <c r="H3295" s="36">
        <f>(D3295*400)+(E3295*100)+F3295</f>
        <v>334</v>
      </c>
      <c r="I3295" s="40">
        <v>750</v>
      </c>
      <c r="J3295" s="28">
        <f>(H3295*I3295)</f>
        <v>250500</v>
      </c>
      <c r="K3295" s="37"/>
      <c r="L3295" s="31"/>
      <c r="M3295" s="31"/>
      <c r="N3295" s="41"/>
      <c r="O3295" s="42"/>
      <c r="P3295" s="86"/>
      <c r="Q3295" s="36"/>
      <c r="R3295" s="36"/>
      <c r="S3295" s="37"/>
      <c r="T3295" s="28"/>
      <c r="U3295" s="36"/>
      <c r="V3295" s="36"/>
      <c r="W3295" s="36"/>
      <c r="X3295" s="28"/>
      <c r="Y3295" s="28"/>
      <c r="Z3295" s="20"/>
    </row>
    <row r="3296" spans="1:26" s="29" customFormat="1" ht="90.75" customHeight="1" x14ac:dyDescent="0.25">
      <c r="A3296" s="20"/>
      <c r="B3296" s="20"/>
      <c r="C3296" s="20"/>
      <c r="D3296" s="21"/>
      <c r="E3296" s="21"/>
      <c r="F3296" s="22"/>
      <c r="G3296" s="23"/>
      <c r="H3296" s="36">
        <v>284.5</v>
      </c>
      <c r="I3296" s="40">
        <v>750</v>
      </c>
      <c r="J3296" s="28">
        <f>(H3296*I3296)</f>
        <v>213375</v>
      </c>
      <c r="K3296" s="37"/>
      <c r="L3296" s="31"/>
      <c r="M3296" s="31"/>
      <c r="N3296" s="41"/>
      <c r="O3296" s="42"/>
      <c r="P3296" s="86"/>
      <c r="Q3296" s="36"/>
      <c r="R3296" s="36"/>
      <c r="S3296" s="37"/>
      <c r="T3296" s="28"/>
      <c r="U3296" s="36"/>
      <c r="V3296" s="36"/>
      <c r="W3296" s="36"/>
      <c r="X3296" s="28"/>
      <c r="Y3296" s="28"/>
      <c r="Z3296" s="20"/>
    </row>
    <row r="3297" spans="1:26" s="29" customFormat="1" ht="90.75" customHeight="1" x14ac:dyDescent="0.25">
      <c r="A3297" s="20"/>
      <c r="B3297" s="20"/>
      <c r="C3297" s="20"/>
      <c r="D3297" s="21"/>
      <c r="E3297" s="21"/>
      <c r="F3297" s="22"/>
      <c r="G3297" s="23"/>
      <c r="H3297" s="36"/>
      <c r="I3297" s="40"/>
      <c r="J3297" s="28"/>
      <c r="K3297" s="37">
        <v>1</v>
      </c>
      <c r="L3297" s="31" t="s">
        <v>215</v>
      </c>
      <c r="M3297" s="31" t="s">
        <v>40</v>
      </c>
      <c r="N3297" s="41">
        <v>2</v>
      </c>
      <c r="O3297" s="42">
        <v>246.5</v>
      </c>
      <c r="P3297" s="86" t="s">
        <v>256</v>
      </c>
      <c r="Q3297" s="36">
        <v>6450</v>
      </c>
      <c r="R3297" s="36">
        <f>(O3297*Q3297)</f>
        <v>1589925</v>
      </c>
      <c r="S3297" s="37">
        <v>31</v>
      </c>
      <c r="T3297" s="28">
        <f>(R3297*93/100)</f>
        <v>1478630.25</v>
      </c>
      <c r="U3297" s="36">
        <f>(R3297-T3297)</f>
        <v>111294.75</v>
      </c>
      <c r="V3297" s="36"/>
      <c r="W3297" s="36"/>
      <c r="X3297" s="28"/>
      <c r="Y3297" s="28"/>
      <c r="Z3297" s="20"/>
    </row>
    <row r="3298" spans="1:26" s="29" customFormat="1" ht="90.75" customHeight="1" x14ac:dyDescent="0.25">
      <c r="A3298" s="20"/>
      <c r="B3298" s="20"/>
      <c r="C3298" s="20"/>
      <c r="D3298" s="21"/>
      <c r="E3298" s="21"/>
      <c r="F3298" s="22"/>
      <c r="G3298" s="23"/>
      <c r="H3298" s="36"/>
      <c r="I3298" s="40"/>
      <c r="J3298" s="28"/>
      <c r="K3298" s="37">
        <v>2</v>
      </c>
      <c r="L3298" s="31" t="s">
        <v>31</v>
      </c>
      <c r="M3298" s="31"/>
      <c r="N3298" s="41">
        <v>2</v>
      </c>
      <c r="O3298" s="42">
        <v>54</v>
      </c>
      <c r="P3298" s="86" t="s">
        <v>256</v>
      </c>
      <c r="Q3298" s="36">
        <v>2550</v>
      </c>
      <c r="R3298" s="36">
        <f>(O3298*Q3298)</f>
        <v>137700</v>
      </c>
      <c r="S3298" s="37">
        <v>31</v>
      </c>
      <c r="T3298" s="28">
        <f>(R3298*93/100)</f>
        <v>128061</v>
      </c>
      <c r="U3298" s="36">
        <f>(R3298-T3298)</f>
        <v>9639</v>
      </c>
      <c r="V3298" s="36"/>
      <c r="W3298" s="36"/>
      <c r="X3298" s="28"/>
      <c r="Y3298" s="28"/>
      <c r="Z3298" s="20"/>
    </row>
    <row r="3299" spans="1:26" s="29" customFormat="1" ht="90.75" customHeight="1" x14ac:dyDescent="0.25">
      <c r="A3299" s="20"/>
      <c r="B3299" s="20"/>
      <c r="C3299" s="20"/>
      <c r="D3299" s="21"/>
      <c r="E3299" s="21"/>
      <c r="F3299" s="22"/>
      <c r="G3299" s="23"/>
      <c r="H3299" s="36">
        <v>49.5</v>
      </c>
      <c r="I3299" s="40">
        <v>750</v>
      </c>
      <c r="J3299" s="28">
        <f>(H3299*I3299)</f>
        <v>37125</v>
      </c>
      <c r="K3299" s="37">
        <v>3</v>
      </c>
      <c r="L3299" s="31" t="s">
        <v>43</v>
      </c>
      <c r="M3299" s="31" t="s">
        <v>13</v>
      </c>
      <c r="N3299" s="41">
        <v>2</v>
      </c>
      <c r="O3299" s="42">
        <v>198</v>
      </c>
      <c r="P3299" s="86" t="s">
        <v>256</v>
      </c>
      <c r="Q3299" s="36">
        <v>7700</v>
      </c>
      <c r="R3299" s="36">
        <f>(O3299*Q3299)</f>
        <v>1524600</v>
      </c>
      <c r="S3299" s="37">
        <v>31</v>
      </c>
      <c r="T3299" s="28">
        <f>(R3299*52/100)</f>
        <v>792792</v>
      </c>
      <c r="U3299" s="36">
        <f>(R3299-T3299)</f>
        <v>731808</v>
      </c>
      <c r="V3299" s="36">
        <f>(J3299+U3299)</f>
        <v>768933</v>
      </c>
      <c r="W3299" s="36">
        <f>(V3299*100/100)</f>
        <v>768933</v>
      </c>
      <c r="X3299" s="28">
        <v>0</v>
      </c>
      <c r="Y3299" s="28">
        <f>(W3299-X3299)</f>
        <v>768933</v>
      </c>
      <c r="Z3299" s="49">
        <v>2.0000000000000001E-4</v>
      </c>
    </row>
    <row r="3300" spans="1:26" s="29" customFormat="1" ht="90.75" customHeight="1" x14ac:dyDescent="0.25">
      <c r="A3300" s="20">
        <v>1557</v>
      </c>
      <c r="B3300" s="20" t="s">
        <v>0</v>
      </c>
      <c r="C3300" s="20">
        <v>10572</v>
      </c>
      <c r="D3300" s="21">
        <v>1</v>
      </c>
      <c r="E3300" s="21">
        <v>2</v>
      </c>
      <c r="F3300" s="22">
        <v>70</v>
      </c>
      <c r="G3300" s="23" t="s">
        <v>56</v>
      </c>
      <c r="H3300" s="36">
        <f>(D3300*400)+(E3300*100)+F3300</f>
        <v>670</v>
      </c>
      <c r="I3300" s="40">
        <v>3100</v>
      </c>
      <c r="J3300" s="28">
        <f>(H3300*I3300)</f>
        <v>2077000</v>
      </c>
      <c r="K3300" s="37"/>
      <c r="L3300" s="31"/>
      <c r="M3300" s="31"/>
      <c r="N3300" s="41"/>
      <c r="O3300" s="46"/>
      <c r="P3300" s="86"/>
      <c r="Q3300" s="36"/>
      <c r="R3300" s="36"/>
      <c r="S3300" s="37"/>
      <c r="T3300" s="28"/>
      <c r="U3300" s="36">
        <f>SUM(U3301:U3305)</f>
        <v>816705.75</v>
      </c>
      <c r="V3300" s="36">
        <f>(J3300+U3300)</f>
        <v>2893705.75</v>
      </c>
      <c r="W3300" s="36">
        <f>(V3300*100/100)</f>
        <v>2893705.75</v>
      </c>
      <c r="X3300" s="28">
        <v>50000000</v>
      </c>
      <c r="Y3300" s="28"/>
      <c r="Z3300" s="20"/>
    </row>
    <row r="3301" spans="1:26" s="29" customFormat="1" ht="90.75" customHeight="1" x14ac:dyDescent="0.25">
      <c r="A3301" s="20"/>
      <c r="B3301" s="20"/>
      <c r="C3301" s="20"/>
      <c r="D3301" s="21"/>
      <c r="E3301" s="21"/>
      <c r="F3301" s="22"/>
      <c r="G3301" s="23"/>
      <c r="H3301" s="36">
        <v>613.12</v>
      </c>
      <c r="I3301" s="40">
        <v>3100</v>
      </c>
      <c r="J3301" s="28">
        <f>(H3301*I3301)</f>
        <v>1900672</v>
      </c>
      <c r="K3301" s="37">
        <v>1</v>
      </c>
      <c r="L3301" s="31" t="s">
        <v>215</v>
      </c>
      <c r="M3301" s="31" t="s">
        <v>24</v>
      </c>
      <c r="N3301" s="41"/>
      <c r="O3301" s="46">
        <v>210</v>
      </c>
      <c r="P3301" s="86">
        <v>100</v>
      </c>
      <c r="Q3301" s="36">
        <v>6450</v>
      </c>
      <c r="R3301" s="36">
        <f t="shared" ref="R3301:R3308" si="846">(O3301*Q3301)</f>
        <v>1354500</v>
      </c>
      <c r="S3301" s="37">
        <v>42</v>
      </c>
      <c r="T3301" s="28">
        <f>(R3301*76/100)</f>
        <v>1029420</v>
      </c>
      <c r="U3301" s="36">
        <f t="shared" ref="U3301:U3308" si="847">(R3301-T3301)</f>
        <v>325080</v>
      </c>
      <c r="V3301" s="36"/>
      <c r="W3301" s="36"/>
      <c r="X3301" s="28"/>
      <c r="Y3301" s="28"/>
      <c r="Z3301" s="20"/>
    </row>
    <row r="3302" spans="1:26" s="29" customFormat="1" ht="90.75" customHeight="1" x14ac:dyDescent="0.25">
      <c r="A3302" s="20"/>
      <c r="B3302" s="20"/>
      <c r="C3302" s="20"/>
      <c r="D3302" s="21"/>
      <c r="E3302" s="21"/>
      <c r="F3302" s="22"/>
      <c r="G3302" s="23"/>
      <c r="H3302" s="36"/>
      <c r="I3302" s="40"/>
      <c r="J3302" s="28"/>
      <c r="K3302" s="37">
        <v>2</v>
      </c>
      <c r="L3302" s="31" t="s">
        <v>29</v>
      </c>
      <c r="M3302" s="31" t="s">
        <v>13</v>
      </c>
      <c r="N3302" s="41"/>
      <c r="O3302" s="46">
        <v>15.75</v>
      </c>
      <c r="P3302" s="86">
        <v>100</v>
      </c>
      <c r="Q3302" s="36">
        <v>5550</v>
      </c>
      <c r="R3302" s="36">
        <f t="shared" si="846"/>
        <v>87412.5</v>
      </c>
      <c r="S3302" s="37">
        <v>22</v>
      </c>
      <c r="T3302" s="28">
        <f>(R3302*34/100)</f>
        <v>29720.25</v>
      </c>
      <c r="U3302" s="36">
        <f t="shared" si="847"/>
        <v>57692.25</v>
      </c>
      <c r="V3302" s="36"/>
      <c r="W3302" s="36"/>
      <c r="X3302" s="28"/>
      <c r="Y3302" s="28"/>
      <c r="Z3302" s="20"/>
    </row>
    <row r="3303" spans="1:26" s="29" customFormat="1" ht="90.75" customHeight="1" x14ac:dyDescent="0.25">
      <c r="A3303" s="20"/>
      <c r="B3303" s="20"/>
      <c r="C3303" s="20"/>
      <c r="D3303" s="21"/>
      <c r="E3303" s="21"/>
      <c r="F3303" s="22"/>
      <c r="G3303" s="23"/>
      <c r="H3303" s="36"/>
      <c r="I3303" s="40"/>
      <c r="J3303" s="28"/>
      <c r="K3303" s="37">
        <v>4</v>
      </c>
      <c r="L3303" s="31" t="s">
        <v>43</v>
      </c>
      <c r="M3303" s="31" t="s">
        <v>13</v>
      </c>
      <c r="N3303" s="41"/>
      <c r="O3303" s="46">
        <v>68</v>
      </c>
      <c r="P3303" s="86">
        <v>100</v>
      </c>
      <c r="Q3303" s="36">
        <v>7700</v>
      </c>
      <c r="R3303" s="36">
        <f t="shared" si="846"/>
        <v>523600</v>
      </c>
      <c r="S3303" s="37">
        <v>22</v>
      </c>
      <c r="T3303" s="28">
        <f t="shared" ref="T3303:T3305" si="848">(R3303*34/100)</f>
        <v>178024</v>
      </c>
      <c r="U3303" s="36">
        <f t="shared" si="847"/>
        <v>345576</v>
      </c>
      <c r="V3303" s="36"/>
      <c r="W3303" s="36"/>
      <c r="X3303" s="28"/>
      <c r="Y3303" s="28"/>
      <c r="Z3303" s="20"/>
    </row>
    <row r="3304" spans="1:26" s="29" customFormat="1" ht="90.75" customHeight="1" x14ac:dyDescent="0.25">
      <c r="A3304" s="20"/>
      <c r="B3304" s="20"/>
      <c r="C3304" s="20"/>
      <c r="D3304" s="21"/>
      <c r="E3304" s="21"/>
      <c r="F3304" s="22"/>
      <c r="G3304" s="23"/>
      <c r="H3304" s="36"/>
      <c r="I3304" s="40"/>
      <c r="J3304" s="28"/>
      <c r="K3304" s="37">
        <v>3</v>
      </c>
      <c r="L3304" s="31" t="s">
        <v>31</v>
      </c>
      <c r="M3304" s="31"/>
      <c r="N3304" s="41"/>
      <c r="O3304" s="46">
        <v>24.5</v>
      </c>
      <c r="P3304" s="86">
        <v>100</v>
      </c>
      <c r="Q3304" s="36">
        <v>2550</v>
      </c>
      <c r="R3304" s="36">
        <f t="shared" si="846"/>
        <v>62475</v>
      </c>
      <c r="S3304" s="37">
        <v>22</v>
      </c>
      <c r="T3304" s="28">
        <f t="shared" si="848"/>
        <v>21241.5</v>
      </c>
      <c r="U3304" s="36">
        <f t="shared" si="847"/>
        <v>41233.5</v>
      </c>
      <c r="V3304" s="36"/>
      <c r="W3304" s="36"/>
      <c r="X3304" s="28"/>
      <c r="Y3304" s="28"/>
      <c r="Z3304" s="20"/>
    </row>
    <row r="3305" spans="1:26" s="29" customFormat="1" ht="90.75" customHeight="1" x14ac:dyDescent="0.25">
      <c r="A3305" s="20"/>
      <c r="B3305" s="20"/>
      <c r="C3305" s="20"/>
      <c r="D3305" s="21"/>
      <c r="E3305" s="21"/>
      <c r="F3305" s="22"/>
      <c r="G3305" s="23"/>
      <c r="H3305" s="36"/>
      <c r="I3305" s="40"/>
      <c r="J3305" s="28"/>
      <c r="K3305" s="37">
        <v>5</v>
      </c>
      <c r="L3305" s="31" t="s">
        <v>31</v>
      </c>
      <c r="M3305" s="31"/>
      <c r="N3305" s="41"/>
      <c r="O3305" s="46">
        <v>28</v>
      </c>
      <c r="P3305" s="86">
        <v>100</v>
      </c>
      <c r="Q3305" s="36">
        <v>2550</v>
      </c>
      <c r="R3305" s="36">
        <f t="shared" si="846"/>
        <v>71400</v>
      </c>
      <c r="S3305" s="37">
        <v>22</v>
      </c>
      <c r="T3305" s="28">
        <f t="shared" si="848"/>
        <v>24276</v>
      </c>
      <c r="U3305" s="36">
        <f t="shared" si="847"/>
        <v>47124</v>
      </c>
      <c r="V3305" s="36"/>
      <c r="W3305" s="36"/>
      <c r="X3305" s="28"/>
      <c r="Y3305" s="28"/>
      <c r="Z3305" s="20"/>
    </row>
    <row r="3306" spans="1:26" s="29" customFormat="1" ht="90.75" customHeight="1" x14ac:dyDescent="0.25">
      <c r="A3306" s="20"/>
      <c r="B3306" s="20"/>
      <c r="C3306" s="20"/>
      <c r="D3306" s="21"/>
      <c r="E3306" s="21"/>
      <c r="F3306" s="22"/>
      <c r="G3306" s="23"/>
      <c r="H3306" s="36"/>
      <c r="I3306" s="40"/>
      <c r="J3306" s="28"/>
      <c r="K3306" s="37"/>
      <c r="L3306" s="31"/>
      <c r="M3306" s="31"/>
      <c r="N3306" s="41"/>
      <c r="O3306" s="46"/>
      <c r="P3306" s="86"/>
      <c r="Q3306" s="36"/>
      <c r="R3306" s="36"/>
      <c r="S3306" s="37"/>
      <c r="T3306" s="28"/>
      <c r="U3306" s="36">
        <f>(U3301+U3302+U3303+U3304+U3305)</f>
        <v>816705.75</v>
      </c>
      <c r="V3306" s="36">
        <f>(J3300+U3306)</f>
        <v>2893705.75</v>
      </c>
      <c r="W3306" s="36">
        <f>(V3306*100/100)</f>
        <v>2893705.75</v>
      </c>
      <c r="X3306" s="28">
        <v>10000000</v>
      </c>
      <c r="Y3306" s="28"/>
      <c r="Z3306" s="49"/>
    </row>
    <row r="3307" spans="1:26" s="29" customFormat="1" ht="90.75" customHeight="1" x14ac:dyDescent="0.25">
      <c r="A3307" s="20"/>
      <c r="B3307" s="20"/>
      <c r="C3307" s="20"/>
      <c r="D3307" s="21"/>
      <c r="E3307" s="21"/>
      <c r="F3307" s="22"/>
      <c r="G3307" s="23"/>
      <c r="H3307" s="36">
        <f>(O3307*0.25)</f>
        <v>30.625</v>
      </c>
      <c r="I3307" s="40">
        <v>3100</v>
      </c>
      <c r="J3307" s="28">
        <f t="shared" ref="J3307:J3308" si="849">(H3307*I3307)</f>
        <v>94937.5</v>
      </c>
      <c r="K3307" s="37">
        <v>6</v>
      </c>
      <c r="L3307" s="31" t="s">
        <v>43</v>
      </c>
      <c r="M3307" s="31" t="s">
        <v>13</v>
      </c>
      <c r="N3307" s="41">
        <v>2</v>
      </c>
      <c r="O3307" s="46">
        <v>122.5</v>
      </c>
      <c r="P3307" s="86">
        <v>100</v>
      </c>
      <c r="Q3307" s="36">
        <v>7700</v>
      </c>
      <c r="R3307" s="36">
        <f t="shared" si="846"/>
        <v>943250</v>
      </c>
      <c r="S3307" s="37">
        <v>22</v>
      </c>
      <c r="T3307" s="28">
        <f t="shared" ref="T3307:T3308" si="850">(R3307*34/100)</f>
        <v>320705</v>
      </c>
      <c r="U3307" s="36">
        <f t="shared" si="847"/>
        <v>622545</v>
      </c>
      <c r="V3307" s="36">
        <f>(J3307+U3307)</f>
        <v>717482.5</v>
      </c>
      <c r="W3307" s="36">
        <f>(V3307*100/100)</f>
        <v>717482.5</v>
      </c>
      <c r="X3307" s="28">
        <v>0</v>
      </c>
      <c r="Y3307" s="28">
        <f>(W3307-X3307)</f>
        <v>717482.5</v>
      </c>
      <c r="Z3307" s="49">
        <v>2.0000000000000001E-4</v>
      </c>
    </row>
    <row r="3308" spans="1:26" s="29" customFormat="1" ht="90.75" customHeight="1" x14ac:dyDescent="0.25">
      <c r="A3308" s="20"/>
      <c r="B3308" s="20"/>
      <c r="C3308" s="20"/>
      <c r="D3308" s="21"/>
      <c r="E3308" s="21"/>
      <c r="F3308" s="22"/>
      <c r="G3308" s="23"/>
      <c r="H3308" s="36">
        <f>(O3308*0.25)</f>
        <v>26.25</v>
      </c>
      <c r="I3308" s="40">
        <v>3100</v>
      </c>
      <c r="J3308" s="28">
        <f t="shared" si="849"/>
        <v>81375</v>
      </c>
      <c r="K3308" s="37">
        <v>7</v>
      </c>
      <c r="L3308" s="31" t="s">
        <v>31</v>
      </c>
      <c r="M3308" s="31"/>
      <c r="N3308" s="41">
        <v>2</v>
      </c>
      <c r="O3308" s="46">
        <v>105</v>
      </c>
      <c r="P3308" s="86">
        <v>100</v>
      </c>
      <c r="Q3308" s="36">
        <v>2550</v>
      </c>
      <c r="R3308" s="36">
        <f t="shared" si="846"/>
        <v>267750</v>
      </c>
      <c r="S3308" s="37">
        <v>22</v>
      </c>
      <c r="T3308" s="28">
        <f t="shared" si="850"/>
        <v>91035</v>
      </c>
      <c r="U3308" s="36">
        <f t="shared" si="847"/>
        <v>176715</v>
      </c>
      <c r="V3308" s="36">
        <f>(J3308+U3308)</f>
        <v>258090</v>
      </c>
      <c r="W3308" s="36">
        <f>(V3308*100/100)</f>
        <v>258090</v>
      </c>
      <c r="X3308" s="28">
        <v>0</v>
      </c>
      <c r="Y3308" s="28">
        <f>(W3308-X3308)</f>
        <v>258090</v>
      </c>
      <c r="Z3308" s="49">
        <v>2.0000000000000001E-4</v>
      </c>
    </row>
    <row r="3309" spans="1:26" s="29" customFormat="1" ht="90.75" customHeight="1" x14ac:dyDescent="0.25">
      <c r="A3309" s="20">
        <v>1558</v>
      </c>
      <c r="B3309" s="20" t="s">
        <v>0</v>
      </c>
      <c r="C3309" s="20">
        <v>40708</v>
      </c>
      <c r="D3309" s="21">
        <v>0</v>
      </c>
      <c r="E3309" s="21">
        <v>0</v>
      </c>
      <c r="F3309" s="22">
        <v>77</v>
      </c>
      <c r="G3309" s="23" t="s">
        <v>209</v>
      </c>
      <c r="H3309" s="36">
        <f>(D3309*400)+(E3309*100)+F3309</f>
        <v>77</v>
      </c>
      <c r="I3309" s="40">
        <v>1500</v>
      </c>
      <c r="J3309" s="28">
        <f>(H3309*I3309)</f>
        <v>115500</v>
      </c>
      <c r="K3309" s="37">
        <v>1</v>
      </c>
      <c r="L3309" s="31" t="s">
        <v>215</v>
      </c>
      <c r="M3309" s="31" t="s">
        <v>13</v>
      </c>
      <c r="N3309" s="41"/>
      <c r="O3309" s="46">
        <v>201</v>
      </c>
      <c r="P3309" s="86">
        <v>100</v>
      </c>
      <c r="Q3309" s="36">
        <v>6450</v>
      </c>
      <c r="R3309" s="36">
        <f>(O3309*Q3309)</f>
        <v>1296450</v>
      </c>
      <c r="S3309" s="37">
        <v>12</v>
      </c>
      <c r="T3309" s="28">
        <f>(R3309*14/100)</f>
        <v>181503</v>
      </c>
      <c r="U3309" s="36">
        <f>(R3309-T3309)</f>
        <v>1114947</v>
      </c>
      <c r="V3309" s="36">
        <f>(J3309+U3309)</f>
        <v>1230447</v>
      </c>
      <c r="W3309" s="36">
        <f>(V3309*100/100)</f>
        <v>1230447</v>
      </c>
      <c r="X3309" s="28"/>
      <c r="Y3309" s="28"/>
      <c r="Z3309" s="20"/>
    </row>
    <row r="3310" spans="1:26" s="29" customFormat="1" ht="90.75" customHeight="1" x14ac:dyDescent="0.25">
      <c r="A3310" s="20"/>
      <c r="B3310" s="20"/>
      <c r="C3310" s="20"/>
      <c r="D3310" s="21"/>
      <c r="E3310" s="21"/>
      <c r="F3310" s="22"/>
      <c r="G3310" s="23"/>
      <c r="H3310" s="36"/>
      <c r="I3310" s="40"/>
      <c r="J3310" s="28"/>
      <c r="K3310" s="37"/>
      <c r="L3310" s="31" t="s">
        <v>42</v>
      </c>
      <c r="M3310" s="31"/>
      <c r="N3310" s="41">
        <v>2</v>
      </c>
      <c r="O3310" s="46">
        <v>186</v>
      </c>
      <c r="P3310" s="86">
        <v>92.54</v>
      </c>
      <c r="Q3310" s="36"/>
      <c r="R3310" s="36"/>
      <c r="S3310" s="37"/>
      <c r="T3310" s="28"/>
      <c r="U3310" s="36"/>
      <c r="V3310" s="36"/>
      <c r="W3310" s="36">
        <f>(W3309*92.54/100)</f>
        <v>1138655.6538000002</v>
      </c>
      <c r="X3310" s="28">
        <v>10000000</v>
      </c>
      <c r="Y3310" s="28"/>
      <c r="Z3310" s="20"/>
    </row>
    <row r="3311" spans="1:26" s="29" customFormat="1" ht="90.75" customHeight="1" x14ac:dyDescent="0.25">
      <c r="A3311" s="20"/>
      <c r="B3311" s="20"/>
      <c r="C3311" s="20"/>
      <c r="D3311" s="21"/>
      <c r="E3311" s="21"/>
      <c r="F3311" s="22"/>
      <c r="G3311" s="23"/>
      <c r="H3311" s="36"/>
      <c r="I3311" s="40"/>
      <c r="J3311" s="28"/>
      <c r="K3311" s="37"/>
      <c r="L3311" s="31" t="s">
        <v>61</v>
      </c>
      <c r="M3311" s="31"/>
      <c r="N3311" s="41">
        <v>3</v>
      </c>
      <c r="O3311" s="46">
        <v>15</v>
      </c>
      <c r="P3311" s="86">
        <v>7.46</v>
      </c>
      <c r="Q3311" s="36"/>
      <c r="R3311" s="36"/>
      <c r="S3311" s="37"/>
      <c r="T3311" s="28"/>
      <c r="U3311" s="36"/>
      <c r="V3311" s="36"/>
      <c r="W3311" s="36">
        <f>(W3309*7.46/100)</f>
        <v>91791.346199999985</v>
      </c>
      <c r="X3311" s="28">
        <v>0</v>
      </c>
      <c r="Y3311" s="28">
        <f>(W3311-X3311)</f>
        <v>91791.346199999985</v>
      </c>
      <c r="Z3311" s="49">
        <v>3.0000000000000001E-3</v>
      </c>
    </row>
    <row r="3312" spans="1:26" s="29" customFormat="1" ht="90.75" customHeight="1" x14ac:dyDescent="0.25">
      <c r="A3312" s="20">
        <v>1559</v>
      </c>
      <c r="B3312" s="20" t="s">
        <v>0</v>
      </c>
      <c r="C3312" s="20">
        <v>16113</v>
      </c>
      <c r="D3312" s="21">
        <v>1</v>
      </c>
      <c r="E3312" s="21">
        <v>0</v>
      </c>
      <c r="F3312" s="22">
        <v>15</v>
      </c>
      <c r="G3312" s="23" t="s">
        <v>211</v>
      </c>
      <c r="H3312" s="36">
        <f>(D3312*400)+(E3312*100)+F3312</f>
        <v>415</v>
      </c>
      <c r="I3312" s="40">
        <v>4350</v>
      </c>
      <c r="J3312" s="28">
        <f t="shared" ref="J3312:J3313" si="851">(H3312*I3312)</f>
        <v>1805250</v>
      </c>
      <c r="K3312" s="30"/>
      <c r="L3312" s="31"/>
      <c r="M3312" s="31"/>
      <c r="N3312" s="41"/>
      <c r="O3312" s="42"/>
      <c r="P3312" s="35"/>
      <c r="Q3312" s="36"/>
      <c r="R3312" s="36"/>
      <c r="S3312" s="37"/>
      <c r="T3312" s="28"/>
      <c r="U3312" s="36"/>
      <c r="V3312" s="36"/>
      <c r="W3312" s="36"/>
      <c r="X3312" s="28"/>
      <c r="Y3312" s="28"/>
      <c r="Z3312" s="52"/>
    </row>
    <row r="3313" spans="1:26" s="29" customFormat="1" ht="90.75" customHeight="1" x14ac:dyDescent="0.25">
      <c r="A3313" s="20"/>
      <c r="B3313" s="20"/>
      <c r="C3313" s="20"/>
      <c r="D3313" s="21"/>
      <c r="E3313" s="21"/>
      <c r="F3313" s="22"/>
      <c r="G3313" s="23"/>
      <c r="H3313" s="36">
        <v>404.5</v>
      </c>
      <c r="I3313" s="40">
        <v>4350</v>
      </c>
      <c r="J3313" s="28">
        <f t="shared" si="851"/>
        <v>1759575</v>
      </c>
      <c r="K3313" s="30">
        <v>1</v>
      </c>
      <c r="L3313" s="31" t="s">
        <v>215</v>
      </c>
      <c r="M3313" s="31">
        <v>55</v>
      </c>
      <c r="N3313" s="41">
        <v>2</v>
      </c>
      <c r="O3313" s="122">
        <v>55</v>
      </c>
      <c r="P3313" s="35">
        <v>100</v>
      </c>
      <c r="Q3313" s="36">
        <v>6450</v>
      </c>
      <c r="R3313" s="36">
        <f>(O3313*Q3313)</f>
        <v>354750</v>
      </c>
      <c r="S3313" s="37">
        <v>22</v>
      </c>
      <c r="T3313" s="28">
        <f>(R3313*34/100)</f>
        <v>120615</v>
      </c>
      <c r="U3313" s="36">
        <f>(R3313-T3313)</f>
        <v>234135</v>
      </c>
      <c r="V3313" s="36"/>
      <c r="W3313" s="36"/>
      <c r="X3313" s="28"/>
      <c r="Y3313" s="28"/>
      <c r="Z3313" s="20"/>
    </row>
    <row r="3314" spans="1:26" s="29" customFormat="1" ht="90.75" customHeight="1" x14ac:dyDescent="0.25">
      <c r="A3314" s="20"/>
      <c r="B3314" s="20"/>
      <c r="C3314" s="20"/>
      <c r="D3314" s="21"/>
      <c r="E3314" s="21"/>
      <c r="F3314" s="22"/>
      <c r="G3314" s="23"/>
      <c r="H3314" s="36"/>
      <c r="I3314" s="40"/>
      <c r="J3314" s="28"/>
      <c r="K3314" s="30">
        <v>2</v>
      </c>
      <c r="L3314" s="31" t="s">
        <v>31</v>
      </c>
      <c r="M3314" s="31">
        <v>67.5</v>
      </c>
      <c r="N3314" s="41">
        <v>3</v>
      </c>
      <c r="O3314" s="122">
        <v>67.5</v>
      </c>
      <c r="P3314" s="35">
        <v>100</v>
      </c>
      <c r="Q3314" s="36">
        <v>2550</v>
      </c>
      <c r="R3314" s="36">
        <f>(O3314*Q3314)</f>
        <v>172125</v>
      </c>
      <c r="S3314" s="37">
        <v>22</v>
      </c>
      <c r="T3314" s="28">
        <f>(R3314*34/100)</f>
        <v>58522.5</v>
      </c>
      <c r="U3314" s="36">
        <f>(R3314-T3314)</f>
        <v>113602.5</v>
      </c>
      <c r="V3314" s="36"/>
      <c r="W3314" s="36"/>
      <c r="X3314" s="28"/>
      <c r="Y3314" s="28"/>
      <c r="Z3314" s="20"/>
    </row>
    <row r="3315" spans="1:26" s="29" customFormat="1" ht="90.75" customHeight="1" x14ac:dyDescent="0.25">
      <c r="A3315" s="20"/>
      <c r="B3315" s="20"/>
      <c r="C3315" s="20"/>
      <c r="D3315" s="21"/>
      <c r="E3315" s="21"/>
      <c r="F3315" s="22"/>
      <c r="G3315" s="23"/>
      <c r="H3315" s="36"/>
      <c r="I3315" s="40"/>
      <c r="J3315" s="28"/>
      <c r="K3315" s="30"/>
      <c r="L3315" s="31"/>
      <c r="M3315" s="31"/>
      <c r="N3315" s="41"/>
      <c r="O3315" s="122"/>
      <c r="P3315" s="35"/>
      <c r="Q3315" s="36"/>
      <c r="R3315" s="36"/>
      <c r="S3315" s="37"/>
      <c r="T3315" s="28"/>
      <c r="U3315" s="36">
        <f>SUM(U3313:U3314)</f>
        <v>347737.5</v>
      </c>
      <c r="V3315" s="36">
        <f>(J3313+U3315)</f>
        <v>2107312.5</v>
      </c>
      <c r="W3315" s="36">
        <v>50000000</v>
      </c>
      <c r="X3315" s="28"/>
      <c r="Y3315" s="28"/>
      <c r="Z3315" s="20"/>
    </row>
    <row r="3316" spans="1:26" s="29" customFormat="1" ht="90.75" customHeight="1" x14ac:dyDescent="0.25">
      <c r="A3316" s="20"/>
      <c r="B3316" s="20"/>
      <c r="C3316" s="20"/>
      <c r="D3316" s="21"/>
      <c r="E3316" s="21"/>
      <c r="F3316" s="22"/>
      <c r="G3316" s="23"/>
      <c r="H3316" s="36">
        <v>8.25</v>
      </c>
      <c r="I3316" s="40">
        <v>4350</v>
      </c>
      <c r="J3316" s="28">
        <f t="shared" ref="J3316:J3328" si="852">(H3316*I3316)</f>
        <v>35887.5</v>
      </c>
      <c r="K3316" s="30">
        <v>3</v>
      </c>
      <c r="L3316" s="31" t="s">
        <v>36</v>
      </c>
      <c r="M3316" s="31">
        <v>33</v>
      </c>
      <c r="N3316" s="41">
        <v>3</v>
      </c>
      <c r="O3316" s="122">
        <v>33</v>
      </c>
      <c r="P3316" s="35">
        <v>100</v>
      </c>
      <c r="Q3316" s="36">
        <v>5550</v>
      </c>
      <c r="R3316" s="36">
        <f>(O3316*Q3316)</f>
        <v>183150</v>
      </c>
      <c r="S3316" s="37">
        <v>22</v>
      </c>
      <c r="T3316" s="28">
        <f t="shared" ref="T3316:T3317" si="853">(R3316*34/100)</f>
        <v>62271</v>
      </c>
      <c r="U3316" s="36">
        <f>(R3316-T3316)</f>
        <v>120879</v>
      </c>
      <c r="V3316" s="36">
        <f>(J3314+U3316)</f>
        <v>120879</v>
      </c>
      <c r="W3316" s="36">
        <f>(V3316*100/100)</f>
        <v>120879</v>
      </c>
      <c r="X3316" s="28">
        <v>0</v>
      </c>
      <c r="Y3316" s="28">
        <f>(W3316-X3316)</f>
        <v>120879</v>
      </c>
      <c r="Z3316" s="49">
        <v>3.0000000000000001E-3</v>
      </c>
    </row>
    <row r="3317" spans="1:26" s="29" customFormat="1" ht="90.75" customHeight="1" x14ac:dyDescent="0.25">
      <c r="A3317" s="20"/>
      <c r="B3317" s="20"/>
      <c r="C3317" s="20"/>
      <c r="D3317" s="21"/>
      <c r="E3317" s="21"/>
      <c r="F3317" s="22"/>
      <c r="G3317" s="23"/>
      <c r="H3317" s="36">
        <v>2.25</v>
      </c>
      <c r="I3317" s="40">
        <v>4350</v>
      </c>
      <c r="J3317" s="28">
        <f t="shared" si="852"/>
        <v>9787.5</v>
      </c>
      <c r="K3317" s="30">
        <v>4</v>
      </c>
      <c r="L3317" s="31" t="s">
        <v>215</v>
      </c>
      <c r="M3317" s="31">
        <v>9</v>
      </c>
      <c r="N3317" s="41">
        <v>3</v>
      </c>
      <c r="O3317" s="122">
        <v>9</v>
      </c>
      <c r="P3317" s="35">
        <v>100</v>
      </c>
      <c r="Q3317" s="36">
        <v>6450</v>
      </c>
      <c r="R3317" s="36">
        <f>(O3317*Q3317)</f>
        <v>58050</v>
      </c>
      <c r="S3317" s="37">
        <v>22</v>
      </c>
      <c r="T3317" s="28">
        <f t="shared" si="853"/>
        <v>19737</v>
      </c>
      <c r="U3317" s="36">
        <f>(R3317-T3317)</f>
        <v>38313</v>
      </c>
      <c r="V3317" s="36">
        <f>(J3315+U3317)</f>
        <v>38313</v>
      </c>
      <c r="W3317" s="36">
        <f>(V3317*100/100)</f>
        <v>38313</v>
      </c>
      <c r="X3317" s="28">
        <v>0</v>
      </c>
      <c r="Y3317" s="28">
        <f>(W3317-X3317)</f>
        <v>38313</v>
      </c>
      <c r="Z3317" s="49">
        <v>3.0000000000000001E-3</v>
      </c>
    </row>
    <row r="3318" spans="1:26" s="29" customFormat="1" ht="90.75" customHeight="1" x14ac:dyDescent="0.25">
      <c r="A3318" s="20">
        <v>1560</v>
      </c>
      <c r="B3318" s="20" t="s">
        <v>0</v>
      </c>
      <c r="C3318" s="20">
        <v>47190</v>
      </c>
      <c r="D3318" s="21">
        <v>0</v>
      </c>
      <c r="E3318" s="21">
        <v>0</v>
      </c>
      <c r="F3318" s="22">
        <v>40</v>
      </c>
      <c r="G3318" s="23" t="s">
        <v>209</v>
      </c>
      <c r="H3318" s="36">
        <f>(D3318*400)+(E3318*100)+F3318</f>
        <v>40</v>
      </c>
      <c r="I3318" s="25">
        <v>1300</v>
      </c>
      <c r="J3318" s="28">
        <f t="shared" si="852"/>
        <v>52000</v>
      </c>
      <c r="K3318" s="20">
        <v>1</v>
      </c>
      <c r="L3318" s="20" t="s">
        <v>16</v>
      </c>
      <c r="M3318" s="20" t="s">
        <v>13</v>
      </c>
      <c r="N3318" s="20">
        <v>3</v>
      </c>
      <c r="O3318" s="27">
        <v>54.55</v>
      </c>
      <c r="P3318" s="35">
        <v>100</v>
      </c>
      <c r="Q3318" s="36">
        <v>6450</v>
      </c>
      <c r="R3318" s="36">
        <f t="shared" ref="R3318:R3326" si="854">(O3318*Q3318)</f>
        <v>351847.5</v>
      </c>
      <c r="S3318" s="20">
        <v>1</v>
      </c>
      <c r="T3318" s="28">
        <f>(R3318*1/100)</f>
        <v>3518.4749999999999</v>
      </c>
      <c r="U3318" s="80">
        <f>(R3318-T3318)</f>
        <v>348329.02500000002</v>
      </c>
      <c r="V3318" s="80">
        <f>(J3318+U3318)</f>
        <v>400329.02500000002</v>
      </c>
      <c r="W3318" s="36">
        <f>(V3318*100/100)</f>
        <v>400329.02500000002</v>
      </c>
      <c r="X3318" s="28">
        <v>0</v>
      </c>
      <c r="Y3318" s="28">
        <f>(W3318-X3318)</f>
        <v>400329.02500000002</v>
      </c>
      <c r="Z3318" s="49">
        <v>3.0000000000000001E-3</v>
      </c>
    </row>
    <row r="3319" spans="1:26" s="29" customFormat="1" ht="90.75" customHeight="1" x14ac:dyDescent="0.25">
      <c r="A3319" s="20">
        <v>1561</v>
      </c>
      <c r="B3319" s="20" t="s">
        <v>0</v>
      </c>
      <c r="C3319" s="20">
        <v>57715</v>
      </c>
      <c r="D3319" s="21">
        <v>0</v>
      </c>
      <c r="E3319" s="21">
        <v>0</v>
      </c>
      <c r="F3319" s="22">
        <v>50</v>
      </c>
      <c r="G3319" s="23" t="s">
        <v>209</v>
      </c>
      <c r="H3319" s="36">
        <f t="shared" ref="H3319:H3327" si="855">(D3319*400)+(E3319*100)+F3319</f>
        <v>50</v>
      </c>
      <c r="I3319" s="25">
        <v>1300</v>
      </c>
      <c r="J3319" s="28">
        <f t="shared" si="852"/>
        <v>65000</v>
      </c>
      <c r="K3319" s="20">
        <v>2</v>
      </c>
      <c r="L3319" s="20" t="s">
        <v>16</v>
      </c>
      <c r="M3319" s="20" t="s">
        <v>13</v>
      </c>
      <c r="N3319" s="20">
        <v>3</v>
      </c>
      <c r="O3319" s="27">
        <v>54.55</v>
      </c>
      <c r="P3319" s="35">
        <v>100</v>
      </c>
      <c r="Q3319" s="36">
        <v>6450</v>
      </c>
      <c r="R3319" s="36">
        <f t="shared" si="854"/>
        <v>351847.5</v>
      </c>
      <c r="S3319" s="20">
        <v>1</v>
      </c>
      <c r="T3319" s="28">
        <f t="shared" ref="T3319:T3326" si="856">(R3319*1/100)</f>
        <v>3518.4749999999999</v>
      </c>
      <c r="U3319" s="80">
        <f t="shared" ref="U3319:U3326" si="857">(R3319-T3319)</f>
        <v>348329.02500000002</v>
      </c>
      <c r="V3319" s="80">
        <f t="shared" ref="V3319:V3326" si="858">(J3319+U3319)</f>
        <v>413329.02500000002</v>
      </c>
      <c r="W3319" s="36">
        <f t="shared" ref="W3319:W3326" si="859">(V3319*100/100)</f>
        <v>413329.02500000002</v>
      </c>
      <c r="X3319" s="28">
        <v>0</v>
      </c>
      <c r="Y3319" s="28">
        <f t="shared" ref="Y3319:Y3326" si="860">(W3319-X3319)</f>
        <v>413329.02500000002</v>
      </c>
      <c r="Z3319" s="49">
        <v>3.0000000000000001E-3</v>
      </c>
    </row>
    <row r="3320" spans="1:26" s="29" customFormat="1" ht="90.75" customHeight="1" x14ac:dyDescent="0.25">
      <c r="A3320" s="20">
        <v>1562</v>
      </c>
      <c r="B3320" s="20" t="s">
        <v>0</v>
      </c>
      <c r="C3320" s="20">
        <v>57716</v>
      </c>
      <c r="D3320" s="21">
        <v>0</v>
      </c>
      <c r="E3320" s="21">
        <v>0</v>
      </c>
      <c r="F3320" s="22">
        <v>50</v>
      </c>
      <c r="G3320" s="23" t="s">
        <v>209</v>
      </c>
      <c r="H3320" s="36">
        <f t="shared" si="855"/>
        <v>50</v>
      </c>
      <c r="I3320" s="25">
        <v>1300</v>
      </c>
      <c r="J3320" s="28">
        <f t="shared" si="852"/>
        <v>65000</v>
      </c>
      <c r="K3320" s="20">
        <v>3</v>
      </c>
      <c r="L3320" s="20" t="s">
        <v>16</v>
      </c>
      <c r="M3320" s="20" t="s">
        <v>13</v>
      </c>
      <c r="N3320" s="20">
        <v>3</v>
      </c>
      <c r="O3320" s="27">
        <v>54.55</v>
      </c>
      <c r="P3320" s="35">
        <v>100</v>
      </c>
      <c r="Q3320" s="36">
        <v>6450</v>
      </c>
      <c r="R3320" s="36">
        <f t="shared" si="854"/>
        <v>351847.5</v>
      </c>
      <c r="S3320" s="20">
        <v>1</v>
      </c>
      <c r="T3320" s="28">
        <f t="shared" si="856"/>
        <v>3518.4749999999999</v>
      </c>
      <c r="U3320" s="80">
        <f t="shared" si="857"/>
        <v>348329.02500000002</v>
      </c>
      <c r="V3320" s="80">
        <f t="shared" si="858"/>
        <v>413329.02500000002</v>
      </c>
      <c r="W3320" s="36">
        <f t="shared" si="859"/>
        <v>413329.02500000002</v>
      </c>
      <c r="X3320" s="28">
        <v>0</v>
      </c>
      <c r="Y3320" s="28">
        <f t="shared" si="860"/>
        <v>413329.02500000002</v>
      </c>
      <c r="Z3320" s="49">
        <v>3.0000000000000001E-3</v>
      </c>
    </row>
    <row r="3321" spans="1:26" s="29" customFormat="1" ht="90.75" customHeight="1" x14ac:dyDescent="0.25">
      <c r="A3321" s="20">
        <v>1563</v>
      </c>
      <c r="B3321" s="20" t="s">
        <v>0</v>
      </c>
      <c r="C3321" s="20">
        <v>57717</v>
      </c>
      <c r="D3321" s="21">
        <v>0</v>
      </c>
      <c r="E3321" s="21">
        <v>0</v>
      </c>
      <c r="F3321" s="22">
        <v>42</v>
      </c>
      <c r="G3321" s="23" t="s">
        <v>209</v>
      </c>
      <c r="H3321" s="36">
        <f t="shared" si="855"/>
        <v>42</v>
      </c>
      <c r="I3321" s="25">
        <v>1300</v>
      </c>
      <c r="J3321" s="28">
        <f t="shared" si="852"/>
        <v>54600</v>
      </c>
      <c r="K3321" s="20">
        <v>4</v>
      </c>
      <c r="L3321" s="20" t="s">
        <v>16</v>
      </c>
      <c r="M3321" s="20" t="s">
        <v>13</v>
      </c>
      <c r="N3321" s="20">
        <v>3</v>
      </c>
      <c r="O3321" s="27">
        <v>54.55</v>
      </c>
      <c r="P3321" s="35">
        <v>100</v>
      </c>
      <c r="Q3321" s="36">
        <v>6450</v>
      </c>
      <c r="R3321" s="36">
        <f t="shared" si="854"/>
        <v>351847.5</v>
      </c>
      <c r="S3321" s="20">
        <v>1</v>
      </c>
      <c r="T3321" s="28">
        <f t="shared" si="856"/>
        <v>3518.4749999999999</v>
      </c>
      <c r="U3321" s="80">
        <f t="shared" si="857"/>
        <v>348329.02500000002</v>
      </c>
      <c r="V3321" s="80">
        <f t="shared" si="858"/>
        <v>402929.02500000002</v>
      </c>
      <c r="W3321" s="36">
        <f t="shared" si="859"/>
        <v>402929.02500000002</v>
      </c>
      <c r="X3321" s="28">
        <v>0</v>
      </c>
      <c r="Y3321" s="28">
        <f t="shared" si="860"/>
        <v>402929.02500000002</v>
      </c>
      <c r="Z3321" s="49">
        <v>3.0000000000000001E-3</v>
      </c>
    </row>
    <row r="3322" spans="1:26" s="29" customFormat="1" ht="90.75" customHeight="1" x14ac:dyDescent="0.25">
      <c r="A3322" s="20">
        <v>1564</v>
      </c>
      <c r="B3322" s="20" t="s">
        <v>0</v>
      </c>
      <c r="C3322" s="20">
        <v>57718</v>
      </c>
      <c r="D3322" s="21">
        <v>0</v>
      </c>
      <c r="E3322" s="21">
        <v>0</v>
      </c>
      <c r="F3322" s="22">
        <v>42</v>
      </c>
      <c r="G3322" s="23" t="s">
        <v>209</v>
      </c>
      <c r="H3322" s="36">
        <f t="shared" si="855"/>
        <v>42</v>
      </c>
      <c r="I3322" s="25">
        <v>1300</v>
      </c>
      <c r="J3322" s="28">
        <f t="shared" si="852"/>
        <v>54600</v>
      </c>
      <c r="K3322" s="20">
        <v>5</v>
      </c>
      <c r="L3322" s="20" t="s">
        <v>16</v>
      </c>
      <c r="M3322" s="20" t="s">
        <v>13</v>
      </c>
      <c r="N3322" s="20">
        <v>3</v>
      </c>
      <c r="O3322" s="27">
        <v>54.55</v>
      </c>
      <c r="P3322" s="35">
        <v>100</v>
      </c>
      <c r="Q3322" s="36">
        <v>6450</v>
      </c>
      <c r="R3322" s="36">
        <f t="shared" si="854"/>
        <v>351847.5</v>
      </c>
      <c r="S3322" s="20">
        <v>1</v>
      </c>
      <c r="T3322" s="28">
        <f t="shared" si="856"/>
        <v>3518.4749999999999</v>
      </c>
      <c r="U3322" s="80">
        <f t="shared" si="857"/>
        <v>348329.02500000002</v>
      </c>
      <c r="V3322" s="80">
        <f t="shared" si="858"/>
        <v>402929.02500000002</v>
      </c>
      <c r="W3322" s="36">
        <f t="shared" si="859"/>
        <v>402929.02500000002</v>
      </c>
      <c r="X3322" s="28">
        <v>0</v>
      </c>
      <c r="Y3322" s="28">
        <f t="shared" si="860"/>
        <v>402929.02500000002</v>
      </c>
      <c r="Z3322" s="49">
        <v>3.0000000000000001E-3</v>
      </c>
    </row>
    <row r="3323" spans="1:26" s="29" customFormat="1" ht="90.75" customHeight="1" x14ac:dyDescent="0.25">
      <c r="A3323" s="20">
        <v>1565</v>
      </c>
      <c r="B3323" s="20" t="s">
        <v>0</v>
      </c>
      <c r="C3323" s="20">
        <v>57719</v>
      </c>
      <c r="D3323" s="21">
        <v>0</v>
      </c>
      <c r="E3323" s="21">
        <v>0</v>
      </c>
      <c r="F3323" s="22">
        <v>42</v>
      </c>
      <c r="G3323" s="23" t="s">
        <v>209</v>
      </c>
      <c r="H3323" s="36">
        <f t="shared" si="855"/>
        <v>42</v>
      </c>
      <c r="I3323" s="25">
        <v>1300</v>
      </c>
      <c r="J3323" s="28">
        <f t="shared" si="852"/>
        <v>54600</v>
      </c>
      <c r="K3323" s="20">
        <v>6</v>
      </c>
      <c r="L3323" s="20" t="s">
        <v>16</v>
      </c>
      <c r="M3323" s="20" t="s">
        <v>13</v>
      </c>
      <c r="N3323" s="20">
        <v>3</v>
      </c>
      <c r="O3323" s="27">
        <v>54.55</v>
      </c>
      <c r="P3323" s="35">
        <v>100</v>
      </c>
      <c r="Q3323" s="36">
        <v>6450</v>
      </c>
      <c r="R3323" s="36">
        <f t="shared" si="854"/>
        <v>351847.5</v>
      </c>
      <c r="S3323" s="20">
        <v>1</v>
      </c>
      <c r="T3323" s="28">
        <f t="shared" si="856"/>
        <v>3518.4749999999999</v>
      </c>
      <c r="U3323" s="80">
        <f t="shared" si="857"/>
        <v>348329.02500000002</v>
      </c>
      <c r="V3323" s="80">
        <f t="shared" si="858"/>
        <v>402929.02500000002</v>
      </c>
      <c r="W3323" s="36">
        <f t="shared" si="859"/>
        <v>402929.02500000002</v>
      </c>
      <c r="X3323" s="28">
        <v>0</v>
      </c>
      <c r="Y3323" s="28">
        <f t="shared" si="860"/>
        <v>402929.02500000002</v>
      </c>
      <c r="Z3323" s="49">
        <v>3.0000000000000001E-3</v>
      </c>
    </row>
    <row r="3324" spans="1:26" s="29" customFormat="1" ht="90.75" customHeight="1" x14ac:dyDescent="0.25">
      <c r="A3324" s="20">
        <v>1566</v>
      </c>
      <c r="B3324" s="20" t="s">
        <v>0</v>
      </c>
      <c r="C3324" s="20">
        <v>57720</v>
      </c>
      <c r="D3324" s="21">
        <v>0</v>
      </c>
      <c r="E3324" s="21">
        <v>0</v>
      </c>
      <c r="F3324" s="22">
        <v>42</v>
      </c>
      <c r="G3324" s="23" t="s">
        <v>209</v>
      </c>
      <c r="H3324" s="36">
        <f t="shared" si="855"/>
        <v>42</v>
      </c>
      <c r="I3324" s="25">
        <v>1300</v>
      </c>
      <c r="J3324" s="28">
        <f t="shared" si="852"/>
        <v>54600</v>
      </c>
      <c r="K3324" s="20">
        <v>7</v>
      </c>
      <c r="L3324" s="20" t="s">
        <v>16</v>
      </c>
      <c r="M3324" s="20" t="s">
        <v>13</v>
      </c>
      <c r="N3324" s="20">
        <v>3</v>
      </c>
      <c r="O3324" s="27">
        <v>54.55</v>
      </c>
      <c r="P3324" s="35">
        <v>100</v>
      </c>
      <c r="Q3324" s="36">
        <v>6450</v>
      </c>
      <c r="R3324" s="36">
        <f t="shared" si="854"/>
        <v>351847.5</v>
      </c>
      <c r="S3324" s="20">
        <v>1</v>
      </c>
      <c r="T3324" s="28">
        <f t="shared" si="856"/>
        <v>3518.4749999999999</v>
      </c>
      <c r="U3324" s="80">
        <f t="shared" si="857"/>
        <v>348329.02500000002</v>
      </c>
      <c r="V3324" s="80">
        <f t="shared" si="858"/>
        <v>402929.02500000002</v>
      </c>
      <c r="W3324" s="36">
        <f t="shared" si="859"/>
        <v>402929.02500000002</v>
      </c>
      <c r="X3324" s="28">
        <v>0</v>
      </c>
      <c r="Y3324" s="28">
        <f t="shared" si="860"/>
        <v>402929.02500000002</v>
      </c>
      <c r="Z3324" s="49">
        <v>3.0000000000000001E-3</v>
      </c>
    </row>
    <row r="3325" spans="1:26" s="29" customFormat="1" ht="90.75" customHeight="1" x14ac:dyDescent="0.25">
      <c r="A3325" s="20">
        <v>1567</v>
      </c>
      <c r="B3325" s="20" t="s">
        <v>0</v>
      </c>
      <c r="C3325" s="20">
        <v>57721</v>
      </c>
      <c r="D3325" s="21">
        <v>0</v>
      </c>
      <c r="E3325" s="21">
        <v>0</v>
      </c>
      <c r="F3325" s="22">
        <v>42</v>
      </c>
      <c r="G3325" s="23" t="s">
        <v>209</v>
      </c>
      <c r="H3325" s="36">
        <f t="shared" si="855"/>
        <v>42</v>
      </c>
      <c r="I3325" s="25">
        <v>1300</v>
      </c>
      <c r="J3325" s="28">
        <f t="shared" si="852"/>
        <v>54600</v>
      </c>
      <c r="K3325" s="20">
        <v>8</v>
      </c>
      <c r="L3325" s="20" t="s">
        <v>16</v>
      </c>
      <c r="M3325" s="20" t="s">
        <v>13</v>
      </c>
      <c r="N3325" s="20">
        <v>3</v>
      </c>
      <c r="O3325" s="27">
        <v>54.55</v>
      </c>
      <c r="P3325" s="35">
        <v>100</v>
      </c>
      <c r="Q3325" s="36">
        <v>6450</v>
      </c>
      <c r="R3325" s="36">
        <f t="shared" si="854"/>
        <v>351847.5</v>
      </c>
      <c r="S3325" s="20">
        <v>1</v>
      </c>
      <c r="T3325" s="28">
        <f t="shared" si="856"/>
        <v>3518.4749999999999</v>
      </c>
      <c r="U3325" s="80">
        <f t="shared" si="857"/>
        <v>348329.02500000002</v>
      </c>
      <c r="V3325" s="80">
        <f t="shared" si="858"/>
        <v>402929.02500000002</v>
      </c>
      <c r="W3325" s="36">
        <f t="shared" si="859"/>
        <v>402929.02500000002</v>
      </c>
      <c r="X3325" s="28">
        <v>0</v>
      </c>
      <c r="Y3325" s="28">
        <f t="shared" si="860"/>
        <v>402929.02500000002</v>
      </c>
      <c r="Z3325" s="49">
        <v>3.0000000000000001E-3</v>
      </c>
    </row>
    <row r="3326" spans="1:26" s="29" customFormat="1" ht="90.75" customHeight="1" x14ac:dyDescent="0.25">
      <c r="A3326" s="20">
        <v>1568</v>
      </c>
      <c r="B3326" s="20" t="s">
        <v>0</v>
      </c>
      <c r="C3326" s="20">
        <v>57722</v>
      </c>
      <c r="D3326" s="21">
        <v>0</v>
      </c>
      <c r="E3326" s="21">
        <v>0</v>
      </c>
      <c r="F3326" s="22">
        <v>42</v>
      </c>
      <c r="G3326" s="23" t="s">
        <v>209</v>
      </c>
      <c r="H3326" s="36">
        <f t="shared" si="855"/>
        <v>42</v>
      </c>
      <c r="I3326" s="25">
        <v>1300</v>
      </c>
      <c r="J3326" s="28">
        <f t="shared" si="852"/>
        <v>54600</v>
      </c>
      <c r="K3326" s="20">
        <v>8</v>
      </c>
      <c r="L3326" s="20" t="s">
        <v>16</v>
      </c>
      <c r="M3326" s="20" t="s">
        <v>13</v>
      </c>
      <c r="N3326" s="20">
        <v>3</v>
      </c>
      <c r="O3326" s="27">
        <v>54.55</v>
      </c>
      <c r="P3326" s="35">
        <v>100</v>
      </c>
      <c r="Q3326" s="36">
        <v>6450</v>
      </c>
      <c r="R3326" s="36">
        <f t="shared" si="854"/>
        <v>351847.5</v>
      </c>
      <c r="S3326" s="20">
        <v>1</v>
      </c>
      <c r="T3326" s="28">
        <f t="shared" si="856"/>
        <v>3518.4749999999999</v>
      </c>
      <c r="U3326" s="80">
        <f t="shared" si="857"/>
        <v>348329.02500000002</v>
      </c>
      <c r="V3326" s="80">
        <f t="shared" si="858"/>
        <v>402929.02500000002</v>
      </c>
      <c r="W3326" s="36">
        <f t="shared" si="859"/>
        <v>402929.02500000002</v>
      </c>
      <c r="X3326" s="28">
        <v>0</v>
      </c>
      <c r="Y3326" s="28">
        <f t="shared" si="860"/>
        <v>402929.02500000002</v>
      </c>
      <c r="Z3326" s="49">
        <v>3.0000000000000001E-3</v>
      </c>
    </row>
    <row r="3327" spans="1:26" s="29" customFormat="1" ht="90.75" customHeight="1" x14ac:dyDescent="0.25">
      <c r="A3327" s="20">
        <v>1569</v>
      </c>
      <c r="B3327" s="20" t="s">
        <v>0</v>
      </c>
      <c r="C3327" s="20">
        <v>10548</v>
      </c>
      <c r="D3327" s="21">
        <v>0</v>
      </c>
      <c r="E3327" s="21">
        <v>0</v>
      </c>
      <c r="F3327" s="22">
        <v>74</v>
      </c>
      <c r="G3327" s="23" t="s">
        <v>211</v>
      </c>
      <c r="H3327" s="36">
        <f t="shared" si="855"/>
        <v>74</v>
      </c>
      <c r="I3327" s="25">
        <v>5000</v>
      </c>
      <c r="J3327" s="28">
        <f t="shared" si="852"/>
        <v>370000</v>
      </c>
      <c r="K3327" s="20"/>
      <c r="L3327" s="20"/>
      <c r="M3327" s="20"/>
      <c r="N3327" s="20"/>
      <c r="O3327" s="24"/>
      <c r="P3327" s="24"/>
      <c r="Q3327" s="25"/>
      <c r="R3327" s="24"/>
      <c r="S3327" s="20"/>
      <c r="T3327" s="27"/>
      <c r="U3327" s="20"/>
      <c r="V3327" s="20"/>
      <c r="W3327" s="26"/>
      <c r="X3327" s="27"/>
      <c r="Y3327" s="20"/>
      <c r="Z3327" s="20"/>
    </row>
    <row r="3328" spans="1:26" s="29" customFormat="1" ht="90.75" customHeight="1" x14ac:dyDescent="0.25">
      <c r="A3328" s="20"/>
      <c r="B3328" s="20"/>
      <c r="C3328" s="20"/>
      <c r="D3328" s="21"/>
      <c r="E3328" s="21"/>
      <c r="F3328" s="22"/>
      <c r="G3328" s="23"/>
      <c r="H3328" s="36">
        <v>62</v>
      </c>
      <c r="I3328" s="40">
        <v>5000</v>
      </c>
      <c r="J3328" s="28">
        <f t="shared" si="852"/>
        <v>310000</v>
      </c>
      <c r="K3328" s="37">
        <v>1</v>
      </c>
      <c r="L3328" s="31" t="s">
        <v>215</v>
      </c>
      <c r="M3328" s="31" t="s">
        <v>13</v>
      </c>
      <c r="N3328" s="31">
        <v>5</v>
      </c>
      <c r="O3328" s="121">
        <v>82</v>
      </c>
      <c r="P3328" s="86">
        <v>100</v>
      </c>
      <c r="Q3328" s="36">
        <v>6450</v>
      </c>
      <c r="R3328" s="36">
        <f>(O3328*Q3328)</f>
        <v>528900</v>
      </c>
      <c r="S3328" s="37">
        <v>52</v>
      </c>
      <c r="T3328" s="28">
        <f>(R3328*76/100)</f>
        <v>401964</v>
      </c>
      <c r="U3328" s="36">
        <f>(R3328-T3328)</f>
        <v>126936</v>
      </c>
      <c r="V3328" s="36">
        <f>(J3328+U3328)</f>
        <v>436936</v>
      </c>
      <c r="W3328" s="36">
        <f>(V3328*100/100)</f>
        <v>436936</v>
      </c>
      <c r="X3328" s="28"/>
      <c r="Y3328" s="28"/>
      <c r="Z3328" s="20"/>
    </row>
    <row r="3329" spans="1:26" s="29" customFormat="1" ht="90.75" customHeight="1" x14ac:dyDescent="0.25">
      <c r="A3329" s="20"/>
      <c r="B3329" s="20"/>
      <c r="C3329" s="20"/>
      <c r="D3329" s="21"/>
      <c r="E3329" s="21"/>
      <c r="F3329" s="22"/>
      <c r="G3329" s="23"/>
      <c r="H3329" s="36"/>
      <c r="I3329" s="40"/>
      <c r="J3329" s="28"/>
      <c r="K3329" s="37"/>
      <c r="L3329" s="31"/>
      <c r="M3329" s="31"/>
      <c r="N3329" s="31">
        <v>2</v>
      </c>
      <c r="O3329" s="121">
        <v>66</v>
      </c>
      <c r="P3329" s="86">
        <v>80.489999999999995</v>
      </c>
      <c r="Q3329" s="36"/>
      <c r="R3329" s="36"/>
      <c r="S3329" s="37"/>
      <c r="T3329" s="28"/>
      <c r="U3329" s="36"/>
      <c r="V3329" s="36"/>
      <c r="W3329" s="36">
        <f>(W3328*80.49/100)</f>
        <v>351689.78639999998</v>
      </c>
      <c r="X3329" s="28">
        <v>50000000</v>
      </c>
      <c r="Y3329" s="28"/>
      <c r="Z3329" s="20"/>
    </row>
    <row r="3330" spans="1:26" s="29" customFormat="1" ht="90.75" customHeight="1" x14ac:dyDescent="0.25">
      <c r="A3330" s="20"/>
      <c r="B3330" s="20"/>
      <c r="C3330" s="20"/>
      <c r="D3330" s="21"/>
      <c r="E3330" s="21"/>
      <c r="F3330" s="22"/>
      <c r="G3330" s="23"/>
      <c r="H3330" s="36"/>
      <c r="I3330" s="40"/>
      <c r="J3330" s="28"/>
      <c r="K3330" s="37"/>
      <c r="L3330" s="31"/>
      <c r="M3330" s="31"/>
      <c r="N3330" s="31">
        <v>3</v>
      </c>
      <c r="O3330" s="121">
        <v>16</v>
      </c>
      <c r="P3330" s="86">
        <v>19.510000000000002</v>
      </c>
      <c r="Q3330" s="36"/>
      <c r="R3330" s="36"/>
      <c r="S3330" s="37"/>
      <c r="T3330" s="28"/>
      <c r="U3330" s="36"/>
      <c r="V3330" s="36"/>
      <c r="W3330" s="36">
        <f>(W3328*19.51/100)</f>
        <v>85246.213600000017</v>
      </c>
      <c r="X3330" s="28">
        <v>0</v>
      </c>
      <c r="Y3330" s="28">
        <f>(W3330-X3330)</f>
        <v>85246.213600000017</v>
      </c>
      <c r="Z3330" s="49">
        <v>3.0000000000000001E-3</v>
      </c>
    </row>
    <row r="3331" spans="1:26" s="29" customFormat="1" ht="90.75" customHeight="1" x14ac:dyDescent="0.25">
      <c r="A3331" s="20"/>
      <c r="B3331" s="20"/>
      <c r="C3331" s="20"/>
      <c r="D3331" s="21"/>
      <c r="E3331" s="21"/>
      <c r="F3331" s="22"/>
      <c r="G3331" s="23"/>
      <c r="H3331" s="36">
        <f>(O3331*0.25)</f>
        <v>12</v>
      </c>
      <c r="I3331" s="40">
        <v>5000</v>
      </c>
      <c r="J3331" s="28">
        <f>(H3331*I3331)</f>
        <v>60000</v>
      </c>
      <c r="K3331" s="37">
        <v>2</v>
      </c>
      <c r="L3331" s="31" t="s">
        <v>31</v>
      </c>
      <c r="M3331" s="31"/>
      <c r="N3331" s="41">
        <v>2</v>
      </c>
      <c r="O3331" s="121">
        <v>48</v>
      </c>
      <c r="P3331" s="86">
        <v>100</v>
      </c>
      <c r="Q3331" s="36">
        <v>2550</v>
      </c>
      <c r="R3331" s="36">
        <f>(O3331*Q3331)</f>
        <v>122400</v>
      </c>
      <c r="S3331" s="37">
        <v>52</v>
      </c>
      <c r="T3331" s="28">
        <f>(R3331*76/100)</f>
        <v>93024</v>
      </c>
      <c r="U3331" s="36">
        <f>(R3331-T3331)</f>
        <v>29376</v>
      </c>
      <c r="V3331" s="36">
        <f>(J3331+U3331)</f>
        <v>89376</v>
      </c>
      <c r="W3331" s="36"/>
      <c r="X3331" s="28"/>
      <c r="Y3331" s="28"/>
      <c r="Z3331" s="20"/>
    </row>
    <row r="3332" spans="1:26" s="29" customFormat="1" ht="90.75" customHeight="1" x14ac:dyDescent="0.25">
      <c r="A3332" s="20">
        <v>1570</v>
      </c>
      <c r="B3332" s="20" t="s">
        <v>0</v>
      </c>
      <c r="C3332" s="20">
        <v>15126</v>
      </c>
      <c r="D3332" s="21">
        <v>8</v>
      </c>
      <c r="E3332" s="21">
        <v>0</v>
      </c>
      <c r="F3332" s="22">
        <v>68</v>
      </c>
      <c r="G3332" s="23" t="s">
        <v>211</v>
      </c>
      <c r="H3332" s="36">
        <f t="shared" ref="H3332" si="861">(D3332*400)+(E3332*100)+F3332</f>
        <v>3268</v>
      </c>
      <c r="I3332" s="25">
        <v>650</v>
      </c>
      <c r="J3332" s="28">
        <f t="shared" ref="J3332:J3346" si="862">(H3332*I3332)</f>
        <v>2124200</v>
      </c>
      <c r="K3332" s="20"/>
      <c r="L3332" s="20"/>
      <c r="M3332" s="20"/>
      <c r="N3332" s="20"/>
      <c r="O3332" s="24"/>
      <c r="P3332" s="24"/>
      <c r="Q3332" s="25"/>
      <c r="R3332" s="24"/>
      <c r="S3332" s="20"/>
      <c r="T3332" s="27"/>
      <c r="U3332" s="20"/>
      <c r="V3332" s="20"/>
      <c r="W3332" s="26"/>
      <c r="X3332" s="27"/>
      <c r="Y3332" s="20"/>
      <c r="Z3332" s="20"/>
    </row>
    <row r="3333" spans="1:26" s="29" customFormat="1" ht="90.75" customHeight="1" x14ac:dyDescent="0.25">
      <c r="A3333" s="20"/>
      <c r="B3333" s="20"/>
      <c r="C3333" s="20"/>
      <c r="D3333" s="21"/>
      <c r="E3333" s="21"/>
      <c r="F3333" s="22"/>
      <c r="G3333" s="23"/>
      <c r="H3333" s="36">
        <v>2969.5</v>
      </c>
      <c r="I3333" s="40">
        <v>650</v>
      </c>
      <c r="J3333" s="28">
        <f t="shared" si="862"/>
        <v>1930175</v>
      </c>
      <c r="K3333" s="30">
        <v>1</v>
      </c>
      <c r="L3333" s="31" t="s">
        <v>215</v>
      </c>
      <c r="M3333" s="31" t="s">
        <v>40</v>
      </c>
      <c r="N3333" s="41">
        <v>2</v>
      </c>
      <c r="O3333" s="42">
        <v>168</v>
      </c>
      <c r="P3333" s="35">
        <v>100</v>
      </c>
      <c r="Q3333" s="36">
        <v>6450</v>
      </c>
      <c r="R3333" s="36">
        <f t="shared" ref="R3333:R3339" si="863">(O3333*Q3333)</f>
        <v>1083600</v>
      </c>
      <c r="S3333" s="37">
        <v>22</v>
      </c>
      <c r="T3333" s="28">
        <f>(R3333*93/100)</f>
        <v>1007748</v>
      </c>
      <c r="U3333" s="36">
        <f t="shared" ref="U3333:U3339" si="864">(R3333-T3333)</f>
        <v>75852</v>
      </c>
      <c r="V3333" s="36">
        <f t="shared" ref="V3333:V3339" si="865">(J3333+U3333)</f>
        <v>2006027</v>
      </c>
      <c r="W3333" s="36">
        <f t="shared" ref="W3333:W3339" si="866">(V3333*P3333/100)</f>
        <v>2006027</v>
      </c>
      <c r="X3333" s="28">
        <v>50000000</v>
      </c>
      <c r="Y3333" s="28"/>
      <c r="Z3333" s="20"/>
    </row>
    <row r="3334" spans="1:26" s="29" customFormat="1" ht="90.75" customHeight="1" x14ac:dyDescent="0.25">
      <c r="A3334" s="20"/>
      <c r="B3334" s="20"/>
      <c r="C3334" s="20"/>
      <c r="D3334" s="21"/>
      <c r="E3334" s="21"/>
      <c r="F3334" s="22"/>
      <c r="G3334" s="23"/>
      <c r="H3334" s="36">
        <v>13.5</v>
      </c>
      <c r="I3334" s="40">
        <v>650</v>
      </c>
      <c r="J3334" s="28">
        <f t="shared" si="862"/>
        <v>8775</v>
      </c>
      <c r="K3334" s="30">
        <v>2</v>
      </c>
      <c r="L3334" s="31" t="s">
        <v>31</v>
      </c>
      <c r="M3334" s="31"/>
      <c r="N3334" s="41">
        <v>2</v>
      </c>
      <c r="O3334" s="42">
        <v>54</v>
      </c>
      <c r="P3334" s="35">
        <v>100</v>
      </c>
      <c r="Q3334" s="36">
        <v>2550</v>
      </c>
      <c r="R3334" s="36">
        <f t="shared" si="863"/>
        <v>137700</v>
      </c>
      <c r="S3334" s="37">
        <v>22</v>
      </c>
      <c r="T3334" s="28">
        <f>(R3334*93/100)</f>
        <v>128061</v>
      </c>
      <c r="U3334" s="36">
        <f t="shared" si="864"/>
        <v>9639</v>
      </c>
      <c r="V3334" s="36">
        <f t="shared" si="865"/>
        <v>18414</v>
      </c>
      <c r="W3334" s="36">
        <f t="shared" si="866"/>
        <v>18414</v>
      </c>
      <c r="X3334" s="28"/>
      <c r="Y3334" s="28"/>
      <c r="Z3334" s="52"/>
    </row>
    <row r="3335" spans="1:26" s="29" customFormat="1" ht="90.75" customHeight="1" x14ac:dyDescent="0.25">
      <c r="A3335" s="20"/>
      <c r="B3335" s="20"/>
      <c r="C3335" s="20"/>
      <c r="D3335" s="21"/>
      <c r="E3335" s="21"/>
      <c r="F3335" s="22"/>
      <c r="G3335" s="23"/>
      <c r="H3335" s="36">
        <v>15</v>
      </c>
      <c r="I3335" s="40">
        <v>650</v>
      </c>
      <c r="J3335" s="28">
        <f>(H3335*I3335)</f>
        <v>9750</v>
      </c>
      <c r="K3335" s="30">
        <v>3</v>
      </c>
      <c r="L3335" s="31" t="s">
        <v>29</v>
      </c>
      <c r="M3335" s="31" t="s">
        <v>13</v>
      </c>
      <c r="N3335" s="41">
        <v>2</v>
      </c>
      <c r="O3335" s="42">
        <v>60</v>
      </c>
      <c r="P3335" s="35">
        <v>100</v>
      </c>
      <c r="Q3335" s="36">
        <v>5550</v>
      </c>
      <c r="R3335" s="36">
        <f>(O3335*Q3335)</f>
        <v>333000</v>
      </c>
      <c r="S3335" s="37">
        <v>7</v>
      </c>
      <c r="T3335" s="28">
        <f>(R3335*7/100)</f>
        <v>23310</v>
      </c>
      <c r="U3335" s="36">
        <f>(R3335-T3335)</f>
        <v>309690</v>
      </c>
      <c r="V3335" s="36">
        <f>(J3335+U3335)</f>
        <v>319440</v>
      </c>
      <c r="W3335" s="36">
        <f>(V3335*P3335/100)</f>
        <v>319440</v>
      </c>
      <c r="X3335" s="28"/>
      <c r="Y3335" s="28"/>
      <c r="Z3335" s="49"/>
    </row>
    <row r="3336" spans="1:26" s="29" customFormat="1" ht="90.75" customHeight="1" x14ac:dyDescent="0.25">
      <c r="A3336" s="20"/>
      <c r="B3336" s="20"/>
      <c r="C3336" s="20"/>
      <c r="D3336" s="21"/>
      <c r="E3336" s="21"/>
      <c r="F3336" s="22"/>
      <c r="G3336" s="23"/>
      <c r="H3336" s="36">
        <v>14</v>
      </c>
      <c r="I3336" s="40">
        <v>650</v>
      </c>
      <c r="J3336" s="28">
        <f t="shared" si="862"/>
        <v>9100</v>
      </c>
      <c r="K3336" s="30">
        <v>4</v>
      </c>
      <c r="L3336" s="31" t="s">
        <v>215</v>
      </c>
      <c r="M3336" s="31" t="s">
        <v>13</v>
      </c>
      <c r="N3336" s="41">
        <v>2</v>
      </c>
      <c r="O3336" s="42">
        <v>56</v>
      </c>
      <c r="P3336" s="35">
        <v>100</v>
      </c>
      <c r="Q3336" s="36">
        <v>6450</v>
      </c>
      <c r="R3336" s="36">
        <f t="shared" si="863"/>
        <v>361200</v>
      </c>
      <c r="S3336" s="37">
        <v>7</v>
      </c>
      <c r="T3336" s="28">
        <f t="shared" ref="T3336:T3339" si="867">(R3336*7/100)</f>
        <v>25284</v>
      </c>
      <c r="U3336" s="36">
        <f t="shared" si="864"/>
        <v>335916</v>
      </c>
      <c r="V3336" s="36">
        <f t="shared" si="865"/>
        <v>345016</v>
      </c>
      <c r="W3336" s="36">
        <f t="shared" si="866"/>
        <v>345016</v>
      </c>
      <c r="X3336" s="28">
        <v>10000000</v>
      </c>
      <c r="Y3336" s="28"/>
      <c r="Z3336" s="20"/>
    </row>
    <row r="3337" spans="1:26" s="29" customFormat="1" ht="90.75" customHeight="1" x14ac:dyDescent="0.25">
      <c r="A3337" s="20"/>
      <c r="B3337" s="20"/>
      <c r="C3337" s="20"/>
      <c r="D3337" s="21"/>
      <c r="E3337" s="21"/>
      <c r="F3337" s="22"/>
      <c r="G3337" s="23"/>
      <c r="H3337" s="36">
        <v>120</v>
      </c>
      <c r="I3337" s="40">
        <v>650</v>
      </c>
      <c r="J3337" s="28">
        <f t="shared" si="862"/>
        <v>78000</v>
      </c>
      <c r="K3337" s="30">
        <v>5</v>
      </c>
      <c r="L3337" s="31" t="s">
        <v>43</v>
      </c>
      <c r="M3337" s="31" t="s">
        <v>13</v>
      </c>
      <c r="N3337" s="41">
        <v>3</v>
      </c>
      <c r="O3337" s="42">
        <v>480</v>
      </c>
      <c r="P3337" s="35">
        <v>100</v>
      </c>
      <c r="Q3337" s="36">
        <v>7700</v>
      </c>
      <c r="R3337" s="36">
        <f t="shared" si="863"/>
        <v>3696000</v>
      </c>
      <c r="S3337" s="37">
        <v>7</v>
      </c>
      <c r="T3337" s="28">
        <f t="shared" si="867"/>
        <v>258720</v>
      </c>
      <c r="U3337" s="36">
        <f t="shared" si="864"/>
        <v>3437280</v>
      </c>
      <c r="V3337" s="36">
        <f t="shared" si="865"/>
        <v>3515280</v>
      </c>
      <c r="W3337" s="36">
        <f t="shared" si="866"/>
        <v>3515280</v>
      </c>
      <c r="X3337" s="28">
        <v>0</v>
      </c>
      <c r="Y3337" s="28">
        <f>(W3337-X3337)</f>
        <v>3515280</v>
      </c>
      <c r="Z3337" s="49">
        <v>2.0000000000000001E-4</v>
      </c>
    </row>
    <row r="3338" spans="1:26" s="29" customFormat="1" ht="90.75" customHeight="1" x14ac:dyDescent="0.25">
      <c r="A3338" s="20"/>
      <c r="B3338" s="20"/>
      <c r="C3338" s="20"/>
      <c r="D3338" s="21"/>
      <c r="E3338" s="21"/>
      <c r="F3338" s="22"/>
      <c r="G3338" s="23"/>
      <c r="H3338" s="36">
        <v>120</v>
      </c>
      <c r="I3338" s="40">
        <v>650</v>
      </c>
      <c r="J3338" s="28">
        <f t="shared" si="862"/>
        <v>78000</v>
      </c>
      <c r="K3338" s="30">
        <v>6</v>
      </c>
      <c r="L3338" s="31" t="s">
        <v>43</v>
      </c>
      <c r="M3338" s="31" t="s">
        <v>13</v>
      </c>
      <c r="N3338" s="41">
        <v>3</v>
      </c>
      <c r="O3338" s="42">
        <v>480</v>
      </c>
      <c r="P3338" s="35">
        <v>100</v>
      </c>
      <c r="Q3338" s="36">
        <v>7700</v>
      </c>
      <c r="R3338" s="36">
        <f t="shared" si="863"/>
        <v>3696000</v>
      </c>
      <c r="S3338" s="37">
        <v>7</v>
      </c>
      <c r="T3338" s="28">
        <f t="shared" si="867"/>
        <v>258720</v>
      </c>
      <c r="U3338" s="36">
        <f t="shared" si="864"/>
        <v>3437280</v>
      </c>
      <c r="V3338" s="36">
        <f t="shared" si="865"/>
        <v>3515280</v>
      </c>
      <c r="W3338" s="36">
        <f t="shared" si="866"/>
        <v>3515280</v>
      </c>
      <c r="X3338" s="28">
        <v>0</v>
      </c>
      <c r="Y3338" s="28">
        <f>(W3338-X3338)</f>
        <v>3515280</v>
      </c>
      <c r="Z3338" s="49">
        <v>2.0000000000000001E-4</v>
      </c>
    </row>
    <row r="3339" spans="1:26" s="29" customFormat="1" ht="90.75" customHeight="1" x14ac:dyDescent="0.25">
      <c r="A3339" s="20"/>
      <c r="B3339" s="20"/>
      <c r="C3339" s="20"/>
      <c r="D3339" s="21"/>
      <c r="E3339" s="21"/>
      <c r="F3339" s="22"/>
      <c r="G3339" s="23"/>
      <c r="H3339" s="36">
        <v>16</v>
      </c>
      <c r="I3339" s="40">
        <v>650</v>
      </c>
      <c r="J3339" s="28">
        <f t="shared" si="862"/>
        <v>10400</v>
      </c>
      <c r="K3339" s="30">
        <v>7</v>
      </c>
      <c r="L3339" s="31" t="s">
        <v>43</v>
      </c>
      <c r="M3339" s="31" t="s">
        <v>13</v>
      </c>
      <c r="N3339" s="41">
        <v>3</v>
      </c>
      <c r="O3339" s="42">
        <v>64</v>
      </c>
      <c r="P3339" s="35">
        <v>100</v>
      </c>
      <c r="Q3339" s="36">
        <v>7700</v>
      </c>
      <c r="R3339" s="36">
        <f t="shared" si="863"/>
        <v>492800</v>
      </c>
      <c r="S3339" s="37">
        <v>7</v>
      </c>
      <c r="T3339" s="28">
        <f t="shared" si="867"/>
        <v>34496</v>
      </c>
      <c r="U3339" s="36">
        <f t="shared" si="864"/>
        <v>458304</v>
      </c>
      <c r="V3339" s="36">
        <f t="shared" si="865"/>
        <v>468704</v>
      </c>
      <c r="W3339" s="36">
        <f t="shared" si="866"/>
        <v>468704</v>
      </c>
      <c r="X3339" s="28">
        <v>0</v>
      </c>
      <c r="Y3339" s="28">
        <f>(W3339-X3339)</f>
        <v>468704</v>
      </c>
      <c r="Z3339" s="49">
        <v>3.0000000000000001E-3</v>
      </c>
    </row>
    <row r="3340" spans="1:26" s="29" customFormat="1" ht="90.75" customHeight="1" x14ac:dyDescent="0.25">
      <c r="A3340" s="20">
        <v>1571</v>
      </c>
      <c r="B3340" s="20" t="s">
        <v>0</v>
      </c>
      <c r="C3340" s="20">
        <v>44439</v>
      </c>
      <c r="D3340" s="21">
        <v>0</v>
      </c>
      <c r="E3340" s="21">
        <v>1</v>
      </c>
      <c r="F3340" s="22">
        <v>39</v>
      </c>
      <c r="G3340" s="23" t="s">
        <v>211</v>
      </c>
      <c r="H3340" s="36">
        <f>(D3340*400)+(E3340*100)+F3340</f>
        <v>139</v>
      </c>
      <c r="I3340" s="40">
        <v>5000</v>
      </c>
      <c r="J3340" s="28">
        <f t="shared" si="862"/>
        <v>695000</v>
      </c>
      <c r="K3340" s="37"/>
      <c r="L3340" s="31"/>
      <c r="M3340" s="31"/>
      <c r="N3340" s="41"/>
      <c r="O3340" s="42"/>
      <c r="P3340" s="35"/>
      <c r="Q3340" s="36"/>
      <c r="R3340" s="36"/>
      <c r="S3340" s="37"/>
      <c r="T3340" s="28"/>
      <c r="U3340" s="36"/>
      <c r="V3340" s="36"/>
      <c r="W3340" s="36"/>
      <c r="X3340" s="28"/>
      <c r="Y3340" s="28"/>
      <c r="Z3340" s="20"/>
    </row>
    <row r="3341" spans="1:26" s="29" customFormat="1" ht="90.75" customHeight="1" x14ac:dyDescent="0.25">
      <c r="A3341" s="20"/>
      <c r="B3341" s="20"/>
      <c r="C3341" s="20"/>
      <c r="D3341" s="21"/>
      <c r="E3341" s="21"/>
      <c r="F3341" s="22"/>
      <c r="G3341" s="23"/>
      <c r="H3341" s="36">
        <v>118.37</v>
      </c>
      <c r="I3341" s="40">
        <v>5000</v>
      </c>
      <c r="J3341" s="28">
        <f t="shared" si="862"/>
        <v>591850</v>
      </c>
      <c r="K3341" s="37">
        <v>1</v>
      </c>
      <c r="L3341" s="31" t="s">
        <v>215</v>
      </c>
      <c r="M3341" s="31" t="s">
        <v>40</v>
      </c>
      <c r="N3341" s="41">
        <v>2</v>
      </c>
      <c r="O3341" s="42">
        <v>81</v>
      </c>
      <c r="P3341" s="35">
        <v>100</v>
      </c>
      <c r="Q3341" s="36">
        <v>6450</v>
      </c>
      <c r="R3341" s="36">
        <f>(O3341*Q3341)</f>
        <v>522450</v>
      </c>
      <c r="S3341" s="37">
        <v>27</v>
      </c>
      <c r="T3341" s="28">
        <f>(R3341*93/100)</f>
        <v>485878.5</v>
      </c>
      <c r="U3341" s="36">
        <f>(R3341-T3341)</f>
        <v>36571.5</v>
      </c>
      <c r="V3341" s="36">
        <f>(J3341+U3341)</f>
        <v>628421.5</v>
      </c>
      <c r="W3341" s="36">
        <f>(V3341*P3341/100)</f>
        <v>628421.5</v>
      </c>
      <c r="X3341" s="28">
        <v>50000000</v>
      </c>
      <c r="Y3341" s="28"/>
      <c r="Z3341" s="20"/>
    </row>
    <row r="3342" spans="1:26" s="29" customFormat="1" ht="90.75" customHeight="1" x14ac:dyDescent="0.25">
      <c r="A3342" s="20"/>
      <c r="B3342" s="20"/>
      <c r="C3342" s="20"/>
      <c r="D3342" s="21"/>
      <c r="E3342" s="21"/>
      <c r="F3342" s="22"/>
      <c r="G3342" s="23"/>
      <c r="H3342" s="36">
        <v>20.63</v>
      </c>
      <c r="I3342" s="40">
        <v>5000</v>
      </c>
      <c r="J3342" s="28">
        <f t="shared" si="862"/>
        <v>103150</v>
      </c>
      <c r="K3342" s="37">
        <v>2</v>
      </c>
      <c r="L3342" s="31" t="s">
        <v>31</v>
      </c>
      <c r="M3342" s="31"/>
      <c r="N3342" s="41">
        <v>3</v>
      </c>
      <c r="O3342" s="42">
        <v>82.5</v>
      </c>
      <c r="P3342" s="35">
        <v>100</v>
      </c>
      <c r="Q3342" s="36">
        <v>2550</v>
      </c>
      <c r="R3342" s="36">
        <f>(O3342*Q3342)</f>
        <v>210375</v>
      </c>
      <c r="S3342" s="37">
        <v>15</v>
      </c>
      <c r="T3342" s="28">
        <f>(R3342*93/100)</f>
        <v>195648.75</v>
      </c>
      <c r="U3342" s="36">
        <f>(R3342-T3342)</f>
        <v>14726.25</v>
      </c>
      <c r="V3342" s="36">
        <f>(J3342+U3342)</f>
        <v>117876.25</v>
      </c>
      <c r="W3342" s="36">
        <f>(J3342+V3342)</f>
        <v>221026.25</v>
      </c>
      <c r="X3342" s="28">
        <v>0</v>
      </c>
      <c r="Y3342" s="28">
        <f>(W3342-X3342)</f>
        <v>221026.25</v>
      </c>
      <c r="Z3342" s="49">
        <v>3.0000000000000001E-3</v>
      </c>
    </row>
    <row r="3343" spans="1:26" s="29" customFormat="1" ht="90.75" customHeight="1" x14ac:dyDescent="0.25">
      <c r="A3343" s="20">
        <v>1572</v>
      </c>
      <c r="B3343" s="20" t="s">
        <v>0</v>
      </c>
      <c r="C3343" s="20">
        <v>10613</v>
      </c>
      <c r="D3343" s="21">
        <v>0</v>
      </c>
      <c r="E3343" s="21">
        <v>1</v>
      </c>
      <c r="F3343" s="22">
        <v>12</v>
      </c>
      <c r="G3343" s="23" t="s">
        <v>211</v>
      </c>
      <c r="H3343" s="36">
        <f>(D3343*400)+(E3343*100)+F3343</f>
        <v>112</v>
      </c>
      <c r="I3343" s="40">
        <v>5000</v>
      </c>
      <c r="J3343" s="28">
        <f t="shared" si="862"/>
        <v>560000</v>
      </c>
      <c r="K3343" s="30"/>
      <c r="L3343" s="31"/>
      <c r="M3343" s="31"/>
      <c r="N3343" s="41"/>
      <c r="O3343" s="48"/>
      <c r="P3343" s="35"/>
      <c r="Q3343" s="36"/>
      <c r="R3343" s="36"/>
      <c r="S3343" s="37"/>
      <c r="T3343" s="28"/>
      <c r="U3343" s="36"/>
      <c r="V3343" s="36"/>
      <c r="W3343" s="36"/>
      <c r="X3343" s="28"/>
      <c r="Y3343" s="28"/>
      <c r="Z3343" s="20"/>
    </row>
    <row r="3344" spans="1:26" s="29" customFormat="1" ht="90.75" customHeight="1" x14ac:dyDescent="0.25">
      <c r="A3344" s="20"/>
      <c r="B3344" s="20"/>
      <c r="C3344" s="20"/>
      <c r="D3344" s="21"/>
      <c r="E3344" s="21"/>
      <c r="F3344" s="22"/>
      <c r="G3344" s="23"/>
      <c r="H3344" s="36">
        <v>97.5</v>
      </c>
      <c r="I3344" s="40">
        <v>5000</v>
      </c>
      <c r="J3344" s="28">
        <f t="shared" si="862"/>
        <v>487500</v>
      </c>
      <c r="K3344" s="30">
        <v>1</v>
      </c>
      <c r="L3344" s="31" t="s">
        <v>215</v>
      </c>
      <c r="M3344" s="31" t="s">
        <v>13</v>
      </c>
      <c r="N3344" s="41">
        <v>2</v>
      </c>
      <c r="O3344" s="48">
        <v>345</v>
      </c>
      <c r="P3344" s="35">
        <v>100</v>
      </c>
      <c r="Q3344" s="36">
        <v>6450</v>
      </c>
      <c r="R3344" s="36">
        <f>(O3344*Q3344)</f>
        <v>2225250</v>
      </c>
      <c r="S3344" s="37">
        <v>7</v>
      </c>
      <c r="T3344" s="28">
        <f>(R3344*7/100)</f>
        <v>155767.5</v>
      </c>
      <c r="U3344" s="36">
        <f>(R3344-T3344)</f>
        <v>2069482.5</v>
      </c>
      <c r="V3344" s="36">
        <f>(J3344+U3344)</f>
        <v>2556982.5</v>
      </c>
      <c r="W3344" s="36">
        <f>(V3344*100/100)</f>
        <v>2556982.5</v>
      </c>
      <c r="X3344" s="28">
        <v>10000000</v>
      </c>
      <c r="Y3344" s="28"/>
      <c r="Z3344" s="49"/>
    </row>
    <row r="3345" spans="1:26" s="29" customFormat="1" ht="90.75" customHeight="1" x14ac:dyDescent="0.25">
      <c r="A3345" s="20"/>
      <c r="B3345" s="20"/>
      <c r="C3345" s="20"/>
      <c r="D3345" s="21"/>
      <c r="E3345" s="21"/>
      <c r="F3345" s="22"/>
      <c r="G3345" s="23"/>
      <c r="H3345" s="36">
        <v>2</v>
      </c>
      <c r="I3345" s="40">
        <v>5000</v>
      </c>
      <c r="J3345" s="28">
        <f t="shared" si="862"/>
        <v>10000</v>
      </c>
      <c r="K3345" s="30">
        <v>2</v>
      </c>
      <c r="L3345" s="31" t="s">
        <v>31</v>
      </c>
      <c r="M3345" s="31"/>
      <c r="N3345" s="41">
        <v>2</v>
      </c>
      <c r="O3345" s="48">
        <v>8</v>
      </c>
      <c r="P3345" s="35">
        <v>100</v>
      </c>
      <c r="Q3345" s="36">
        <v>2550</v>
      </c>
      <c r="R3345" s="36">
        <f t="shared" ref="R3345:R3346" si="868">(O3345*Q3345)</f>
        <v>20400</v>
      </c>
      <c r="S3345" s="37">
        <v>7</v>
      </c>
      <c r="T3345" s="28">
        <f t="shared" ref="T3345:T3346" si="869">(R3345*7/100)</f>
        <v>1428</v>
      </c>
      <c r="U3345" s="36">
        <f t="shared" ref="U3345:U3346" si="870">(R3345-T3345)</f>
        <v>18972</v>
      </c>
      <c r="V3345" s="36">
        <f t="shared" ref="V3345:V3346" si="871">(J3345+U3345)</f>
        <v>28972</v>
      </c>
      <c r="W3345" s="36">
        <f>(V3345*P3345/100)</f>
        <v>28972</v>
      </c>
      <c r="X3345" s="28"/>
      <c r="Y3345" s="28"/>
      <c r="Z3345" s="49"/>
    </row>
    <row r="3346" spans="1:26" s="29" customFormat="1" ht="90.75" customHeight="1" x14ac:dyDescent="0.25">
      <c r="A3346" s="20"/>
      <c r="B3346" s="20"/>
      <c r="C3346" s="20"/>
      <c r="D3346" s="21"/>
      <c r="E3346" s="21"/>
      <c r="F3346" s="22"/>
      <c r="G3346" s="23"/>
      <c r="H3346" s="36">
        <v>12.5</v>
      </c>
      <c r="I3346" s="40">
        <v>5000</v>
      </c>
      <c r="J3346" s="28">
        <f t="shared" si="862"/>
        <v>62500</v>
      </c>
      <c r="K3346" s="30">
        <v>3</v>
      </c>
      <c r="L3346" s="31" t="s">
        <v>31</v>
      </c>
      <c r="M3346" s="31"/>
      <c r="N3346" s="41">
        <v>3</v>
      </c>
      <c r="O3346" s="48">
        <v>50</v>
      </c>
      <c r="P3346" s="35">
        <v>100</v>
      </c>
      <c r="Q3346" s="36">
        <v>2550</v>
      </c>
      <c r="R3346" s="36">
        <f t="shared" si="868"/>
        <v>127500</v>
      </c>
      <c r="S3346" s="37">
        <v>7</v>
      </c>
      <c r="T3346" s="28">
        <f t="shared" si="869"/>
        <v>8925</v>
      </c>
      <c r="U3346" s="36">
        <f t="shared" si="870"/>
        <v>118575</v>
      </c>
      <c r="V3346" s="36">
        <f t="shared" si="871"/>
        <v>181075</v>
      </c>
      <c r="W3346" s="36">
        <f>(V3346*P3346/100)</f>
        <v>181075</v>
      </c>
      <c r="X3346" s="28">
        <v>0</v>
      </c>
      <c r="Y3346" s="28">
        <f>(W3346-X3346)</f>
        <v>181075</v>
      </c>
      <c r="Z3346" s="49">
        <v>3.0000000000000001E-3</v>
      </c>
    </row>
    <row r="3347" spans="1:26" s="29" customFormat="1" ht="90.75" customHeight="1" x14ac:dyDescent="0.25">
      <c r="A3347" s="20">
        <v>1573</v>
      </c>
      <c r="B3347" s="20" t="s">
        <v>0</v>
      </c>
      <c r="C3347" s="20">
        <v>10545</v>
      </c>
      <c r="D3347" s="21">
        <v>0</v>
      </c>
      <c r="E3347" s="21">
        <v>1</v>
      </c>
      <c r="F3347" s="22">
        <v>12</v>
      </c>
      <c r="G3347" s="23" t="s">
        <v>209</v>
      </c>
      <c r="H3347" s="36">
        <f>(D3347*400)+(E3347*100)+F3347</f>
        <v>112</v>
      </c>
      <c r="I3347" s="40">
        <v>4350</v>
      </c>
      <c r="J3347" s="65">
        <f>(H3347*I3347)</f>
        <v>487200</v>
      </c>
      <c r="K3347" s="41"/>
      <c r="L3347" s="31"/>
      <c r="M3347" s="43"/>
      <c r="N3347" s="30"/>
      <c r="O3347" s="48"/>
      <c r="P3347" s="43"/>
      <c r="Q3347" s="44"/>
      <c r="R3347" s="41"/>
      <c r="S3347" s="41"/>
      <c r="T3347" s="47"/>
      <c r="U3347" s="41"/>
      <c r="V3347" s="48"/>
      <c r="W3347" s="48"/>
      <c r="X3347" s="47"/>
      <c r="Y3347" s="48"/>
      <c r="Z3347" s="49"/>
    </row>
    <row r="3348" spans="1:26" s="29" customFormat="1" ht="90.75" customHeight="1" x14ac:dyDescent="0.25">
      <c r="A3348" s="20"/>
      <c r="B3348" s="20"/>
      <c r="C3348" s="20"/>
      <c r="D3348" s="21"/>
      <c r="E3348" s="21"/>
      <c r="F3348" s="22"/>
      <c r="G3348" s="23"/>
      <c r="H3348" s="36">
        <f>(O3348*0.25)</f>
        <v>50</v>
      </c>
      <c r="I3348" s="40">
        <v>4350</v>
      </c>
      <c r="J3348" s="28">
        <f>(H3348*I3348)</f>
        <v>217500</v>
      </c>
      <c r="K3348" s="37">
        <v>1</v>
      </c>
      <c r="L3348" s="31" t="s">
        <v>28</v>
      </c>
      <c r="M3348" s="31" t="s">
        <v>13</v>
      </c>
      <c r="N3348" s="41">
        <v>3</v>
      </c>
      <c r="O3348" s="46">
        <v>200</v>
      </c>
      <c r="P3348" s="86">
        <v>100</v>
      </c>
      <c r="Q3348" s="36">
        <v>5500</v>
      </c>
      <c r="R3348" s="36">
        <f>(O3348*Q3348)</f>
        <v>1100000</v>
      </c>
      <c r="S3348" s="37">
        <v>12</v>
      </c>
      <c r="T3348" s="28">
        <f>(R3348*14/100)</f>
        <v>154000</v>
      </c>
      <c r="U3348" s="36">
        <f>(R3348-T3348)</f>
        <v>946000</v>
      </c>
      <c r="V3348" s="36">
        <f>(J3348+U3348)</f>
        <v>1163500</v>
      </c>
      <c r="W3348" s="36">
        <f>(V3348*100/100)</f>
        <v>1163500</v>
      </c>
      <c r="X3348" s="28">
        <v>0</v>
      </c>
      <c r="Y3348" s="28">
        <f>(W3348-X3348)</f>
        <v>1163500</v>
      </c>
      <c r="Z3348" s="49">
        <v>3.0000000000000001E-3</v>
      </c>
    </row>
    <row r="3349" spans="1:26" s="29" customFormat="1" ht="90.75" customHeight="1" x14ac:dyDescent="0.25">
      <c r="A3349" s="20">
        <v>1574</v>
      </c>
      <c r="B3349" s="20" t="s">
        <v>0</v>
      </c>
      <c r="C3349" s="20">
        <v>1449</v>
      </c>
      <c r="D3349" s="37">
        <v>1</v>
      </c>
      <c r="E3349" s="37">
        <v>2</v>
      </c>
      <c r="F3349" s="37">
        <v>46</v>
      </c>
      <c r="G3349" s="21" t="s">
        <v>211</v>
      </c>
      <c r="H3349" s="36">
        <f t="shared" ref="H3349" si="872">(D3349*400)+(E3349*100)+F3349</f>
        <v>646</v>
      </c>
      <c r="I3349" s="40">
        <v>450</v>
      </c>
      <c r="J3349" s="65">
        <f t="shared" ref="J3349" si="873">(H3349*I3349)</f>
        <v>290700</v>
      </c>
      <c r="K3349" s="41"/>
      <c r="L3349" s="31"/>
      <c r="M3349" s="43"/>
      <c r="N3349" s="30"/>
      <c r="O3349" s="48"/>
      <c r="P3349" s="43"/>
      <c r="Q3349" s="44"/>
      <c r="R3349" s="41"/>
      <c r="S3349" s="41"/>
      <c r="T3349" s="47"/>
      <c r="U3349" s="41"/>
      <c r="V3349" s="48"/>
      <c r="W3349" s="48"/>
      <c r="X3349" s="47"/>
      <c r="Y3349" s="48"/>
      <c r="Z3349" s="53"/>
    </row>
    <row r="3350" spans="1:26" s="29" customFormat="1" ht="90.75" customHeight="1" x14ac:dyDescent="0.25">
      <c r="A3350" s="20"/>
      <c r="B3350" s="20"/>
      <c r="C3350" s="20"/>
      <c r="D3350" s="41"/>
      <c r="E3350" s="41"/>
      <c r="F3350" s="43"/>
      <c r="G3350" s="51"/>
      <c r="H3350" s="36">
        <v>466</v>
      </c>
      <c r="I3350" s="40">
        <v>625</v>
      </c>
      <c r="J3350" s="28">
        <f>(H3350*I3350)</f>
        <v>291250</v>
      </c>
      <c r="K3350" s="37"/>
      <c r="L3350" s="31"/>
      <c r="M3350" s="31"/>
      <c r="N3350" s="31"/>
      <c r="O3350" s="48"/>
      <c r="P3350" s="86"/>
      <c r="Q3350" s="36"/>
      <c r="R3350" s="36"/>
      <c r="S3350" s="37"/>
      <c r="T3350" s="28"/>
      <c r="U3350" s="36"/>
      <c r="V3350" s="36"/>
      <c r="W3350" s="36"/>
      <c r="X3350" s="28"/>
      <c r="Y3350" s="28"/>
      <c r="Z3350" s="20"/>
    </row>
    <row r="3351" spans="1:26" s="29" customFormat="1" ht="90.75" customHeight="1" x14ac:dyDescent="0.25">
      <c r="A3351" s="20"/>
      <c r="B3351" s="20"/>
      <c r="C3351" s="20"/>
      <c r="D3351" s="41"/>
      <c r="E3351" s="41"/>
      <c r="F3351" s="43"/>
      <c r="G3351" s="51"/>
      <c r="H3351" s="36"/>
      <c r="I3351" s="40"/>
      <c r="J3351" s="28"/>
      <c r="K3351" s="37">
        <v>1</v>
      </c>
      <c r="L3351" s="31" t="s">
        <v>114</v>
      </c>
      <c r="M3351" s="31" t="s">
        <v>13</v>
      </c>
      <c r="N3351" s="31"/>
      <c r="O3351" s="48">
        <v>22.5</v>
      </c>
      <c r="P3351" s="86">
        <v>100</v>
      </c>
      <c r="Q3351" s="36">
        <v>6450</v>
      </c>
      <c r="R3351" s="36">
        <f>(O3351*Q3351)</f>
        <v>145125</v>
      </c>
      <c r="S3351" s="37">
        <v>8</v>
      </c>
      <c r="T3351" s="28">
        <f>(R3351*8/100)</f>
        <v>11610</v>
      </c>
      <c r="U3351" s="36">
        <f>(R3351-T3351)</f>
        <v>133515</v>
      </c>
      <c r="V3351" s="36"/>
      <c r="W3351" s="36"/>
      <c r="X3351" s="28"/>
      <c r="Y3351" s="28"/>
      <c r="Z3351" s="20"/>
    </row>
    <row r="3352" spans="1:26" s="29" customFormat="1" ht="90.75" customHeight="1" x14ac:dyDescent="0.25">
      <c r="A3352" s="20"/>
      <c r="B3352" s="20"/>
      <c r="C3352" s="20"/>
      <c r="D3352" s="41"/>
      <c r="E3352" s="41"/>
      <c r="F3352" s="43"/>
      <c r="G3352" s="41"/>
      <c r="H3352" s="36"/>
      <c r="I3352" s="40"/>
      <c r="J3352" s="28"/>
      <c r="K3352" s="37">
        <v>2</v>
      </c>
      <c r="L3352" s="31" t="s">
        <v>31</v>
      </c>
      <c r="M3352" s="31"/>
      <c r="N3352" s="31"/>
      <c r="O3352" s="48">
        <v>24</v>
      </c>
      <c r="P3352" s="86">
        <v>100</v>
      </c>
      <c r="Q3352" s="36">
        <v>2550</v>
      </c>
      <c r="R3352" s="36">
        <f>(O3352*Q3352)</f>
        <v>61200</v>
      </c>
      <c r="S3352" s="37">
        <v>8</v>
      </c>
      <c r="T3352" s="28">
        <f>(R3352*8/100)</f>
        <v>4896</v>
      </c>
      <c r="U3352" s="36">
        <f>(R3352-T3352)</f>
        <v>56304</v>
      </c>
      <c r="V3352" s="36"/>
      <c r="W3352" s="36"/>
      <c r="X3352" s="28"/>
      <c r="Y3352" s="28"/>
      <c r="Z3352" s="20"/>
    </row>
    <row r="3353" spans="1:26" s="29" customFormat="1" ht="90.75" customHeight="1" x14ac:dyDescent="0.25">
      <c r="A3353" s="20"/>
      <c r="B3353" s="20"/>
      <c r="C3353" s="20"/>
      <c r="D3353" s="41"/>
      <c r="E3353" s="41"/>
      <c r="F3353" s="43"/>
      <c r="G3353" s="41"/>
      <c r="H3353" s="36"/>
      <c r="I3353" s="40"/>
      <c r="J3353" s="28"/>
      <c r="K3353" s="37"/>
      <c r="L3353" s="31"/>
      <c r="M3353" s="31"/>
      <c r="N3353" s="31"/>
      <c r="O3353" s="48"/>
      <c r="P3353" s="86"/>
      <c r="Q3353" s="36"/>
      <c r="R3353" s="36"/>
      <c r="S3353" s="37"/>
      <c r="T3353" s="28"/>
      <c r="U3353" s="36">
        <f>(U3351+U3352)</f>
        <v>189819</v>
      </c>
      <c r="V3353" s="36">
        <f>(J3350-U3353)</f>
        <v>101431</v>
      </c>
      <c r="W3353" s="36">
        <f>(V3353*100/100)</f>
        <v>101431</v>
      </c>
      <c r="X3353" s="28">
        <v>50000000</v>
      </c>
      <c r="Y3353" s="28"/>
      <c r="Z3353" s="49"/>
    </row>
    <row r="3354" spans="1:26" s="29" customFormat="1" ht="90.75" customHeight="1" x14ac:dyDescent="0.25">
      <c r="A3354" s="20"/>
      <c r="B3354" s="20"/>
      <c r="C3354" s="20"/>
      <c r="D3354" s="41">
        <v>0</v>
      </c>
      <c r="E3354" s="41">
        <v>0</v>
      </c>
      <c r="F3354" s="43">
        <v>30</v>
      </c>
      <c r="G3354" s="21" t="s">
        <v>211</v>
      </c>
      <c r="H3354" s="36">
        <f>(D3354*400)+(E3354*100)+F3354</f>
        <v>30</v>
      </c>
      <c r="I3354" s="40">
        <v>625</v>
      </c>
      <c r="J3354" s="28">
        <f>(H3354*I3354)</f>
        <v>18750</v>
      </c>
      <c r="K3354" s="37">
        <v>3</v>
      </c>
      <c r="L3354" s="31" t="s">
        <v>43</v>
      </c>
      <c r="M3354" s="31" t="s">
        <v>13</v>
      </c>
      <c r="N3354" s="31"/>
      <c r="O3354" s="48">
        <v>112</v>
      </c>
      <c r="P3354" s="86">
        <v>100</v>
      </c>
      <c r="Q3354" s="36">
        <v>7700</v>
      </c>
      <c r="R3354" s="36">
        <f>(O3354*Q3354)</f>
        <v>862400</v>
      </c>
      <c r="S3354" s="37">
        <v>8</v>
      </c>
      <c r="T3354" s="28">
        <f>(R3354*8/100)</f>
        <v>68992</v>
      </c>
      <c r="U3354" s="36">
        <f>(R3354-T3354)</f>
        <v>793408</v>
      </c>
      <c r="V3354" s="36">
        <f>(J3354+U3354)</f>
        <v>812158</v>
      </c>
      <c r="W3354" s="36">
        <f>(V3354*100/100)</f>
        <v>812158</v>
      </c>
      <c r="X3354" s="28"/>
      <c r="Y3354" s="28"/>
      <c r="Z3354" s="20"/>
    </row>
    <row r="3355" spans="1:26" s="29" customFormat="1" ht="90.75" customHeight="1" x14ac:dyDescent="0.25">
      <c r="A3355" s="20"/>
      <c r="B3355" s="20"/>
      <c r="C3355" s="20"/>
      <c r="D3355" s="41"/>
      <c r="E3355" s="41"/>
      <c r="F3355" s="43"/>
      <c r="G3355" s="41"/>
      <c r="H3355" s="36"/>
      <c r="I3355" s="40"/>
      <c r="J3355" s="28"/>
      <c r="K3355" s="37"/>
      <c r="L3355" s="31" t="s">
        <v>273</v>
      </c>
      <c r="M3355" s="31"/>
      <c r="N3355" s="31"/>
      <c r="O3355" s="48">
        <v>90</v>
      </c>
      <c r="P3355" s="86">
        <v>80.36</v>
      </c>
      <c r="Q3355" s="36"/>
      <c r="R3355" s="36"/>
      <c r="S3355" s="37"/>
      <c r="T3355" s="28"/>
      <c r="U3355" s="36"/>
      <c r="V3355" s="36"/>
      <c r="W3355" s="36">
        <f>(W3354*80.36/100)</f>
        <v>652650.16879999998</v>
      </c>
      <c r="X3355" s="28">
        <v>0</v>
      </c>
      <c r="Y3355" s="28">
        <f>(W3355-X3355)</f>
        <v>652650.16879999998</v>
      </c>
      <c r="Z3355" s="49">
        <v>2.0000000000000001E-4</v>
      </c>
    </row>
    <row r="3356" spans="1:26" s="29" customFormat="1" ht="90.75" customHeight="1" x14ac:dyDescent="0.25">
      <c r="A3356" s="20"/>
      <c r="B3356" s="20"/>
      <c r="C3356" s="20"/>
      <c r="D3356" s="41"/>
      <c r="E3356" s="41"/>
      <c r="F3356" s="43"/>
      <c r="G3356" s="41"/>
      <c r="H3356" s="36"/>
      <c r="I3356" s="40"/>
      <c r="J3356" s="28"/>
      <c r="K3356" s="37"/>
      <c r="L3356" s="31" t="s">
        <v>61</v>
      </c>
      <c r="M3356" s="31"/>
      <c r="N3356" s="31"/>
      <c r="O3356" s="48">
        <v>22</v>
      </c>
      <c r="P3356" s="86">
        <v>19.64</v>
      </c>
      <c r="Q3356" s="36"/>
      <c r="R3356" s="36"/>
      <c r="S3356" s="37"/>
      <c r="T3356" s="28"/>
      <c r="U3356" s="36"/>
      <c r="V3356" s="36"/>
      <c r="W3356" s="36">
        <f>(W3354*19.64/100)</f>
        <v>159507.83120000002</v>
      </c>
      <c r="X3356" s="28">
        <v>0</v>
      </c>
      <c r="Y3356" s="28">
        <f>(W3356-X3356)</f>
        <v>159507.83120000002</v>
      </c>
      <c r="Z3356" s="49">
        <v>3.0000000000000001E-3</v>
      </c>
    </row>
    <row r="3357" spans="1:26" s="29" customFormat="1" ht="90.75" customHeight="1" x14ac:dyDescent="0.25">
      <c r="A3357" s="20"/>
      <c r="B3357" s="20"/>
      <c r="C3357" s="20"/>
      <c r="D3357" s="41">
        <v>0</v>
      </c>
      <c r="E3357" s="41">
        <v>0</v>
      </c>
      <c r="F3357" s="43">
        <v>30</v>
      </c>
      <c r="G3357" s="41"/>
      <c r="H3357" s="36">
        <f>(D3357*400)+(E3357*100)+F3357</f>
        <v>30</v>
      </c>
      <c r="I3357" s="40">
        <v>625</v>
      </c>
      <c r="J3357" s="28">
        <f>(H3357*I3357)</f>
        <v>18750</v>
      </c>
      <c r="K3357" s="37">
        <v>4</v>
      </c>
      <c r="L3357" s="31" t="s">
        <v>43</v>
      </c>
      <c r="M3357" s="31"/>
      <c r="N3357" s="31"/>
      <c r="O3357" s="48">
        <v>112.5</v>
      </c>
      <c r="P3357" s="86">
        <v>100</v>
      </c>
      <c r="Q3357" s="36">
        <v>7700</v>
      </c>
      <c r="R3357" s="36">
        <f>(O3357*Q3357)</f>
        <v>866250</v>
      </c>
      <c r="S3357" s="37">
        <v>8</v>
      </c>
      <c r="T3357" s="28">
        <f>(R3357*8/100)</f>
        <v>69300</v>
      </c>
      <c r="U3357" s="36">
        <f>(R3357-T3357)</f>
        <v>796950</v>
      </c>
      <c r="V3357" s="36">
        <f>(J3357+U3357)</f>
        <v>815700</v>
      </c>
      <c r="W3357" s="36">
        <f>(V3357*100/100)</f>
        <v>815700</v>
      </c>
      <c r="X3357" s="28">
        <v>0</v>
      </c>
      <c r="Y3357" s="28">
        <f>(W3357-X3357)</f>
        <v>815700</v>
      </c>
      <c r="Z3357" s="49">
        <v>2.0000000000000001E-4</v>
      </c>
    </row>
    <row r="3358" spans="1:26" s="29" customFormat="1" ht="90.75" customHeight="1" x14ac:dyDescent="0.25">
      <c r="A3358" s="20"/>
      <c r="B3358" s="20"/>
      <c r="C3358" s="20"/>
      <c r="D3358" s="41">
        <v>0</v>
      </c>
      <c r="E3358" s="41">
        <v>0</v>
      </c>
      <c r="F3358" s="43">
        <v>50</v>
      </c>
      <c r="G3358" s="41"/>
      <c r="H3358" s="36">
        <f>(D3358*400)+(E3358*100)+F3358</f>
        <v>50</v>
      </c>
      <c r="I3358" s="40">
        <v>625</v>
      </c>
      <c r="J3358" s="28">
        <f>(H3358*I3358)</f>
        <v>31250</v>
      </c>
      <c r="K3358" s="37">
        <v>5</v>
      </c>
      <c r="L3358" s="31" t="s">
        <v>43</v>
      </c>
      <c r="M3358" s="31"/>
      <c r="N3358" s="31"/>
      <c r="O3358" s="48">
        <v>168</v>
      </c>
      <c r="P3358" s="86">
        <v>100</v>
      </c>
      <c r="Q3358" s="36">
        <v>7700</v>
      </c>
      <c r="R3358" s="36">
        <f>(O3358*Q3358)</f>
        <v>1293600</v>
      </c>
      <c r="S3358" s="37">
        <v>6</v>
      </c>
      <c r="T3358" s="28">
        <f>(R3358*6/100)</f>
        <v>77616</v>
      </c>
      <c r="U3358" s="36">
        <f>(R3358-T3358)</f>
        <v>1215984</v>
      </c>
      <c r="V3358" s="36">
        <f>(J3358+U3358)</f>
        <v>1247234</v>
      </c>
      <c r="W3358" s="36">
        <f>(V3358*100/100)</f>
        <v>1247234</v>
      </c>
      <c r="X3358" s="28">
        <v>0</v>
      </c>
      <c r="Y3358" s="28">
        <f>(W3358-X3358)</f>
        <v>1247234</v>
      </c>
      <c r="Z3358" s="49">
        <v>2.0000000000000001E-4</v>
      </c>
    </row>
    <row r="3359" spans="1:26" s="29" customFormat="1" ht="90.75" customHeight="1" x14ac:dyDescent="0.25">
      <c r="A3359" s="20"/>
      <c r="B3359" s="20"/>
      <c r="C3359" s="20"/>
      <c r="D3359" s="41">
        <v>0</v>
      </c>
      <c r="E3359" s="41">
        <v>0</v>
      </c>
      <c r="F3359" s="43">
        <v>50</v>
      </c>
      <c r="G3359" s="41"/>
      <c r="H3359" s="36">
        <f>(D3359*400)+(E3359*100)+F3359</f>
        <v>50</v>
      </c>
      <c r="I3359" s="40">
        <v>625</v>
      </c>
      <c r="J3359" s="28">
        <f>(H3359*I3359)</f>
        <v>31250</v>
      </c>
      <c r="K3359" s="37"/>
      <c r="L3359" s="31"/>
      <c r="M3359" s="31"/>
      <c r="N3359" s="31"/>
      <c r="O3359" s="31"/>
      <c r="P3359" s="86"/>
      <c r="Q3359" s="36"/>
      <c r="R3359" s="36"/>
      <c r="S3359" s="37"/>
      <c r="T3359" s="28"/>
      <c r="U3359" s="36"/>
      <c r="V3359" s="36"/>
      <c r="W3359" s="36"/>
      <c r="X3359" s="28"/>
      <c r="Y3359" s="28"/>
      <c r="Z3359" s="20"/>
    </row>
    <row r="3360" spans="1:26" s="29" customFormat="1" ht="90.75" customHeight="1" x14ac:dyDescent="0.25">
      <c r="A3360" s="20"/>
      <c r="B3360" s="20"/>
      <c r="C3360" s="20"/>
      <c r="D3360" s="41"/>
      <c r="E3360" s="41"/>
      <c r="F3360" s="43"/>
      <c r="G3360" s="41"/>
      <c r="H3360" s="36"/>
      <c r="I3360" s="40"/>
      <c r="J3360" s="28"/>
      <c r="K3360" s="37">
        <v>6</v>
      </c>
      <c r="L3360" s="31" t="s">
        <v>215</v>
      </c>
      <c r="M3360" s="31" t="s">
        <v>40</v>
      </c>
      <c r="N3360" s="31">
        <v>2</v>
      </c>
      <c r="O3360" s="31">
        <v>49.5</v>
      </c>
      <c r="P3360" s="86">
        <v>100</v>
      </c>
      <c r="Q3360" s="36">
        <v>6450</v>
      </c>
      <c r="R3360" s="36">
        <f>(O3360*Q3360)</f>
        <v>319275</v>
      </c>
      <c r="S3360" s="37">
        <v>5</v>
      </c>
      <c r="T3360" s="28">
        <f>(R3360*15/100)</f>
        <v>47891.25</v>
      </c>
      <c r="U3360" s="36">
        <f>(R3360-T3360)</f>
        <v>271383.75</v>
      </c>
      <c r="V3360" s="36"/>
      <c r="W3360" s="36"/>
      <c r="X3360" s="28"/>
      <c r="Y3360" s="28"/>
      <c r="Z3360" s="20"/>
    </row>
    <row r="3361" spans="1:26" s="29" customFormat="1" ht="90.75" customHeight="1" x14ac:dyDescent="0.25">
      <c r="A3361" s="20"/>
      <c r="B3361" s="20"/>
      <c r="C3361" s="20"/>
      <c r="D3361" s="108"/>
      <c r="E3361" s="108"/>
      <c r="F3361" s="123"/>
      <c r="G3361" s="108"/>
      <c r="H3361" s="103"/>
      <c r="I3361" s="104"/>
      <c r="J3361" s="105"/>
      <c r="K3361" s="106">
        <v>7</v>
      </c>
      <c r="L3361" s="31" t="s">
        <v>31</v>
      </c>
      <c r="M3361" s="31"/>
      <c r="N3361" s="31">
        <v>2</v>
      </c>
      <c r="O3361" s="31">
        <v>38.5</v>
      </c>
      <c r="P3361" s="86">
        <v>100</v>
      </c>
      <c r="Q3361" s="36">
        <v>2550</v>
      </c>
      <c r="R3361" s="36">
        <f>(O3361*Q3361)</f>
        <v>98175</v>
      </c>
      <c r="S3361" s="37">
        <v>5</v>
      </c>
      <c r="T3361" s="28">
        <f>(R3361*15/100)</f>
        <v>14726.25</v>
      </c>
      <c r="U3361" s="36">
        <f>(R3361-T3361)</f>
        <v>83448.75</v>
      </c>
      <c r="V3361" s="36"/>
      <c r="W3361" s="36"/>
      <c r="X3361" s="28"/>
      <c r="Y3361" s="28"/>
      <c r="Z3361" s="20"/>
    </row>
    <row r="3362" spans="1:26" s="29" customFormat="1" ht="90.75" customHeight="1" x14ac:dyDescent="0.25">
      <c r="A3362" s="20"/>
      <c r="B3362" s="20"/>
      <c r="C3362" s="20"/>
      <c r="D3362" s="108"/>
      <c r="E3362" s="108"/>
      <c r="F3362" s="123"/>
      <c r="G3362" s="108"/>
      <c r="H3362" s="103"/>
      <c r="I3362" s="104"/>
      <c r="J3362" s="105"/>
      <c r="K3362" s="106"/>
      <c r="L3362" s="31"/>
      <c r="M3362" s="31"/>
      <c r="N3362" s="31"/>
      <c r="O3362" s="31"/>
      <c r="P3362" s="86"/>
      <c r="Q3362" s="36"/>
      <c r="R3362" s="36"/>
      <c r="S3362" s="37"/>
      <c r="T3362" s="28"/>
      <c r="U3362" s="36">
        <f>SUM(U3360:U3361)</f>
        <v>354832.5</v>
      </c>
      <c r="V3362" s="36">
        <f>(J3359+U3362)</f>
        <v>386082.5</v>
      </c>
      <c r="W3362" s="36">
        <f>(V3362*100/100)</f>
        <v>386082.5</v>
      </c>
      <c r="X3362" s="28">
        <v>10000000</v>
      </c>
      <c r="Y3362" s="28"/>
      <c r="Z3362" s="49"/>
    </row>
    <row r="3363" spans="1:26" s="29" customFormat="1" ht="90.75" customHeight="1" x14ac:dyDescent="0.25">
      <c r="A3363" s="20"/>
      <c r="B3363" s="20"/>
      <c r="C3363" s="20"/>
      <c r="D3363" s="41">
        <v>0</v>
      </c>
      <c r="E3363" s="41">
        <v>0</v>
      </c>
      <c r="F3363" s="43">
        <v>20</v>
      </c>
      <c r="G3363" s="41"/>
      <c r="H3363" s="36">
        <f>(D3363*400)+(E3363*100)+F3363</f>
        <v>20</v>
      </c>
      <c r="I3363" s="40">
        <v>625</v>
      </c>
      <c r="J3363" s="28">
        <f>(H3363*I3363)</f>
        <v>12500</v>
      </c>
      <c r="K3363" s="37">
        <v>8</v>
      </c>
      <c r="L3363" s="31" t="s">
        <v>215</v>
      </c>
      <c r="M3363" s="31" t="s">
        <v>187</v>
      </c>
      <c r="N3363" s="31"/>
      <c r="O3363" s="31">
        <v>52.5</v>
      </c>
      <c r="P3363" s="86">
        <v>100</v>
      </c>
      <c r="Q3363" s="36">
        <v>6450</v>
      </c>
      <c r="R3363" s="36">
        <f>(O3363*Q3363)</f>
        <v>338625</v>
      </c>
      <c r="S3363" s="37">
        <v>4</v>
      </c>
      <c r="T3363" s="28">
        <f>(R3363*12/100)</f>
        <v>40635</v>
      </c>
      <c r="U3363" s="36">
        <f>(R3363-T3363)</f>
        <v>297990</v>
      </c>
      <c r="V3363" s="36">
        <f>(J3363+U3363)</f>
        <v>310490</v>
      </c>
      <c r="W3363" s="36">
        <f>(V3363*100/100)</f>
        <v>310490</v>
      </c>
      <c r="X3363" s="28">
        <v>10000000</v>
      </c>
      <c r="Y3363" s="28"/>
      <c r="Z3363" s="49"/>
    </row>
    <row r="3364" spans="1:26" s="29" customFormat="1" ht="90.75" customHeight="1" x14ac:dyDescent="0.25">
      <c r="A3364" s="20">
        <v>1575</v>
      </c>
      <c r="B3364" s="20" t="s">
        <v>0</v>
      </c>
      <c r="C3364" s="20">
        <v>10533</v>
      </c>
      <c r="D3364" s="21">
        <v>1</v>
      </c>
      <c r="E3364" s="21">
        <v>2</v>
      </c>
      <c r="F3364" s="22">
        <v>98</v>
      </c>
      <c r="G3364" s="23" t="s">
        <v>209</v>
      </c>
      <c r="H3364" s="36">
        <f>(D3364*400)+(E3364*100)+F3364</f>
        <v>698</v>
      </c>
      <c r="I3364" s="40">
        <v>3750</v>
      </c>
      <c r="J3364" s="65">
        <f>(H3364*I3364)</f>
        <v>2617500</v>
      </c>
      <c r="K3364" s="30"/>
      <c r="L3364" s="20"/>
      <c r="M3364" s="35"/>
      <c r="N3364" s="30"/>
      <c r="O3364" s="36"/>
      <c r="P3364" s="86"/>
      <c r="Q3364" s="40"/>
      <c r="R3364" s="84"/>
      <c r="S3364" s="84"/>
      <c r="T3364" s="28"/>
      <c r="U3364" s="36"/>
      <c r="V3364" s="36"/>
      <c r="W3364" s="36"/>
      <c r="X3364" s="28"/>
      <c r="Y3364" s="26"/>
      <c r="Z3364" s="49"/>
    </row>
    <row r="3365" spans="1:26" s="29" customFormat="1" ht="90.75" customHeight="1" x14ac:dyDescent="0.25">
      <c r="A3365" s="20"/>
      <c r="B3365" s="20"/>
      <c r="C3365" s="20"/>
      <c r="D3365" s="21"/>
      <c r="E3365" s="21"/>
      <c r="F3365" s="22"/>
      <c r="G3365" s="23"/>
      <c r="H3365" s="36"/>
      <c r="I3365" s="44"/>
      <c r="J3365" s="65"/>
      <c r="K3365" s="37">
        <v>1</v>
      </c>
      <c r="L3365" s="20" t="s">
        <v>29</v>
      </c>
      <c r="M3365" s="20" t="s">
        <v>13</v>
      </c>
      <c r="N3365" s="21">
        <v>3</v>
      </c>
      <c r="O3365" s="63">
        <v>225</v>
      </c>
      <c r="P3365" s="35">
        <v>100</v>
      </c>
      <c r="Q3365" s="77">
        <v>5550</v>
      </c>
      <c r="R3365" s="77">
        <f>(O3365*Q3365)</f>
        <v>1248750</v>
      </c>
      <c r="S3365" s="37">
        <v>6</v>
      </c>
      <c r="T3365" s="28">
        <f>(R3365*6/100)</f>
        <v>74925</v>
      </c>
      <c r="U3365" s="36">
        <f>(R3365-T3365)</f>
        <v>1173825</v>
      </c>
      <c r="V3365" s="48"/>
      <c r="W3365" s="48"/>
      <c r="X3365" s="47"/>
      <c r="Y3365" s="48"/>
      <c r="Z3365" s="53"/>
    </row>
    <row r="3366" spans="1:26" s="29" customFormat="1" ht="90.75" customHeight="1" x14ac:dyDescent="0.25">
      <c r="A3366" s="20"/>
      <c r="B3366" s="20"/>
      <c r="C3366" s="20"/>
      <c r="D3366" s="21"/>
      <c r="E3366" s="21"/>
      <c r="F3366" s="22"/>
      <c r="G3366" s="23"/>
      <c r="H3366" s="36"/>
      <c r="I3366" s="44"/>
      <c r="J3366" s="65"/>
      <c r="K3366" s="37">
        <v>2</v>
      </c>
      <c r="L3366" s="20" t="s">
        <v>29</v>
      </c>
      <c r="M3366" s="20" t="s">
        <v>13</v>
      </c>
      <c r="N3366" s="21">
        <v>3</v>
      </c>
      <c r="O3366" s="63">
        <v>193.75</v>
      </c>
      <c r="P3366" s="35">
        <v>100</v>
      </c>
      <c r="Q3366" s="77">
        <v>5550</v>
      </c>
      <c r="R3366" s="77">
        <f t="shared" ref="R3366:R3367" si="874">(O3366*Q3366)</f>
        <v>1075312.5</v>
      </c>
      <c r="S3366" s="37">
        <v>6</v>
      </c>
      <c r="T3366" s="28">
        <f t="shared" ref="T3366:T3367" si="875">(R3366*6/100)</f>
        <v>64518.75</v>
      </c>
      <c r="U3366" s="36">
        <f t="shared" ref="U3366:U3367" si="876">(R3366-T3366)</f>
        <v>1010793.75</v>
      </c>
      <c r="V3366" s="48"/>
      <c r="W3366" s="48"/>
      <c r="X3366" s="47"/>
      <c r="Y3366" s="48"/>
      <c r="Z3366" s="53"/>
    </row>
    <row r="3367" spans="1:26" s="29" customFormat="1" ht="90.75" customHeight="1" x14ac:dyDescent="0.25">
      <c r="A3367" s="20"/>
      <c r="B3367" s="20"/>
      <c r="C3367" s="20"/>
      <c r="D3367" s="21"/>
      <c r="E3367" s="21"/>
      <c r="F3367" s="22"/>
      <c r="G3367" s="23"/>
      <c r="H3367" s="36"/>
      <c r="I3367" s="44"/>
      <c r="J3367" s="65"/>
      <c r="K3367" s="37">
        <v>3</v>
      </c>
      <c r="L3367" s="20" t="s">
        <v>49</v>
      </c>
      <c r="M3367" s="20"/>
      <c r="N3367" s="21">
        <v>3</v>
      </c>
      <c r="O3367" s="63">
        <v>67.5</v>
      </c>
      <c r="P3367" s="35">
        <v>100</v>
      </c>
      <c r="Q3367" s="77">
        <v>2550</v>
      </c>
      <c r="R3367" s="77">
        <f t="shared" si="874"/>
        <v>172125</v>
      </c>
      <c r="S3367" s="37">
        <v>6</v>
      </c>
      <c r="T3367" s="28">
        <f t="shared" si="875"/>
        <v>10327.5</v>
      </c>
      <c r="U3367" s="77">
        <f t="shared" si="876"/>
        <v>161797.5</v>
      </c>
      <c r="V3367" s="48"/>
      <c r="W3367" s="48"/>
      <c r="X3367" s="47"/>
      <c r="Y3367" s="48"/>
      <c r="Z3367" s="53"/>
    </row>
    <row r="3368" spans="1:26" s="29" customFormat="1" ht="90.75" customHeight="1" x14ac:dyDescent="0.25">
      <c r="A3368" s="20"/>
      <c r="B3368" s="20"/>
      <c r="C3368" s="20"/>
      <c r="D3368" s="21"/>
      <c r="E3368" s="21"/>
      <c r="F3368" s="22"/>
      <c r="G3368" s="23"/>
      <c r="H3368" s="36"/>
      <c r="I3368" s="44"/>
      <c r="J3368" s="65"/>
      <c r="K3368" s="37"/>
      <c r="L3368" s="20"/>
      <c r="M3368" s="20"/>
      <c r="N3368" s="21"/>
      <c r="O3368" s="63"/>
      <c r="P3368" s="35"/>
      <c r="Q3368" s="77"/>
      <c r="R3368" s="77"/>
      <c r="S3368" s="37"/>
      <c r="T3368" s="28"/>
      <c r="U3368" s="77">
        <f>SUM(U3365:U3367)</f>
        <v>2346416.25</v>
      </c>
      <c r="V3368" s="48">
        <f>(J3364+U3368)</f>
        <v>4963916.25</v>
      </c>
      <c r="W3368" s="48">
        <f>(V3368*100/100)</f>
        <v>4963916.25</v>
      </c>
      <c r="X3368" s="47">
        <v>0</v>
      </c>
      <c r="Y3368" s="48">
        <f>(W3368-X3368)</f>
        <v>4963916.25</v>
      </c>
      <c r="Z3368" s="49">
        <v>3.0000000000000001E-3</v>
      </c>
    </row>
    <row r="3369" spans="1:26" s="29" customFormat="1" ht="90.75" customHeight="1" x14ac:dyDescent="0.25">
      <c r="A3369" s="20">
        <v>1576</v>
      </c>
      <c r="B3369" s="20" t="s">
        <v>0</v>
      </c>
      <c r="C3369" s="20">
        <v>53601</v>
      </c>
      <c r="D3369" s="21">
        <v>2</v>
      </c>
      <c r="E3369" s="21">
        <v>2</v>
      </c>
      <c r="F3369" s="22">
        <v>28</v>
      </c>
      <c r="G3369" s="23" t="s">
        <v>209</v>
      </c>
      <c r="H3369" s="36">
        <f>(D3369*400)+(E3369*100)+F3369</f>
        <v>1028</v>
      </c>
      <c r="I3369" s="25">
        <v>450</v>
      </c>
      <c r="J3369" s="65">
        <f>(H3369*I3369)</f>
        <v>462600</v>
      </c>
      <c r="K3369" s="20">
        <v>1</v>
      </c>
      <c r="L3369" s="20" t="s">
        <v>188</v>
      </c>
      <c r="M3369" s="20" t="s">
        <v>13</v>
      </c>
      <c r="N3369" s="20">
        <v>3</v>
      </c>
      <c r="O3369" s="24">
        <v>1255</v>
      </c>
      <c r="P3369" s="35">
        <v>100</v>
      </c>
      <c r="Q3369" s="77">
        <v>5550</v>
      </c>
      <c r="R3369" s="77">
        <f t="shared" ref="R3369" si="877">(O3369*Q3369)</f>
        <v>6965250</v>
      </c>
      <c r="S3369" s="20">
        <v>1</v>
      </c>
      <c r="T3369" s="28">
        <f>(R3369*1/100)</f>
        <v>69652.5</v>
      </c>
      <c r="U3369" s="36">
        <f>(R3369-T3369)</f>
        <v>6895597.5</v>
      </c>
      <c r="V3369" s="48">
        <f>(J3369+U3369)</f>
        <v>7358197.5</v>
      </c>
      <c r="W3369" s="48">
        <f>(V3369*100/100)</f>
        <v>7358197.5</v>
      </c>
      <c r="X3369" s="47">
        <v>0</v>
      </c>
      <c r="Y3369" s="48">
        <f>(W3369-X3369)</f>
        <v>7358197.5</v>
      </c>
      <c r="Z3369" s="49">
        <v>3.0000000000000001E-3</v>
      </c>
    </row>
    <row r="3370" spans="1:26" s="29" customFormat="1" ht="90.75" customHeight="1" x14ac:dyDescent="0.25">
      <c r="A3370" s="20">
        <v>1577</v>
      </c>
      <c r="B3370" s="20" t="s">
        <v>0</v>
      </c>
      <c r="C3370" s="20">
        <v>10547</v>
      </c>
      <c r="D3370" s="21">
        <v>0</v>
      </c>
      <c r="E3370" s="21">
        <v>3</v>
      </c>
      <c r="F3370" s="22">
        <v>88</v>
      </c>
      <c r="G3370" s="23" t="s">
        <v>210</v>
      </c>
      <c r="H3370" s="36">
        <f>(D3370*400)+(E3370*100)+F3370</f>
        <v>388</v>
      </c>
      <c r="I3370" s="44">
        <v>4350</v>
      </c>
      <c r="J3370" s="28">
        <f>(H3370*I3370)</f>
        <v>1687800</v>
      </c>
      <c r="K3370" s="41"/>
      <c r="L3370" s="31"/>
      <c r="M3370" s="43"/>
      <c r="N3370" s="30"/>
      <c r="O3370" s="48"/>
      <c r="P3370" s="43"/>
      <c r="Q3370" s="44"/>
      <c r="R3370" s="41"/>
      <c r="S3370" s="41"/>
      <c r="T3370" s="47"/>
      <c r="U3370" s="41"/>
      <c r="V3370" s="48">
        <f>(J3370+U3370)</f>
        <v>1687800</v>
      </c>
      <c r="W3370" s="48">
        <f>(V3370*100/100)</f>
        <v>1687800</v>
      </c>
      <c r="X3370" s="47">
        <v>0</v>
      </c>
      <c r="Y3370" s="48">
        <f>(W3370-X3370)</f>
        <v>1687800</v>
      </c>
      <c r="Z3370" s="49">
        <v>3.0000000000000001E-3</v>
      </c>
    </row>
    <row r="3371" spans="1:26" s="29" customFormat="1" ht="90.75" customHeight="1" x14ac:dyDescent="0.25">
      <c r="A3371" s="20">
        <v>1578</v>
      </c>
      <c r="B3371" s="20" t="s">
        <v>0</v>
      </c>
      <c r="C3371" s="20">
        <v>58199</v>
      </c>
      <c r="D3371" s="21">
        <v>0</v>
      </c>
      <c r="E3371" s="21">
        <v>1</v>
      </c>
      <c r="F3371" s="22">
        <v>92</v>
      </c>
      <c r="G3371" s="23" t="s">
        <v>211</v>
      </c>
      <c r="H3371" s="36">
        <f t="shared" ref="H3371" si="878">(D3371*400)+(E3371*100)+F3371</f>
        <v>192</v>
      </c>
      <c r="I3371" s="40">
        <v>3100</v>
      </c>
      <c r="J3371" s="28">
        <f t="shared" ref="J3371:J3378" si="879">(H3371*I3371)</f>
        <v>595200</v>
      </c>
      <c r="K3371" s="30"/>
      <c r="L3371" s="31"/>
      <c r="M3371" s="31"/>
      <c r="N3371" s="41"/>
      <c r="O3371" s="48"/>
      <c r="P3371" s="35"/>
      <c r="Q3371" s="36"/>
      <c r="R3371" s="36"/>
      <c r="S3371" s="37"/>
      <c r="T3371" s="28"/>
      <c r="U3371" s="36"/>
      <c r="V3371" s="36"/>
      <c r="W3371" s="36"/>
      <c r="X3371" s="28"/>
      <c r="Y3371" s="28"/>
      <c r="Z3371" s="20"/>
    </row>
    <row r="3372" spans="1:26" s="29" customFormat="1" ht="90.75" customHeight="1" x14ac:dyDescent="0.25">
      <c r="A3372" s="20"/>
      <c r="B3372" s="20"/>
      <c r="C3372" s="20"/>
      <c r="D3372" s="21"/>
      <c r="E3372" s="21"/>
      <c r="F3372" s="22"/>
      <c r="G3372" s="23"/>
      <c r="H3372" s="36">
        <v>69.25</v>
      </c>
      <c r="I3372" s="40">
        <v>3100</v>
      </c>
      <c r="J3372" s="28">
        <f t="shared" si="879"/>
        <v>214675</v>
      </c>
      <c r="K3372" s="30">
        <v>1</v>
      </c>
      <c r="L3372" s="31" t="s">
        <v>215</v>
      </c>
      <c r="M3372" s="31" t="s">
        <v>13</v>
      </c>
      <c r="N3372" s="41">
        <v>2</v>
      </c>
      <c r="O3372" s="48">
        <v>161.5</v>
      </c>
      <c r="P3372" s="35">
        <v>100</v>
      </c>
      <c r="Q3372" s="36">
        <v>6450</v>
      </c>
      <c r="R3372" s="36">
        <f>(O3372*Q3372)</f>
        <v>1041675</v>
      </c>
      <c r="S3372" s="37">
        <v>42</v>
      </c>
      <c r="T3372" s="28">
        <f>(R3372*74/100)</f>
        <v>770839.5</v>
      </c>
      <c r="U3372" s="36">
        <f>(R3372-T3372)</f>
        <v>270835.5</v>
      </c>
      <c r="V3372" s="36">
        <f>(J3372+U3372)</f>
        <v>485510.5</v>
      </c>
      <c r="W3372" s="36"/>
      <c r="X3372" s="28"/>
      <c r="Y3372" s="28"/>
      <c r="Z3372" s="49"/>
    </row>
    <row r="3373" spans="1:26" s="29" customFormat="1" ht="90.75" customHeight="1" x14ac:dyDescent="0.25">
      <c r="A3373" s="20"/>
      <c r="B3373" s="20"/>
      <c r="C3373" s="20"/>
      <c r="D3373" s="21"/>
      <c r="E3373" s="21"/>
      <c r="F3373" s="22"/>
      <c r="G3373" s="23"/>
      <c r="H3373" s="36"/>
      <c r="I3373" s="40"/>
      <c r="J3373" s="28"/>
      <c r="K3373" s="30">
        <v>2</v>
      </c>
      <c r="L3373" s="31" t="s">
        <v>31</v>
      </c>
      <c r="M3373" s="31"/>
      <c r="N3373" s="41">
        <v>2</v>
      </c>
      <c r="O3373" s="48">
        <v>36</v>
      </c>
      <c r="P3373" s="35">
        <v>100</v>
      </c>
      <c r="Q3373" s="36">
        <v>2550</v>
      </c>
      <c r="R3373" s="36">
        <f t="shared" ref="R3373:R3376" si="880">(O3373*Q3373)</f>
        <v>91800</v>
      </c>
      <c r="S3373" s="37">
        <v>42</v>
      </c>
      <c r="T3373" s="28">
        <f>(R3373*74/100)</f>
        <v>67932</v>
      </c>
      <c r="U3373" s="36">
        <f t="shared" ref="U3373:U3376" si="881">(R3373-T3373)</f>
        <v>23868</v>
      </c>
      <c r="V3373" s="36">
        <f t="shared" ref="V3373:V3376" si="882">(J3373+U3373)</f>
        <v>23868</v>
      </c>
      <c r="W3373" s="36"/>
      <c r="X3373" s="28"/>
      <c r="Y3373" s="28"/>
      <c r="Z3373" s="49"/>
    </row>
    <row r="3374" spans="1:26" s="29" customFormat="1" ht="90.75" customHeight="1" x14ac:dyDescent="0.25">
      <c r="A3374" s="20"/>
      <c r="B3374" s="20"/>
      <c r="C3374" s="20"/>
      <c r="D3374" s="21"/>
      <c r="E3374" s="21"/>
      <c r="F3374" s="22"/>
      <c r="G3374" s="23"/>
      <c r="H3374" s="36"/>
      <c r="I3374" s="40"/>
      <c r="J3374" s="28"/>
      <c r="K3374" s="30"/>
      <c r="L3374" s="31"/>
      <c r="M3374" s="31"/>
      <c r="N3374" s="41"/>
      <c r="O3374" s="48"/>
      <c r="P3374" s="35"/>
      <c r="Q3374" s="36"/>
      <c r="R3374" s="36"/>
      <c r="S3374" s="37"/>
      <c r="T3374" s="28"/>
      <c r="U3374" s="36"/>
      <c r="V3374" s="36">
        <f>(V3372+V3373)</f>
        <v>509378.5</v>
      </c>
      <c r="W3374" s="36">
        <f>(J3372+V3374)</f>
        <v>724053.5</v>
      </c>
      <c r="X3374" s="28">
        <v>50000000</v>
      </c>
      <c r="Y3374" s="28"/>
      <c r="Z3374" s="49"/>
    </row>
    <row r="3375" spans="1:26" s="29" customFormat="1" ht="90.75" customHeight="1" x14ac:dyDescent="0.25">
      <c r="A3375" s="20"/>
      <c r="B3375" s="20" t="s">
        <v>0</v>
      </c>
      <c r="C3375" s="20">
        <v>58199</v>
      </c>
      <c r="D3375" s="21"/>
      <c r="E3375" s="21"/>
      <c r="F3375" s="22"/>
      <c r="G3375" s="23"/>
      <c r="H3375" s="36">
        <v>25</v>
      </c>
      <c r="I3375" s="40">
        <v>3100</v>
      </c>
      <c r="J3375" s="28">
        <f t="shared" si="879"/>
        <v>77500</v>
      </c>
      <c r="K3375" s="30">
        <v>3</v>
      </c>
      <c r="L3375" s="31" t="s">
        <v>28</v>
      </c>
      <c r="M3375" s="31"/>
      <c r="N3375" s="41">
        <v>3</v>
      </c>
      <c r="O3375" s="48">
        <v>100</v>
      </c>
      <c r="P3375" s="35">
        <v>100</v>
      </c>
      <c r="Q3375" s="36">
        <v>5500</v>
      </c>
      <c r="R3375" s="36">
        <f t="shared" si="880"/>
        <v>550000</v>
      </c>
      <c r="S3375" s="37">
        <v>42</v>
      </c>
      <c r="T3375" s="28">
        <f>(R3375*74/100)</f>
        <v>407000</v>
      </c>
      <c r="U3375" s="36">
        <f t="shared" si="881"/>
        <v>143000</v>
      </c>
      <c r="V3375" s="36">
        <f t="shared" si="882"/>
        <v>220500</v>
      </c>
      <c r="W3375" s="36">
        <f t="shared" ref="W3375:W3376" si="883">(V3375*P3375/100)</f>
        <v>220500</v>
      </c>
      <c r="X3375" s="28">
        <v>0</v>
      </c>
      <c r="Y3375" s="28">
        <f t="shared" ref="Y3375:Y3376" si="884">(W3375-X3375)</f>
        <v>220500</v>
      </c>
      <c r="Z3375" s="49">
        <v>3.0000000000000001E-3</v>
      </c>
    </row>
    <row r="3376" spans="1:26" s="29" customFormat="1" ht="90.75" customHeight="1" x14ac:dyDescent="0.25">
      <c r="A3376" s="20"/>
      <c r="B3376" s="20"/>
      <c r="C3376" s="20"/>
      <c r="D3376" s="21"/>
      <c r="E3376" s="21"/>
      <c r="F3376" s="22"/>
      <c r="G3376" s="23"/>
      <c r="H3376" s="36">
        <v>6.75</v>
      </c>
      <c r="I3376" s="40">
        <v>3100</v>
      </c>
      <c r="J3376" s="28">
        <f t="shared" si="879"/>
        <v>20925</v>
      </c>
      <c r="K3376" s="30">
        <v>4</v>
      </c>
      <c r="L3376" s="31" t="s">
        <v>27</v>
      </c>
      <c r="M3376" s="31"/>
      <c r="N3376" s="41">
        <v>3</v>
      </c>
      <c r="O3376" s="48">
        <v>27</v>
      </c>
      <c r="P3376" s="35">
        <v>100</v>
      </c>
      <c r="Q3376" s="36">
        <v>7100</v>
      </c>
      <c r="R3376" s="36">
        <f t="shared" si="880"/>
        <v>191700</v>
      </c>
      <c r="S3376" s="37">
        <v>42</v>
      </c>
      <c r="T3376" s="28">
        <f>(R3376*74/100)</f>
        <v>141858</v>
      </c>
      <c r="U3376" s="36">
        <f t="shared" si="881"/>
        <v>49842</v>
      </c>
      <c r="V3376" s="36">
        <f t="shared" si="882"/>
        <v>70767</v>
      </c>
      <c r="W3376" s="36">
        <f t="shared" si="883"/>
        <v>70767</v>
      </c>
      <c r="X3376" s="28">
        <v>0</v>
      </c>
      <c r="Y3376" s="28">
        <f t="shared" si="884"/>
        <v>70767</v>
      </c>
      <c r="Z3376" s="49">
        <v>3.0000000000000001E-3</v>
      </c>
    </row>
    <row r="3377" spans="1:26" s="29" customFormat="1" ht="90.75" customHeight="1" x14ac:dyDescent="0.25">
      <c r="A3377" s="20">
        <v>1579</v>
      </c>
      <c r="B3377" s="20" t="s">
        <v>0</v>
      </c>
      <c r="C3377" s="20">
        <v>4691</v>
      </c>
      <c r="D3377" s="21">
        <v>0</v>
      </c>
      <c r="E3377" s="21">
        <v>1</v>
      </c>
      <c r="F3377" s="22">
        <v>49</v>
      </c>
      <c r="G3377" s="23" t="s">
        <v>211</v>
      </c>
      <c r="H3377" s="36">
        <f>(D3377*400)+(E3377*100)+F3377</f>
        <v>149</v>
      </c>
      <c r="I3377" s="25">
        <v>575</v>
      </c>
      <c r="J3377" s="28">
        <f t="shared" si="879"/>
        <v>85675</v>
      </c>
      <c r="K3377" s="20"/>
      <c r="L3377" s="20"/>
      <c r="M3377" s="20"/>
      <c r="N3377" s="20"/>
      <c r="O3377" s="24"/>
      <c r="P3377" s="24"/>
      <c r="Q3377" s="25"/>
      <c r="R3377" s="24"/>
      <c r="S3377" s="20"/>
      <c r="T3377" s="27"/>
      <c r="U3377" s="20"/>
      <c r="V3377" s="20"/>
      <c r="W3377" s="26"/>
      <c r="X3377" s="27"/>
      <c r="Y3377" s="20"/>
      <c r="Z3377" s="20"/>
    </row>
    <row r="3378" spans="1:26" s="29" customFormat="1" ht="90.75" customHeight="1" x14ac:dyDescent="0.25">
      <c r="A3378" s="20"/>
      <c r="B3378" s="20"/>
      <c r="C3378" s="20"/>
      <c r="D3378" s="21"/>
      <c r="E3378" s="21"/>
      <c r="F3378" s="22"/>
      <c r="G3378" s="23"/>
      <c r="H3378" s="36">
        <v>143.80000000000001</v>
      </c>
      <c r="I3378" s="40">
        <v>575</v>
      </c>
      <c r="J3378" s="28">
        <f t="shared" si="879"/>
        <v>82685</v>
      </c>
      <c r="K3378" s="30"/>
      <c r="L3378" s="31"/>
      <c r="M3378" s="31"/>
      <c r="N3378" s="41"/>
      <c r="O3378" s="48"/>
      <c r="P3378" s="35"/>
      <c r="Q3378" s="36"/>
      <c r="R3378" s="36"/>
      <c r="S3378" s="37"/>
      <c r="T3378" s="28"/>
      <c r="U3378" s="36"/>
      <c r="V3378" s="36"/>
      <c r="W3378" s="36"/>
      <c r="X3378" s="28"/>
      <c r="Y3378" s="28"/>
      <c r="Z3378" s="20"/>
    </row>
    <row r="3379" spans="1:26" s="29" customFormat="1" ht="90.75" customHeight="1" x14ac:dyDescent="0.25">
      <c r="A3379" s="20"/>
      <c r="B3379" s="20"/>
      <c r="C3379" s="20"/>
      <c r="D3379" s="21"/>
      <c r="E3379" s="21"/>
      <c r="F3379" s="22"/>
      <c r="G3379" s="23"/>
      <c r="H3379" s="36"/>
      <c r="I3379" s="40"/>
      <c r="J3379" s="28"/>
      <c r="K3379" s="30">
        <v>1</v>
      </c>
      <c r="L3379" s="31" t="s">
        <v>215</v>
      </c>
      <c r="M3379" s="31" t="s">
        <v>193</v>
      </c>
      <c r="N3379" s="41">
        <v>2</v>
      </c>
      <c r="O3379" s="48">
        <v>116</v>
      </c>
      <c r="P3379" s="35">
        <v>100</v>
      </c>
      <c r="Q3379" s="36">
        <v>6450</v>
      </c>
      <c r="R3379" s="36">
        <f>(O3379*Q3379)</f>
        <v>748200</v>
      </c>
      <c r="S3379" s="37">
        <v>17</v>
      </c>
      <c r="T3379" s="28">
        <f>(R3379*24/100)</f>
        <v>179568</v>
      </c>
      <c r="U3379" s="36">
        <f>(R3379-T3379)</f>
        <v>568632</v>
      </c>
      <c r="V3379" s="36"/>
      <c r="W3379" s="36"/>
      <c r="X3379" s="28"/>
      <c r="Y3379" s="28"/>
      <c r="Z3379" s="20"/>
    </row>
    <row r="3380" spans="1:26" s="29" customFormat="1" ht="90.75" customHeight="1" x14ac:dyDescent="0.25">
      <c r="A3380" s="20"/>
      <c r="B3380" s="20"/>
      <c r="C3380" s="20"/>
      <c r="D3380" s="21"/>
      <c r="E3380" s="21"/>
      <c r="F3380" s="22"/>
      <c r="G3380" s="23"/>
      <c r="H3380" s="36"/>
      <c r="I3380" s="40"/>
      <c r="J3380" s="28"/>
      <c r="K3380" s="30">
        <v>2</v>
      </c>
      <c r="L3380" s="31" t="s">
        <v>31</v>
      </c>
      <c r="M3380" s="31"/>
      <c r="N3380" s="41">
        <v>2</v>
      </c>
      <c r="O3380" s="48">
        <v>60.8</v>
      </c>
      <c r="P3380" s="35">
        <v>100</v>
      </c>
      <c r="Q3380" s="36">
        <v>2550</v>
      </c>
      <c r="R3380" s="36">
        <f t="shared" ref="R3380:R3383" si="885">(O3380*Q3380)</f>
        <v>155040</v>
      </c>
      <c r="S3380" s="37">
        <v>17</v>
      </c>
      <c r="T3380" s="28">
        <f>(R3380*24/100)</f>
        <v>37209.599999999999</v>
      </c>
      <c r="U3380" s="36">
        <f t="shared" ref="U3380:U3383" si="886">(R3380-T3380)</f>
        <v>117830.39999999999</v>
      </c>
      <c r="V3380" s="36"/>
      <c r="W3380" s="36"/>
      <c r="X3380" s="28"/>
      <c r="Y3380" s="28"/>
      <c r="Z3380" s="20"/>
    </row>
    <row r="3381" spans="1:26" s="29" customFormat="1" ht="90.75" customHeight="1" x14ac:dyDescent="0.25">
      <c r="A3381" s="20"/>
      <c r="B3381" s="20"/>
      <c r="C3381" s="20"/>
      <c r="D3381" s="21"/>
      <c r="E3381" s="21"/>
      <c r="F3381" s="22"/>
      <c r="G3381" s="23"/>
      <c r="H3381" s="36"/>
      <c r="I3381" s="40"/>
      <c r="J3381" s="28"/>
      <c r="K3381" s="30">
        <v>3</v>
      </c>
      <c r="L3381" s="31" t="s">
        <v>29</v>
      </c>
      <c r="M3381" s="31" t="s">
        <v>40</v>
      </c>
      <c r="N3381" s="41">
        <v>3</v>
      </c>
      <c r="O3381" s="48">
        <v>62.78</v>
      </c>
      <c r="P3381" s="35">
        <v>100</v>
      </c>
      <c r="Q3381" s="36">
        <v>5550</v>
      </c>
      <c r="R3381" s="36">
        <f t="shared" si="885"/>
        <v>348429</v>
      </c>
      <c r="S3381" s="37">
        <v>17</v>
      </c>
      <c r="T3381" s="28">
        <f>(R3381*79/100)</f>
        <v>275258.90999999997</v>
      </c>
      <c r="U3381" s="36">
        <f t="shared" si="886"/>
        <v>73170.090000000026</v>
      </c>
      <c r="V3381" s="36"/>
      <c r="W3381" s="36"/>
      <c r="X3381" s="28"/>
      <c r="Y3381" s="28"/>
      <c r="Z3381" s="20"/>
    </row>
    <row r="3382" spans="1:26" s="29" customFormat="1" ht="90.75" customHeight="1" x14ac:dyDescent="0.25">
      <c r="A3382" s="20"/>
      <c r="B3382" s="20"/>
      <c r="C3382" s="20"/>
      <c r="D3382" s="21"/>
      <c r="E3382" s="21"/>
      <c r="F3382" s="22"/>
      <c r="G3382" s="23"/>
      <c r="H3382" s="36"/>
      <c r="I3382" s="40"/>
      <c r="J3382" s="28"/>
      <c r="K3382" s="30"/>
      <c r="L3382" s="31"/>
      <c r="M3382" s="31"/>
      <c r="N3382" s="41"/>
      <c r="O3382" s="48"/>
      <c r="P3382" s="35"/>
      <c r="Q3382" s="36"/>
      <c r="R3382" s="36"/>
      <c r="S3382" s="37"/>
      <c r="T3382" s="28"/>
      <c r="U3382" s="36">
        <f>(U3379+U3380+U3381)</f>
        <v>759632.49</v>
      </c>
      <c r="V3382" s="36">
        <f>(J3378+U3382)</f>
        <v>842317.49</v>
      </c>
      <c r="W3382" s="36">
        <f>(V3382*100/100)</f>
        <v>842317.49</v>
      </c>
      <c r="X3382" s="28">
        <v>10000000</v>
      </c>
      <c r="Y3382" s="28"/>
      <c r="Z3382" s="49"/>
    </row>
    <row r="3383" spans="1:26" s="29" customFormat="1" ht="90.75" customHeight="1" x14ac:dyDescent="0.25">
      <c r="A3383" s="20"/>
      <c r="B3383" s="20"/>
      <c r="C3383" s="20"/>
      <c r="D3383" s="21"/>
      <c r="E3383" s="21"/>
      <c r="F3383" s="22"/>
      <c r="G3383" s="23"/>
      <c r="H3383" s="36">
        <v>5.2</v>
      </c>
      <c r="I3383" s="40">
        <v>575</v>
      </c>
      <c r="J3383" s="28">
        <f t="shared" ref="J3383:J3384" si="887">(H3383*I3383)</f>
        <v>2990</v>
      </c>
      <c r="K3383" s="30">
        <v>4</v>
      </c>
      <c r="L3383" s="31" t="s">
        <v>36</v>
      </c>
      <c r="M3383" s="31"/>
      <c r="N3383" s="41">
        <v>3</v>
      </c>
      <c r="O3383" s="48">
        <v>20.8</v>
      </c>
      <c r="P3383" s="35">
        <v>100</v>
      </c>
      <c r="Q3383" s="36">
        <v>5550</v>
      </c>
      <c r="R3383" s="36">
        <f t="shared" si="885"/>
        <v>115440</v>
      </c>
      <c r="S3383" s="37">
        <v>17</v>
      </c>
      <c r="T3383" s="28">
        <f>(R3383*24/100)</f>
        <v>27705.599999999999</v>
      </c>
      <c r="U3383" s="36">
        <f t="shared" si="886"/>
        <v>87734.399999999994</v>
      </c>
      <c r="V3383" s="36">
        <f t="shared" ref="V3383" si="888">(J3383+U3383)</f>
        <v>90724.4</v>
      </c>
      <c r="W3383" s="36">
        <f t="shared" ref="W3383" si="889">(V3383*P3383/100)</f>
        <v>90724.4</v>
      </c>
      <c r="X3383" s="28">
        <v>0</v>
      </c>
      <c r="Y3383" s="28">
        <f t="shared" ref="Y3383" si="890">(W3383-X3383)</f>
        <v>90724.4</v>
      </c>
      <c r="Z3383" s="49">
        <v>3.0000000000000001E-3</v>
      </c>
    </row>
    <row r="3384" spans="1:26" s="29" customFormat="1" ht="90.75" customHeight="1" x14ac:dyDescent="0.25">
      <c r="A3384" s="20">
        <v>1580</v>
      </c>
      <c r="B3384" s="20" t="s">
        <v>0</v>
      </c>
      <c r="C3384" s="20">
        <v>49907</v>
      </c>
      <c r="D3384" s="21">
        <v>2</v>
      </c>
      <c r="E3384" s="21">
        <v>3</v>
      </c>
      <c r="F3384" s="22">
        <v>56</v>
      </c>
      <c r="G3384" s="23" t="s">
        <v>56</v>
      </c>
      <c r="H3384" s="36">
        <f t="shared" ref="H3384" si="891">(D3384*400)+(E3384*100)+F3384</f>
        <v>1156</v>
      </c>
      <c r="I3384" s="40">
        <v>650</v>
      </c>
      <c r="J3384" s="28">
        <f t="shared" si="887"/>
        <v>751400</v>
      </c>
      <c r="K3384" s="30">
        <v>1</v>
      </c>
      <c r="L3384" s="31" t="s">
        <v>43</v>
      </c>
      <c r="M3384" s="31" t="s">
        <v>13</v>
      </c>
      <c r="N3384" s="41">
        <v>2</v>
      </c>
      <c r="O3384" s="48">
        <v>427.5</v>
      </c>
      <c r="P3384" s="35">
        <v>100</v>
      </c>
      <c r="Q3384" s="36">
        <v>7700</v>
      </c>
      <c r="R3384" s="36">
        <f>(O3384*Q3384)</f>
        <v>3291750</v>
      </c>
      <c r="S3384" s="37">
        <v>32</v>
      </c>
      <c r="T3384" s="28">
        <f>(R3384*54/100)</f>
        <v>1777545</v>
      </c>
      <c r="U3384" s="36">
        <f>(R3384-T3384)</f>
        <v>1514205</v>
      </c>
      <c r="V3384" s="36"/>
      <c r="W3384" s="36"/>
      <c r="X3384" s="28"/>
      <c r="Y3384" s="28"/>
      <c r="Z3384" s="52"/>
    </row>
    <row r="3385" spans="1:26" s="29" customFormat="1" ht="90.75" customHeight="1" x14ac:dyDescent="0.25">
      <c r="A3385" s="20"/>
      <c r="B3385" s="20"/>
      <c r="C3385" s="20"/>
      <c r="D3385" s="21"/>
      <c r="E3385" s="21"/>
      <c r="F3385" s="22"/>
      <c r="G3385" s="23"/>
      <c r="H3385" s="24"/>
      <c r="I3385" s="25"/>
      <c r="J3385" s="24"/>
      <c r="K3385" s="30">
        <v>2</v>
      </c>
      <c r="L3385" s="31" t="s">
        <v>31</v>
      </c>
      <c r="M3385" s="31"/>
      <c r="N3385" s="41">
        <v>2</v>
      </c>
      <c r="O3385" s="48">
        <v>67.5</v>
      </c>
      <c r="P3385" s="35">
        <v>100</v>
      </c>
      <c r="Q3385" s="36">
        <v>2550</v>
      </c>
      <c r="R3385" s="36">
        <f>(O3385*Q3385)</f>
        <v>172125</v>
      </c>
      <c r="S3385" s="37">
        <v>32</v>
      </c>
      <c r="T3385" s="28">
        <f>(R3385*54/100)</f>
        <v>92947.5</v>
      </c>
      <c r="U3385" s="36">
        <f>(R3385-T3385)</f>
        <v>79177.5</v>
      </c>
      <c r="V3385" s="36"/>
      <c r="W3385" s="36"/>
      <c r="X3385" s="28"/>
      <c r="Y3385" s="28"/>
      <c r="Z3385" s="52"/>
    </row>
    <row r="3386" spans="1:26" s="29" customFormat="1" ht="90.75" customHeight="1" x14ac:dyDescent="0.25">
      <c r="A3386" s="20"/>
      <c r="B3386" s="20"/>
      <c r="C3386" s="20"/>
      <c r="D3386" s="21"/>
      <c r="E3386" s="21"/>
      <c r="F3386" s="22"/>
      <c r="G3386" s="23"/>
      <c r="H3386" s="24"/>
      <c r="I3386" s="25"/>
      <c r="J3386" s="24"/>
      <c r="K3386" s="30"/>
      <c r="L3386" s="31"/>
      <c r="M3386" s="31"/>
      <c r="N3386" s="41"/>
      <c r="O3386" s="48"/>
      <c r="P3386" s="35"/>
      <c r="Q3386" s="36"/>
      <c r="R3386" s="36"/>
      <c r="S3386" s="37"/>
      <c r="T3386" s="28"/>
      <c r="U3386" s="36">
        <f>SUM(U3384:U3385)</f>
        <v>1593382.5</v>
      </c>
      <c r="V3386" s="36">
        <f>(J3384+U3386)</f>
        <v>2344782.5</v>
      </c>
      <c r="W3386" s="26">
        <f>(V3386*100/100)</f>
        <v>2344782.5</v>
      </c>
      <c r="X3386" s="28">
        <v>0</v>
      </c>
      <c r="Y3386" s="28">
        <f>(W3386-X3386)</f>
        <v>2344782.5</v>
      </c>
      <c r="Z3386" s="49">
        <v>2.0000000000000001E-4</v>
      </c>
    </row>
    <row r="3387" spans="1:26" s="29" customFormat="1" ht="90.75" customHeight="1" x14ac:dyDescent="0.25">
      <c r="A3387" s="20">
        <v>1581</v>
      </c>
      <c r="B3387" s="20" t="s">
        <v>0</v>
      </c>
      <c r="C3387" s="20">
        <v>65029</v>
      </c>
      <c r="D3387" s="21">
        <v>0</v>
      </c>
      <c r="E3387" s="21">
        <v>2</v>
      </c>
      <c r="F3387" s="22">
        <v>0</v>
      </c>
      <c r="G3387" s="23" t="s">
        <v>211</v>
      </c>
      <c r="H3387" s="36">
        <f>(D3387*400)+(E3387*100)+F3387</f>
        <v>200</v>
      </c>
      <c r="I3387" s="25">
        <v>525</v>
      </c>
      <c r="J3387" s="28">
        <f t="shared" ref="J3387:J3388" si="892">(H3387*I3387)</f>
        <v>105000</v>
      </c>
      <c r="K3387" s="20"/>
      <c r="L3387" s="20"/>
      <c r="M3387" s="20"/>
      <c r="N3387" s="20"/>
      <c r="O3387" s="24"/>
      <c r="P3387" s="24"/>
      <c r="Q3387" s="25"/>
      <c r="R3387" s="24"/>
      <c r="S3387" s="20"/>
      <c r="T3387" s="27"/>
      <c r="U3387" s="20"/>
      <c r="V3387" s="20"/>
      <c r="W3387" s="26"/>
      <c r="X3387" s="27"/>
      <c r="Y3387" s="20"/>
      <c r="Z3387" s="20"/>
    </row>
    <row r="3388" spans="1:26" s="29" customFormat="1" ht="90.75" customHeight="1" x14ac:dyDescent="0.25">
      <c r="A3388" s="20"/>
      <c r="B3388" s="20"/>
      <c r="C3388" s="20"/>
      <c r="D3388" s="21"/>
      <c r="E3388" s="21"/>
      <c r="F3388" s="22"/>
      <c r="G3388" s="23"/>
      <c r="H3388" s="36">
        <v>31.5</v>
      </c>
      <c r="I3388" s="25">
        <v>525</v>
      </c>
      <c r="J3388" s="28">
        <f t="shared" si="892"/>
        <v>16537.5</v>
      </c>
      <c r="K3388" s="20">
        <v>1</v>
      </c>
      <c r="L3388" s="20" t="s">
        <v>16</v>
      </c>
      <c r="M3388" s="20" t="s">
        <v>24</v>
      </c>
      <c r="N3388" s="20">
        <v>5</v>
      </c>
      <c r="O3388" s="24">
        <v>126</v>
      </c>
      <c r="P3388" s="24">
        <v>100</v>
      </c>
      <c r="Q3388" s="25">
        <v>6450</v>
      </c>
      <c r="R3388" s="36">
        <f>(O3388*Q3388)</f>
        <v>812700</v>
      </c>
      <c r="S3388" s="20">
        <v>2</v>
      </c>
      <c r="T3388" s="28">
        <f>(R3388*2/100)</f>
        <v>16254</v>
      </c>
      <c r="U3388" s="80">
        <f>(R3388-T3388)</f>
        <v>796446</v>
      </c>
      <c r="V3388" s="80">
        <f>(J3388+U3388)</f>
        <v>812983.5</v>
      </c>
      <c r="W3388" s="26">
        <f>(V3388*100/100)</f>
        <v>812983.5</v>
      </c>
      <c r="X3388" s="27"/>
      <c r="Y3388" s="20"/>
      <c r="Z3388" s="20"/>
    </row>
    <row r="3389" spans="1:26" s="29" customFormat="1" ht="90.75" customHeight="1" x14ac:dyDescent="0.25">
      <c r="A3389" s="20"/>
      <c r="B3389" s="20"/>
      <c r="C3389" s="20"/>
      <c r="D3389" s="21"/>
      <c r="E3389" s="21"/>
      <c r="F3389" s="22"/>
      <c r="G3389" s="23"/>
      <c r="H3389" s="24"/>
      <c r="I3389" s="25"/>
      <c r="J3389" s="24"/>
      <c r="K3389" s="20"/>
      <c r="L3389" s="20" t="s">
        <v>56</v>
      </c>
      <c r="M3389" s="20"/>
      <c r="N3389" s="20"/>
      <c r="O3389" s="24">
        <v>102</v>
      </c>
      <c r="P3389" s="24">
        <v>80.95</v>
      </c>
      <c r="Q3389" s="25"/>
      <c r="R3389" s="24"/>
      <c r="S3389" s="20"/>
      <c r="T3389" s="27"/>
      <c r="U3389" s="20"/>
      <c r="V3389" s="20"/>
      <c r="W3389" s="26">
        <f>(W3388*80.95/100)</f>
        <v>658110.14325000008</v>
      </c>
      <c r="X3389" s="24">
        <v>50000000</v>
      </c>
      <c r="Y3389" s="20"/>
      <c r="Z3389" s="20"/>
    </row>
    <row r="3390" spans="1:26" s="29" customFormat="1" ht="90.75" customHeight="1" x14ac:dyDescent="0.25">
      <c r="A3390" s="20"/>
      <c r="B3390" s="20"/>
      <c r="C3390" s="20"/>
      <c r="D3390" s="21"/>
      <c r="E3390" s="21"/>
      <c r="F3390" s="22"/>
      <c r="G3390" s="23"/>
      <c r="H3390" s="24"/>
      <c r="I3390" s="25"/>
      <c r="J3390" s="24"/>
      <c r="K3390" s="20"/>
      <c r="L3390" s="20" t="s">
        <v>29</v>
      </c>
      <c r="M3390" s="20"/>
      <c r="N3390" s="20">
        <v>3</v>
      </c>
      <c r="O3390" s="24">
        <v>24</v>
      </c>
      <c r="P3390" s="24">
        <v>19.05</v>
      </c>
      <c r="Q3390" s="25"/>
      <c r="R3390" s="24"/>
      <c r="S3390" s="20"/>
      <c r="T3390" s="27"/>
      <c r="U3390" s="20"/>
      <c r="V3390" s="20"/>
      <c r="W3390" s="26">
        <f>(W3388*19.05/100)</f>
        <v>154873.35675000001</v>
      </c>
      <c r="X3390" s="28">
        <v>0</v>
      </c>
      <c r="Y3390" s="28">
        <f>(W3390-X3390)</f>
        <v>154873.35675000001</v>
      </c>
      <c r="Z3390" s="49">
        <v>3.0000000000000001E-3</v>
      </c>
    </row>
    <row r="3391" spans="1:26" s="29" customFormat="1" ht="90.75" customHeight="1" x14ac:dyDescent="0.25">
      <c r="A3391" s="20"/>
      <c r="B3391" s="20"/>
      <c r="C3391" s="20"/>
      <c r="D3391" s="21"/>
      <c r="E3391" s="21"/>
      <c r="F3391" s="22"/>
      <c r="G3391" s="23"/>
      <c r="H3391" s="24">
        <v>32</v>
      </c>
      <c r="I3391" s="25">
        <v>525</v>
      </c>
      <c r="J3391" s="28">
        <f t="shared" ref="J3391:J3394" si="893">(H3391*I3391)</f>
        <v>16800</v>
      </c>
      <c r="K3391" s="20">
        <v>2</v>
      </c>
      <c r="L3391" s="20" t="s">
        <v>43</v>
      </c>
      <c r="M3391" s="20" t="s">
        <v>13</v>
      </c>
      <c r="N3391" s="20">
        <v>2</v>
      </c>
      <c r="O3391" s="24">
        <v>128</v>
      </c>
      <c r="P3391" s="24">
        <v>100</v>
      </c>
      <c r="Q3391" s="25">
        <v>7700</v>
      </c>
      <c r="R3391" s="36">
        <f>(O3391*Q3391)</f>
        <v>985600</v>
      </c>
      <c r="S3391" s="20">
        <v>1</v>
      </c>
      <c r="T3391" s="28">
        <f>(R3391*1/100)</f>
        <v>9856</v>
      </c>
      <c r="U3391" s="80">
        <f>(R3391-T3391)</f>
        <v>975744</v>
      </c>
      <c r="V3391" s="80">
        <f>(J3391+U3391)</f>
        <v>992544</v>
      </c>
      <c r="W3391" s="26">
        <f>(V3391*100/100)</f>
        <v>992544</v>
      </c>
      <c r="X3391" s="28">
        <v>0</v>
      </c>
      <c r="Y3391" s="28">
        <f>(W3391-X3391)</f>
        <v>992544</v>
      </c>
      <c r="Z3391" s="49">
        <v>2.0000000000000001E-4</v>
      </c>
    </row>
    <row r="3392" spans="1:26" s="29" customFormat="1" ht="90.75" customHeight="1" x14ac:dyDescent="0.25">
      <c r="A3392" s="20">
        <v>1582</v>
      </c>
      <c r="B3392" s="20" t="s">
        <v>0</v>
      </c>
      <c r="C3392" s="20">
        <v>10536</v>
      </c>
      <c r="D3392" s="21">
        <v>0</v>
      </c>
      <c r="E3392" s="21">
        <v>0</v>
      </c>
      <c r="F3392" s="22">
        <v>37</v>
      </c>
      <c r="G3392" s="23" t="s">
        <v>56</v>
      </c>
      <c r="H3392" s="36">
        <f>(D3392*400)+(E3392*100)+F3392</f>
        <v>37</v>
      </c>
      <c r="I3392" s="40">
        <v>1500</v>
      </c>
      <c r="J3392" s="28">
        <f t="shared" si="893"/>
        <v>55500</v>
      </c>
      <c r="K3392" s="37">
        <v>1</v>
      </c>
      <c r="L3392" s="31" t="s">
        <v>43</v>
      </c>
      <c r="M3392" s="31" t="s">
        <v>13</v>
      </c>
      <c r="N3392" s="41">
        <v>3</v>
      </c>
      <c r="O3392" s="42">
        <v>178.8</v>
      </c>
      <c r="P3392" s="35">
        <v>100</v>
      </c>
      <c r="Q3392" s="36">
        <v>7700</v>
      </c>
      <c r="R3392" s="36">
        <f>(O3392*Q3392)</f>
        <v>1376760</v>
      </c>
      <c r="S3392" s="37">
        <v>8</v>
      </c>
      <c r="T3392" s="28">
        <f>(R3392*8/100)</f>
        <v>110140.8</v>
      </c>
      <c r="U3392" s="36">
        <f>(R3392-T3392)</f>
        <v>1266619.2</v>
      </c>
      <c r="V3392" s="36">
        <f>(J3392+U3392)</f>
        <v>1322119.2</v>
      </c>
      <c r="W3392" s="36">
        <f>(V3392*100/100)</f>
        <v>1322119.2</v>
      </c>
      <c r="X3392" s="28">
        <v>0</v>
      </c>
      <c r="Y3392" s="28">
        <f>(W3392-X3392)</f>
        <v>1322119.2</v>
      </c>
      <c r="Z3392" s="49">
        <v>3.0000000000000001E-3</v>
      </c>
    </row>
    <row r="3393" spans="1:26" s="29" customFormat="1" ht="90.75" customHeight="1" x14ac:dyDescent="0.25">
      <c r="A3393" s="20">
        <v>1583</v>
      </c>
      <c r="B3393" s="20" t="s">
        <v>0</v>
      </c>
      <c r="C3393" s="20">
        <v>21786</v>
      </c>
      <c r="D3393" s="21">
        <v>0</v>
      </c>
      <c r="E3393" s="21">
        <v>2</v>
      </c>
      <c r="F3393" s="22">
        <v>0</v>
      </c>
      <c r="G3393" s="23" t="s">
        <v>209</v>
      </c>
      <c r="H3393" s="36">
        <f>(D3393*400)+(E3393*100)+F3393</f>
        <v>200</v>
      </c>
      <c r="I3393" s="40">
        <v>5000</v>
      </c>
      <c r="J3393" s="28">
        <f t="shared" si="893"/>
        <v>1000000</v>
      </c>
      <c r="K3393" s="37"/>
      <c r="L3393" s="31"/>
      <c r="M3393" s="31"/>
      <c r="N3393" s="41"/>
      <c r="O3393" s="46"/>
      <c r="P3393" s="86"/>
      <c r="Q3393" s="36"/>
      <c r="R3393" s="36"/>
      <c r="S3393" s="37"/>
      <c r="T3393" s="28"/>
      <c r="U3393" s="36"/>
      <c r="V3393" s="36"/>
      <c r="W3393" s="36"/>
      <c r="X3393" s="28"/>
      <c r="Y3393" s="28"/>
      <c r="Z3393" s="20"/>
    </row>
    <row r="3394" spans="1:26" s="29" customFormat="1" ht="90.75" customHeight="1" x14ac:dyDescent="0.25">
      <c r="A3394" s="20"/>
      <c r="B3394" s="20"/>
      <c r="C3394" s="20"/>
      <c r="D3394" s="21"/>
      <c r="E3394" s="21"/>
      <c r="F3394" s="22"/>
      <c r="G3394" s="23"/>
      <c r="H3394" s="36">
        <v>88</v>
      </c>
      <c r="I3394" s="40">
        <v>5000</v>
      </c>
      <c r="J3394" s="28">
        <f t="shared" si="893"/>
        <v>440000</v>
      </c>
      <c r="K3394" s="37">
        <v>1</v>
      </c>
      <c r="L3394" s="31" t="s">
        <v>215</v>
      </c>
      <c r="M3394" s="31">
        <v>2</v>
      </c>
      <c r="N3394" s="41">
        <v>5</v>
      </c>
      <c r="O3394" s="46">
        <v>33</v>
      </c>
      <c r="P3394" s="86">
        <v>100</v>
      </c>
      <c r="Q3394" s="36">
        <v>6450</v>
      </c>
      <c r="R3394" s="36">
        <f>(O3394*Q3394)</f>
        <v>212850</v>
      </c>
      <c r="S3394" s="37">
        <v>7</v>
      </c>
      <c r="T3394" s="28">
        <f>(R3394*7/100)</f>
        <v>14899.5</v>
      </c>
      <c r="U3394" s="36">
        <f>(R3394-T3394)</f>
        <v>197950.5</v>
      </c>
      <c r="V3394" s="36"/>
      <c r="W3394" s="36"/>
      <c r="X3394" s="28"/>
      <c r="Y3394" s="28"/>
      <c r="Z3394" s="49"/>
    </row>
    <row r="3395" spans="1:26" s="29" customFormat="1" ht="90.75" customHeight="1" x14ac:dyDescent="0.25">
      <c r="A3395" s="20"/>
      <c r="B3395" s="20"/>
      <c r="C3395" s="20"/>
      <c r="D3395" s="21"/>
      <c r="E3395" s="21"/>
      <c r="F3395" s="22"/>
      <c r="G3395" s="23"/>
      <c r="H3395" s="36"/>
      <c r="I3395" s="40"/>
      <c r="J3395" s="28"/>
      <c r="K3395" s="37">
        <v>2</v>
      </c>
      <c r="L3395" s="31" t="s">
        <v>31</v>
      </c>
      <c r="M3395" s="31">
        <v>2</v>
      </c>
      <c r="N3395" s="41">
        <v>2</v>
      </c>
      <c r="O3395" s="46">
        <v>24.75</v>
      </c>
      <c r="P3395" s="86">
        <v>100</v>
      </c>
      <c r="Q3395" s="36">
        <v>2550</v>
      </c>
      <c r="R3395" s="36">
        <f>(O3395*Q3395)</f>
        <v>63112.5</v>
      </c>
      <c r="S3395" s="37">
        <v>7</v>
      </c>
      <c r="T3395" s="28">
        <f t="shared" ref="T3395:T3396" si="894">(R3395*7/100)</f>
        <v>4417.875</v>
      </c>
      <c r="U3395" s="36">
        <f>(R3395-T3395)</f>
        <v>58694.625</v>
      </c>
      <c r="V3395" s="36"/>
      <c r="W3395" s="36"/>
      <c r="X3395" s="28"/>
      <c r="Y3395" s="28"/>
      <c r="Z3395" s="49"/>
    </row>
    <row r="3396" spans="1:26" s="29" customFormat="1" ht="90.75" customHeight="1" x14ac:dyDescent="0.25">
      <c r="A3396" s="20"/>
      <c r="B3396" s="20"/>
      <c r="C3396" s="20"/>
      <c r="D3396" s="21"/>
      <c r="E3396" s="21"/>
      <c r="F3396" s="22"/>
      <c r="G3396" s="23"/>
      <c r="H3396" s="36"/>
      <c r="I3396" s="40"/>
      <c r="J3396" s="28"/>
      <c r="K3396" s="37">
        <v>3</v>
      </c>
      <c r="L3396" s="31" t="s">
        <v>274</v>
      </c>
      <c r="M3396" s="31">
        <v>3</v>
      </c>
      <c r="N3396" s="41">
        <v>3</v>
      </c>
      <c r="O3396" s="46">
        <v>30.25</v>
      </c>
      <c r="P3396" s="86">
        <v>100</v>
      </c>
      <c r="Q3396" s="36">
        <v>2550</v>
      </c>
      <c r="R3396" s="36">
        <f>(O3396*Q3396)</f>
        <v>77137.5</v>
      </c>
      <c r="S3396" s="37">
        <v>7</v>
      </c>
      <c r="T3396" s="28">
        <f t="shared" si="894"/>
        <v>5399.625</v>
      </c>
      <c r="U3396" s="36">
        <f>(R3396-T3396)</f>
        <v>71737.875</v>
      </c>
      <c r="V3396" s="36"/>
      <c r="W3396" s="36"/>
      <c r="X3396" s="28"/>
      <c r="Y3396" s="28"/>
      <c r="Z3396" s="49"/>
    </row>
    <row r="3397" spans="1:26" s="29" customFormat="1" ht="90.75" customHeight="1" x14ac:dyDescent="0.25">
      <c r="A3397" s="20"/>
      <c r="B3397" s="20"/>
      <c r="C3397" s="20"/>
      <c r="D3397" s="21"/>
      <c r="E3397" s="21"/>
      <c r="F3397" s="22"/>
      <c r="G3397" s="23"/>
      <c r="H3397" s="24"/>
      <c r="I3397" s="25"/>
      <c r="J3397" s="24"/>
      <c r="K3397" s="20"/>
      <c r="L3397" s="20"/>
      <c r="M3397" s="20"/>
      <c r="N3397" s="20"/>
      <c r="O3397" s="24"/>
      <c r="P3397" s="24"/>
      <c r="Q3397" s="25"/>
      <c r="R3397" s="24"/>
      <c r="S3397" s="20"/>
      <c r="T3397" s="27"/>
      <c r="U3397" s="78">
        <f>SUM(U3394:U3396)</f>
        <v>328383</v>
      </c>
      <c r="V3397" s="80">
        <f>(J3394+U3397)</f>
        <v>768383</v>
      </c>
      <c r="W3397" s="26">
        <f>(V3397*100/100)</f>
        <v>768383</v>
      </c>
      <c r="X3397" s="89">
        <v>0</v>
      </c>
      <c r="Y3397" s="48">
        <f>(W3397-X3397)</f>
        <v>768383</v>
      </c>
      <c r="Z3397" s="49">
        <v>3.0000000000000001E-3</v>
      </c>
    </row>
    <row r="3398" spans="1:26" s="29" customFormat="1" ht="90.75" customHeight="1" x14ac:dyDescent="0.25">
      <c r="A3398" s="20">
        <v>1584</v>
      </c>
      <c r="B3398" s="20" t="s">
        <v>0</v>
      </c>
      <c r="C3398" s="20">
        <v>55459</v>
      </c>
      <c r="D3398" s="21">
        <v>1</v>
      </c>
      <c r="E3398" s="21">
        <v>0</v>
      </c>
      <c r="F3398" s="22">
        <v>42</v>
      </c>
      <c r="G3398" s="23" t="s">
        <v>56</v>
      </c>
      <c r="H3398" s="24">
        <f t="shared" ref="H3398" si="895">(D3398*400)+(E3398*100)+F3398</f>
        <v>442</v>
      </c>
      <c r="I3398" s="25">
        <v>1000</v>
      </c>
      <c r="J3398" s="28">
        <f>(H3398*I3398)</f>
        <v>442000</v>
      </c>
      <c r="K3398" s="20"/>
      <c r="L3398" s="20"/>
      <c r="M3398" s="20"/>
      <c r="N3398" s="20"/>
      <c r="O3398" s="24"/>
      <c r="P3398" s="24"/>
      <c r="Q3398" s="25"/>
      <c r="R3398" s="24"/>
      <c r="S3398" s="20"/>
      <c r="T3398" s="27"/>
      <c r="U3398" s="20"/>
      <c r="V3398" s="20"/>
      <c r="W3398" s="26"/>
      <c r="X3398" s="27"/>
      <c r="Y3398" s="20"/>
      <c r="Z3398" s="20"/>
    </row>
    <row r="3399" spans="1:26" s="29" customFormat="1" ht="90.75" customHeight="1" x14ac:dyDescent="0.25">
      <c r="A3399" s="20"/>
      <c r="B3399" s="20"/>
      <c r="C3399" s="20"/>
      <c r="D3399" s="21"/>
      <c r="E3399" s="21"/>
      <c r="F3399" s="22"/>
      <c r="G3399" s="23"/>
      <c r="H3399" s="36">
        <v>341</v>
      </c>
      <c r="I3399" s="40">
        <v>1000</v>
      </c>
      <c r="J3399" s="28">
        <f>(H3399*I3399)</f>
        <v>341000</v>
      </c>
      <c r="K3399" s="37"/>
      <c r="L3399" s="31"/>
      <c r="M3399" s="32"/>
      <c r="N3399" s="33"/>
      <c r="O3399" s="82"/>
      <c r="P3399" s="86"/>
      <c r="Q3399" s="36"/>
      <c r="R3399" s="36"/>
      <c r="S3399" s="37"/>
      <c r="T3399" s="28"/>
      <c r="U3399" s="36"/>
      <c r="V3399" s="36"/>
      <c r="W3399" s="36"/>
      <c r="X3399" s="28"/>
      <c r="Y3399" s="28"/>
      <c r="Z3399" s="20"/>
    </row>
    <row r="3400" spans="1:26" s="29" customFormat="1" ht="90.75" customHeight="1" x14ac:dyDescent="0.25">
      <c r="A3400" s="20"/>
      <c r="B3400" s="20"/>
      <c r="C3400" s="20"/>
      <c r="D3400" s="21"/>
      <c r="E3400" s="21"/>
      <c r="F3400" s="22"/>
      <c r="G3400" s="23"/>
      <c r="H3400" s="36"/>
      <c r="I3400" s="40"/>
      <c r="J3400" s="28"/>
      <c r="K3400" s="37">
        <v>1</v>
      </c>
      <c r="L3400" s="31" t="s">
        <v>215</v>
      </c>
      <c r="M3400" s="32" t="s">
        <v>195</v>
      </c>
      <c r="N3400" s="33">
        <v>2</v>
      </c>
      <c r="O3400" s="82">
        <v>144</v>
      </c>
      <c r="P3400" s="86">
        <v>100</v>
      </c>
      <c r="Q3400" s="36">
        <v>6450</v>
      </c>
      <c r="R3400" s="36">
        <f>(O3400*Q3400)</f>
        <v>928800</v>
      </c>
      <c r="S3400" s="37">
        <v>42</v>
      </c>
      <c r="T3400" s="28">
        <f>(R3400*93/100)</f>
        <v>863784</v>
      </c>
      <c r="U3400" s="36">
        <f>(R3400-T3400)</f>
        <v>65016</v>
      </c>
      <c r="V3400" s="36"/>
      <c r="W3400" s="36"/>
      <c r="X3400" s="28"/>
      <c r="Y3400" s="28"/>
      <c r="Z3400" s="20"/>
    </row>
    <row r="3401" spans="1:26" s="29" customFormat="1" ht="90.75" customHeight="1" x14ac:dyDescent="0.25">
      <c r="A3401" s="20"/>
      <c r="B3401" s="20"/>
      <c r="C3401" s="20"/>
      <c r="D3401" s="21"/>
      <c r="E3401" s="21"/>
      <c r="F3401" s="22"/>
      <c r="G3401" s="23"/>
      <c r="H3401" s="36"/>
      <c r="I3401" s="40"/>
      <c r="J3401" s="28"/>
      <c r="K3401" s="37">
        <v>2</v>
      </c>
      <c r="L3401" s="31" t="s">
        <v>31</v>
      </c>
      <c r="M3401" s="32"/>
      <c r="N3401" s="33">
        <v>2</v>
      </c>
      <c r="O3401" s="82">
        <v>24</v>
      </c>
      <c r="P3401" s="86">
        <v>100</v>
      </c>
      <c r="Q3401" s="36">
        <v>2550</v>
      </c>
      <c r="R3401" s="36">
        <f>(O3401*Q3401)</f>
        <v>61200</v>
      </c>
      <c r="S3401" s="37">
        <v>4</v>
      </c>
      <c r="T3401" s="28">
        <f>(R3401*12/100)</f>
        <v>7344</v>
      </c>
      <c r="U3401" s="36">
        <f>(R3401-T3401)</f>
        <v>53856</v>
      </c>
      <c r="V3401" s="36"/>
      <c r="W3401" s="36"/>
      <c r="X3401" s="28"/>
      <c r="Y3401" s="28"/>
      <c r="Z3401" s="20"/>
    </row>
    <row r="3402" spans="1:26" s="29" customFormat="1" ht="90.75" customHeight="1" x14ac:dyDescent="0.25">
      <c r="A3402" s="20"/>
      <c r="B3402" s="20"/>
      <c r="C3402" s="20"/>
      <c r="D3402" s="21"/>
      <c r="E3402" s="21"/>
      <c r="F3402" s="22"/>
      <c r="G3402" s="23"/>
      <c r="H3402" s="36"/>
      <c r="I3402" s="40"/>
      <c r="J3402" s="28"/>
      <c r="K3402" s="37"/>
      <c r="L3402" s="31"/>
      <c r="M3402" s="32"/>
      <c r="N3402" s="33"/>
      <c r="O3402" s="82"/>
      <c r="P3402" s="86"/>
      <c r="Q3402" s="36"/>
      <c r="R3402" s="36"/>
      <c r="S3402" s="37"/>
      <c r="T3402" s="28"/>
      <c r="U3402" s="36">
        <f>SUM(U3400:U3401)</f>
        <v>118872</v>
      </c>
      <c r="V3402" s="36">
        <f>(J3399+U3402)</f>
        <v>459872</v>
      </c>
      <c r="W3402" s="36">
        <f>(V3402*100/100)</f>
        <v>459872</v>
      </c>
      <c r="X3402" s="28">
        <v>10000000</v>
      </c>
      <c r="Y3402" s="28"/>
      <c r="Z3402" s="49"/>
    </row>
    <row r="3403" spans="1:26" s="29" customFormat="1" ht="90.75" customHeight="1" x14ac:dyDescent="0.25">
      <c r="A3403" s="20"/>
      <c r="B3403" s="20"/>
      <c r="C3403" s="20"/>
      <c r="D3403" s="21"/>
      <c r="E3403" s="21"/>
      <c r="F3403" s="22"/>
      <c r="G3403" s="23"/>
      <c r="H3403" s="36">
        <f>(O3403*0.25)</f>
        <v>77</v>
      </c>
      <c r="I3403" s="40">
        <v>1000</v>
      </c>
      <c r="J3403" s="28">
        <f>(H3403*I3403)</f>
        <v>77000</v>
      </c>
      <c r="K3403" s="37">
        <v>3</v>
      </c>
      <c r="L3403" s="31" t="s">
        <v>43</v>
      </c>
      <c r="M3403" s="32" t="s">
        <v>13</v>
      </c>
      <c r="N3403" s="33">
        <v>2</v>
      </c>
      <c r="O3403" s="82">
        <v>308</v>
      </c>
      <c r="P3403" s="86">
        <v>100</v>
      </c>
      <c r="Q3403" s="36">
        <v>7700</v>
      </c>
      <c r="R3403" s="36">
        <f>(O3403*Q3403)</f>
        <v>2371600</v>
      </c>
      <c r="S3403" s="37">
        <v>4</v>
      </c>
      <c r="T3403" s="28">
        <f>(R3403*4/100)</f>
        <v>94864</v>
      </c>
      <c r="U3403" s="36">
        <f>(R3403-T3403)</f>
        <v>2276736</v>
      </c>
      <c r="V3403" s="36">
        <f>(J3403+U3403)</f>
        <v>2353736</v>
      </c>
      <c r="W3403" s="36">
        <f>(V3403*100/100)</f>
        <v>2353736</v>
      </c>
      <c r="X3403" s="28">
        <v>0</v>
      </c>
      <c r="Y3403" s="28">
        <f>(W3403-X3403)</f>
        <v>2353736</v>
      </c>
      <c r="Z3403" s="49">
        <v>2.0000000000000001E-4</v>
      </c>
    </row>
    <row r="3404" spans="1:26" s="29" customFormat="1" ht="90.75" customHeight="1" x14ac:dyDescent="0.25">
      <c r="A3404" s="20"/>
      <c r="B3404" s="20"/>
      <c r="C3404" s="20"/>
      <c r="D3404" s="21"/>
      <c r="E3404" s="21"/>
      <c r="F3404" s="22"/>
      <c r="G3404" s="23"/>
      <c r="H3404" s="36">
        <f>(O3404*0.25)</f>
        <v>24</v>
      </c>
      <c r="I3404" s="40">
        <v>1000</v>
      </c>
      <c r="J3404" s="28">
        <f>(H3404*I3404)</f>
        <v>24000</v>
      </c>
      <c r="K3404" s="37">
        <v>4</v>
      </c>
      <c r="L3404" s="31" t="s">
        <v>43</v>
      </c>
      <c r="M3404" s="32" t="s">
        <v>13</v>
      </c>
      <c r="N3404" s="33">
        <v>2</v>
      </c>
      <c r="O3404" s="82">
        <v>96</v>
      </c>
      <c r="P3404" s="86">
        <v>100</v>
      </c>
      <c r="Q3404" s="36">
        <v>7700</v>
      </c>
      <c r="R3404" s="36">
        <f>(O3404*Q3404)</f>
        <v>739200</v>
      </c>
      <c r="S3404" s="37">
        <v>4</v>
      </c>
      <c r="T3404" s="28">
        <f>(R3404*4/100)</f>
        <v>29568</v>
      </c>
      <c r="U3404" s="36">
        <f>(R3404-T3404)</f>
        <v>709632</v>
      </c>
      <c r="V3404" s="36">
        <f>(J3404+U3404)</f>
        <v>733632</v>
      </c>
      <c r="W3404" s="36">
        <f>(V3404*100/100)</f>
        <v>733632</v>
      </c>
      <c r="X3404" s="28">
        <v>0</v>
      </c>
      <c r="Y3404" s="28">
        <f>(W3404-X3404)</f>
        <v>733632</v>
      </c>
      <c r="Z3404" s="49">
        <v>2.0000000000000001E-4</v>
      </c>
    </row>
    <row r="3405" spans="1:26" s="29" customFormat="1" ht="90.75" customHeight="1" x14ac:dyDescent="0.25">
      <c r="A3405" s="20">
        <v>1585</v>
      </c>
      <c r="B3405" s="20" t="s">
        <v>0</v>
      </c>
      <c r="C3405" s="20">
        <v>55457</v>
      </c>
      <c r="D3405" s="21">
        <v>1</v>
      </c>
      <c r="E3405" s="21">
        <v>0</v>
      </c>
      <c r="F3405" s="22">
        <v>64</v>
      </c>
      <c r="G3405" s="23" t="s">
        <v>56</v>
      </c>
      <c r="H3405" s="24">
        <f t="shared" ref="H3405" si="896">(D3405*400)+(E3405*100)+F3405</f>
        <v>464</v>
      </c>
      <c r="I3405" s="25">
        <v>1000</v>
      </c>
      <c r="J3405" s="65">
        <f>(H3405*I3405)</f>
        <v>464000</v>
      </c>
      <c r="K3405" s="37">
        <v>1</v>
      </c>
      <c r="L3405" s="31" t="s">
        <v>43</v>
      </c>
      <c r="M3405" s="32" t="s">
        <v>13</v>
      </c>
      <c r="N3405" s="33">
        <v>2</v>
      </c>
      <c r="O3405" s="82">
        <v>240</v>
      </c>
      <c r="P3405" s="86">
        <v>100</v>
      </c>
      <c r="Q3405" s="36">
        <v>7700</v>
      </c>
      <c r="R3405" s="36">
        <f>(O3405*Q3405)</f>
        <v>1848000</v>
      </c>
      <c r="S3405" s="37">
        <v>5</v>
      </c>
      <c r="T3405" s="28">
        <f>(R3405*5/100)</f>
        <v>92400</v>
      </c>
      <c r="U3405" s="36">
        <f>(R3405-T3405)</f>
        <v>1755600</v>
      </c>
      <c r="V3405" s="36">
        <f>(J3405+U3405)</f>
        <v>2219600</v>
      </c>
      <c r="W3405" s="36">
        <f>(V3405*100/100)</f>
        <v>2219600</v>
      </c>
      <c r="X3405" s="28">
        <v>0</v>
      </c>
      <c r="Y3405" s="28">
        <f>(W3405-X3405)</f>
        <v>2219600</v>
      </c>
      <c r="Z3405" s="49">
        <v>2.0000000000000001E-4</v>
      </c>
    </row>
    <row r="3406" spans="1:26" s="29" customFormat="1" ht="90.75" customHeight="1" x14ac:dyDescent="0.25">
      <c r="A3406" s="20">
        <v>1586</v>
      </c>
      <c r="B3406" s="20" t="s">
        <v>0</v>
      </c>
      <c r="C3406" s="20">
        <v>61630</v>
      </c>
      <c r="D3406" s="21">
        <v>0</v>
      </c>
      <c r="E3406" s="21">
        <v>1</v>
      </c>
      <c r="F3406" s="22">
        <v>8</v>
      </c>
      <c r="G3406" s="23" t="s">
        <v>211</v>
      </c>
      <c r="H3406" s="36">
        <f>(D3406*400)+(E3406*100)+F3406</f>
        <v>108</v>
      </c>
      <c r="I3406" s="44">
        <v>750</v>
      </c>
      <c r="J3406" s="65">
        <f>(H3406*I3406)</f>
        <v>81000</v>
      </c>
      <c r="K3406" s="33">
        <v>1</v>
      </c>
      <c r="L3406" s="31" t="s">
        <v>275</v>
      </c>
      <c r="M3406" s="112" t="s">
        <v>13</v>
      </c>
      <c r="N3406" s="30">
        <v>5</v>
      </c>
      <c r="O3406" s="90">
        <v>72</v>
      </c>
      <c r="P3406" s="82">
        <v>100</v>
      </c>
      <c r="Q3406" s="83">
        <v>6450</v>
      </c>
      <c r="R3406" s="90">
        <f>(O3406*Q3406)</f>
        <v>464400</v>
      </c>
      <c r="S3406" s="33">
        <v>2</v>
      </c>
      <c r="T3406" s="88">
        <f>(R3406*2/100)</f>
        <v>9288</v>
      </c>
      <c r="U3406" s="90">
        <f>(R3406-T3406)</f>
        <v>455112</v>
      </c>
      <c r="V3406" s="90">
        <f>(J3406+U3406)</f>
        <v>536112</v>
      </c>
      <c r="W3406" s="90">
        <f>(V3406*100/100)</f>
        <v>536112</v>
      </c>
      <c r="X3406" s="89"/>
      <c r="Y3406" s="48"/>
      <c r="Z3406" s="53"/>
    </row>
    <row r="3407" spans="1:26" s="29" customFormat="1" ht="90.75" customHeight="1" x14ac:dyDescent="0.25">
      <c r="A3407" s="20"/>
      <c r="B3407" s="20"/>
      <c r="C3407" s="20"/>
      <c r="D3407" s="21"/>
      <c r="E3407" s="21"/>
      <c r="F3407" s="22"/>
      <c r="G3407" s="23"/>
      <c r="H3407" s="36"/>
      <c r="I3407" s="44"/>
      <c r="J3407" s="65"/>
      <c r="K3407" s="33"/>
      <c r="L3407" s="31" t="s">
        <v>56</v>
      </c>
      <c r="M3407" s="112"/>
      <c r="N3407" s="30"/>
      <c r="O3407" s="90">
        <v>62</v>
      </c>
      <c r="P3407" s="82">
        <v>86</v>
      </c>
      <c r="Q3407" s="83"/>
      <c r="R3407" s="33"/>
      <c r="S3407" s="33"/>
      <c r="T3407" s="89"/>
      <c r="U3407" s="33"/>
      <c r="V3407" s="90"/>
      <c r="W3407" s="90">
        <f>(W3406*86/100)</f>
        <v>461056.32</v>
      </c>
      <c r="X3407" s="89">
        <v>50000000</v>
      </c>
      <c r="Y3407" s="48"/>
      <c r="Z3407" s="49"/>
    </row>
    <row r="3408" spans="1:26" s="29" customFormat="1" ht="90.75" customHeight="1" x14ac:dyDescent="0.25">
      <c r="A3408" s="20"/>
      <c r="B3408" s="20"/>
      <c r="C3408" s="20"/>
      <c r="D3408" s="21"/>
      <c r="E3408" s="21"/>
      <c r="F3408" s="22"/>
      <c r="G3408" s="23"/>
      <c r="H3408" s="36"/>
      <c r="I3408" s="44"/>
      <c r="J3408" s="65"/>
      <c r="K3408" s="33"/>
      <c r="L3408" s="31" t="s">
        <v>259</v>
      </c>
      <c r="M3408" s="112"/>
      <c r="N3408" s="30"/>
      <c r="O3408" s="90">
        <v>10</v>
      </c>
      <c r="P3408" s="82">
        <v>14</v>
      </c>
      <c r="Q3408" s="83"/>
      <c r="R3408" s="33"/>
      <c r="S3408" s="33"/>
      <c r="T3408" s="89"/>
      <c r="U3408" s="33"/>
      <c r="V3408" s="90"/>
      <c r="W3408" s="90">
        <f>(W3406*14/100)</f>
        <v>75055.679999999993</v>
      </c>
      <c r="X3408" s="89">
        <v>0</v>
      </c>
      <c r="Y3408" s="48">
        <f>(W3408-X3408)</f>
        <v>75055.679999999993</v>
      </c>
      <c r="Z3408" s="49">
        <v>3.0000000000000001E-3</v>
      </c>
    </row>
    <row r="3409" spans="1:26" s="29" customFormat="1" ht="90.75" customHeight="1" x14ac:dyDescent="0.25">
      <c r="A3409" s="20">
        <v>1587</v>
      </c>
      <c r="B3409" s="20" t="s">
        <v>0</v>
      </c>
      <c r="C3409" s="20">
        <v>62461</v>
      </c>
      <c r="D3409" s="21">
        <v>0</v>
      </c>
      <c r="E3409" s="21">
        <v>1</v>
      </c>
      <c r="F3409" s="22">
        <v>82.8</v>
      </c>
      <c r="G3409" s="23" t="s">
        <v>211</v>
      </c>
      <c r="H3409" s="36">
        <f>(D3409*400)+(E3409*100)+F3409</f>
        <v>182.8</v>
      </c>
      <c r="I3409" s="40">
        <v>200</v>
      </c>
      <c r="J3409" s="28">
        <f>(H3409*I3409)</f>
        <v>36560</v>
      </c>
      <c r="K3409" s="37"/>
      <c r="L3409" s="31"/>
      <c r="M3409" s="31"/>
      <c r="N3409" s="41"/>
      <c r="O3409" s="46"/>
      <c r="P3409" s="86"/>
      <c r="Q3409" s="36"/>
      <c r="R3409" s="36"/>
      <c r="S3409" s="84"/>
      <c r="T3409" s="28"/>
      <c r="U3409" s="28"/>
      <c r="V3409" s="36"/>
      <c r="W3409" s="36"/>
      <c r="X3409" s="28"/>
      <c r="Y3409" s="28"/>
      <c r="Z3409" s="20"/>
    </row>
    <row r="3410" spans="1:26" s="29" customFormat="1" ht="90.75" customHeight="1" x14ac:dyDescent="0.25">
      <c r="A3410" s="20"/>
      <c r="B3410" s="20"/>
      <c r="C3410" s="20"/>
      <c r="D3410" s="21"/>
      <c r="E3410" s="21"/>
      <c r="F3410" s="22"/>
      <c r="G3410" s="23"/>
      <c r="H3410" s="36">
        <v>166.86</v>
      </c>
      <c r="I3410" s="40">
        <v>200</v>
      </c>
      <c r="J3410" s="28">
        <f>(H3410*I3410)</f>
        <v>33372</v>
      </c>
      <c r="K3410" s="37">
        <v>1</v>
      </c>
      <c r="L3410" s="31" t="s">
        <v>215</v>
      </c>
      <c r="M3410" s="31" t="s">
        <v>52</v>
      </c>
      <c r="N3410" s="41">
        <v>2</v>
      </c>
      <c r="O3410" s="46">
        <v>72</v>
      </c>
      <c r="P3410" s="86">
        <v>100</v>
      </c>
      <c r="Q3410" s="36">
        <v>6450</v>
      </c>
      <c r="R3410" s="36">
        <f>(O3410*Q3410)</f>
        <v>464400</v>
      </c>
      <c r="S3410" s="84">
        <v>22</v>
      </c>
      <c r="T3410" s="28">
        <f>(R3410*85/100)</f>
        <v>394740</v>
      </c>
      <c r="U3410" s="28">
        <f>(R3410-T3410)</f>
        <v>69660</v>
      </c>
      <c r="V3410" s="36">
        <f>(J3410+U3410)</f>
        <v>103032</v>
      </c>
      <c r="W3410" s="36">
        <f>(V3410*100/100)</f>
        <v>103032</v>
      </c>
      <c r="X3410" s="28">
        <v>50000000</v>
      </c>
      <c r="Y3410" s="28"/>
      <c r="Z3410" s="49"/>
    </row>
    <row r="3411" spans="1:26" s="29" customFormat="1" ht="90.75" customHeight="1" x14ac:dyDescent="0.25">
      <c r="A3411" s="20"/>
      <c r="B3411" s="20"/>
      <c r="C3411" s="20"/>
      <c r="D3411" s="21"/>
      <c r="E3411" s="21"/>
      <c r="F3411" s="22"/>
      <c r="G3411" s="23"/>
      <c r="H3411" s="36">
        <v>15.94</v>
      </c>
      <c r="I3411" s="40">
        <v>200</v>
      </c>
      <c r="J3411" s="28">
        <f>(H3411*I3411)</f>
        <v>3188</v>
      </c>
      <c r="K3411" s="37">
        <v>2</v>
      </c>
      <c r="L3411" s="31" t="s">
        <v>70</v>
      </c>
      <c r="M3411" s="31" t="s">
        <v>13</v>
      </c>
      <c r="N3411" s="41">
        <v>3</v>
      </c>
      <c r="O3411" s="46">
        <v>63.75</v>
      </c>
      <c r="P3411" s="86">
        <v>100</v>
      </c>
      <c r="Q3411" s="36">
        <v>5550</v>
      </c>
      <c r="R3411" s="36">
        <f>(O3411*Q3411)</f>
        <v>353812.5</v>
      </c>
      <c r="S3411" s="84">
        <v>22</v>
      </c>
      <c r="T3411" s="28">
        <f>(R3411*34/100)</f>
        <v>120296.25</v>
      </c>
      <c r="U3411" s="28">
        <f>(R3411-T3411)</f>
        <v>233516.25</v>
      </c>
      <c r="V3411" s="36">
        <f>(J3411+U3411)</f>
        <v>236704.25</v>
      </c>
      <c r="W3411" s="36">
        <f>(V3411*100/100)</f>
        <v>236704.25</v>
      </c>
      <c r="X3411" s="28">
        <v>0</v>
      </c>
      <c r="Y3411" s="28">
        <f>(W3411-X3411)</f>
        <v>236704.25</v>
      </c>
      <c r="Z3411" s="49">
        <v>3.0000000000000001E-3</v>
      </c>
    </row>
    <row r="3412" spans="1:26" s="29" customFormat="1" ht="90.75" customHeight="1" x14ac:dyDescent="0.25">
      <c r="A3412" s="20">
        <v>1588</v>
      </c>
      <c r="B3412" s="20" t="s">
        <v>0</v>
      </c>
      <c r="C3412" s="20">
        <v>47220</v>
      </c>
      <c r="D3412" s="21">
        <v>0</v>
      </c>
      <c r="E3412" s="21">
        <v>1</v>
      </c>
      <c r="F3412" s="22">
        <v>0</v>
      </c>
      <c r="G3412" s="23" t="s">
        <v>56</v>
      </c>
      <c r="H3412" s="24">
        <f>(D3412*400)+(E3412*100)+F3412</f>
        <v>100</v>
      </c>
      <c r="I3412" s="25">
        <v>1000</v>
      </c>
      <c r="J3412" s="28">
        <f t="shared" ref="J3412:J3423" si="897">(H3412*I3412)</f>
        <v>100000</v>
      </c>
      <c r="K3412" s="20"/>
      <c r="L3412" s="20"/>
      <c r="M3412" s="20"/>
      <c r="N3412" s="20"/>
      <c r="O3412" s="24"/>
      <c r="P3412" s="24"/>
      <c r="Q3412" s="25"/>
      <c r="R3412" s="24"/>
      <c r="S3412" s="20"/>
      <c r="T3412" s="27"/>
      <c r="U3412" s="20"/>
      <c r="V3412" s="20"/>
      <c r="W3412" s="26"/>
      <c r="X3412" s="27"/>
      <c r="Y3412" s="20"/>
      <c r="Z3412" s="20"/>
    </row>
    <row r="3413" spans="1:26" s="29" customFormat="1" ht="90.75" customHeight="1" x14ac:dyDescent="0.25">
      <c r="A3413" s="20"/>
      <c r="B3413" s="20"/>
      <c r="C3413" s="20"/>
      <c r="D3413" s="21"/>
      <c r="E3413" s="21"/>
      <c r="F3413" s="22"/>
      <c r="G3413" s="23"/>
      <c r="H3413" s="24">
        <v>9.94</v>
      </c>
      <c r="I3413" s="25">
        <v>1000</v>
      </c>
      <c r="J3413" s="28">
        <f t="shared" si="897"/>
        <v>9940</v>
      </c>
      <c r="K3413" s="20">
        <v>1</v>
      </c>
      <c r="L3413" s="20" t="s">
        <v>16</v>
      </c>
      <c r="M3413" s="20" t="s">
        <v>13</v>
      </c>
      <c r="N3413" s="20">
        <v>2</v>
      </c>
      <c r="O3413" s="24">
        <v>39.75</v>
      </c>
      <c r="P3413" s="24">
        <v>100</v>
      </c>
      <c r="Q3413" s="36">
        <v>6450</v>
      </c>
      <c r="R3413" s="36">
        <f>(O3413*Q3413)</f>
        <v>256387.5</v>
      </c>
      <c r="S3413" s="20">
        <v>5</v>
      </c>
      <c r="T3413" s="28">
        <f t="shared" ref="T3413:T3415" si="898">(R3413*5/100)</f>
        <v>12819.375</v>
      </c>
      <c r="U3413" s="36">
        <f>(R3413-T3413)</f>
        <v>243568.125</v>
      </c>
      <c r="V3413" s="78">
        <f>(R3413+U3413)</f>
        <v>499955.625</v>
      </c>
      <c r="W3413" s="26">
        <f>(V3413*100/100)</f>
        <v>499955.625</v>
      </c>
      <c r="X3413" s="24">
        <v>10000000</v>
      </c>
      <c r="Y3413" s="20"/>
      <c r="Z3413" s="20"/>
    </row>
    <row r="3414" spans="1:26" s="29" customFormat="1" ht="90.75" customHeight="1" x14ac:dyDescent="0.25">
      <c r="A3414" s="20"/>
      <c r="B3414" s="20"/>
      <c r="C3414" s="20"/>
      <c r="D3414" s="21"/>
      <c r="E3414" s="21"/>
      <c r="F3414" s="22"/>
      <c r="G3414" s="23"/>
      <c r="H3414" s="24">
        <v>9.94</v>
      </c>
      <c r="I3414" s="25">
        <v>1000</v>
      </c>
      <c r="J3414" s="28">
        <f t="shared" si="897"/>
        <v>9940</v>
      </c>
      <c r="K3414" s="20">
        <v>2</v>
      </c>
      <c r="L3414" s="20" t="s">
        <v>16</v>
      </c>
      <c r="M3414" s="20" t="s">
        <v>13</v>
      </c>
      <c r="N3414" s="20">
        <v>2</v>
      </c>
      <c r="O3414" s="24">
        <v>39.75</v>
      </c>
      <c r="P3414" s="24">
        <v>100</v>
      </c>
      <c r="Q3414" s="36">
        <v>6450</v>
      </c>
      <c r="R3414" s="36">
        <f t="shared" ref="R3414:R3415" si="899">(O3414*Q3414)</f>
        <v>256387.5</v>
      </c>
      <c r="S3414" s="20">
        <v>5</v>
      </c>
      <c r="T3414" s="28">
        <f t="shared" si="898"/>
        <v>12819.375</v>
      </c>
      <c r="U3414" s="36">
        <f t="shared" ref="U3414:U3415" si="900">(R3414-T3414)</f>
        <v>243568.125</v>
      </c>
      <c r="V3414" s="78">
        <f t="shared" ref="V3414:V3415" si="901">(R3414+U3414)</f>
        <v>499955.625</v>
      </c>
      <c r="W3414" s="26">
        <f t="shared" ref="W3414:W3415" si="902">(V3414*100/100)</f>
        <v>499955.625</v>
      </c>
      <c r="X3414" s="24">
        <v>10000000</v>
      </c>
      <c r="Y3414" s="20"/>
      <c r="Z3414" s="20"/>
    </row>
    <row r="3415" spans="1:26" s="29" customFormat="1" ht="90.75" customHeight="1" x14ac:dyDescent="0.25">
      <c r="A3415" s="20"/>
      <c r="B3415" s="20"/>
      <c r="C3415" s="20"/>
      <c r="D3415" s="21"/>
      <c r="E3415" s="21"/>
      <c r="F3415" s="22"/>
      <c r="G3415" s="23"/>
      <c r="H3415" s="24">
        <v>9.94</v>
      </c>
      <c r="I3415" s="25">
        <v>1000</v>
      </c>
      <c r="J3415" s="28">
        <f t="shared" si="897"/>
        <v>9940</v>
      </c>
      <c r="K3415" s="20">
        <v>3</v>
      </c>
      <c r="L3415" s="20" t="s">
        <v>16</v>
      </c>
      <c r="M3415" s="20" t="s">
        <v>13</v>
      </c>
      <c r="N3415" s="20">
        <v>2</v>
      </c>
      <c r="O3415" s="24">
        <v>39.75</v>
      </c>
      <c r="P3415" s="24">
        <v>100</v>
      </c>
      <c r="Q3415" s="36">
        <v>6450</v>
      </c>
      <c r="R3415" s="36">
        <f t="shared" si="899"/>
        <v>256387.5</v>
      </c>
      <c r="S3415" s="20">
        <v>5</v>
      </c>
      <c r="T3415" s="28">
        <f t="shared" si="898"/>
        <v>12819.375</v>
      </c>
      <c r="U3415" s="36">
        <f t="shared" si="900"/>
        <v>243568.125</v>
      </c>
      <c r="V3415" s="78">
        <f t="shared" si="901"/>
        <v>499955.625</v>
      </c>
      <c r="W3415" s="26">
        <f t="shared" si="902"/>
        <v>499955.625</v>
      </c>
      <c r="X3415" s="28">
        <v>0</v>
      </c>
      <c r="Y3415" s="28">
        <f>(W3415-X3415)</f>
        <v>499955.625</v>
      </c>
      <c r="Z3415" s="49">
        <v>2.0000000000000001E-4</v>
      </c>
    </row>
    <row r="3416" spans="1:26" s="29" customFormat="1" ht="90.75" customHeight="1" x14ac:dyDescent="0.25">
      <c r="A3416" s="20">
        <v>1589</v>
      </c>
      <c r="B3416" s="20" t="s">
        <v>0</v>
      </c>
      <c r="C3416" s="20">
        <v>42381</v>
      </c>
      <c r="D3416" s="21">
        <v>0</v>
      </c>
      <c r="E3416" s="21">
        <v>2</v>
      </c>
      <c r="F3416" s="22">
        <v>51</v>
      </c>
      <c r="G3416" s="23" t="s">
        <v>211</v>
      </c>
      <c r="H3416" s="24">
        <f t="shared" ref="H3416" si="903">(D3416*400)+(E3416*100)+F3416</f>
        <v>251</v>
      </c>
      <c r="I3416" s="40">
        <v>1000</v>
      </c>
      <c r="J3416" s="28">
        <f t="shared" si="897"/>
        <v>251000</v>
      </c>
      <c r="K3416" s="20"/>
      <c r="L3416" s="20"/>
      <c r="M3416" s="20"/>
      <c r="N3416" s="20"/>
      <c r="O3416" s="24"/>
      <c r="P3416" s="24"/>
      <c r="Q3416" s="25"/>
      <c r="R3416" s="24"/>
      <c r="S3416" s="20"/>
      <c r="T3416" s="24"/>
      <c r="U3416" s="80"/>
      <c r="V3416" s="20"/>
      <c r="W3416" s="26"/>
      <c r="X3416" s="27"/>
      <c r="Y3416" s="20"/>
      <c r="Z3416" s="20"/>
    </row>
    <row r="3417" spans="1:26" s="29" customFormat="1" ht="90.75" customHeight="1" x14ac:dyDescent="0.25">
      <c r="A3417" s="20"/>
      <c r="B3417" s="20"/>
      <c r="C3417" s="20"/>
      <c r="D3417" s="21"/>
      <c r="E3417" s="21"/>
      <c r="F3417" s="22"/>
      <c r="G3417" s="23"/>
      <c r="H3417" s="36">
        <v>91.5</v>
      </c>
      <c r="I3417" s="40">
        <v>1000</v>
      </c>
      <c r="J3417" s="28">
        <f t="shared" si="897"/>
        <v>91500</v>
      </c>
      <c r="K3417" s="37">
        <v>1</v>
      </c>
      <c r="L3417" s="31" t="s">
        <v>215</v>
      </c>
      <c r="M3417" s="31" t="s">
        <v>13</v>
      </c>
      <c r="N3417" s="41">
        <v>2</v>
      </c>
      <c r="O3417" s="46">
        <v>264</v>
      </c>
      <c r="P3417" s="86">
        <v>100</v>
      </c>
      <c r="Q3417" s="36">
        <v>6450</v>
      </c>
      <c r="R3417" s="36">
        <f>(O3417*Q3417)</f>
        <v>1702800</v>
      </c>
      <c r="S3417" s="30">
        <v>5</v>
      </c>
      <c r="T3417" s="28">
        <f>(R3417*5/100)</f>
        <v>85140</v>
      </c>
      <c r="U3417" s="36">
        <f>(R3417*4/100)</f>
        <v>68112</v>
      </c>
      <c r="V3417" s="36"/>
      <c r="W3417" s="36"/>
      <c r="X3417" s="28"/>
      <c r="Y3417" s="28"/>
      <c r="Z3417" s="49"/>
    </row>
    <row r="3418" spans="1:26" s="29" customFormat="1" ht="90.75" customHeight="1" x14ac:dyDescent="0.25">
      <c r="A3418" s="20"/>
      <c r="B3418" s="20"/>
      <c r="C3418" s="20"/>
      <c r="D3418" s="21"/>
      <c r="E3418" s="21"/>
      <c r="F3418" s="22"/>
      <c r="G3418" s="23"/>
      <c r="H3418" s="36"/>
      <c r="I3418" s="40"/>
      <c r="J3418" s="28"/>
      <c r="K3418" s="37">
        <v>2</v>
      </c>
      <c r="L3418" s="31" t="s">
        <v>31</v>
      </c>
      <c r="M3418" s="31" t="s">
        <v>13</v>
      </c>
      <c r="N3418" s="41">
        <v>2</v>
      </c>
      <c r="O3418" s="43">
        <v>102</v>
      </c>
      <c r="P3418" s="86">
        <v>100</v>
      </c>
      <c r="Q3418" s="36">
        <v>2550</v>
      </c>
      <c r="R3418" s="36">
        <f t="shared" ref="R3418:R3421" si="904">(O3418*Q3418)</f>
        <v>260100</v>
      </c>
      <c r="S3418" s="30">
        <v>5</v>
      </c>
      <c r="T3418" s="28">
        <f t="shared" ref="T3418:T3421" si="905">(R3418*5/100)</f>
        <v>13005</v>
      </c>
      <c r="U3418" s="36">
        <f>(R3418-T3418)</f>
        <v>247095</v>
      </c>
      <c r="V3418" s="36"/>
      <c r="W3418" s="36"/>
      <c r="X3418" s="28"/>
      <c r="Y3418" s="28"/>
      <c r="Z3418" s="20"/>
    </row>
    <row r="3419" spans="1:26" s="29" customFormat="1" ht="90.75" customHeight="1" x14ac:dyDescent="0.25">
      <c r="A3419" s="20"/>
      <c r="B3419" s="20"/>
      <c r="C3419" s="20"/>
      <c r="D3419" s="21"/>
      <c r="E3419" s="21"/>
      <c r="F3419" s="22"/>
      <c r="G3419" s="23"/>
      <c r="H3419" s="36"/>
      <c r="I3419" s="40"/>
      <c r="J3419" s="28"/>
      <c r="K3419" s="37"/>
      <c r="L3419" s="31"/>
      <c r="M3419" s="31"/>
      <c r="N3419" s="41"/>
      <c r="O3419" s="43"/>
      <c r="P3419" s="86"/>
      <c r="Q3419" s="36"/>
      <c r="R3419" s="36"/>
      <c r="S3419" s="30"/>
      <c r="T3419" s="28"/>
      <c r="U3419" s="36">
        <f>SUM(U3417:U3418)</f>
        <v>315207</v>
      </c>
      <c r="V3419" s="36">
        <f>(J3417+U3419)</f>
        <v>406707</v>
      </c>
      <c r="W3419" s="36">
        <f>(V3419*100/100)</f>
        <v>406707</v>
      </c>
      <c r="X3419" s="28">
        <v>10000000</v>
      </c>
      <c r="Y3419" s="28"/>
      <c r="Z3419" s="20"/>
    </row>
    <row r="3420" spans="1:26" s="29" customFormat="1" ht="90.75" customHeight="1" x14ac:dyDescent="0.25">
      <c r="A3420" s="20"/>
      <c r="B3420" s="20"/>
      <c r="C3420" s="20"/>
      <c r="D3420" s="21"/>
      <c r="E3420" s="21"/>
      <c r="F3420" s="22"/>
      <c r="G3420" s="23"/>
      <c r="H3420" s="36">
        <f t="shared" ref="H3420:H3421" si="906">(O3420*0.25)</f>
        <v>8</v>
      </c>
      <c r="I3420" s="40">
        <v>1000</v>
      </c>
      <c r="J3420" s="28">
        <f t="shared" si="897"/>
        <v>8000</v>
      </c>
      <c r="K3420" s="37">
        <v>3</v>
      </c>
      <c r="L3420" s="31" t="s">
        <v>196</v>
      </c>
      <c r="M3420" s="31"/>
      <c r="N3420" s="41">
        <v>3</v>
      </c>
      <c r="O3420" s="46">
        <v>32</v>
      </c>
      <c r="P3420" s="86">
        <v>100</v>
      </c>
      <c r="Q3420" s="36">
        <v>5550</v>
      </c>
      <c r="R3420" s="36">
        <f t="shared" si="904"/>
        <v>177600</v>
      </c>
      <c r="S3420" s="30">
        <v>5</v>
      </c>
      <c r="T3420" s="28">
        <f t="shared" si="905"/>
        <v>8880</v>
      </c>
      <c r="U3420" s="36">
        <f>(R3420-T3420)</f>
        <v>168720</v>
      </c>
      <c r="V3420" s="36">
        <f t="shared" ref="V3420:V3421" si="907">(J3420+U3420)</f>
        <v>176720</v>
      </c>
      <c r="W3420" s="36">
        <f t="shared" ref="W3420:W3421" si="908">(V3420*100/100)</f>
        <v>176720</v>
      </c>
      <c r="X3420" s="28">
        <v>0</v>
      </c>
      <c r="Y3420" s="28">
        <f>(W3420-X3420)</f>
        <v>176720</v>
      </c>
      <c r="Z3420" s="49">
        <v>3.0000000000000001E-3</v>
      </c>
    </row>
    <row r="3421" spans="1:26" s="29" customFormat="1" ht="90.75" customHeight="1" x14ac:dyDescent="0.25">
      <c r="A3421" s="20"/>
      <c r="B3421" s="20"/>
      <c r="C3421" s="20"/>
      <c r="D3421" s="21"/>
      <c r="E3421" s="21"/>
      <c r="F3421" s="22"/>
      <c r="G3421" s="23"/>
      <c r="H3421" s="36">
        <f t="shared" si="906"/>
        <v>8</v>
      </c>
      <c r="I3421" s="40">
        <v>1000</v>
      </c>
      <c r="J3421" s="28">
        <f t="shared" si="897"/>
        <v>8000</v>
      </c>
      <c r="K3421" s="37">
        <v>4</v>
      </c>
      <c r="L3421" s="31" t="s">
        <v>31</v>
      </c>
      <c r="M3421" s="31"/>
      <c r="N3421" s="41">
        <v>3</v>
      </c>
      <c r="O3421" s="46">
        <v>32</v>
      </c>
      <c r="P3421" s="86">
        <v>100</v>
      </c>
      <c r="Q3421" s="36">
        <v>2550</v>
      </c>
      <c r="R3421" s="36">
        <f t="shared" si="904"/>
        <v>81600</v>
      </c>
      <c r="S3421" s="30">
        <v>5</v>
      </c>
      <c r="T3421" s="28">
        <f t="shared" si="905"/>
        <v>4080</v>
      </c>
      <c r="U3421" s="36">
        <f>(R3421-T3421)</f>
        <v>77520</v>
      </c>
      <c r="V3421" s="36">
        <f t="shared" si="907"/>
        <v>85520</v>
      </c>
      <c r="W3421" s="36">
        <f t="shared" si="908"/>
        <v>85520</v>
      </c>
      <c r="X3421" s="28">
        <v>0</v>
      </c>
      <c r="Y3421" s="28">
        <f>(W3421-X3421)</f>
        <v>85520</v>
      </c>
      <c r="Z3421" s="49">
        <v>3.0000000000000001E-3</v>
      </c>
    </row>
    <row r="3422" spans="1:26" s="29" customFormat="1" ht="90.75" customHeight="1" x14ac:dyDescent="0.25">
      <c r="A3422" s="20">
        <v>1590</v>
      </c>
      <c r="B3422" s="20" t="s">
        <v>0</v>
      </c>
      <c r="C3422" s="20">
        <v>15127</v>
      </c>
      <c r="D3422" s="21">
        <v>2</v>
      </c>
      <c r="E3422" s="21">
        <v>3</v>
      </c>
      <c r="F3422" s="22">
        <v>65</v>
      </c>
      <c r="G3422" s="23" t="s">
        <v>211</v>
      </c>
      <c r="H3422" s="24">
        <f t="shared" ref="H3422" si="909">(D3422*400)+(E3422*100)+F3422</f>
        <v>1165</v>
      </c>
      <c r="I3422" s="25">
        <v>750</v>
      </c>
      <c r="J3422" s="36">
        <f t="shared" si="897"/>
        <v>873750</v>
      </c>
      <c r="K3422" s="20"/>
      <c r="L3422" s="20"/>
      <c r="M3422" s="20"/>
      <c r="N3422" s="20"/>
      <c r="O3422" s="24"/>
      <c r="P3422" s="24"/>
      <c r="Q3422" s="25"/>
      <c r="R3422" s="24"/>
      <c r="S3422" s="20"/>
      <c r="T3422" s="27"/>
      <c r="U3422" s="20"/>
      <c r="V3422" s="20"/>
      <c r="W3422" s="26"/>
      <c r="X3422" s="27"/>
      <c r="Y3422" s="20"/>
      <c r="Z3422" s="20"/>
    </row>
    <row r="3423" spans="1:26" s="29" customFormat="1" ht="90.75" customHeight="1" x14ac:dyDescent="0.25">
      <c r="A3423" s="20"/>
      <c r="B3423" s="20"/>
      <c r="C3423" s="20"/>
      <c r="D3423" s="21"/>
      <c r="E3423" s="21"/>
      <c r="F3423" s="22"/>
      <c r="G3423" s="23"/>
      <c r="H3423" s="24">
        <v>649</v>
      </c>
      <c r="I3423" s="25">
        <v>750</v>
      </c>
      <c r="J3423" s="36">
        <f t="shared" si="897"/>
        <v>486750</v>
      </c>
      <c r="K3423" s="20">
        <v>1</v>
      </c>
      <c r="L3423" s="20" t="s">
        <v>16</v>
      </c>
      <c r="M3423" s="20" t="s">
        <v>40</v>
      </c>
      <c r="N3423" s="20">
        <v>2</v>
      </c>
      <c r="O3423" s="24">
        <v>63</v>
      </c>
      <c r="P3423" s="24">
        <v>100</v>
      </c>
      <c r="Q3423" s="25">
        <v>6450</v>
      </c>
      <c r="R3423" s="24">
        <f t="shared" ref="R3423:R3428" si="910">(O3423*Q3423)</f>
        <v>406350</v>
      </c>
      <c r="S3423" s="20">
        <v>32</v>
      </c>
      <c r="T3423" s="24">
        <f>(R3423*93/100)</f>
        <v>377905.5</v>
      </c>
      <c r="U3423" s="80">
        <f>(R3423-T3423)</f>
        <v>28444.5</v>
      </c>
      <c r="V3423" s="20"/>
      <c r="W3423" s="26"/>
      <c r="X3423" s="27"/>
      <c r="Y3423" s="20"/>
      <c r="Z3423" s="20"/>
    </row>
    <row r="3424" spans="1:26" s="29" customFormat="1" ht="90.75" customHeight="1" x14ac:dyDescent="0.25">
      <c r="A3424" s="20"/>
      <c r="B3424" s="20"/>
      <c r="C3424" s="20"/>
      <c r="D3424" s="21"/>
      <c r="E3424" s="21"/>
      <c r="F3424" s="22"/>
      <c r="G3424" s="23"/>
      <c r="H3424" s="24"/>
      <c r="I3424" s="25"/>
      <c r="J3424" s="24"/>
      <c r="K3424" s="20">
        <v>2</v>
      </c>
      <c r="L3424" s="20" t="s">
        <v>31</v>
      </c>
      <c r="M3424" s="20"/>
      <c r="N3424" s="20">
        <v>2</v>
      </c>
      <c r="O3424" s="27">
        <v>48</v>
      </c>
      <c r="P3424" s="24">
        <v>100</v>
      </c>
      <c r="Q3424" s="64">
        <v>2550</v>
      </c>
      <c r="R3424" s="24">
        <f t="shared" si="910"/>
        <v>122400</v>
      </c>
      <c r="S3424" s="20">
        <v>32</v>
      </c>
      <c r="T3424" s="24">
        <f>(R3424*93/100)</f>
        <v>113832</v>
      </c>
      <c r="U3424" s="80">
        <f>(R3424-T3424)</f>
        <v>8568</v>
      </c>
      <c r="V3424" s="20"/>
      <c r="W3424" s="26"/>
      <c r="X3424" s="27"/>
      <c r="Y3424" s="20"/>
      <c r="Z3424" s="20"/>
    </row>
    <row r="3425" spans="1:26" s="29" customFormat="1" ht="90.75" customHeight="1" x14ac:dyDescent="0.25">
      <c r="A3425" s="20"/>
      <c r="B3425" s="20"/>
      <c r="C3425" s="20"/>
      <c r="D3425" s="21"/>
      <c r="E3425" s="21"/>
      <c r="F3425" s="22"/>
      <c r="G3425" s="23"/>
      <c r="H3425" s="24"/>
      <c r="I3425" s="25"/>
      <c r="J3425" s="24"/>
      <c r="K3425" s="20"/>
      <c r="L3425" s="20"/>
      <c r="M3425" s="20"/>
      <c r="N3425" s="20"/>
      <c r="O3425" s="27"/>
      <c r="P3425" s="24"/>
      <c r="Q3425" s="64"/>
      <c r="R3425" s="24"/>
      <c r="S3425" s="20"/>
      <c r="T3425" s="27"/>
      <c r="U3425" s="80">
        <f>SUM(U3423:U3424)</f>
        <v>37012.5</v>
      </c>
      <c r="V3425" s="80">
        <f>(J3423+U3425)</f>
        <v>523762.5</v>
      </c>
      <c r="W3425" s="26">
        <f>(V3425*100/100)</f>
        <v>523762.5</v>
      </c>
      <c r="X3425" s="24">
        <v>10000000</v>
      </c>
      <c r="Y3425" s="20"/>
      <c r="Z3425" s="20"/>
    </row>
    <row r="3426" spans="1:26" s="29" customFormat="1" ht="90.75" customHeight="1" x14ac:dyDescent="0.25">
      <c r="A3426" s="20"/>
      <c r="B3426" s="20"/>
      <c r="C3426" s="20"/>
      <c r="D3426" s="21"/>
      <c r="E3426" s="21"/>
      <c r="F3426" s="22"/>
      <c r="G3426" s="23"/>
      <c r="H3426" s="24">
        <v>100</v>
      </c>
      <c r="I3426" s="25">
        <v>750</v>
      </c>
      <c r="J3426" s="36">
        <f t="shared" ref="J3426:J3430" si="911">(H3426*I3426)</f>
        <v>75000</v>
      </c>
      <c r="K3426" s="20">
        <v>3</v>
      </c>
      <c r="L3426" s="20" t="s">
        <v>43</v>
      </c>
      <c r="M3426" s="20" t="s">
        <v>13</v>
      </c>
      <c r="N3426" s="20">
        <v>2</v>
      </c>
      <c r="O3426" s="27">
        <v>400</v>
      </c>
      <c r="P3426" s="24">
        <v>100</v>
      </c>
      <c r="Q3426" s="64">
        <v>7700</v>
      </c>
      <c r="R3426" s="24">
        <f t="shared" si="910"/>
        <v>3080000</v>
      </c>
      <c r="S3426" s="20">
        <v>7</v>
      </c>
      <c r="T3426" s="24">
        <f>(R3426*7/100)</f>
        <v>215600</v>
      </c>
      <c r="U3426" s="80">
        <f>(R3426-T3426)</f>
        <v>2864400</v>
      </c>
      <c r="V3426" s="80">
        <f>(J3426+U3426)</f>
        <v>2939400</v>
      </c>
      <c r="W3426" s="26">
        <f>(V3426*100/100)</f>
        <v>2939400</v>
      </c>
      <c r="X3426" s="28">
        <v>0</v>
      </c>
      <c r="Y3426" s="26">
        <f>(W3426-X3426)</f>
        <v>2939400</v>
      </c>
      <c r="Z3426" s="49">
        <v>2.0000000000000001E-4</v>
      </c>
    </row>
    <row r="3427" spans="1:26" s="29" customFormat="1" ht="90.75" customHeight="1" x14ac:dyDescent="0.25">
      <c r="A3427" s="20"/>
      <c r="B3427" s="20"/>
      <c r="C3427" s="20"/>
      <c r="D3427" s="21"/>
      <c r="E3427" s="21"/>
      <c r="F3427" s="22"/>
      <c r="G3427" s="23"/>
      <c r="H3427" s="24">
        <v>400</v>
      </c>
      <c r="I3427" s="25">
        <v>750</v>
      </c>
      <c r="J3427" s="36">
        <f t="shared" si="911"/>
        <v>300000</v>
      </c>
      <c r="K3427" s="20">
        <v>4</v>
      </c>
      <c r="L3427" s="20" t="s">
        <v>16</v>
      </c>
      <c r="M3427" s="20" t="s">
        <v>13</v>
      </c>
      <c r="N3427" s="20">
        <v>2</v>
      </c>
      <c r="O3427" s="24">
        <v>136</v>
      </c>
      <c r="P3427" s="24">
        <v>100</v>
      </c>
      <c r="Q3427" s="25">
        <v>6450</v>
      </c>
      <c r="R3427" s="24">
        <f t="shared" si="910"/>
        <v>877200</v>
      </c>
      <c r="S3427" s="20">
        <v>1</v>
      </c>
      <c r="T3427" s="24">
        <f>(R3427*1/100)</f>
        <v>8772</v>
      </c>
      <c r="U3427" s="80">
        <f>(R3427-T3427)</f>
        <v>868428</v>
      </c>
      <c r="V3427" s="80">
        <f>(J3427+U3427)</f>
        <v>1168428</v>
      </c>
      <c r="W3427" s="26">
        <f>(V3427*100/100)</f>
        <v>1168428</v>
      </c>
      <c r="X3427" s="24">
        <v>50000000</v>
      </c>
      <c r="Y3427" s="20"/>
      <c r="Z3427" s="20"/>
    </row>
    <row r="3428" spans="1:26" s="29" customFormat="1" ht="90.75" customHeight="1" x14ac:dyDescent="0.25">
      <c r="A3428" s="20"/>
      <c r="B3428" s="20"/>
      <c r="C3428" s="20"/>
      <c r="D3428" s="21"/>
      <c r="E3428" s="21"/>
      <c r="F3428" s="22"/>
      <c r="G3428" s="23"/>
      <c r="H3428" s="24">
        <v>16</v>
      </c>
      <c r="I3428" s="25">
        <v>750</v>
      </c>
      <c r="J3428" s="36">
        <f t="shared" si="911"/>
        <v>12000</v>
      </c>
      <c r="K3428" s="20">
        <v>5</v>
      </c>
      <c r="L3428" s="20" t="s">
        <v>61</v>
      </c>
      <c r="M3428" s="20"/>
      <c r="N3428" s="20">
        <v>3</v>
      </c>
      <c r="O3428" s="24">
        <v>64</v>
      </c>
      <c r="P3428" s="24">
        <v>100</v>
      </c>
      <c r="Q3428" s="25">
        <v>2550</v>
      </c>
      <c r="R3428" s="24">
        <f t="shared" si="910"/>
        <v>163200</v>
      </c>
      <c r="S3428" s="20">
        <v>1</v>
      </c>
      <c r="T3428" s="24">
        <f>(R3428*1/100)</f>
        <v>1632</v>
      </c>
      <c r="U3428" s="80">
        <f>(R3428-T3428)</f>
        <v>161568</v>
      </c>
      <c r="V3428" s="80">
        <f>(J3428+U3428)</f>
        <v>173568</v>
      </c>
      <c r="W3428" s="26">
        <f>(V3428*100/100)</f>
        <v>173568</v>
      </c>
      <c r="X3428" s="28">
        <v>0</v>
      </c>
      <c r="Y3428" s="26">
        <f>(W3428-X3428)</f>
        <v>173568</v>
      </c>
      <c r="Z3428" s="49">
        <v>3.0000000000000001E-3</v>
      </c>
    </row>
    <row r="3429" spans="1:26" s="29" customFormat="1" ht="90.75" customHeight="1" x14ac:dyDescent="0.25">
      <c r="A3429" s="20">
        <v>1591</v>
      </c>
      <c r="B3429" s="20" t="s">
        <v>0</v>
      </c>
      <c r="C3429" s="20">
        <v>55004</v>
      </c>
      <c r="D3429" s="21">
        <v>0</v>
      </c>
      <c r="E3429" s="21">
        <v>3</v>
      </c>
      <c r="F3429" s="22">
        <v>87</v>
      </c>
      <c r="G3429" s="23" t="s">
        <v>211</v>
      </c>
      <c r="H3429" s="24">
        <f t="shared" ref="H3429" si="912">(D3429*400)+(E3429*100)+F3429</f>
        <v>387</v>
      </c>
      <c r="I3429" s="25">
        <v>625</v>
      </c>
      <c r="J3429" s="36">
        <f t="shared" si="911"/>
        <v>241875</v>
      </c>
      <c r="K3429" s="20"/>
      <c r="L3429" s="20"/>
      <c r="M3429" s="20"/>
      <c r="N3429" s="20"/>
      <c r="O3429" s="24"/>
      <c r="P3429" s="24"/>
      <c r="Q3429" s="25"/>
      <c r="R3429" s="24"/>
      <c r="S3429" s="20"/>
      <c r="T3429" s="27"/>
      <c r="U3429" s="20"/>
      <c r="V3429" s="20"/>
      <c r="W3429" s="26"/>
      <c r="X3429" s="27"/>
      <c r="Y3429" s="20"/>
      <c r="Z3429" s="20"/>
    </row>
    <row r="3430" spans="1:26" s="29" customFormat="1" ht="90.75" customHeight="1" x14ac:dyDescent="0.25">
      <c r="A3430" s="20"/>
      <c r="B3430" s="20"/>
      <c r="C3430" s="20"/>
      <c r="D3430" s="21"/>
      <c r="E3430" s="21"/>
      <c r="F3430" s="22"/>
      <c r="G3430" s="23"/>
      <c r="H3430" s="24">
        <v>380.75</v>
      </c>
      <c r="I3430" s="25">
        <v>625</v>
      </c>
      <c r="J3430" s="36">
        <f t="shared" si="911"/>
        <v>237968.75</v>
      </c>
      <c r="K3430" s="20">
        <v>1</v>
      </c>
      <c r="L3430" s="20" t="s">
        <v>16</v>
      </c>
      <c r="M3430" s="20" t="s">
        <v>52</v>
      </c>
      <c r="N3430" s="20">
        <v>2</v>
      </c>
      <c r="O3430" s="24">
        <v>229.5</v>
      </c>
      <c r="P3430" s="24">
        <v>100</v>
      </c>
      <c r="Q3430" s="25">
        <v>6450</v>
      </c>
      <c r="R3430" s="24">
        <f t="shared" ref="R3430:R3431" si="913">(O3430*Q3430)</f>
        <v>1480275</v>
      </c>
      <c r="S3430" s="20">
        <v>11</v>
      </c>
      <c r="T3430" s="24">
        <f>(R3430*34/100)</f>
        <v>503293.5</v>
      </c>
      <c r="U3430" s="80">
        <f t="shared" ref="U3430:U3431" si="914">(R3430-T3430)</f>
        <v>976981.5</v>
      </c>
      <c r="V3430" s="20"/>
      <c r="W3430" s="26"/>
      <c r="X3430" s="27"/>
      <c r="Y3430" s="20"/>
      <c r="Z3430" s="20"/>
    </row>
    <row r="3431" spans="1:26" s="29" customFormat="1" ht="90.75" customHeight="1" x14ac:dyDescent="0.25">
      <c r="A3431" s="20"/>
      <c r="B3431" s="20"/>
      <c r="C3431" s="20"/>
      <c r="D3431" s="21"/>
      <c r="E3431" s="21"/>
      <c r="F3431" s="22"/>
      <c r="G3431" s="23"/>
      <c r="H3431" s="24"/>
      <c r="I3431" s="25"/>
      <c r="J3431" s="24"/>
      <c r="K3431" s="20"/>
      <c r="L3431" s="20" t="s">
        <v>31</v>
      </c>
      <c r="M3431" s="20"/>
      <c r="N3431" s="20">
        <v>2</v>
      </c>
      <c r="O3431" s="24">
        <v>72</v>
      </c>
      <c r="P3431" s="24">
        <v>100</v>
      </c>
      <c r="Q3431" s="25">
        <v>2550</v>
      </c>
      <c r="R3431" s="24">
        <f t="shared" si="913"/>
        <v>183600</v>
      </c>
      <c r="S3431" s="20">
        <v>11</v>
      </c>
      <c r="T3431" s="24">
        <f>(R3431*34/100)</f>
        <v>62424</v>
      </c>
      <c r="U3431" s="80">
        <f t="shared" si="914"/>
        <v>121176</v>
      </c>
      <c r="V3431" s="20"/>
      <c r="W3431" s="26"/>
      <c r="X3431" s="27"/>
      <c r="Y3431" s="20"/>
      <c r="Z3431" s="20"/>
    </row>
    <row r="3432" spans="1:26" s="29" customFormat="1" ht="90.75" customHeight="1" x14ac:dyDescent="0.25">
      <c r="A3432" s="20"/>
      <c r="B3432" s="20"/>
      <c r="C3432" s="20"/>
      <c r="D3432" s="21"/>
      <c r="E3432" s="21"/>
      <c r="F3432" s="22"/>
      <c r="G3432" s="23"/>
      <c r="H3432" s="24"/>
      <c r="I3432" s="25"/>
      <c r="J3432" s="24"/>
      <c r="K3432" s="20"/>
      <c r="L3432" s="20"/>
      <c r="M3432" s="20"/>
      <c r="N3432" s="20"/>
      <c r="O3432" s="24"/>
      <c r="P3432" s="24"/>
      <c r="Q3432" s="25"/>
      <c r="R3432" s="24"/>
      <c r="S3432" s="20"/>
      <c r="T3432" s="27"/>
      <c r="U3432" s="80">
        <f>SUM(U3430:U3431)</f>
        <v>1098157.5</v>
      </c>
      <c r="V3432" s="80">
        <f>(J3430+U3432)</f>
        <v>1336126.25</v>
      </c>
      <c r="W3432" s="26">
        <f>(V3432*100/100)</f>
        <v>1336126.25</v>
      </c>
      <c r="X3432" s="24">
        <v>50000000</v>
      </c>
      <c r="Y3432" s="20"/>
      <c r="Z3432" s="20"/>
    </row>
    <row r="3433" spans="1:26" s="29" customFormat="1" ht="90.75" customHeight="1" x14ac:dyDescent="0.25">
      <c r="A3433" s="20"/>
      <c r="B3433" s="20"/>
      <c r="C3433" s="20"/>
      <c r="D3433" s="21"/>
      <c r="E3433" s="21"/>
      <c r="F3433" s="22"/>
      <c r="G3433" s="23"/>
      <c r="H3433" s="24">
        <v>6.25</v>
      </c>
      <c r="I3433" s="25">
        <v>625</v>
      </c>
      <c r="J3433" s="36">
        <f t="shared" ref="J3433:J3434" si="915">(H3433*I3433)</f>
        <v>3906.25</v>
      </c>
      <c r="K3433" s="20"/>
      <c r="L3433" s="20" t="s">
        <v>29</v>
      </c>
      <c r="M3433" s="20" t="s">
        <v>51</v>
      </c>
      <c r="N3433" s="20">
        <v>3</v>
      </c>
      <c r="O3433" s="24">
        <v>25</v>
      </c>
      <c r="P3433" s="24">
        <v>100</v>
      </c>
      <c r="Q3433" s="25">
        <v>5550</v>
      </c>
      <c r="R3433" s="24">
        <f t="shared" ref="R3433" si="916">(O3433*Q3433)</f>
        <v>138750</v>
      </c>
      <c r="S3433" s="20">
        <v>11</v>
      </c>
      <c r="T3433" s="24">
        <f>(R3433*12/100)</f>
        <v>16650</v>
      </c>
      <c r="U3433" s="80">
        <f t="shared" ref="U3433" si="917">(R3433-T3433)</f>
        <v>122100</v>
      </c>
      <c r="V3433" s="80">
        <f>(J3433+U3433)</f>
        <v>126006.25</v>
      </c>
      <c r="W3433" s="26">
        <f>(V3433*100/100)</f>
        <v>126006.25</v>
      </c>
      <c r="X3433" s="28">
        <v>0</v>
      </c>
      <c r="Y3433" s="26">
        <f>(W3433-X3433)</f>
        <v>126006.25</v>
      </c>
      <c r="Z3433" s="49">
        <v>3.0000000000000001E-3</v>
      </c>
    </row>
    <row r="3434" spans="1:26" s="29" customFormat="1" ht="90.75" customHeight="1" x14ac:dyDescent="0.25">
      <c r="A3434" s="20">
        <v>1592</v>
      </c>
      <c r="B3434" s="20" t="s">
        <v>0</v>
      </c>
      <c r="C3434" s="20">
        <v>10107</v>
      </c>
      <c r="D3434" s="21">
        <v>4</v>
      </c>
      <c r="E3434" s="21">
        <v>0</v>
      </c>
      <c r="F3434" s="22">
        <v>73</v>
      </c>
      <c r="G3434" s="23" t="s">
        <v>211</v>
      </c>
      <c r="H3434" s="24">
        <f t="shared" ref="H3434" si="918">(D3434*400)+(E3434*100)+F3434</f>
        <v>1673</v>
      </c>
      <c r="I3434" s="25">
        <v>625</v>
      </c>
      <c r="J3434" s="36">
        <f t="shared" si="915"/>
        <v>1045625</v>
      </c>
      <c r="K3434" s="20"/>
      <c r="L3434" s="20"/>
      <c r="M3434" s="20"/>
      <c r="N3434" s="20"/>
      <c r="O3434" s="24"/>
      <c r="P3434" s="24"/>
      <c r="Q3434" s="25"/>
      <c r="R3434" s="24"/>
      <c r="S3434" s="20"/>
      <c r="T3434" s="27"/>
      <c r="U3434" s="20"/>
      <c r="V3434" s="20"/>
      <c r="W3434" s="26"/>
      <c r="X3434" s="27"/>
      <c r="Y3434" s="20"/>
      <c r="Z3434" s="20"/>
    </row>
    <row r="3435" spans="1:26" s="29" customFormat="1" ht="90.75" customHeight="1" x14ac:dyDescent="0.25">
      <c r="A3435" s="20">
        <v>1593</v>
      </c>
      <c r="B3435" s="20" t="s">
        <v>0</v>
      </c>
      <c r="C3435" s="20">
        <v>47298</v>
      </c>
      <c r="D3435" s="21">
        <v>0</v>
      </c>
      <c r="E3435" s="21">
        <v>0</v>
      </c>
      <c r="F3435" s="22">
        <v>50.02</v>
      </c>
      <c r="G3435" s="23" t="s">
        <v>56</v>
      </c>
      <c r="H3435" s="24">
        <f t="shared" ref="H3435:H3447" si="919">(D3435*400)+(E3435*100)+F3435</f>
        <v>50.02</v>
      </c>
      <c r="I3435" s="25">
        <v>875</v>
      </c>
      <c r="J3435" s="36">
        <f t="shared" ref="J3435:J3441" si="920">(H3435*I3435)</f>
        <v>43767.5</v>
      </c>
      <c r="K3435" s="20">
        <v>1</v>
      </c>
      <c r="L3435" s="20" t="s">
        <v>16</v>
      </c>
      <c r="M3435" s="20" t="s">
        <v>13</v>
      </c>
      <c r="N3435" s="20">
        <v>2</v>
      </c>
      <c r="O3435" s="24">
        <v>100</v>
      </c>
      <c r="P3435" s="24">
        <v>100</v>
      </c>
      <c r="Q3435" s="25">
        <v>6450</v>
      </c>
      <c r="R3435" s="24">
        <f>(O3435*Q3435)</f>
        <v>645000</v>
      </c>
      <c r="S3435" s="20">
        <v>5</v>
      </c>
      <c r="T3435" s="24">
        <f>(R3435*5/100)</f>
        <v>32250</v>
      </c>
      <c r="U3435" s="80">
        <f>(R3435-T3435)</f>
        <v>612750</v>
      </c>
      <c r="V3435" s="78">
        <f>(J3435+U3435)</f>
        <v>656517.5</v>
      </c>
      <c r="W3435" s="36">
        <f>(V3435*100/100)</f>
        <v>656517.5</v>
      </c>
      <c r="X3435" s="28">
        <v>0</v>
      </c>
      <c r="Y3435" s="26">
        <f t="shared" ref="Y3435:Y3440" si="921">(W3435-X3435)</f>
        <v>656517.5</v>
      </c>
      <c r="Z3435" s="49">
        <v>3.0000000000000001E-3</v>
      </c>
    </row>
    <row r="3436" spans="1:26" s="29" customFormat="1" ht="90.75" customHeight="1" x14ac:dyDescent="0.25">
      <c r="A3436" s="20">
        <v>1594</v>
      </c>
      <c r="B3436" s="20" t="s">
        <v>0</v>
      </c>
      <c r="C3436" s="20">
        <v>58970</v>
      </c>
      <c r="D3436" s="21">
        <v>0</v>
      </c>
      <c r="E3436" s="21">
        <v>0</v>
      </c>
      <c r="F3436" s="22">
        <v>46.7</v>
      </c>
      <c r="G3436" s="23" t="s">
        <v>56</v>
      </c>
      <c r="H3436" s="24">
        <f t="shared" si="919"/>
        <v>46.7</v>
      </c>
      <c r="I3436" s="25">
        <v>875</v>
      </c>
      <c r="J3436" s="36">
        <f t="shared" si="920"/>
        <v>40862.5</v>
      </c>
      <c r="K3436" s="20">
        <v>1</v>
      </c>
      <c r="L3436" s="20" t="s">
        <v>16</v>
      </c>
      <c r="M3436" s="20" t="s">
        <v>13</v>
      </c>
      <c r="N3436" s="20">
        <v>2</v>
      </c>
      <c r="O3436" s="24">
        <v>100</v>
      </c>
      <c r="P3436" s="24">
        <v>100</v>
      </c>
      <c r="Q3436" s="25">
        <v>6450</v>
      </c>
      <c r="R3436" s="24">
        <f t="shared" ref="R3436:R3440" si="922">(O3436*Q3436)</f>
        <v>645000</v>
      </c>
      <c r="S3436" s="20">
        <v>5</v>
      </c>
      <c r="T3436" s="24">
        <f t="shared" ref="T3436:T3440" si="923">(R3436*5/100)</f>
        <v>32250</v>
      </c>
      <c r="U3436" s="80">
        <f t="shared" ref="U3436:U3440" si="924">(R3436-T3436)</f>
        <v>612750</v>
      </c>
      <c r="V3436" s="78">
        <f t="shared" ref="V3436:V3440" si="925">(J3436+U3436)</f>
        <v>653612.5</v>
      </c>
      <c r="W3436" s="36">
        <f t="shared" ref="W3436:W3440" si="926">(V3436*100/100)</f>
        <v>653612.5</v>
      </c>
      <c r="X3436" s="28">
        <v>0</v>
      </c>
      <c r="Y3436" s="26">
        <f t="shared" si="921"/>
        <v>653612.5</v>
      </c>
      <c r="Z3436" s="49">
        <v>3.0000000000000001E-3</v>
      </c>
    </row>
    <row r="3437" spans="1:26" s="37" customFormat="1" ht="90.75" customHeight="1" x14ac:dyDescent="0.25">
      <c r="A3437" s="20">
        <v>1595</v>
      </c>
      <c r="B3437" s="20" t="s">
        <v>0</v>
      </c>
      <c r="C3437" s="20">
        <v>58971</v>
      </c>
      <c r="D3437" s="21">
        <v>0</v>
      </c>
      <c r="E3437" s="21">
        <v>0</v>
      </c>
      <c r="F3437" s="22">
        <v>46.4</v>
      </c>
      <c r="G3437" s="23" t="s">
        <v>56</v>
      </c>
      <c r="H3437" s="24">
        <f t="shared" si="919"/>
        <v>46.4</v>
      </c>
      <c r="I3437" s="25">
        <v>875</v>
      </c>
      <c r="J3437" s="36">
        <f t="shared" si="920"/>
        <v>40600</v>
      </c>
      <c r="K3437" s="20">
        <v>1</v>
      </c>
      <c r="L3437" s="20" t="s">
        <v>16</v>
      </c>
      <c r="M3437" s="20" t="s">
        <v>13</v>
      </c>
      <c r="N3437" s="20">
        <v>2</v>
      </c>
      <c r="O3437" s="24">
        <v>100</v>
      </c>
      <c r="P3437" s="24">
        <v>100</v>
      </c>
      <c r="Q3437" s="25">
        <v>6450</v>
      </c>
      <c r="R3437" s="24">
        <f t="shared" si="922"/>
        <v>645000</v>
      </c>
      <c r="S3437" s="20">
        <v>5</v>
      </c>
      <c r="T3437" s="24">
        <f t="shared" si="923"/>
        <v>32250</v>
      </c>
      <c r="U3437" s="80">
        <f t="shared" si="924"/>
        <v>612750</v>
      </c>
      <c r="V3437" s="78">
        <f t="shared" si="925"/>
        <v>653350</v>
      </c>
      <c r="W3437" s="36">
        <f t="shared" si="926"/>
        <v>653350</v>
      </c>
      <c r="X3437" s="28">
        <v>0</v>
      </c>
      <c r="Y3437" s="26">
        <f t="shared" si="921"/>
        <v>653350</v>
      </c>
      <c r="Z3437" s="49">
        <v>3.0000000000000001E-3</v>
      </c>
    </row>
    <row r="3438" spans="1:26" s="37" customFormat="1" ht="90.75" customHeight="1" x14ac:dyDescent="0.25">
      <c r="A3438" s="20">
        <v>1596</v>
      </c>
      <c r="B3438" s="20" t="s">
        <v>0</v>
      </c>
      <c r="C3438" s="20">
        <v>58972</v>
      </c>
      <c r="D3438" s="21">
        <v>0</v>
      </c>
      <c r="E3438" s="21">
        <v>0</v>
      </c>
      <c r="F3438" s="22">
        <v>46</v>
      </c>
      <c r="G3438" s="23" t="s">
        <v>56</v>
      </c>
      <c r="H3438" s="24">
        <f t="shared" si="919"/>
        <v>46</v>
      </c>
      <c r="I3438" s="25">
        <v>875</v>
      </c>
      <c r="J3438" s="36">
        <f t="shared" si="920"/>
        <v>40250</v>
      </c>
      <c r="K3438" s="20">
        <v>1</v>
      </c>
      <c r="L3438" s="20" t="s">
        <v>16</v>
      </c>
      <c r="M3438" s="20" t="s">
        <v>13</v>
      </c>
      <c r="N3438" s="20">
        <v>2</v>
      </c>
      <c r="O3438" s="24">
        <v>100</v>
      </c>
      <c r="P3438" s="24">
        <v>100</v>
      </c>
      <c r="Q3438" s="25">
        <v>6450</v>
      </c>
      <c r="R3438" s="24">
        <f t="shared" si="922"/>
        <v>645000</v>
      </c>
      <c r="S3438" s="20">
        <v>5</v>
      </c>
      <c r="T3438" s="24">
        <f t="shared" si="923"/>
        <v>32250</v>
      </c>
      <c r="U3438" s="80">
        <f t="shared" si="924"/>
        <v>612750</v>
      </c>
      <c r="V3438" s="78">
        <f t="shared" si="925"/>
        <v>653000</v>
      </c>
      <c r="W3438" s="36">
        <f t="shared" si="926"/>
        <v>653000</v>
      </c>
      <c r="X3438" s="28">
        <v>0</v>
      </c>
      <c r="Y3438" s="26">
        <f t="shared" si="921"/>
        <v>653000</v>
      </c>
      <c r="Z3438" s="49">
        <v>3.0000000000000001E-3</v>
      </c>
    </row>
    <row r="3439" spans="1:26" s="37" customFormat="1" ht="90.75" customHeight="1" x14ac:dyDescent="0.25">
      <c r="A3439" s="20">
        <v>1597</v>
      </c>
      <c r="B3439" s="20" t="s">
        <v>0</v>
      </c>
      <c r="C3439" s="20">
        <v>58973</v>
      </c>
      <c r="D3439" s="21">
        <v>0</v>
      </c>
      <c r="E3439" s="21">
        <v>0</v>
      </c>
      <c r="F3439" s="22">
        <v>45.7</v>
      </c>
      <c r="G3439" s="23" t="s">
        <v>56</v>
      </c>
      <c r="H3439" s="24">
        <f t="shared" si="919"/>
        <v>45.7</v>
      </c>
      <c r="I3439" s="25">
        <v>875</v>
      </c>
      <c r="J3439" s="36">
        <f t="shared" si="920"/>
        <v>39987.5</v>
      </c>
      <c r="K3439" s="20">
        <v>1</v>
      </c>
      <c r="L3439" s="20" t="s">
        <v>16</v>
      </c>
      <c r="M3439" s="20" t="s">
        <v>13</v>
      </c>
      <c r="N3439" s="20">
        <v>2</v>
      </c>
      <c r="O3439" s="24">
        <v>100</v>
      </c>
      <c r="P3439" s="24">
        <v>100</v>
      </c>
      <c r="Q3439" s="25">
        <v>6450</v>
      </c>
      <c r="R3439" s="24">
        <f t="shared" si="922"/>
        <v>645000</v>
      </c>
      <c r="S3439" s="20">
        <v>5</v>
      </c>
      <c r="T3439" s="24">
        <f t="shared" si="923"/>
        <v>32250</v>
      </c>
      <c r="U3439" s="80">
        <f t="shared" si="924"/>
        <v>612750</v>
      </c>
      <c r="V3439" s="78">
        <f t="shared" si="925"/>
        <v>652737.5</v>
      </c>
      <c r="W3439" s="36">
        <f t="shared" si="926"/>
        <v>652737.5</v>
      </c>
      <c r="X3439" s="28">
        <v>0</v>
      </c>
      <c r="Y3439" s="26">
        <f t="shared" si="921"/>
        <v>652737.5</v>
      </c>
      <c r="Z3439" s="49">
        <v>3.0000000000000001E-3</v>
      </c>
    </row>
    <row r="3440" spans="1:26" s="37" customFormat="1" ht="90.75" customHeight="1" x14ac:dyDescent="0.25">
      <c r="A3440" s="20">
        <v>1598</v>
      </c>
      <c r="B3440" s="20" t="s">
        <v>0</v>
      </c>
      <c r="C3440" s="20">
        <v>58974</v>
      </c>
      <c r="D3440" s="21">
        <v>0</v>
      </c>
      <c r="E3440" s="21">
        <v>0</v>
      </c>
      <c r="F3440" s="22">
        <v>46.7</v>
      </c>
      <c r="G3440" s="23" t="s">
        <v>56</v>
      </c>
      <c r="H3440" s="24">
        <f t="shared" si="919"/>
        <v>46.7</v>
      </c>
      <c r="I3440" s="25">
        <v>875</v>
      </c>
      <c r="J3440" s="36">
        <f t="shared" si="920"/>
        <v>40862.5</v>
      </c>
      <c r="K3440" s="20">
        <v>1</v>
      </c>
      <c r="L3440" s="20" t="s">
        <v>16</v>
      </c>
      <c r="M3440" s="20" t="s">
        <v>13</v>
      </c>
      <c r="N3440" s="20">
        <v>2</v>
      </c>
      <c r="O3440" s="24">
        <v>100</v>
      </c>
      <c r="P3440" s="24">
        <v>100</v>
      </c>
      <c r="Q3440" s="25">
        <v>6450</v>
      </c>
      <c r="R3440" s="24">
        <f t="shared" si="922"/>
        <v>645000</v>
      </c>
      <c r="S3440" s="20">
        <v>5</v>
      </c>
      <c r="T3440" s="24">
        <f t="shared" si="923"/>
        <v>32250</v>
      </c>
      <c r="U3440" s="80">
        <f t="shared" si="924"/>
        <v>612750</v>
      </c>
      <c r="V3440" s="78">
        <f t="shared" si="925"/>
        <v>653612.5</v>
      </c>
      <c r="W3440" s="36">
        <f t="shared" si="926"/>
        <v>653612.5</v>
      </c>
      <c r="X3440" s="28">
        <v>0</v>
      </c>
      <c r="Y3440" s="26">
        <f t="shared" si="921"/>
        <v>653612.5</v>
      </c>
      <c r="Z3440" s="49">
        <v>3.0000000000000001E-3</v>
      </c>
    </row>
    <row r="3441" spans="1:26" s="37" customFormat="1" ht="90.75" customHeight="1" x14ac:dyDescent="0.25">
      <c r="A3441" s="20">
        <v>1599</v>
      </c>
      <c r="B3441" s="20" t="s">
        <v>0</v>
      </c>
      <c r="C3441" s="20">
        <v>31019</v>
      </c>
      <c r="D3441" s="21">
        <v>0</v>
      </c>
      <c r="E3441" s="21">
        <v>3</v>
      </c>
      <c r="F3441" s="22">
        <v>50</v>
      </c>
      <c r="G3441" s="23" t="s">
        <v>56</v>
      </c>
      <c r="H3441" s="36">
        <f t="shared" si="919"/>
        <v>350</v>
      </c>
      <c r="I3441" s="26">
        <v>350</v>
      </c>
      <c r="J3441" s="36">
        <f t="shared" si="920"/>
        <v>122500</v>
      </c>
      <c r="K3441" s="30">
        <v>1</v>
      </c>
      <c r="L3441" s="20" t="s">
        <v>215</v>
      </c>
      <c r="M3441" s="35" t="s">
        <v>40</v>
      </c>
      <c r="N3441" s="30">
        <v>3</v>
      </c>
      <c r="O3441" s="36">
        <v>96</v>
      </c>
      <c r="P3441" s="86">
        <v>100</v>
      </c>
      <c r="Q3441" s="40">
        <v>6450</v>
      </c>
      <c r="R3441" s="36">
        <f>(O3441*Q3441)</f>
        <v>619200</v>
      </c>
      <c r="S3441" s="84">
        <v>51</v>
      </c>
      <c r="T3441" s="28">
        <f>(R3441*93/100)</f>
        <v>575856</v>
      </c>
      <c r="U3441" s="36">
        <f>(R3441-T3441)</f>
        <v>43344</v>
      </c>
      <c r="V3441" s="36">
        <f>(J3441+U3441)</f>
        <v>165844</v>
      </c>
      <c r="W3441" s="36">
        <f>(V3441*100/100)</f>
        <v>165844</v>
      </c>
      <c r="X3441" s="28"/>
      <c r="Y3441" s="26"/>
      <c r="Z3441" s="53"/>
    </row>
    <row r="3442" spans="1:26" s="37" customFormat="1" ht="90.75" customHeight="1" x14ac:dyDescent="0.25">
      <c r="A3442" s="20"/>
      <c r="B3442" s="20"/>
      <c r="C3442" s="20"/>
      <c r="D3442" s="21"/>
      <c r="E3442" s="21"/>
      <c r="F3442" s="22"/>
      <c r="G3442" s="23"/>
      <c r="H3442" s="36"/>
      <c r="I3442" s="26"/>
      <c r="J3442" s="36"/>
      <c r="K3442" s="30"/>
      <c r="L3442" s="20" t="s">
        <v>281</v>
      </c>
      <c r="M3442" s="35"/>
      <c r="N3442" s="30"/>
      <c r="O3442" s="36">
        <v>86</v>
      </c>
      <c r="P3442" s="86">
        <v>89.58</v>
      </c>
      <c r="Q3442" s="40">
        <v>6450</v>
      </c>
      <c r="R3442" s="36"/>
      <c r="S3442" s="84"/>
      <c r="T3442" s="28"/>
      <c r="U3442" s="36"/>
      <c r="V3442" s="36"/>
      <c r="W3442" s="36">
        <f>(W3441*89.58/100)</f>
        <v>148563.0552</v>
      </c>
      <c r="X3442" s="28">
        <v>50000000</v>
      </c>
      <c r="Y3442" s="26"/>
      <c r="Z3442" s="53"/>
    </row>
    <row r="3443" spans="1:26" s="37" customFormat="1" ht="90.75" customHeight="1" x14ac:dyDescent="0.25">
      <c r="A3443" s="20"/>
      <c r="B3443" s="20"/>
      <c r="C3443" s="20"/>
      <c r="D3443" s="21"/>
      <c r="E3443" s="21"/>
      <c r="F3443" s="22"/>
      <c r="G3443" s="23"/>
      <c r="H3443" s="36"/>
      <c r="I3443" s="26"/>
      <c r="K3443" s="30"/>
      <c r="L3443" s="20" t="s">
        <v>29</v>
      </c>
      <c r="M3443" s="35"/>
      <c r="N3443" s="30"/>
      <c r="O3443" s="36">
        <v>10</v>
      </c>
      <c r="P3443" s="86">
        <v>10.42</v>
      </c>
      <c r="Q3443" s="40"/>
      <c r="R3443" s="36"/>
      <c r="S3443" s="84"/>
      <c r="T3443" s="28"/>
      <c r="U3443" s="84"/>
      <c r="V3443" s="36"/>
      <c r="W3443" s="36">
        <f>(W3441*10.42/100)</f>
        <v>17280.944800000001</v>
      </c>
      <c r="X3443" s="28">
        <v>0</v>
      </c>
      <c r="Y3443" s="26">
        <f>(W3443-X3443)</f>
        <v>17280.944800000001</v>
      </c>
      <c r="Z3443" s="49">
        <v>3.0000000000000001E-3</v>
      </c>
    </row>
    <row r="3444" spans="1:26" s="37" customFormat="1" ht="90.75" customHeight="1" x14ac:dyDescent="0.25">
      <c r="A3444" s="20">
        <v>1600</v>
      </c>
      <c r="B3444" s="20" t="s">
        <v>0</v>
      </c>
      <c r="C3444" s="20">
        <v>49918</v>
      </c>
      <c r="D3444" s="21">
        <v>0</v>
      </c>
      <c r="E3444" s="21">
        <v>2</v>
      </c>
      <c r="F3444" s="22">
        <v>0</v>
      </c>
      <c r="G3444" s="23" t="s">
        <v>211</v>
      </c>
      <c r="H3444" s="36">
        <f t="shared" ref="H3444" si="927">(D3444*400)+(E3444*100)+F3444</f>
        <v>200</v>
      </c>
      <c r="I3444" s="26">
        <v>200</v>
      </c>
      <c r="J3444" s="36">
        <f t="shared" ref="J3444" si="928">(H3444*I3444)</f>
        <v>40000</v>
      </c>
      <c r="K3444" s="30">
        <v>1</v>
      </c>
      <c r="L3444" s="20" t="s">
        <v>215</v>
      </c>
      <c r="M3444" s="35" t="s">
        <v>13</v>
      </c>
      <c r="N3444" s="30">
        <v>3</v>
      </c>
      <c r="O3444" s="36">
        <v>157.5</v>
      </c>
      <c r="P3444" s="86">
        <v>100</v>
      </c>
      <c r="Q3444" s="40">
        <v>6450</v>
      </c>
      <c r="R3444" s="36">
        <f>(O3444*Q3444)</f>
        <v>1015875</v>
      </c>
      <c r="S3444" s="84">
        <v>6</v>
      </c>
      <c r="T3444" s="28">
        <f>(R3444*6/100)</f>
        <v>60952.5</v>
      </c>
      <c r="U3444" s="36">
        <f>(R3444-T3444)</f>
        <v>954922.5</v>
      </c>
      <c r="V3444" s="36">
        <f>(J3444+U3444)</f>
        <v>994922.5</v>
      </c>
      <c r="W3444" s="36">
        <f>(V3444*100/100)</f>
        <v>994922.5</v>
      </c>
      <c r="X3444" s="28"/>
      <c r="Y3444" s="26"/>
      <c r="Z3444" s="53"/>
    </row>
    <row r="3445" spans="1:26" s="37" customFormat="1" ht="90.75" customHeight="1" x14ac:dyDescent="0.25">
      <c r="A3445" s="20"/>
      <c r="B3445" s="20"/>
      <c r="C3445" s="20"/>
      <c r="D3445" s="21"/>
      <c r="E3445" s="21"/>
      <c r="F3445" s="22"/>
      <c r="G3445" s="23"/>
      <c r="H3445" s="36"/>
      <c r="I3445" s="26"/>
      <c r="K3445" s="30"/>
      <c r="L3445" s="20" t="s">
        <v>281</v>
      </c>
      <c r="M3445" s="35"/>
      <c r="N3445" s="30"/>
      <c r="O3445" s="36">
        <v>131.25</v>
      </c>
      <c r="P3445" s="86">
        <v>83.33</v>
      </c>
      <c r="Q3445" s="40"/>
      <c r="R3445" s="36"/>
      <c r="S3445" s="84"/>
      <c r="T3445" s="28"/>
      <c r="U3445" s="36"/>
      <c r="V3445" s="36"/>
      <c r="W3445" s="36">
        <f>(W3444*83.33/100)</f>
        <v>829068.91924999992</v>
      </c>
      <c r="X3445" s="28">
        <v>10000000</v>
      </c>
      <c r="Y3445" s="26"/>
      <c r="Z3445" s="53"/>
    </row>
    <row r="3446" spans="1:26" s="124" customFormat="1" ht="90.75" customHeight="1" x14ac:dyDescent="0.25">
      <c r="A3446" s="20"/>
      <c r="B3446" s="20"/>
      <c r="C3446" s="20"/>
      <c r="D3446" s="21"/>
      <c r="E3446" s="21"/>
      <c r="F3446" s="22"/>
      <c r="G3446" s="23"/>
      <c r="H3446" s="36"/>
      <c r="I3446" s="26"/>
      <c r="J3446" s="37"/>
      <c r="K3446" s="30"/>
      <c r="L3446" s="20" t="s">
        <v>29</v>
      </c>
      <c r="M3446" s="35"/>
      <c r="N3446" s="30"/>
      <c r="O3446" s="36">
        <v>26.25</v>
      </c>
      <c r="P3446" s="86">
        <v>16.670000000000002</v>
      </c>
      <c r="Q3446" s="40"/>
      <c r="R3446" s="36"/>
      <c r="S3446" s="84"/>
      <c r="T3446" s="28"/>
      <c r="U3446" s="84"/>
      <c r="V3446" s="36"/>
      <c r="W3446" s="36">
        <f>(W3444*16.67/100)</f>
        <v>165853.58075000002</v>
      </c>
      <c r="X3446" s="28">
        <v>0</v>
      </c>
      <c r="Y3446" s="26">
        <f>(W3446-X3446)</f>
        <v>165853.58075000002</v>
      </c>
      <c r="Z3446" s="49">
        <v>3.0000000000000001E-3</v>
      </c>
    </row>
    <row r="3447" spans="1:26" s="29" customFormat="1" ht="90.75" customHeight="1" x14ac:dyDescent="0.25">
      <c r="A3447" s="20">
        <v>1601</v>
      </c>
      <c r="B3447" s="20" t="s">
        <v>0</v>
      </c>
      <c r="C3447" s="20">
        <v>59903</v>
      </c>
      <c r="D3447" s="21">
        <v>8</v>
      </c>
      <c r="E3447" s="21">
        <v>1</v>
      </c>
      <c r="F3447" s="22">
        <v>26</v>
      </c>
      <c r="G3447" s="23" t="s">
        <v>209</v>
      </c>
      <c r="H3447" s="24">
        <f t="shared" si="919"/>
        <v>3326</v>
      </c>
      <c r="I3447" s="25" t="s">
        <v>9</v>
      </c>
      <c r="J3447" s="36">
        <f t="shared" ref="J3447:J3461" si="929">(H3447*I3447)</f>
        <v>997800</v>
      </c>
      <c r="K3447" s="20"/>
      <c r="L3447" s="20"/>
      <c r="M3447" s="20"/>
      <c r="N3447" s="20"/>
      <c r="O3447" s="24"/>
      <c r="P3447" s="24"/>
      <c r="Q3447" s="25"/>
      <c r="R3447" s="36"/>
      <c r="S3447" s="20"/>
      <c r="T3447" s="28"/>
      <c r="U3447" s="36"/>
      <c r="V3447" s="36"/>
      <c r="W3447" s="26"/>
      <c r="X3447" s="28"/>
      <c r="Y3447" s="26"/>
      <c r="Z3447" s="49"/>
    </row>
    <row r="3448" spans="1:26" s="29" customFormat="1" ht="90.75" customHeight="1" x14ac:dyDescent="0.25">
      <c r="A3448" s="20"/>
      <c r="B3448" s="20"/>
      <c r="C3448" s="20"/>
      <c r="D3448" s="21"/>
      <c r="E3448" s="21"/>
      <c r="F3448" s="22"/>
      <c r="G3448" s="23"/>
      <c r="H3448" s="24">
        <v>17.62</v>
      </c>
      <c r="I3448" s="25" t="s">
        <v>9</v>
      </c>
      <c r="J3448" s="36">
        <f t="shared" si="929"/>
        <v>5286</v>
      </c>
      <c r="K3448" s="20">
        <v>1</v>
      </c>
      <c r="L3448" s="20" t="s">
        <v>200</v>
      </c>
      <c r="M3448" s="20" t="s">
        <v>13</v>
      </c>
      <c r="N3448" s="20">
        <v>3</v>
      </c>
      <c r="O3448" s="24">
        <v>70.5</v>
      </c>
      <c r="P3448" s="24">
        <v>100</v>
      </c>
      <c r="Q3448" s="25">
        <v>2550</v>
      </c>
      <c r="R3448" s="36">
        <f>(O3448*Q3448)</f>
        <v>179775</v>
      </c>
      <c r="S3448" s="20">
        <v>10</v>
      </c>
      <c r="T3448" s="28">
        <f>(R3448*10/100)</f>
        <v>17977.5</v>
      </c>
      <c r="U3448" s="36">
        <f>(R3448-T3448)</f>
        <v>161797.5</v>
      </c>
      <c r="V3448" s="36">
        <f t="shared" ref="V3448:V3453" si="930">(J3448+U3448)</f>
        <v>167083.5</v>
      </c>
      <c r="W3448" s="26">
        <f t="shared" ref="W3448:W3453" si="931">(V3448*100/100)</f>
        <v>167083.5</v>
      </c>
      <c r="X3448" s="28">
        <v>0</v>
      </c>
      <c r="Y3448" s="26">
        <f>(W3448-X3448)</f>
        <v>167083.5</v>
      </c>
      <c r="Z3448" s="49">
        <v>3.0000000000000001E-3</v>
      </c>
    </row>
    <row r="3449" spans="1:26" s="29" customFormat="1" ht="90.75" customHeight="1" x14ac:dyDescent="0.25">
      <c r="A3449" s="20">
        <v>1602</v>
      </c>
      <c r="B3449" s="20" t="s">
        <v>0</v>
      </c>
      <c r="C3449" s="20">
        <v>63216</v>
      </c>
      <c r="D3449" s="21">
        <v>2</v>
      </c>
      <c r="E3449" s="21">
        <v>1</v>
      </c>
      <c r="F3449" s="22">
        <v>24.9</v>
      </c>
      <c r="G3449" s="23" t="s">
        <v>209</v>
      </c>
      <c r="H3449" s="24">
        <f t="shared" ref="H3449:H3462" si="932">(D3449*400)+(E3449*100)+F3449</f>
        <v>924.9</v>
      </c>
      <c r="I3449" s="25">
        <v>450</v>
      </c>
      <c r="J3449" s="36">
        <f t="shared" si="929"/>
        <v>416205</v>
      </c>
      <c r="K3449" s="20">
        <v>1</v>
      </c>
      <c r="L3449" s="20" t="s">
        <v>14</v>
      </c>
      <c r="M3449" s="20" t="s">
        <v>13</v>
      </c>
      <c r="N3449" s="20">
        <v>3</v>
      </c>
      <c r="O3449" s="24">
        <v>1255</v>
      </c>
      <c r="P3449" s="24">
        <v>100</v>
      </c>
      <c r="Q3449" s="25">
        <v>3500</v>
      </c>
      <c r="R3449" s="36">
        <f>(O3449*Q3449)</f>
        <v>4392500</v>
      </c>
      <c r="S3449" s="20">
        <v>2</v>
      </c>
      <c r="T3449" s="28">
        <f>(R3449*2/100)</f>
        <v>87850</v>
      </c>
      <c r="U3449" s="36">
        <f>(R3449-T3449)</f>
        <v>4304650</v>
      </c>
      <c r="V3449" s="36">
        <f t="shared" si="930"/>
        <v>4720855</v>
      </c>
      <c r="W3449" s="26">
        <f t="shared" si="931"/>
        <v>4720855</v>
      </c>
      <c r="X3449" s="28">
        <v>0</v>
      </c>
      <c r="Y3449" s="26">
        <f>(W3449-X3449)</f>
        <v>4720855</v>
      </c>
      <c r="Z3449" s="49">
        <v>3.0000000000000001E-3</v>
      </c>
    </row>
    <row r="3450" spans="1:26" s="29" customFormat="1" ht="90.75" customHeight="1" x14ac:dyDescent="0.25">
      <c r="A3450" s="20">
        <v>1603</v>
      </c>
      <c r="B3450" s="20" t="s">
        <v>0</v>
      </c>
      <c r="C3450" s="20">
        <v>61728</v>
      </c>
      <c r="D3450" s="21">
        <v>2</v>
      </c>
      <c r="E3450" s="21">
        <v>1</v>
      </c>
      <c r="F3450" s="22">
        <v>51</v>
      </c>
      <c r="G3450" s="23" t="s">
        <v>209</v>
      </c>
      <c r="H3450" s="24">
        <f t="shared" si="932"/>
        <v>951</v>
      </c>
      <c r="I3450" s="25">
        <v>625</v>
      </c>
      <c r="J3450" s="36">
        <f t="shared" si="929"/>
        <v>594375</v>
      </c>
      <c r="K3450" s="20">
        <v>1</v>
      </c>
      <c r="L3450" s="20" t="s">
        <v>16</v>
      </c>
      <c r="M3450" s="20" t="s">
        <v>13</v>
      </c>
      <c r="N3450" s="20">
        <v>2</v>
      </c>
      <c r="O3450" s="24">
        <v>140</v>
      </c>
      <c r="P3450" s="24">
        <v>100</v>
      </c>
      <c r="Q3450" s="25">
        <v>6450</v>
      </c>
      <c r="R3450" s="36">
        <f>(O3450*Q3450)</f>
        <v>903000</v>
      </c>
      <c r="S3450" s="20">
        <v>1</v>
      </c>
      <c r="T3450" s="28">
        <f>(R3450*1/100)</f>
        <v>9030</v>
      </c>
      <c r="U3450" s="36">
        <f>(R3450-T3450)</f>
        <v>893970</v>
      </c>
      <c r="V3450" s="36">
        <f t="shared" si="930"/>
        <v>1488345</v>
      </c>
      <c r="W3450" s="26">
        <f t="shared" si="931"/>
        <v>1488345</v>
      </c>
      <c r="X3450" s="28">
        <v>0</v>
      </c>
      <c r="Y3450" s="26">
        <f>(W3450-X3450)</f>
        <v>1488345</v>
      </c>
      <c r="Z3450" s="49">
        <v>2.0000000000000001E-4</v>
      </c>
    </row>
    <row r="3451" spans="1:26" s="29" customFormat="1" ht="90.75" customHeight="1" x14ac:dyDescent="0.25">
      <c r="A3451" s="20">
        <v>1604</v>
      </c>
      <c r="B3451" s="20" t="s">
        <v>0</v>
      </c>
      <c r="C3451" s="20">
        <v>61729</v>
      </c>
      <c r="D3451" s="21">
        <v>2</v>
      </c>
      <c r="E3451" s="21">
        <v>1</v>
      </c>
      <c r="F3451" s="22">
        <v>51</v>
      </c>
      <c r="G3451" s="23" t="s">
        <v>209</v>
      </c>
      <c r="H3451" s="24">
        <f t="shared" si="932"/>
        <v>951</v>
      </c>
      <c r="I3451" s="25">
        <v>625</v>
      </c>
      <c r="J3451" s="36">
        <f t="shared" si="929"/>
        <v>594375</v>
      </c>
      <c r="K3451" s="20"/>
      <c r="L3451" s="20"/>
      <c r="M3451" s="20"/>
      <c r="N3451" s="20"/>
      <c r="O3451" s="24"/>
      <c r="P3451" s="24"/>
      <c r="Q3451" s="25"/>
      <c r="R3451" s="24"/>
      <c r="S3451" s="20"/>
      <c r="T3451" s="27"/>
      <c r="U3451" s="20"/>
      <c r="V3451" s="80">
        <f t="shared" si="930"/>
        <v>594375</v>
      </c>
      <c r="W3451" s="26">
        <f t="shared" si="931"/>
        <v>594375</v>
      </c>
      <c r="X3451" s="28">
        <v>0</v>
      </c>
      <c r="Y3451" s="26">
        <f>(W3451-X3451)</f>
        <v>594375</v>
      </c>
      <c r="Z3451" s="49">
        <v>3.0000000000000001E-3</v>
      </c>
    </row>
    <row r="3452" spans="1:26" s="29" customFormat="1" ht="90.75" customHeight="1" x14ac:dyDescent="0.25">
      <c r="A3452" s="20">
        <v>1605</v>
      </c>
      <c r="B3452" s="20" t="s">
        <v>0</v>
      </c>
      <c r="C3452" s="20">
        <v>17951</v>
      </c>
      <c r="D3452" s="21">
        <v>1</v>
      </c>
      <c r="E3452" s="21">
        <v>1</v>
      </c>
      <c r="F3452" s="22">
        <v>99</v>
      </c>
      <c r="G3452" s="23" t="s">
        <v>209</v>
      </c>
      <c r="H3452" s="24">
        <f t="shared" si="932"/>
        <v>599</v>
      </c>
      <c r="I3452" s="25">
        <v>850</v>
      </c>
      <c r="J3452" s="36">
        <f t="shared" si="929"/>
        <v>509150</v>
      </c>
      <c r="K3452" s="20"/>
      <c r="L3452" s="20"/>
      <c r="M3452" s="20"/>
      <c r="N3452" s="20"/>
      <c r="O3452" s="24"/>
      <c r="P3452" s="24"/>
      <c r="Q3452" s="25"/>
      <c r="R3452" s="24"/>
      <c r="S3452" s="20"/>
      <c r="T3452" s="27"/>
      <c r="U3452" s="20"/>
      <c r="V3452" s="20"/>
      <c r="W3452" s="26"/>
      <c r="X3452" s="27"/>
      <c r="Y3452" s="20"/>
      <c r="Z3452" s="20"/>
    </row>
    <row r="3453" spans="1:26" s="29" customFormat="1" ht="90.75" customHeight="1" x14ac:dyDescent="0.25">
      <c r="A3453" s="20"/>
      <c r="B3453" s="20"/>
      <c r="C3453" s="20"/>
      <c r="D3453" s="21"/>
      <c r="E3453" s="21"/>
      <c r="F3453" s="22"/>
      <c r="G3453" s="23"/>
      <c r="H3453" s="24">
        <v>26.25</v>
      </c>
      <c r="I3453" s="25">
        <v>850</v>
      </c>
      <c r="J3453" s="36">
        <f t="shared" si="929"/>
        <v>22312.5</v>
      </c>
      <c r="K3453" s="20">
        <v>1</v>
      </c>
      <c r="L3453" s="20" t="s">
        <v>41</v>
      </c>
      <c r="M3453" s="20" t="s">
        <v>13</v>
      </c>
      <c r="N3453" s="20">
        <v>3</v>
      </c>
      <c r="O3453" s="24">
        <v>105</v>
      </c>
      <c r="P3453" s="24">
        <v>100</v>
      </c>
      <c r="Q3453" s="25">
        <v>6400</v>
      </c>
      <c r="R3453" s="36">
        <f>(O3453*Q3453)</f>
        <v>672000</v>
      </c>
      <c r="S3453" s="20">
        <v>1</v>
      </c>
      <c r="T3453" s="27">
        <f>(R3453*1/100)</f>
        <v>6720</v>
      </c>
      <c r="U3453" s="80">
        <f>(R3453-T3453)</f>
        <v>665280</v>
      </c>
      <c r="V3453" s="80">
        <f t="shared" si="930"/>
        <v>687592.5</v>
      </c>
      <c r="W3453" s="26">
        <f t="shared" si="931"/>
        <v>687592.5</v>
      </c>
      <c r="X3453" s="28">
        <v>0</v>
      </c>
      <c r="Y3453" s="26">
        <f>(W3453-X3453)</f>
        <v>687592.5</v>
      </c>
      <c r="Z3453" s="49">
        <v>3.0000000000000001E-3</v>
      </c>
    </row>
    <row r="3454" spans="1:26" s="29" customFormat="1" ht="90.75" customHeight="1" x14ac:dyDescent="0.25">
      <c r="A3454" s="20">
        <v>1606</v>
      </c>
      <c r="B3454" s="20" t="s">
        <v>0</v>
      </c>
      <c r="C3454" s="20">
        <v>66552</v>
      </c>
      <c r="D3454" s="21">
        <v>0</v>
      </c>
      <c r="E3454" s="21">
        <v>0</v>
      </c>
      <c r="F3454" s="22">
        <v>50</v>
      </c>
      <c r="G3454" s="23" t="s">
        <v>209</v>
      </c>
      <c r="H3454" s="24">
        <f t="shared" si="932"/>
        <v>50</v>
      </c>
      <c r="I3454" s="25">
        <v>525</v>
      </c>
      <c r="J3454" s="36">
        <f t="shared" si="929"/>
        <v>26250</v>
      </c>
      <c r="K3454" s="20"/>
      <c r="L3454" s="20"/>
      <c r="M3454" s="20"/>
      <c r="N3454" s="20"/>
      <c r="O3454" s="24"/>
      <c r="P3454" s="24"/>
      <c r="Q3454" s="25"/>
      <c r="R3454" s="24"/>
      <c r="S3454" s="20"/>
      <c r="T3454" s="27"/>
      <c r="U3454" s="20"/>
      <c r="V3454" s="80">
        <f t="shared" ref="V3454:V3461" si="933">(J3454+U3454)</f>
        <v>26250</v>
      </c>
      <c r="W3454" s="26">
        <f t="shared" ref="W3454:W3461" si="934">(V3454*100/100)</f>
        <v>26250</v>
      </c>
      <c r="X3454" s="28">
        <v>0</v>
      </c>
      <c r="Y3454" s="26">
        <f t="shared" ref="Y3454:Y3461" si="935">(W3454-X3454)</f>
        <v>26250</v>
      </c>
      <c r="Z3454" s="49">
        <v>3.0000000000000001E-3</v>
      </c>
    </row>
    <row r="3455" spans="1:26" s="29" customFormat="1" ht="90.75" customHeight="1" x14ac:dyDescent="0.25">
      <c r="A3455" s="20">
        <v>1607</v>
      </c>
      <c r="B3455" s="20" t="s">
        <v>0</v>
      </c>
      <c r="C3455" s="20">
        <v>66553</v>
      </c>
      <c r="D3455" s="21">
        <v>0</v>
      </c>
      <c r="E3455" s="21">
        <v>0</v>
      </c>
      <c r="F3455" s="22">
        <v>50</v>
      </c>
      <c r="G3455" s="23" t="s">
        <v>209</v>
      </c>
      <c r="H3455" s="24">
        <f t="shared" si="932"/>
        <v>50</v>
      </c>
      <c r="I3455" s="25">
        <v>525</v>
      </c>
      <c r="J3455" s="36">
        <f t="shared" si="929"/>
        <v>26250</v>
      </c>
      <c r="K3455" s="20"/>
      <c r="L3455" s="20"/>
      <c r="M3455" s="20"/>
      <c r="N3455" s="20"/>
      <c r="O3455" s="24"/>
      <c r="P3455" s="24"/>
      <c r="Q3455" s="25"/>
      <c r="R3455" s="24"/>
      <c r="S3455" s="20"/>
      <c r="T3455" s="27"/>
      <c r="U3455" s="20"/>
      <c r="V3455" s="80">
        <f t="shared" si="933"/>
        <v>26250</v>
      </c>
      <c r="W3455" s="26">
        <f t="shared" si="934"/>
        <v>26250</v>
      </c>
      <c r="X3455" s="28">
        <v>0</v>
      </c>
      <c r="Y3455" s="26">
        <f t="shared" si="935"/>
        <v>26250</v>
      </c>
      <c r="Z3455" s="49">
        <v>3.0000000000000001E-3</v>
      </c>
    </row>
    <row r="3456" spans="1:26" s="29" customFormat="1" ht="90.75" customHeight="1" x14ac:dyDescent="0.25">
      <c r="A3456" s="20">
        <v>1608</v>
      </c>
      <c r="B3456" s="20" t="s">
        <v>0</v>
      </c>
      <c r="C3456" s="20">
        <v>66554</v>
      </c>
      <c r="D3456" s="21">
        <v>0</v>
      </c>
      <c r="E3456" s="21">
        <v>0</v>
      </c>
      <c r="F3456" s="22">
        <v>50</v>
      </c>
      <c r="G3456" s="23" t="s">
        <v>209</v>
      </c>
      <c r="H3456" s="24">
        <f t="shared" si="932"/>
        <v>50</v>
      </c>
      <c r="I3456" s="25">
        <v>525</v>
      </c>
      <c r="J3456" s="36">
        <f t="shared" si="929"/>
        <v>26250</v>
      </c>
      <c r="K3456" s="20"/>
      <c r="L3456" s="20"/>
      <c r="M3456" s="20"/>
      <c r="N3456" s="20"/>
      <c r="O3456" s="24"/>
      <c r="P3456" s="24"/>
      <c r="Q3456" s="25"/>
      <c r="R3456" s="24"/>
      <c r="S3456" s="20"/>
      <c r="T3456" s="27"/>
      <c r="U3456" s="20"/>
      <c r="V3456" s="80">
        <f t="shared" si="933"/>
        <v>26250</v>
      </c>
      <c r="W3456" s="26">
        <f t="shared" si="934"/>
        <v>26250</v>
      </c>
      <c r="X3456" s="28">
        <v>0</v>
      </c>
      <c r="Y3456" s="26">
        <f t="shared" si="935"/>
        <v>26250</v>
      </c>
      <c r="Z3456" s="49">
        <v>3.0000000000000001E-3</v>
      </c>
    </row>
    <row r="3457" spans="1:26" s="29" customFormat="1" ht="90.75" customHeight="1" x14ac:dyDescent="0.25">
      <c r="A3457" s="20">
        <v>1609</v>
      </c>
      <c r="B3457" s="20" t="s">
        <v>0</v>
      </c>
      <c r="C3457" s="20">
        <v>66555</v>
      </c>
      <c r="D3457" s="21">
        <v>0</v>
      </c>
      <c r="E3457" s="21">
        <v>0</v>
      </c>
      <c r="F3457" s="22">
        <v>50</v>
      </c>
      <c r="G3457" s="23" t="s">
        <v>209</v>
      </c>
      <c r="H3457" s="24">
        <f t="shared" si="932"/>
        <v>50</v>
      </c>
      <c r="I3457" s="25">
        <v>525</v>
      </c>
      <c r="J3457" s="36">
        <f t="shared" si="929"/>
        <v>26250</v>
      </c>
      <c r="K3457" s="20"/>
      <c r="L3457" s="20"/>
      <c r="M3457" s="20"/>
      <c r="N3457" s="20"/>
      <c r="O3457" s="24"/>
      <c r="P3457" s="24"/>
      <c r="Q3457" s="25"/>
      <c r="R3457" s="24"/>
      <c r="S3457" s="20"/>
      <c r="T3457" s="27"/>
      <c r="U3457" s="20"/>
      <c r="V3457" s="80">
        <f t="shared" si="933"/>
        <v>26250</v>
      </c>
      <c r="W3457" s="26">
        <f t="shared" si="934"/>
        <v>26250</v>
      </c>
      <c r="X3457" s="28">
        <v>0</v>
      </c>
      <c r="Y3457" s="26">
        <f t="shared" si="935"/>
        <v>26250</v>
      </c>
      <c r="Z3457" s="49">
        <v>3.0000000000000001E-3</v>
      </c>
    </row>
    <row r="3458" spans="1:26" s="29" customFormat="1" ht="90.75" customHeight="1" x14ac:dyDescent="0.25">
      <c r="A3458" s="20">
        <v>1610</v>
      </c>
      <c r="B3458" s="20" t="s">
        <v>0</v>
      </c>
      <c r="C3458" s="20">
        <v>66556</v>
      </c>
      <c r="D3458" s="21">
        <v>0</v>
      </c>
      <c r="E3458" s="21">
        <v>0</v>
      </c>
      <c r="F3458" s="22">
        <v>50</v>
      </c>
      <c r="G3458" s="23" t="s">
        <v>209</v>
      </c>
      <c r="H3458" s="24">
        <f t="shared" si="932"/>
        <v>50</v>
      </c>
      <c r="I3458" s="25">
        <v>525</v>
      </c>
      <c r="J3458" s="36">
        <f t="shared" si="929"/>
        <v>26250</v>
      </c>
      <c r="K3458" s="20"/>
      <c r="L3458" s="20"/>
      <c r="M3458" s="20"/>
      <c r="N3458" s="20"/>
      <c r="O3458" s="24"/>
      <c r="P3458" s="24"/>
      <c r="Q3458" s="25"/>
      <c r="R3458" s="24"/>
      <c r="S3458" s="20"/>
      <c r="T3458" s="27"/>
      <c r="U3458" s="20"/>
      <c r="V3458" s="80">
        <f t="shared" si="933"/>
        <v>26250</v>
      </c>
      <c r="W3458" s="26">
        <f t="shared" si="934"/>
        <v>26250</v>
      </c>
      <c r="X3458" s="28">
        <v>0</v>
      </c>
      <c r="Y3458" s="26">
        <f t="shared" si="935"/>
        <v>26250</v>
      </c>
      <c r="Z3458" s="49">
        <v>3.0000000000000001E-3</v>
      </c>
    </row>
    <row r="3459" spans="1:26" s="29" customFormat="1" ht="90.75" customHeight="1" x14ac:dyDescent="0.25">
      <c r="A3459" s="20">
        <v>1611</v>
      </c>
      <c r="B3459" s="20" t="s">
        <v>0</v>
      </c>
      <c r="C3459" s="20">
        <v>66557</v>
      </c>
      <c r="D3459" s="21">
        <v>0</v>
      </c>
      <c r="E3459" s="21">
        <v>0</v>
      </c>
      <c r="F3459" s="22">
        <v>50</v>
      </c>
      <c r="G3459" s="23" t="s">
        <v>209</v>
      </c>
      <c r="H3459" s="24">
        <f t="shared" si="932"/>
        <v>50</v>
      </c>
      <c r="I3459" s="25">
        <v>525</v>
      </c>
      <c r="J3459" s="36">
        <f t="shared" si="929"/>
        <v>26250</v>
      </c>
      <c r="K3459" s="20"/>
      <c r="L3459" s="20"/>
      <c r="M3459" s="20"/>
      <c r="N3459" s="20"/>
      <c r="O3459" s="24"/>
      <c r="P3459" s="24"/>
      <c r="Q3459" s="25"/>
      <c r="R3459" s="24"/>
      <c r="S3459" s="20"/>
      <c r="T3459" s="27"/>
      <c r="U3459" s="20"/>
      <c r="V3459" s="80">
        <f t="shared" si="933"/>
        <v>26250</v>
      </c>
      <c r="W3459" s="26">
        <f t="shared" si="934"/>
        <v>26250</v>
      </c>
      <c r="X3459" s="28">
        <v>0</v>
      </c>
      <c r="Y3459" s="26">
        <f t="shared" si="935"/>
        <v>26250</v>
      </c>
      <c r="Z3459" s="49">
        <v>3.0000000000000001E-3</v>
      </c>
    </row>
    <row r="3460" spans="1:26" s="29" customFormat="1" ht="90.75" customHeight="1" x14ac:dyDescent="0.25">
      <c r="A3460" s="20">
        <v>1612</v>
      </c>
      <c r="B3460" s="20" t="s">
        <v>0</v>
      </c>
      <c r="C3460" s="20">
        <v>66558</v>
      </c>
      <c r="D3460" s="21">
        <v>0</v>
      </c>
      <c r="E3460" s="21">
        <v>0</v>
      </c>
      <c r="F3460" s="22">
        <v>50</v>
      </c>
      <c r="G3460" s="23" t="s">
        <v>209</v>
      </c>
      <c r="H3460" s="24">
        <f t="shared" si="932"/>
        <v>50</v>
      </c>
      <c r="I3460" s="25">
        <v>525</v>
      </c>
      <c r="J3460" s="36">
        <f t="shared" si="929"/>
        <v>26250</v>
      </c>
      <c r="K3460" s="20"/>
      <c r="L3460" s="20"/>
      <c r="M3460" s="20"/>
      <c r="N3460" s="20"/>
      <c r="O3460" s="24"/>
      <c r="P3460" s="24"/>
      <c r="Q3460" s="25"/>
      <c r="R3460" s="24"/>
      <c r="S3460" s="20"/>
      <c r="T3460" s="27"/>
      <c r="U3460" s="20"/>
      <c r="V3460" s="80">
        <f t="shared" si="933"/>
        <v>26250</v>
      </c>
      <c r="W3460" s="26">
        <f t="shared" si="934"/>
        <v>26250</v>
      </c>
      <c r="X3460" s="28">
        <v>0</v>
      </c>
      <c r="Y3460" s="26">
        <f t="shared" si="935"/>
        <v>26250</v>
      </c>
      <c r="Z3460" s="49">
        <v>3.0000000000000001E-3</v>
      </c>
    </row>
    <row r="3461" spans="1:26" s="29" customFormat="1" ht="90.75" customHeight="1" x14ac:dyDescent="0.25">
      <c r="A3461" s="20">
        <v>1613</v>
      </c>
      <c r="B3461" s="20" t="s">
        <v>0</v>
      </c>
      <c r="C3461" s="20">
        <v>66559</v>
      </c>
      <c r="D3461" s="21">
        <v>0</v>
      </c>
      <c r="E3461" s="21">
        <v>0</v>
      </c>
      <c r="F3461" s="22">
        <v>50</v>
      </c>
      <c r="G3461" s="23" t="s">
        <v>209</v>
      </c>
      <c r="H3461" s="24">
        <f t="shared" si="932"/>
        <v>50</v>
      </c>
      <c r="I3461" s="25">
        <v>525</v>
      </c>
      <c r="J3461" s="36">
        <f t="shared" si="929"/>
        <v>26250</v>
      </c>
      <c r="K3461" s="20"/>
      <c r="L3461" s="20"/>
      <c r="M3461" s="20"/>
      <c r="N3461" s="20"/>
      <c r="O3461" s="24"/>
      <c r="P3461" s="24"/>
      <c r="Q3461" s="25"/>
      <c r="R3461" s="24"/>
      <c r="S3461" s="20"/>
      <c r="T3461" s="27"/>
      <c r="U3461" s="20"/>
      <c r="V3461" s="80">
        <f t="shared" si="933"/>
        <v>26250</v>
      </c>
      <c r="W3461" s="26">
        <f t="shared" si="934"/>
        <v>26250</v>
      </c>
      <c r="X3461" s="28">
        <v>0</v>
      </c>
      <c r="Y3461" s="26">
        <f t="shared" si="935"/>
        <v>26250</v>
      </c>
      <c r="Z3461" s="49">
        <v>3.0000000000000001E-3</v>
      </c>
    </row>
    <row r="3462" spans="1:26" s="29" customFormat="1" ht="90.75" customHeight="1" x14ac:dyDescent="0.25">
      <c r="A3462" s="20">
        <v>1614</v>
      </c>
      <c r="B3462" s="20" t="s">
        <v>0</v>
      </c>
      <c r="C3462" s="20">
        <v>55390</v>
      </c>
      <c r="D3462" s="21">
        <v>0</v>
      </c>
      <c r="E3462" s="21">
        <v>0</v>
      </c>
      <c r="F3462" s="22">
        <v>50</v>
      </c>
      <c r="G3462" s="23" t="s">
        <v>211</v>
      </c>
      <c r="H3462" s="24">
        <f t="shared" si="932"/>
        <v>50</v>
      </c>
      <c r="I3462" s="25">
        <v>375</v>
      </c>
      <c r="J3462" s="24">
        <f>(H3462*I3462)</f>
        <v>18750</v>
      </c>
      <c r="K3462" s="20"/>
      <c r="L3462" s="20"/>
      <c r="M3462" s="20"/>
      <c r="N3462" s="20"/>
      <c r="O3462" s="24"/>
      <c r="P3462" s="24"/>
      <c r="Q3462" s="25"/>
      <c r="R3462" s="24"/>
      <c r="S3462" s="20"/>
      <c r="T3462" s="24"/>
      <c r="U3462" s="27"/>
      <c r="V3462" s="20"/>
      <c r="W3462" s="26"/>
      <c r="X3462" s="27"/>
      <c r="Y3462" s="20"/>
      <c r="Z3462" s="20"/>
    </row>
    <row r="3463" spans="1:26" s="29" customFormat="1" ht="90.75" customHeight="1" x14ac:dyDescent="0.25">
      <c r="A3463" s="20"/>
      <c r="B3463" s="20"/>
      <c r="C3463" s="20"/>
      <c r="D3463" s="21"/>
      <c r="E3463" s="21"/>
      <c r="F3463" s="22"/>
      <c r="G3463" s="23"/>
      <c r="H3463" s="24">
        <v>26.31</v>
      </c>
      <c r="I3463" s="25">
        <v>375</v>
      </c>
      <c r="J3463" s="24">
        <f t="shared" ref="J3463:J3464" si="936">(H3463*I3463)</f>
        <v>9866.25</v>
      </c>
      <c r="K3463" s="20">
        <v>1</v>
      </c>
      <c r="L3463" s="20" t="s">
        <v>16</v>
      </c>
      <c r="M3463" s="20" t="s">
        <v>13</v>
      </c>
      <c r="N3463" s="20">
        <v>5</v>
      </c>
      <c r="O3463" s="24">
        <v>121.41</v>
      </c>
      <c r="P3463" s="24">
        <v>100</v>
      </c>
      <c r="Q3463" s="25">
        <v>6450</v>
      </c>
      <c r="R3463" s="24">
        <f>(O3463*Q3463)</f>
        <v>783094.5</v>
      </c>
      <c r="S3463" s="20">
        <v>10</v>
      </c>
      <c r="T3463" s="24">
        <f>(R3463*10/100)</f>
        <v>78309.45</v>
      </c>
      <c r="U3463" s="27">
        <f>(R3463-T3463)</f>
        <v>704785.05</v>
      </c>
      <c r="V3463" s="27">
        <f>(J3463+U3463)</f>
        <v>714651.3</v>
      </c>
      <c r="W3463" s="26">
        <f>(V3463*100/100)</f>
        <v>714651.3</v>
      </c>
      <c r="X3463" s="24">
        <v>50000000</v>
      </c>
      <c r="Y3463" s="20"/>
      <c r="Z3463" s="20"/>
    </row>
    <row r="3464" spans="1:26" s="29" customFormat="1" ht="90.75" customHeight="1" x14ac:dyDescent="0.25">
      <c r="A3464" s="20"/>
      <c r="B3464" s="20"/>
      <c r="C3464" s="20"/>
      <c r="D3464" s="21"/>
      <c r="E3464" s="21"/>
      <c r="F3464" s="22"/>
      <c r="G3464" s="23"/>
      <c r="H3464" s="24">
        <v>23.69</v>
      </c>
      <c r="I3464" s="25">
        <v>375</v>
      </c>
      <c r="J3464" s="24">
        <f t="shared" si="936"/>
        <v>8883.75</v>
      </c>
      <c r="K3464" s="20"/>
      <c r="L3464" s="20" t="s">
        <v>201</v>
      </c>
      <c r="M3464" s="20" t="s">
        <v>13</v>
      </c>
      <c r="N3464" s="20"/>
      <c r="O3464" s="24">
        <v>94.76</v>
      </c>
      <c r="P3464" s="24">
        <v>100</v>
      </c>
      <c r="Q3464" s="25">
        <v>5500</v>
      </c>
      <c r="R3464" s="24">
        <f>(O3464*Q3464)</f>
        <v>521180</v>
      </c>
      <c r="S3464" s="20">
        <v>10</v>
      </c>
      <c r="T3464" s="24">
        <f>(R3464*10/100)</f>
        <v>52118</v>
      </c>
      <c r="U3464" s="27">
        <f>(J3464+T3464)</f>
        <v>61001.75</v>
      </c>
      <c r="V3464" s="27">
        <f>(J3464+U3464)</f>
        <v>69885.5</v>
      </c>
      <c r="W3464" s="26">
        <f>(V3464*100/100)</f>
        <v>69885.5</v>
      </c>
      <c r="X3464" s="28">
        <v>0</v>
      </c>
      <c r="Y3464" s="26">
        <f t="shared" ref="Y3464" si="937">(W3464-X3464)</f>
        <v>69885.5</v>
      </c>
      <c r="Z3464" s="49">
        <v>3.0000000000000001E-3</v>
      </c>
    </row>
    <row r="3465" spans="1:26" s="37" customFormat="1" ht="90.75" customHeight="1" x14ac:dyDescent="0.25">
      <c r="A3465" s="20">
        <v>1615</v>
      </c>
      <c r="B3465" s="20" t="s">
        <v>0</v>
      </c>
      <c r="C3465" s="20">
        <v>60792</v>
      </c>
      <c r="D3465" s="21">
        <v>0</v>
      </c>
      <c r="E3465" s="21">
        <v>1</v>
      </c>
      <c r="F3465" s="22">
        <v>20</v>
      </c>
      <c r="G3465" s="23" t="s">
        <v>211</v>
      </c>
      <c r="H3465" s="24">
        <f t="shared" ref="H3465:H3470" si="938">(D3465*400)+(E3465*100)+F3465</f>
        <v>120</v>
      </c>
      <c r="I3465" s="25">
        <v>425</v>
      </c>
      <c r="J3465" s="24">
        <f>(H3465*I3465)</f>
        <v>51000</v>
      </c>
      <c r="K3465" s="20">
        <v>1</v>
      </c>
      <c r="L3465" s="20" t="s">
        <v>16</v>
      </c>
      <c r="M3465" s="20" t="s">
        <v>24</v>
      </c>
      <c r="N3465" s="20">
        <v>5</v>
      </c>
      <c r="O3465" s="24">
        <v>133</v>
      </c>
      <c r="P3465" s="24">
        <v>100</v>
      </c>
      <c r="Q3465" s="25">
        <v>6450</v>
      </c>
      <c r="R3465" s="24">
        <f>(O3465*Q3465)</f>
        <v>857850</v>
      </c>
      <c r="S3465" s="20">
        <v>1</v>
      </c>
      <c r="T3465" s="24">
        <f>(R3465*1/100)</f>
        <v>8578.5</v>
      </c>
      <c r="U3465" s="27">
        <f>(R3465-T3465)</f>
        <v>849271.5</v>
      </c>
      <c r="V3465" s="27">
        <f>(J3465+U3465)</f>
        <v>900271.5</v>
      </c>
      <c r="W3465" s="26">
        <f>(V3465*100/100)</f>
        <v>900271.5</v>
      </c>
      <c r="X3465" s="27"/>
      <c r="Y3465" s="20"/>
      <c r="Z3465" s="20"/>
    </row>
    <row r="3466" spans="1:26" s="37" customFormat="1" ht="90.75" customHeight="1" x14ac:dyDescent="0.25">
      <c r="A3466" s="20"/>
      <c r="B3466" s="20"/>
      <c r="C3466" s="20"/>
      <c r="D3466" s="21"/>
      <c r="E3466" s="21"/>
      <c r="F3466" s="22"/>
      <c r="G3466" s="23"/>
      <c r="H3466" s="24"/>
      <c r="I3466" s="25"/>
      <c r="J3466" s="24"/>
      <c r="K3466" s="20"/>
      <c r="L3466" s="20" t="s">
        <v>56</v>
      </c>
      <c r="M3466" s="20"/>
      <c r="N3466" s="20">
        <v>2</v>
      </c>
      <c r="O3466" s="24">
        <v>109.24</v>
      </c>
      <c r="P3466" s="24">
        <v>82.14</v>
      </c>
      <c r="Q3466" s="25"/>
      <c r="R3466" s="24"/>
      <c r="S3466" s="20"/>
      <c r="T3466" s="27"/>
      <c r="U3466" s="20"/>
      <c r="V3466" s="20"/>
      <c r="W3466" s="26">
        <f>(W3465*82.14/100)</f>
        <v>739483.01010000007</v>
      </c>
      <c r="X3466" s="27"/>
      <c r="Y3466" s="20"/>
      <c r="Z3466" s="20"/>
    </row>
    <row r="3467" spans="1:26" s="37" customFormat="1" ht="90.75" customHeight="1" x14ac:dyDescent="0.25">
      <c r="A3467" s="20"/>
      <c r="B3467" s="20"/>
      <c r="C3467" s="20"/>
      <c r="D3467" s="21"/>
      <c r="E3467" s="21"/>
      <c r="F3467" s="22"/>
      <c r="G3467" s="23"/>
      <c r="H3467" s="24"/>
      <c r="I3467" s="25"/>
      <c r="J3467" s="24"/>
      <c r="K3467" s="20"/>
      <c r="L3467" s="20" t="s">
        <v>29</v>
      </c>
      <c r="M3467" s="20"/>
      <c r="N3467" s="20">
        <v>3</v>
      </c>
      <c r="O3467" s="24">
        <v>23.76</v>
      </c>
      <c r="P3467" s="24">
        <v>17.86</v>
      </c>
      <c r="Q3467" s="25"/>
      <c r="R3467" s="24"/>
      <c r="S3467" s="20"/>
      <c r="T3467" s="27"/>
      <c r="U3467" s="20"/>
      <c r="V3467" s="20"/>
      <c r="W3467" s="26">
        <f>(W3465*17.86/100)</f>
        <v>160788.48990000002</v>
      </c>
      <c r="X3467" s="28">
        <v>0</v>
      </c>
      <c r="Y3467" s="26">
        <f>(W3467-X3467)</f>
        <v>160788.48990000002</v>
      </c>
      <c r="Z3467" s="49">
        <v>3.0000000000000001E-3</v>
      </c>
    </row>
    <row r="3468" spans="1:26" s="37" customFormat="1" ht="90.75" customHeight="1" x14ac:dyDescent="0.25">
      <c r="A3468" s="20">
        <v>1616</v>
      </c>
      <c r="B3468" s="20" t="s">
        <v>0</v>
      </c>
      <c r="C3468" s="20">
        <v>68510</v>
      </c>
      <c r="D3468" s="21">
        <v>0</v>
      </c>
      <c r="E3468" s="21">
        <v>1</v>
      </c>
      <c r="F3468" s="22">
        <v>0</v>
      </c>
      <c r="G3468" s="23" t="s">
        <v>209</v>
      </c>
      <c r="H3468" s="24">
        <f t="shared" si="938"/>
        <v>100</v>
      </c>
      <c r="I3468" s="25">
        <v>425</v>
      </c>
      <c r="J3468" s="24">
        <f>(H3468*I3468)</f>
        <v>42500</v>
      </c>
      <c r="K3468" s="20">
        <v>1</v>
      </c>
      <c r="L3468" s="20" t="s">
        <v>29</v>
      </c>
      <c r="M3468" s="20" t="s">
        <v>13</v>
      </c>
      <c r="N3468" s="20">
        <v>3</v>
      </c>
      <c r="O3468" s="24">
        <v>121.1</v>
      </c>
      <c r="P3468" s="24">
        <v>100</v>
      </c>
      <c r="Q3468" s="25">
        <v>5550</v>
      </c>
      <c r="R3468" s="24">
        <f>(O3468*Q3468)</f>
        <v>672105</v>
      </c>
      <c r="S3468" s="20">
        <v>1</v>
      </c>
      <c r="T3468" s="24">
        <f>(R3468*1/100)</f>
        <v>6721.05</v>
      </c>
      <c r="U3468" s="27">
        <f>(R3468-T3468)</f>
        <v>665383.94999999995</v>
      </c>
      <c r="V3468" s="27">
        <f>(J3468+U3468)</f>
        <v>707883.95</v>
      </c>
      <c r="W3468" s="26">
        <f>(V3468*100/100)</f>
        <v>707883.95</v>
      </c>
      <c r="X3468" s="28">
        <v>0</v>
      </c>
      <c r="Y3468" s="26">
        <f>(W3468-X3468)</f>
        <v>707883.95</v>
      </c>
      <c r="Z3468" s="49">
        <v>3.0000000000000001E-3</v>
      </c>
    </row>
    <row r="3469" spans="1:26" s="124" customFormat="1" ht="90.75" customHeight="1" x14ac:dyDescent="0.25">
      <c r="A3469" s="20">
        <v>1617</v>
      </c>
      <c r="B3469" s="20" t="s">
        <v>0</v>
      </c>
      <c r="C3469" s="20">
        <v>59017</v>
      </c>
      <c r="D3469" s="21">
        <v>0</v>
      </c>
      <c r="E3469" s="21">
        <v>0</v>
      </c>
      <c r="F3469" s="22">
        <v>44</v>
      </c>
      <c r="G3469" s="23" t="s">
        <v>210</v>
      </c>
      <c r="H3469" s="24">
        <f t="shared" si="938"/>
        <v>44</v>
      </c>
      <c r="I3469" s="25">
        <v>625</v>
      </c>
      <c r="J3469" s="24">
        <f t="shared" ref="J3469:J3474" si="939">(H3469*I3469)</f>
        <v>27500</v>
      </c>
      <c r="K3469" s="20"/>
      <c r="L3469" s="20"/>
      <c r="M3469" s="20"/>
      <c r="N3469" s="20"/>
      <c r="O3469" s="24"/>
      <c r="P3469" s="24"/>
      <c r="Q3469" s="25"/>
      <c r="R3469" s="24"/>
      <c r="S3469" s="20"/>
      <c r="T3469" s="27"/>
      <c r="U3469" s="27">
        <f t="shared" ref="U3469:U3474" si="940">(R3469-T3469)</f>
        <v>0</v>
      </c>
      <c r="V3469" s="27">
        <f t="shared" ref="V3469:V3474" si="941">(J3469+U3469)</f>
        <v>27500</v>
      </c>
      <c r="W3469" s="26">
        <f t="shared" ref="W3469:W3474" si="942">(V3469*100/100)</f>
        <v>27500</v>
      </c>
      <c r="X3469" s="28">
        <v>0</v>
      </c>
      <c r="Y3469" s="26">
        <f t="shared" ref="Y3469:Y3474" si="943">(W3469-X3469)</f>
        <v>27500</v>
      </c>
      <c r="Z3469" s="49">
        <v>3.0000000000000001E-3</v>
      </c>
    </row>
    <row r="3470" spans="1:26" s="124" customFormat="1" ht="90.75" customHeight="1" x14ac:dyDescent="0.25">
      <c r="A3470" s="20">
        <v>1618</v>
      </c>
      <c r="B3470" s="20" t="s">
        <v>0</v>
      </c>
      <c r="C3470" s="20">
        <v>59018</v>
      </c>
      <c r="D3470" s="21">
        <v>0</v>
      </c>
      <c r="E3470" s="21">
        <v>0</v>
      </c>
      <c r="F3470" s="22">
        <v>32</v>
      </c>
      <c r="G3470" s="23" t="s">
        <v>210</v>
      </c>
      <c r="H3470" s="24">
        <f t="shared" si="938"/>
        <v>32</v>
      </c>
      <c r="I3470" s="25">
        <v>625</v>
      </c>
      <c r="J3470" s="24">
        <f t="shared" si="939"/>
        <v>20000</v>
      </c>
      <c r="K3470" s="20"/>
      <c r="L3470" s="20"/>
      <c r="M3470" s="20"/>
      <c r="N3470" s="20"/>
      <c r="O3470" s="24"/>
      <c r="P3470" s="24"/>
      <c r="Q3470" s="25"/>
      <c r="R3470" s="24"/>
      <c r="S3470" s="20"/>
      <c r="T3470" s="27"/>
      <c r="U3470" s="27">
        <f t="shared" si="940"/>
        <v>0</v>
      </c>
      <c r="V3470" s="27">
        <f t="shared" si="941"/>
        <v>20000</v>
      </c>
      <c r="W3470" s="26">
        <f t="shared" si="942"/>
        <v>20000</v>
      </c>
      <c r="X3470" s="28">
        <v>0</v>
      </c>
      <c r="Y3470" s="26">
        <f t="shared" si="943"/>
        <v>20000</v>
      </c>
      <c r="Z3470" s="49">
        <v>3.0000000000000001E-3</v>
      </c>
    </row>
    <row r="3471" spans="1:26" s="124" customFormat="1" ht="90.75" customHeight="1" x14ac:dyDescent="0.25">
      <c r="A3471" s="20">
        <v>1619</v>
      </c>
      <c r="B3471" s="20" t="s">
        <v>0</v>
      </c>
      <c r="C3471" s="20">
        <v>59019</v>
      </c>
      <c r="D3471" s="21">
        <v>0</v>
      </c>
      <c r="E3471" s="21">
        <v>0</v>
      </c>
      <c r="F3471" s="22">
        <v>32</v>
      </c>
      <c r="G3471" s="23" t="s">
        <v>56</v>
      </c>
      <c r="H3471" s="24">
        <f>(D3471*400)+(E3471*100)+F3471</f>
        <v>32</v>
      </c>
      <c r="I3471" s="25">
        <v>625</v>
      </c>
      <c r="J3471" s="24">
        <f t="shared" si="939"/>
        <v>20000</v>
      </c>
      <c r="K3471" s="20">
        <v>1</v>
      </c>
      <c r="L3471" s="20" t="s">
        <v>16</v>
      </c>
      <c r="M3471" s="20" t="s">
        <v>13</v>
      </c>
      <c r="N3471" s="20">
        <v>2</v>
      </c>
      <c r="O3471" s="24">
        <v>89.7</v>
      </c>
      <c r="P3471" s="24">
        <v>100</v>
      </c>
      <c r="Q3471" s="25">
        <v>6450</v>
      </c>
      <c r="R3471" s="24">
        <f t="shared" ref="R3471:R3472" si="944">(O3471*Q3471)</f>
        <v>578565</v>
      </c>
      <c r="S3471" s="20">
        <v>1</v>
      </c>
      <c r="T3471" s="24">
        <f t="shared" ref="T3471:T3472" si="945">(R3471*1/100)</f>
        <v>5785.65</v>
      </c>
      <c r="U3471" s="27">
        <f t="shared" si="940"/>
        <v>572779.35</v>
      </c>
      <c r="V3471" s="27">
        <f t="shared" si="941"/>
        <v>592779.35</v>
      </c>
      <c r="W3471" s="26">
        <f t="shared" si="942"/>
        <v>592779.35</v>
      </c>
      <c r="X3471" s="28">
        <v>0</v>
      </c>
      <c r="Y3471" s="26">
        <f t="shared" si="943"/>
        <v>592779.35</v>
      </c>
      <c r="Z3471" s="49">
        <v>3.0000000000000001E-3</v>
      </c>
    </row>
    <row r="3472" spans="1:26" s="124" customFormat="1" ht="90.75" customHeight="1" x14ac:dyDescent="0.25">
      <c r="A3472" s="20">
        <v>1620</v>
      </c>
      <c r="B3472" s="20" t="s">
        <v>0</v>
      </c>
      <c r="C3472" s="20">
        <v>59020</v>
      </c>
      <c r="D3472" s="21">
        <v>0</v>
      </c>
      <c r="E3472" s="21">
        <v>0</v>
      </c>
      <c r="F3472" s="22">
        <v>32</v>
      </c>
      <c r="G3472" s="23" t="s">
        <v>56</v>
      </c>
      <c r="H3472" s="24">
        <f t="shared" ref="H3472:H3522" si="946">(D3472*400)+(E3472*100)+F3472</f>
        <v>32</v>
      </c>
      <c r="I3472" s="25">
        <v>625</v>
      </c>
      <c r="J3472" s="24">
        <f t="shared" si="939"/>
        <v>20000</v>
      </c>
      <c r="K3472" s="20">
        <v>1</v>
      </c>
      <c r="L3472" s="20" t="s">
        <v>16</v>
      </c>
      <c r="M3472" s="20" t="s">
        <v>13</v>
      </c>
      <c r="N3472" s="20">
        <v>2</v>
      </c>
      <c r="O3472" s="24">
        <v>89.7</v>
      </c>
      <c r="P3472" s="24">
        <v>100</v>
      </c>
      <c r="Q3472" s="25">
        <v>6450</v>
      </c>
      <c r="R3472" s="24">
        <f t="shared" si="944"/>
        <v>578565</v>
      </c>
      <c r="S3472" s="20">
        <v>1</v>
      </c>
      <c r="T3472" s="24">
        <f t="shared" si="945"/>
        <v>5785.65</v>
      </c>
      <c r="U3472" s="27">
        <f t="shared" si="940"/>
        <v>572779.35</v>
      </c>
      <c r="V3472" s="27">
        <f t="shared" si="941"/>
        <v>592779.35</v>
      </c>
      <c r="W3472" s="26">
        <f t="shared" si="942"/>
        <v>592779.35</v>
      </c>
      <c r="X3472" s="28">
        <v>0</v>
      </c>
      <c r="Y3472" s="26">
        <f t="shared" si="943"/>
        <v>592779.35</v>
      </c>
      <c r="Z3472" s="49">
        <v>3.0000000000000001E-3</v>
      </c>
    </row>
    <row r="3473" spans="1:26" s="124" customFormat="1" ht="90.75" customHeight="1" x14ac:dyDescent="0.25">
      <c r="A3473" s="20">
        <v>1621</v>
      </c>
      <c r="B3473" s="20" t="s">
        <v>0</v>
      </c>
      <c r="C3473" s="20">
        <v>59021</v>
      </c>
      <c r="D3473" s="21">
        <v>0</v>
      </c>
      <c r="E3473" s="21">
        <v>0</v>
      </c>
      <c r="F3473" s="22">
        <v>44</v>
      </c>
      <c r="G3473" s="23" t="s">
        <v>210</v>
      </c>
      <c r="H3473" s="24">
        <f t="shared" si="946"/>
        <v>44</v>
      </c>
      <c r="I3473" s="25">
        <v>625</v>
      </c>
      <c r="J3473" s="24">
        <f t="shared" si="939"/>
        <v>27500</v>
      </c>
      <c r="K3473" s="20"/>
      <c r="L3473" s="20"/>
      <c r="M3473" s="20"/>
      <c r="N3473" s="20"/>
      <c r="O3473" s="24"/>
      <c r="P3473" s="24"/>
      <c r="Q3473" s="25"/>
      <c r="R3473" s="24"/>
      <c r="S3473" s="20"/>
      <c r="T3473" s="27"/>
      <c r="U3473" s="27">
        <f t="shared" si="940"/>
        <v>0</v>
      </c>
      <c r="V3473" s="27">
        <f t="shared" si="941"/>
        <v>27500</v>
      </c>
      <c r="W3473" s="26">
        <f t="shared" si="942"/>
        <v>27500</v>
      </c>
      <c r="X3473" s="28">
        <v>0</v>
      </c>
      <c r="Y3473" s="26">
        <f t="shared" si="943"/>
        <v>27500</v>
      </c>
      <c r="Z3473" s="49">
        <v>3.0000000000000001E-3</v>
      </c>
    </row>
    <row r="3474" spans="1:26" s="124" customFormat="1" ht="90.75" customHeight="1" x14ac:dyDescent="0.25">
      <c r="A3474" s="20">
        <v>1622</v>
      </c>
      <c r="B3474" s="20" t="s">
        <v>0</v>
      </c>
      <c r="C3474" s="20">
        <v>59022</v>
      </c>
      <c r="D3474" s="21">
        <v>0</v>
      </c>
      <c r="E3474" s="21">
        <v>0</v>
      </c>
      <c r="F3474" s="22">
        <v>32</v>
      </c>
      <c r="G3474" s="23" t="s">
        <v>210</v>
      </c>
      <c r="H3474" s="24">
        <f t="shared" si="946"/>
        <v>32</v>
      </c>
      <c r="I3474" s="25">
        <v>625</v>
      </c>
      <c r="J3474" s="24">
        <f t="shared" si="939"/>
        <v>20000</v>
      </c>
      <c r="K3474" s="20"/>
      <c r="L3474" s="20"/>
      <c r="M3474" s="20"/>
      <c r="N3474" s="20"/>
      <c r="O3474" s="24"/>
      <c r="P3474" s="24"/>
      <c r="Q3474" s="25"/>
      <c r="R3474" s="24"/>
      <c r="S3474" s="20"/>
      <c r="T3474" s="27"/>
      <c r="U3474" s="27">
        <f t="shared" si="940"/>
        <v>0</v>
      </c>
      <c r="V3474" s="27">
        <f t="shared" si="941"/>
        <v>20000</v>
      </c>
      <c r="W3474" s="26">
        <f t="shared" si="942"/>
        <v>20000</v>
      </c>
      <c r="X3474" s="28">
        <v>0</v>
      </c>
      <c r="Y3474" s="26">
        <f t="shared" si="943"/>
        <v>20000</v>
      </c>
      <c r="Z3474" s="49">
        <v>3.0000000000000001E-3</v>
      </c>
    </row>
    <row r="3475" spans="1:26" s="87" customFormat="1" ht="90.75" customHeight="1" x14ac:dyDescent="0.25">
      <c r="A3475" s="20">
        <v>1623</v>
      </c>
      <c r="B3475" s="20" t="s">
        <v>0</v>
      </c>
      <c r="C3475" s="20">
        <v>41108</v>
      </c>
      <c r="D3475" s="21">
        <v>0</v>
      </c>
      <c r="E3475" s="21">
        <v>1</v>
      </c>
      <c r="F3475" s="22">
        <v>87</v>
      </c>
      <c r="G3475" s="23" t="s">
        <v>56</v>
      </c>
      <c r="H3475" s="24">
        <f t="shared" si="946"/>
        <v>187</v>
      </c>
      <c r="I3475" s="25">
        <v>750</v>
      </c>
      <c r="J3475" s="24">
        <f>(H3475*I3475)</f>
        <v>140250</v>
      </c>
      <c r="K3475" s="20">
        <v>1</v>
      </c>
      <c r="L3475" s="20" t="s">
        <v>16</v>
      </c>
      <c r="M3475" s="20" t="s">
        <v>13</v>
      </c>
      <c r="N3475" s="20"/>
      <c r="O3475" s="24">
        <v>146.97</v>
      </c>
      <c r="P3475" s="24">
        <v>100</v>
      </c>
      <c r="Q3475" s="25">
        <v>6450</v>
      </c>
      <c r="R3475" s="24">
        <f t="shared" ref="R3475:R3483" si="947">(O3475*Q3475)</f>
        <v>947956.5</v>
      </c>
      <c r="S3475" s="53">
        <v>5</v>
      </c>
      <c r="T3475" s="24">
        <f>(R3475*5/100)</f>
        <v>47397.824999999997</v>
      </c>
      <c r="U3475" s="80">
        <f t="shared" ref="U3475:U3483" si="948">(R3475-T3475)</f>
        <v>900558.67500000005</v>
      </c>
      <c r="V3475" s="27">
        <f t="shared" ref="V3475:V3481" si="949">(J3475+U3475)</f>
        <v>1040808.675</v>
      </c>
      <c r="W3475" s="26">
        <f t="shared" ref="W3475:W3481" si="950">(V3475*100/100)</f>
        <v>1040808.675</v>
      </c>
      <c r="X3475" s="27">
        <v>0</v>
      </c>
      <c r="Y3475" s="80">
        <f t="shared" ref="Y3475:Y3481" si="951">(W3475-X3475)</f>
        <v>1040808.675</v>
      </c>
      <c r="Z3475" s="49">
        <v>3.0000000000000001E-3</v>
      </c>
    </row>
    <row r="3476" spans="1:26" s="87" customFormat="1" ht="90.75" customHeight="1" x14ac:dyDescent="0.25">
      <c r="A3476" s="20">
        <v>1624</v>
      </c>
      <c r="B3476" s="20" t="s">
        <v>0</v>
      </c>
      <c r="C3476" s="20">
        <v>53703</v>
      </c>
      <c r="D3476" s="21">
        <v>0</v>
      </c>
      <c r="E3476" s="21">
        <v>0</v>
      </c>
      <c r="F3476" s="22">
        <v>44</v>
      </c>
      <c r="G3476" s="23" t="s">
        <v>56</v>
      </c>
      <c r="H3476" s="24">
        <f t="shared" si="946"/>
        <v>44</v>
      </c>
      <c r="I3476" s="25"/>
      <c r="J3476" s="24">
        <f t="shared" ref="J3476:J3488" si="952">(H3476*I3476)</f>
        <v>0</v>
      </c>
      <c r="K3476" s="20">
        <v>1</v>
      </c>
      <c r="L3476" s="20" t="s">
        <v>16</v>
      </c>
      <c r="M3476" s="20" t="s">
        <v>13</v>
      </c>
      <c r="N3476" s="20">
        <v>2</v>
      </c>
      <c r="O3476" s="24">
        <v>100</v>
      </c>
      <c r="P3476" s="24">
        <v>100</v>
      </c>
      <c r="Q3476" s="25">
        <v>6450</v>
      </c>
      <c r="R3476" s="24">
        <f t="shared" si="947"/>
        <v>645000</v>
      </c>
      <c r="S3476" s="53">
        <v>5</v>
      </c>
      <c r="T3476" s="24">
        <f t="shared" ref="T3476:T3481" si="953">(R3476*5/100)</f>
        <v>32250</v>
      </c>
      <c r="U3476" s="80">
        <f t="shared" si="948"/>
        <v>612750</v>
      </c>
      <c r="V3476" s="27">
        <f t="shared" si="949"/>
        <v>612750</v>
      </c>
      <c r="W3476" s="26">
        <f t="shared" si="950"/>
        <v>612750</v>
      </c>
      <c r="X3476" s="27">
        <v>0</v>
      </c>
      <c r="Y3476" s="80">
        <f t="shared" si="951"/>
        <v>612750</v>
      </c>
      <c r="Z3476" s="49">
        <v>3.0000000000000001E-3</v>
      </c>
    </row>
    <row r="3477" spans="1:26" s="87" customFormat="1" ht="90.75" customHeight="1" x14ac:dyDescent="0.25">
      <c r="A3477" s="20">
        <v>1625</v>
      </c>
      <c r="B3477" s="20" t="s">
        <v>0</v>
      </c>
      <c r="C3477" s="20">
        <v>53704</v>
      </c>
      <c r="D3477" s="21">
        <v>0</v>
      </c>
      <c r="E3477" s="21">
        <v>0</v>
      </c>
      <c r="F3477" s="22">
        <v>45</v>
      </c>
      <c r="G3477" s="23" t="s">
        <v>56</v>
      </c>
      <c r="H3477" s="24">
        <f t="shared" si="946"/>
        <v>45</v>
      </c>
      <c r="I3477" s="25"/>
      <c r="J3477" s="24">
        <f t="shared" si="952"/>
        <v>0</v>
      </c>
      <c r="K3477" s="20">
        <v>1</v>
      </c>
      <c r="L3477" s="20" t="s">
        <v>16</v>
      </c>
      <c r="M3477" s="20" t="s">
        <v>13</v>
      </c>
      <c r="N3477" s="20">
        <v>2</v>
      </c>
      <c r="O3477" s="24">
        <v>100</v>
      </c>
      <c r="P3477" s="24">
        <v>100</v>
      </c>
      <c r="Q3477" s="25">
        <v>6450</v>
      </c>
      <c r="R3477" s="24">
        <f t="shared" si="947"/>
        <v>645000</v>
      </c>
      <c r="S3477" s="53">
        <v>5</v>
      </c>
      <c r="T3477" s="24">
        <f t="shared" si="953"/>
        <v>32250</v>
      </c>
      <c r="U3477" s="80">
        <f t="shared" si="948"/>
        <v>612750</v>
      </c>
      <c r="V3477" s="27">
        <f t="shared" si="949"/>
        <v>612750</v>
      </c>
      <c r="W3477" s="26">
        <f t="shared" si="950"/>
        <v>612750</v>
      </c>
      <c r="X3477" s="27">
        <v>0</v>
      </c>
      <c r="Y3477" s="80">
        <f t="shared" si="951"/>
        <v>612750</v>
      </c>
      <c r="Z3477" s="49">
        <v>3.0000000000000001E-3</v>
      </c>
    </row>
    <row r="3478" spans="1:26" s="87" customFormat="1" ht="90.75" customHeight="1" x14ac:dyDescent="0.25">
      <c r="A3478" s="20">
        <v>1626</v>
      </c>
      <c r="B3478" s="20" t="s">
        <v>0</v>
      </c>
      <c r="C3478" s="20">
        <v>53705</v>
      </c>
      <c r="D3478" s="21">
        <v>0</v>
      </c>
      <c r="E3478" s="21">
        <v>0</v>
      </c>
      <c r="F3478" s="22">
        <v>45</v>
      </c>
      <c r="G3478" s="23" t="s">
        <v>56</v>
      </c>
      <c r="H3478" s="24">
        <f t="shared" si="946"/>
        <v>45</v>
      </c>
      <c r="I3478" s="25"/>
      <c r="J3478" s="24">
        <f t="shared" si="952"/>
        <v>0</v>
      </c>
      <c r="K3478" s="20">
        <v>1</v>
      </c>
      <c r="L3478" s="20" t="s">
        <v>16</v>
      </c>
      <c r="M3478" s="20" t="s">
        <v>13</v>
      </c>
      <c r="N3478" s="20">
        <v>2</v>
      </c>
      <c r="O3478" s="24">
        <v>100</v>
      </c>
      <c r="P3478" s="24">
        <v>100</v>
      </c>
      <c r="Q3478" s="25">
        <v>6450</v>
      </c>
      <c r="R3478" s="24">
        <f t="shared" si="947"/>
        <v>645000</v>
      </c>
      <c r="S3478" s="53">
        <v>5</v>
      </c>
      <c r="T3478" s="24">
        <f t="shared" si="953"/>
        <v>32250</v>
      </c>
      <c r="U3478" s="80">
        <f t="shared" si="948"/>
        <v>612750</v>
      </c>
      <c r="V3478" s="27">
        <f t="shared" si="949"/>
        <v>612750</v>
      </c>
      <c r="W3478" s="26">
        <f t="shared" si="950"/>
        <v>612750</v>
      </c>
      <c r="X3478" s="27">
        <v>0</v>
      </c>
      <c r="Y3478" s="80">
        <f t="shared" si="951"/>
        <v>612750</v>
      </c>
      <c r="Z3478" s="49">
        <v>3.0000000000000001E-3</v>
      </c>
    </row>
    <row r="3479" spans="1:26" s="87" customFormat="1" ht="90.75" customHeight="1" x14ac:dyDescent="0.25">
      <c r="A3479" s="20">
        <v>1627</v>
      </c>
      <c r="B3479" s="20" t="s">
        <v>0</v>
      </c>
      <c r="C3479" s="20">
        <v>53706</v>
      </c>
      <c r="D3479" s="21">
        <v>0</v>
      </c>
      <c r="E3479" s="21">
        <v>0</v>
      </c>
      <c r="F3479" s="22">
        <v>45</v>
      </c>
      <c r="G3479" s="23" t="s">
        <v>56</v>
      </c>
      <c r="H3479" s="24">
        <f t="shared" si="946"/>
        <v>45</v>
      </c>
      <c r="I3479" s="25"/>
      <c r="J3479" s="24">
        <f t="shared" si="952"/>
        <v>0</v>
      </c>
      <c r="K3479" s="20">
        <v>1</v>
      </c>
      <c r="L3479" s="20" t="s">
        <v>16</v>
      </c>
      <c r="M3479" s="20" t="s">
        <v>13</v>
      </c>
      <c r="N3479" s="20">
        <v>2</v>
      </c>
      <c r="O3479" s="24">
        <v>100</v>
      </c>
      <c r="P3479" s="24">
        <v>100</v>
      </c>
      <c r="Q3479" s="25">
        <v>6450</v>
      </c>
      <c r="R3479" s="24">
        <f t="shared" si="947"/>
        <v>645000</v>
      </c>
      <c r="S3479" s="53">
        <v>5</v>
      </c>
      <c r="T3479" s="24">
        <f t="shared" si="953"/>
        <v>32250</v>
      </c>
      <c r="U3479" s="80">
        <f t="shared" si="948"/>
        <v>612750</v>
      </c>
      <c r="V3479" s="27">
        <f t="shared" si="949"/>
        <v>612750</v>
      </c>
      <c r="W3479" s="26">
        <f t="shared" si="950"/>
        <v>612750</v>
      </c>
      <c r="X3479" s="27">
        <v>0</v>
      </c>
      <c r="Y3479" s="80">
        <f t="shared" si="951"/>
        <v>612750</v>
      </c>
      <c r="Z3479" s="49">
        <v>3.0000000000000001E-3</v>
      </c>
    </row>
    <row r="3480" spans="1:26" s="87" customFormat="1" ht="90.75" customHeight="1" x14ac:dyDescent="0.25">
      <c r="A3480" s="20">
        <v>1628</v>
      </c>
      <c r="B3480" s="20" t="s">
        <v>0</v>
      </c>
      <c r="C3480" s="20">
        <v>53707</v>
      </c>
      <c r="D3480" s="21">
        <v>0</v>
      </c>
      <c r="E3480" s="21">
        <v>0</v>
      </c>
      <c r="F3480" s="22">
        <v>45</v>
      </c>
      <c r="G3480" s="23" t="s">
        <v>56</v>
      </c>
      <c r="H3480" s="24">
        <f t="shared" si="946"/>
        <v>45</v>
      </c>
      <c r="I3480" s="25"/>
      <c r="J3480" s="24">
        <f t="shared" si="952"/>
        <v>0</v>
      </c>
      <c r="K3480" s="20">
        <v>1</v>
      </c>
      <c r="L3480" s="20" t="s">
        <v>16</v>
      </c>
      <c r="M3480" s="20" t="s">
        <v>13</v>
      </c>
      <c r="N3480" s="20">
        <v>2</v>
      </c>
      <c r="O3480" s="24">
        <v>100</v>
      </c>
      <c r="P3480" s="24">
        <v>100</v>
      </c>
      <c r="Q3480" s="25">
        <v>6450</v>
      </c>
      <c r="R3480" s="24">
        <f t="shared" si="947"/>
        <v>645000</v>
      </c>
      <c r="S3480" s="53">
        <v>5</v>
      </c>
      <c r="T3480" s="24">
        <f t="shared" si="953"/>
        <v>32250</v>
      </c>
      <c r="U3480" s="80">
        <f t="shared" si="948"/>
        <v>612750</v>
      </c>
      <c r="V3480" s="27">
        <f t="shared" si="949"/>
        <v>612750</v>
      </c>
      <c r="W3480" s="26">
        <f t="shared" si="950"/>
        <v>612750</v>
      </c>
      <c r="X3480" s="27">
        <v>0</v>
      </c>
      <c r="Y3480" s="80">
        <f t="shared" si="951"/>
        <v>612750</v>
      </c>
      <c r="Z3480" s="49">
        <v>3.0000000000000001E-3</v>
      </c>
    </row>
    <row r="3481" spans="1:26" s="87" customFormat="1" ht="90.75" customHeight="1" x14ac:dyDescent="0.25">
      <c r="A3481" s="20">
        <v>1629</v>
      </c>
      <c r="B3481" s="20" t="s">
        <v>0</v>
      </c>
      <c r="C3481" s="20">
        <v>53708</v>
      </c>
      <c r="D3481" s="21">
        <v>0</v>
      </c>
      <c r="E3481" s="21">
        <v>0</v>
      </c>
      <c r="F3481" s="22">
        <v>45</v>
      </c>
      <c r="G3481" s="23" t="s">
        <v>56</v>
      </c>
      <c r="H3481" s="24">
        <f t="shared" si="946"/>
        <v>45</v>
      </c>
      <c r="I3481" s="25"/>
      <c r="J3481" s="24">
        <f t="shared" si="952"/>
        <v>0</v>
      </c>
      <c r="K3481" s="20">
        <v>1</v>
      </c>
      <c r="L3481" s="20" t="s">
        <v>16</v>
      </c>
      <c r="M3481" s="20" t="s">
        <v>13</v>
      </c>
      <c r="N3481" s="20">
        <v>2</v>
      </c>
      <c r="O3481" s="24">
        <v>100</v>
      </c>
      <c r="P3481" s="24">
        <v>100</v>
      </c>
      <c r="Q3481" s="25">
        <v>6450</v>
      </c>
      <c r="R3481" s="24">
        <f t="shared" si="947"/>
        <v>645000</v>
      </c>
      <c r="S3481" s="53">
        <v>5</v>
      </c>
      <c r="T3481" s="24">
        <f t="shared" si="953"/>
        <v>32250</v>
      </c>
      <c r="U3481" s="80">
        <f t="shared" si="948"/>
        <v>612750</v>
      </c>
      <c r="V3481" s="27">
        <f t="shared" si="949"/>
        <v>612750</v>
      </c>
      <c r="W3481" s="26">
        <f t="shared" si="950"/>
        <v>612750</v>
      </c>
      <c r="X3481" s="27">
        <v>0</v>
      </c>
      <c r="Y3481" s="80">
        <f t="shared" si="951"/>
        <v>612750</v>
      </c>
      <c r="Z3481" s="49">
        <v>3.0000000000000001E-3</v>
      </c>
    </row>
    <row r="3482" spans="1:26" s="87" customFormat="1" ht="90.75" customHeight="1" x14ac:dyDescent="0.25">
      <c r="A3482" s="20">
        <v>1630</v>
      </c>
      <c r="B3482" s="20" t="s">
        <v>0</v>
      </c>
      <c r="C3482" s="20">
        <v>53736</v>
      </c>
      <c r="D3482" s="21">
        <v>0</v>
      </c>
      <c r="E3482" s="21">
        <v>0</v>
      </c>
      <c r="F3482" s="22">
        <v>54</v>
      </c>
      <c r="G3482" s="23" t="s">
        <v>56</v>
      </c>
      <c r="H3482" s="24">
        <f t="shared" si="946"/>
        <v>54</v>
      </c>
      <c r="I3482" s="25" t="s">
        <v>23</v>
      </c>
      <c r="J3482" s="24">
        <f t="shared" si="952"/>
        <v>54000</v>
      </c>
      <c r="K3482" s="20"/>
      <c r="L3482" s="20"/>
      <c r="M3482" s="20"/>
      <c r="N3482" s="20"/>
      <c r="O3482" s="24"/>
      <c r="P3482" s="24"/>
      <c r="Q3482" s="25"/>
      <c r="R3482" s="24"/>
      <c r="S3482" s="20"/>
      <c r="T3482" s="24"/>
      <c r="U3482" s="80"/>
      <c r="V3482" s="27"/>
      <c r="W3482" s="26"/>
      <c r="X3482" s="27"/>
      <c r="Y3482" s="80"/>
      <c r="Z3482" s="49"/>
    </row>
    <row r="3483" spans="1:26" s="87" customFormat="1" ht="90.75" customHeight="1" x14ac:dyDescent="0.25">
      <c r="A3483" s="20"/>
      <c r="B3483" s="20"/>
      <c r="C3483" s="20"/>
      <c r="D3483" s="21"/>
      <c r="E3483" s="21"/>
      <c r="F3483" s="22"/>
      <c r="G3483" s="23"/>
      <c r="H3483" s="24">
        <v>7.5</v>
      </c>
      <c r="I3483" s="25" t="s">
        <v>23</v>
      </c>
      <c r="J3483" s="24">
        <f t="shared" si="952"/>
        <v>7500</v>
      </c>
      <c r="K3483" s="20">
        <v>2</v>
      </c>
      <c r="L3483" s="20" t="s">
        <v>43</v>
      </c>
      <c r="M3483" s="20" t="s">
        <v>13</v>
      </c>
      <c r="N3483" s="20">
        <v>2</v>
      </c>
      <c r="O3483" s="24">
        <v>30</v>
      </c>
      <c r="P3483" s="24">
        <v>100</v>
      </c>
      <c r="Q3483" s="25">
        <v>7700</v>
      </c>
      <c r="R3483" s="24">
        <f t="shared" si="947"/>
        <v>231000</v>
      </c>
      <c r="S3483" s="20">
        <v>1</v>
      </c>
      <c r="T3483" s="24">
        <f>(R3483*1/100)</f>
        <v>2310</v>
      </c>
      <c r="U3483" s="80">
        <f t="shared" si="948"/>
        <v>228690</v>
      </c>
      <c r="V3483" s="27">
        <f>(J3483+U3483)</f>
        <v>236190</v>
      </c>
      <c r="W3483" s="26">
        <f t="shared" ref="W3483:W3488" si="954">(V3483*100/100)</f>
        <v>236190</v>
      </c>
      <c r="X3483" s="27">
        <v>0</v>
      </c>
      <c r="Y3483" s="80">
        <f t="shared" ref="Y3483:Y3488" si="955">(W3483-X3483)</f>
        <v>236190</v>
      </c>
      <c r="Z3483" s="49">
        <v>3.0000000000000001E-3</v>
      </c>
    </row>
    <row r="3484" spans="1:26" s="29" customFormat="1" ht="90.75" customHeight="1" x14ac:dyDescent="0.25">
      <c r="A3484" s="20">
        <v>1631</v>
      </c>
      <c r="B3484" s="20" t="s">
        <v>0</v>
      </c>
      <c r="C3484" s="20">
        <v>61907</v>
      </c>
      <c r="D3484" s="21">
        <v>0</v>
      </c>
      <c r="E3484" s="21">
        <v>0</v>
      </c>
      <c r="F3484" s="22">
        <v>50</v>
      </c>
      <c r="G3484" s="23" t="s">
        <v>56</v>
      </c>
      <c r="H3484" s="24">
        <f t="shared" si="946"/>
        <v>50</v>
      </c>
      <c r="I3484" s="25">
        <v>300</v>
      </c>
      <c r="J3484" s="24">
        <f t="shared" si="952"/>
        <v>15000</v>
      </c>
      <c r="K3484" s="20"/>
      <c r="L3484" s="20"/>
      <c r="M3484" s="20"/>
      <c r="N3484" s="20"/>
      <c r="O3484" s="24"/>
      <c r="P3484" s="24"/>
      <c r="Q3484" s="25"/>
      <c r="R3484" s="24"/>
      <c r="S3484" s="53"/>
      <c r="T3484" s="24"/>
      <c r="U3484" s="80"/>
      <c r="V3484" s="27">
        <f t="shared" ref="V3484:V3488" si="956">(J3484+U3484)</f>
        <v>15000</v>
      </c>
      <c r="W3484" s="26">
        <f t="shared" si="954"/>
        <v>15000</v>
      </c>
      <c r="X3484" s="27">
        <v>0</v>
      </c>
      <c r="Y3484" s="80">
        <f t="shared" si="955"/>
        <v>15000</v>
      </c>
      <c r="Z3484" s="49">
        <v>3.0000000000000001E-3</v>
      </c>
    </row>
    <row r="3485" spans="1:26" s="29" customFormat="1" ht="90.75" customHeight="1" x14ac:dyDescent="0.25">
      <c r="A3485" s="20">
        <v>1632</v>
      </c>
      <c r="B3485" s="20" t="s">
        <v>0</v>
      </c>
      <c r="C3485" s="20">
        <v>61908</v>
      </c>
      <c r="D3485" s="21">
        <v>0</v>
      </c>
      <c r="E3485" s="21">
        <v>0</v>
      </c>
      <c r="F3485" s="22">
        <v>50</v>
      </c>
      <c r="G3485" s="23" t="s">
        <v>56</v>
      </c>
      <c r="H3485" s="24">
        <f t="shared" si="946"/>
        <v>50</v>
      </c>
      <c r="I3485" s="25">
        <v>300</v>
      </c>
      <c r="J3485" s="24">
        <f t="shared" si="952"/>
        <v>15000</v>
      </c>
      <c r="K3485" s="20"/>
      <c r="L3485" s="20"/>
      <c r="M3485" s="20"/>
      <c r="N3485" s="20"/>
      <c r="O3485" s="24"/>
      <c r="P3485" s="24"/>
      <c r="Q3485" s="25"/>
      <c r="R3485" s="24"/>
      <c r="S3485" s="53"/>
      <c r="T3485" s="24"/>
      <c r="U3485" s="80"/>
      <c r="V3485" s="27">
        <f t="shared" si="956"/>
        <v>15000</v>
      </c>
      <c r="W3485" s="26">
        <f t="shared" si="954"/>
        <v>15000</v>
      </c>
      <c r="X3485" s="27">
        <v>0</v>
      </c>
      <c r="Y3485" s="80">
        <f t="shared" si="955"/>
        <v>15000</v>
      </c>
      <c r="Z3485" s="49">
        <v>3.0000000000000001E-3</v>
      </c>
    </row>
    <row r="3486" spans="1:26" s="125" customFormat="1" ht="90.75" customHeight="1" x14ac:dyDescent="0.25">
      <c r="A3486" s="20">
        <v>1633</v>
      </c>
      <c r="B3486" s="20" t="s">
        <v>0</v>
      </c>
      <c r="C3486" s="20">
        <v>61909</v>
      </c>
      <c r="D3486" s="21">
        <v>0</v>
      </c>
      <c r="E3486" s="21">
        <v>0</v>
      </c>
      <c r="F3486" s="22">
        <v>50</v>
      </c>
      <c r="G3486" s="23" t="s">
        <v>56</v>
      </c>
      <c r="H3486" s="24">
        <f t="shared" si="946"/>
        <v>50</v>
      </c>
      <c r="I3486" s="25">
        <v>300</v>
      </c>
      <c r="J3486" s="24">
        <f t="shared" si="952"/>
        <v>15000</v>
      </c>
      <c r="K3486" s="20"/>
      <c r="L3486" s="20"/>
      <c r="M3486" s="20"/>
      <c r="N3486" s="20"/>
      <c r="O3486" s="24"/>
      <c r="P3486" s="24"/>
      <c r="Q3486" s="25"/>
      <c r="R3486" s="24"/>
      <c r="S3486" s="53"/>
      <c r="T3486" s="24"/>
      <c r="U3486" s="80"/>
      <c r="V3486" s="27">
        <f t="shared" si="956"/>
        <v>15000</v>
      </c>
      <c r="W3486" s="26">
        <f t="shared" si="954"/>
        <v>15000</v>
      </c>
      <c r="X3486" s="27">
        <v>0</v>
      </c>
      <c r="Y3486" s="80">
        <f t="shared" si="955"/>
        <v>15000</v>
      </c>
      <c r="Z3486" s="49">
        <v>3.0000000000000001E-3</v>
      </c>
    </row>
    <row r="3487" spans="1:26" s="29" customFormat="1" ht="90.75" customHeight="1" x14ac:dyDescent="0.25">
      <c r="A3487" s="20">
        <v>1634</v>
      </c>
      <c r="B3487" s="20" t="s">
        <v>0</v>
      </c>
      <c r="C3487" s="20">
        <v>61912</v>
      </c>
      <c r="D3487" s="21">
        <v>0</v>
      </c>
      <c r="E3487" s="21">
        <v>0</v>
      </c>
      <c r="F3487" s="22">
        <v>5.7</v>
      </c>
      <c r="G3487" s="23" t="s">
        <v>56</v>
      </c>
      <c r="H3487" s="24">
        <f t="shared" si="946"/>
        <v>5.7</v>
      </c>
      <c r="I3487" s="25">
        <v>300</v>
      </c>
      <c r="J3487" s="24">
        <f t="shared" si="952"/>
        <v>1710</v>
      </c>
      <c r="K3487" s="20"/>
      <c r="L3487" s="20"/>
      <c r="M3487" s="20"/>
      <c r="N3487" s="20"/>
      <c r="O3487" s="24"/>
      <c r="P3487" s="24"/>
      <c r="Q3487" s="25"/>
      <c r="R3487" s="24"/>
      <c r="S3487" s="53"/>
      <c r="T3487" s="24"/>
      <c r="U3487" s="80"/>
      <c r="V3487" s="27">
        <f t="shared" si="956"/>
        <v>1710</v>
      </c>
      <c r="W3487" s="26">
        <f t="shared" si="954"/>
        <v>1710</v>
      </c>
      <c r="X3487" s="27">
        <v>0</v>
      </c>
      <c r="Y3487" s="80">
        <f t="shared" si="955"/>
        <v>1710</v>
      </c>
      <c r="Z3487" s="49">
        <v>3.0000000000000001E-3</v>
      </c>
    </row>
    <row r="3488" spans="1:26" s="29" customFormat="1" ht="90.75" customHeight="1" x14ac:dyDescent="0.25">
      <c r="A3488" s="20">
        <v>1635</v>
      </c>
      <c r="B3488" s="20" t="s">
        <v>0</v>
      </c>
      <c r="C3488" s="20">
        <v>33302</v>
      </c>
      <c r="D3488" s="21">
        <v>0</v>
      </c>
      <c r="E3488" s="21">
        <v>0</v>
      </c>
      <c r="F3488" s="22">
        <v>7.3</v>
      </c>
      <c r="G3488" s="23" t="s">
        <v>56</v>
      </c>
      <c r="H3488" s="24">
        <f t="shared" si="946"/>
        <v>7.3</v>
      </c>
      <c r="I3488" s="25">
        <v>300</v>
      </c>
      <c r="J3488" s="24">
        <f t="shared" si="952"/>
        <v>2190</v>
      </c>
      <c r="K3488" s="20"/>
      <c r="L3488" s="20"/>
      <c r="M3488" s="20"/>
      <c r="N3488" s="20"/>
      <c r="O3488" s="24"/>
      <c r="P3488" s="24"/>
      <c r="Q3488" s="25"/>
      <c r="R3488" s="24"/>
      <c r="S3488" s="53"/>
      <c r="T3488" s="24"/>
      <c r="U3488" s="80"/>
      <c r="V3488" s="27">
        <f t="shared" si="956"/>
        <v>2190</v>
      </c>
      <c r="W3488" s="26">
        <f t="shared" si="954"/>
        <v>2190</v>
      </c>
      <c r="X3488" s="27">
        <v>0</v>
      </c>
      <c r="Y3488" s="80">
        <f t="shared" si="955"/>
        <v>2190</v>
      </c>
      <c r="Z3488" s="49">
        <v>3.0000000000000001E-3</v>
      </c>
    </row>
    <row r="3489" spans="1:26" s="29" customFormat="1" ht="90.75" customHeight="1" x14ac:dyDescent="0.25">
      <c r="A3489" s="20">
        <v>1636</v>
      </c>
      <c r="B3489" s="20" t="s">
        <v>0</v>
      </c>
      <c r="C3489" s="20">
        <v>61906</v>
      </c>
      <c r="D3489" s="21">
        <v>0</v>
      </c>
      <c r="E3489" s="21">
        <v>0</v>
      </c>
      <c r="F3489" s="22">
        <v>63.3</v>
      </c>
      <c r="G3489" s="23" t="s">
        <v>56</v>
      </c>
      <c r="H3489" s="24">
        <f t="shared" si="946"/>
        <v>63.3</v>
      </c>
      <c r="I3489" s="25">
        <v>300</v>
      </c>
      <c r="J3489" s="24">
        <f t="shared" ref="J3489:J3497" si="957">(H3489*I3489)</f>
        <v>18990</v>
      </c>
      <c r="K3489" s="20"/>
      <c r="L3489" s="20"/>
      <c r="M3489" s="20"/>
      <c r="N3489" s="20"/>
      <c r="O3489" s="24"/>
      <c r="P3489" s="24"/>
      <c r="Q3489" s="25"/>
      <c r="R3489" s="24"/>
      <c r="S3489" s="20"/>
      <c r="T3489" s="27"/>
      <c r="U3489" s="20"/>
      <c r="V3489" s="27">
        <f t="shared" ref="V3489:V3497" si="958">(J3489+U3489)</f>
        <v>18990</v>
      </c>
      <c r="W3489" s="26">
        <f t="shared" ref="W3489:W3497" si="959">(V3489*100/100)</f>
        <v>18990</v>
      </c>
      <c r="X3489" s="27">
        <v>0</v>
      </c>
      <c r="Y3489" s="80">
        <f t="shared" ref="Y3489:Y3497" si="960">(W3489-X3489)</f>
        <v>18990</v>
      </c>
      <c r="Z3489" s="49">
        <v>3.0000000000000001E-3</v>
      </c>
    </row>
    <row r="3490" spans="1:26" s="29" customFormat="1" ht="90.75" customHeight="1" x14ac:dyDescent="0.25">
      <c r="A3490" s="20">
        <v>1637</v>
      </c>
      <c r="B3490" s="20" t="s">
        <v>0</v>
      </c>
      <c r="C3490" s="20">
        <v>63364</v>
      </c>
      <c r="D3490" s="21">
        <v>0</v>
      </c>
      <c r="E3490" s="21">
        <v>1</v>
      </c>
      <c r="F3490" s="22">
        <v>15.4</v>
      </c>
      <c r="G3490" s="23" t="s">
        <v>56</v>
      </c>
      <c r="H3490" s="24">
        <f t="shared" si="946"/>
        <v>115.4</v>
      </c>
      <c r="I3490" s="25">
        <v>300</v>
      </c>
      <c r="J3490" s="24">
        <f t="shared" si="957"/>
        <v>34620</v>
      </c>
      <c r="K3490" s="20"/>
      <c r="L3490" s="20"/>
      <c r="M3490" s="20"/>
      <c r="N3490" s="20"/>
      <c r="O3490" s="24"/>
      <c r="P3490" s="24"/>
      <c r="Q3490" s="25"/>
      <c r="R3490" s="24"/>
      <c r="S3490" s="20"/>
      <c r="T3490" s="27"/>
      <c r="U3490" s="20"/>
      <c r="V3490" s="27">
        <f t="shared" si="958"/>
        <v>34620</v>
      </c>
      <c r="W3490" s="26">
        <f t="shared" si="959"/>
        <v>34620</v>
      </c>
      <c r="X3490" s="27">
        <v>0</v>
      </c>
      <c r="Y3490" s="80">
        <f t="shared" si="960"/>
        <v>34620</v>
      </c>
      <c r="Z3490" s="49">
        <v>3.0000000000000001E-3</v>
      </c>
    </row>
    <row r="3491" spans="1:26" s="29" customFormat="1" ht="90.75" customHeight="1" x14ac:dyDescent="0.25">
      <c r="A3491" s="20">
        <v>1638</v>
      </c>
      <c r="B3491" s="20" t="s">
        <v>0</v>
      </c>
      <c r="C3491" s="20">
        <v>63365</v>
      </c>
      <c r="D3491" s="21">
        <v>0</v>
      </c>
      <c r="E3491" s="21">
        <v>0</v>
      </c>
      <c r="F3491" s="22">
        <v>57.9</v>
      </c>
      <c r="G3491" s="23" t="s">
        <v>56</v>
      </c>
      <c r="H3491" s="24">
        <f t="shared" si="946"/>
        <v>57.9</v>
      </c>
      <c r="I3491" s="25">
        <v>300</v>
      </c>
      <c r="J3491" s="24">
        <f t="shared" si="957"/>
        <v>17370</v>
      </c>
      <c r="K3491" s="20"/>
      <c r="L3491" s="20"/>
      <c r="M3491" s="20"/>
      <c r="N3491" s="20"/>
      <c r="O3491" s="24"/>
      <c r="P3491" s="24"/>
      <c r="Q3491" s="25"/>
      <c r="R3491" s="24"/>
      <c r="S3491" s="20"/>
      <c r="T3491" s="27"/>
      <c r="U3491" s="20"/>
      <c r="V3491" s="27">
        <f t="shared" si="958"/>
        <v>17370</v>
      </c>
      <c r="W3491" s="26">
        <f t="shared" si="959"/>
        <v>17370</v>
      </c>
      <c r="X3491" s="27">
        <v>0</v>
      </c>
      <c r="Y3491" s="80">
        <f t="shared" si="960"/>
        <v>17370</v>
      </c>
      <c r="Z3491" s="49">
        <v>3.0000000000000001E-3</v>
      </c>
    </row>
    <row r="3492" spans="1:26" s="29" customFormat="1" ht="90.75" customHeight="1" x14ac:dyDescent="0.25">
      <c r="A3492" s="20">
        <v>1639</v>
      </c>
      <c r="B3492" s="20" t="s">
        <v>0</v>
      </c>
      <c r="C3492" s="20">
        <v>63366</v>
      </c>
      <c r="D3492" s="21">
        <v>0</v>
      </c>
      <c r="E3492" s="21">
        <v>0</v>
      </c>
      <c r="F3492" s="22">
        <v>42.4</v>
      </c>
      <c r="G3492" s="23" t="s">
        <v>56</v>
      </c>
      <c r="H3492" s="24">
        <f t="shared" si="946"/>
        <v>42.4</v>
      </c>
      <c r="I3492" s="25">
        <v>300</v>
      </c>
      <c r="J3492" s="24">
        <f t="shared" si="957"/>
        <v>12720</v>
      </c>
      <c r="K3492" s="20"/>
      <c r="L3492" s="20"/>
      <c r="M3492" s="20"/>
      <c r="N3492" s="20"/>
      <c r="O3492" s="24"/>
      <c r="P3492" s="24"/>
      <c r="Q3492" s="25"/>
      <c r="R3492" s="24"/>
      <c r="S3492" s="20"/>
      <c r="T3492" s="27"/>
      <c r="U3492" s="20"/>
      <c r="V3492" s="27">
        <f t="shared" si="958"/>
        <v>12720</v>
      </c>
      <c r="W3492" s="26">
        <f t="shared" si="959"/>
        <v>12720</v>
      </c>
      <c r="X3492" s="27">
        <v>0</v>
      </c>
      <c r="Y3492" s="80">
        <f t="shared" si="960"/>
        <v>12720</v>
      </c>
      <c r="Z3492" s="49">
        <v>3.0000000000000001E-3</v>
      </c>
    </row>
    <row r="3493" spans="1:26" s="124" customFormat="1" ht="90.75" customHeight="1" x14ac:dyDescent="0.25">
      <c r="A3493" s="20">
        <v>1640</v>
      </c>
      <c r="B3493" s="20" t="s">
        <v>0</v>
      </c>
      <c r="C3493" s="20">
        <v>63367</v>
      </c>
      <c r="D3493" s="21">
        <v>0</v>
      </c>
      <c r="E3493" s="21">
        <v>0</v>
      </c>
      <c r="F3493" s="22">
        <v>43.4</v>
      </c>
      <c r="G3493" s="23" t="s">
        <v>56</v>
      </c>
      <c r="H3493" s="24">
        <f t="shared" si="946"/>
        <v>43.4</v>
      </c>
      <c r="I3493" s="25">
        <v>300</v>
      </c>
      <c r="J3493" s="24">
        <f t="shared" si="957"/>
        <v>13020</v>
      </c>
      <c r="K3493" s="20"/>
      <c r="L3493" s="20"/>
      <c r="M3493" s="20"/>
      <c r="N3493" s="20"/>
      <c r="O3493" s="24"/>
      <c r="P3493" s="24"/>
      <c r="Q3493" s="25"/>
      <c r="R3493" s="24"/>
      <c r="S3493" s="20"/>
      <c r="T3493" s="27"/>
      <c r="U3493" s="20"/>
      <c r="V3493" s="27">
        <f t="shared" si="958"/>
        <v>13020</v>
      </c>
      <c r="W3493" s="26">
        <f t="shared" si="959"/>
        <v>13020</v>
      </c>
      <c r="X3493" s="27">
        <v>0</v>
      </c>
      <c r="Y3493" s="80">
        <f t="shared" si="960"/>
        <v>13020</v>
      </c>
      <c r="Z3493" s="49">
        <v>3.0000000000000001E-3</v>
      </c>
    </row>
    <row r="3494" spans="1:26" s="29" customFormat="1" ht="90.75" customHeight="1" x14ac:dyDescent="0.25">
      <c r="A3494" s="20">
        <v>1641</v>
      </c>
      <c r="B3494" s="20" t="s">
        <v>0</v>
      </c>
      <c r="C3494" s="20">
        <v>63368</v>
      </c>
      <c r="D3494" s="21">
        <v>0</v>
      </c>
      <c r="E3494" s="21">
        <v>0</v>
      </c>
      <c r="F3494" s="22">
        <v>60.8</v>
      </c>
      <c r="G3494" s="23" t="s">
        <v>56</v>
      </c>
      <c r="H3494" s="24">
        <f t="shared" si="946"/>
        <v>60.8</v>
      </c>
      <c r="I3494" s="25">
        <v>300</v>
      </c>
      <c r="J3494" s="24">
        <f t="shared" si="957"/>
        <v>18240</v>
      </c>
      <c r="K3494" s="20"/>
      <c r="L3494" s="20"/>
      <c r="M3494" s="20"/>
      <c r="N3494" s="20"/>
      <c r="O3494" s="24"/>
      <c r="P3494" s="24"/>
      <c r="Q3494" s="25"/>
      <c r="R3494" s="24"/>
      <c r="S3494" s="20"/>
      <c r="T3494" s="27"/>
      <c r="U3494" s="20"/>
      <c r="V3494" s="27">
        <f t="shared" si="958"/>
        <v>18240</v>
      </c>
      <c r="W3494" s="26">
        <f t="shared" si="959"/>
        <v>18240</v>
      </c>
      <c r="X3494" s="27">
        <v>0</v>
      </c>
      <c r="Y3494" s="80">
        <f t="shared" si="960"/>
        <v>18240</v>
      </c>
      <c r="Z3494" s="49">
        <v>3.0000000000000001E-3</v>
      </c>
    </row>
    <row r="3495" spans="1:26" s="29" customFormat="1" ht="90.75" customHeight="1" x14ac:dyDescent="0.25">
      <c r="A3495" s="20">
        <v>1642</v>
      </c>
      <c r="B3495" s="20" t="s">
        <v>0</v>
      </c>
      <c r="C3495" s="20">
        <v>63369</v>
      </c>
      <c r="D3495" s="21">
        <v>0</v>
      </c>
      <c r="E3495" s="21">
        <v>0</v>
      </c>
      <c r="F3495" s="22">
        <v>50.6</v>
      </c>
      <c r="G3495" s="23" t="s">
        <v>56</v>
      </c>
      <c r="H3495" s="24">
        <f t="shared" si="946"/>
        <v>50.6</v>
      </c>
      <c r="I3495" s="25">
        <v>300</v>
      </c>
      <c r="J3495" s="24">
        <f t="shared" si="957"/>
        <v>15180</v>
      </c>
      <c r="K3495" s="20"/>
      <c r="L3495" s="20"/>
      <c r="M3495" s="20"/>
      <c r="N3495" s="20"/>
      <c r="O3495" s="24"/>
      <c r="P3495" s="24"/>
      <c r="Q3495" s="25"/>
      <c r="R3495" s="24"/>
      <c r="S3495" s="20"/>
      <c r="T3495" s="27"/>
      <c r="U3495" s="20"/>
      <c r="V3495" s="27">
        <f t="shared" si="958"/>
        <v>15180</v>
      </c>
      <c r="W3495" s="26">
        <f t="shared" si="959"/>
        <v>15180</v>
      </c>
      <c r="X3495" s="27">
        <v>0</v>
      </c>
      <c r="Y3495" s="80">
        <f t="shared" si="960"/>
        <v>15180</v>
      </c>
      <c r="Z3495" s="49">
        <v>3.0000000000000001E-3</v>
      </c>
    </row>
    <row r="3496" spans="1:26" s="29" customFormat="1" ht="90.75" customHeight="1" x14ac:dyDescent="0.25">
      <c r="A3496" s="20">
        <v>1643</v>
      </c>
      <c r="B3496" s="20" t="s">
        <v>0</v>
      </c>
      <c r="C3496" s="20">
        <v>63370</v>
      </c>
      <c r="D3496" s="21">
        <v>0</v>
      </c>
      <c r="E3496" s="21">
        <v>0</v>
      </c>
      <c r="F3496" s="22">
        <v>50.6</v>
      </c>
      <c r="G3496" s="23" t="s">
        <v>56</v>
      </c>
      <c r="H3496" s="24">
        <f t="shared" si="946"/>
        <v>50.6</v>
      </c>
      <c r="I3496" s="25">
        <v>300</v>
      </c>
      <c r="J3496" s="24">
        <f t="shared" si="957"/>
        <v>15180</v>
      </c>
      <c r="K3496" s="20"/>
      <c r="L3496" s="20"/>
      <c r="M3496" s="20"/>
      <c r="N3496" s="20"/>
      <c r="O3496" s="24"/>
      <c r="P3496" s="24"/>
      <c r="Q3496" s="25"/>
      <c r="R3496" s="24"/>
      <c r="S3496" s="20"/>
      <c r="T3496" s="27"/>
      <c r="U3496" s="20"/>
      <c r="V3496" s="27">
        <f t="shared" si="958"/>
        <v>15180</v>
      </c>
      <c r="W3496" s="26">
        <f t="shared" si="959"/>
        <v>15180</v>
      </c>
      <c r="X3496" s="27">
        <v>0</v>
      </c>
      <c r="Y3496" s="80">
        <f t="shared" si="960"/>
        <v>15180</v>
      </c>
      <c r="Z3496" s="49">
        <v>3.0000000000000001E-3</v>
      </c>
    </row>
    <row r="3497" spans="1:26" s="29" customFormat="1" ht="90.75" customHeight="1" x14ac:dyDescent="0.25">
      <c r="A3497" s="20">
        <v>1644</v>
      </c>
      <c r="B3497" s="20" t="s">
        <v>0</v>
      </c>
      <c r="C3497" s="20">
        <v>63371</v>
      </c>
      <c r="D3497" s="21">
        <v>0</v>
      </c>
      <c r="E3497" s="21">
        <v>0</v>
      </c>
      <c r="F3497" s="22">
        <v>51.5</v>
      </c>
      <c r="G3497" s="23" t="s">
        <v>56</v>
      </c>
      <c r="H3497" s="24">
        <f t="shared" si="946"/>
        <v>51.5</v>
      </c>
      <c r="I3497" s="25">
        <v>300</v>
      </c>
      <c r="J3497" s="24">
        <f t="shared" si="957"/>
        <v>15450</v>
      </c>
      <c r="K3497" s="20"/>
      <c r="L3497" s="20"/>
      <c r="M3497" s="20"/>
      <c r="N3497" s="20"/>
      <c r="O3497" s="24"/>
      <c r="P3497" s="24"/>
      <c r="Q3497" s="25"/>
      <c r="R3497" s="24"/>
      <c r="S3497" s="20"/>
      <c r="T3497" s="27"/>
      <c r="U3497" s="20"/>
      <c r="V3497" s="27">
        <f t="shared" si="958"/>
        <v>15450</v>
      </c>
      <c r="W3497" s="26">
        <f t="shared" si="959"/>
        <v>15450</v>
      </c>
      <c r="X3497" s="27">
        <v>0</v>
      </c>
      <c r="Y3497" s="80">
        <f t="shared" si="960"/>
        <v>15450</v>
      </c>
      <c r="Z3497" s="49">
        <v>3.0000000000000001E-3</v>
      </c>
    </row>
    <row r="3498" spans="1:26" s="29" customFormat="1" ht="90.75" customHeight="1" x14ac:dyDescent="0.25">
      <c r="A3498" s="20">
        <v>1645</v>
      </c>
      <c r="B3498" s="20" t="s">
        <v>0</v>
      </c>
      <c r="C3498" s="20">
        <v>61645</v>
      </c>
      <c r="D3498" s="21">
        <v>0</v>
      </c>
      <c r="E3498" s="21">
        <v>0</v>
      </c>
      <c r="F3498" s="22">
        <v>78.400000000000006</v>
      </c>
      <c r="G3498" s="23" t="s">
        <v>56</v>
      </c>
      <c r="H3498" s="24">
        <f>(D3498*400)+(E3498*100)+F3498</f>
        <v>78.400000000000006</v>
      </c>
      <c r="I3498" s="25">
        <v>875</v>
      </c>
      <c r="J3498" s="24">
        <f>(H3498*I3498)</f>
        <v>68600</v>
      </c>
      <c r="K3498" s="20">
        <v>1</v>
      </c>
      <c r="L3498" s="20" t="s">
        <v>16</v>
      </c>
      <c r="M3498" s="20" t="s">
        <v>13</v>
      </c>
      <c r="N3498" s="20">
        <v>2</v>
      </c>
      <c r="O3498" s="24">
        <v>100.25</v>
      </c>
      <c r="P3498" s="24">
        <v>100</v>
      </c>
      <c r="Q3498" s="25">
        <v>6450</v>
      </c>
      <c r="R3498" s="24">
        <f t="shared" ref="R3498:R3504" si="961">(O3498*Q3498)</f>
        <v>646612.5</v>
      </c>
      <c r="S3498" s="53">
        <v>2</v>
      </c>
      <c r="T3498" s="27">
        <f>(R3498*2/100)</f>
        <v>12932.25</v>
      </c>
      <c r="U3498" s="27">
        <f>(R3498-T3498)</f>
        <v>633680.25</v>
      </c>
      <c r="V3498" s="27">
        <f>(J3498+U3498)</f>
        <v>702280.25</v>
      </c>
      <c r="W3498" s="26">
        <f>(V3498*100/100)</f>
        <v>702280.25</v>
      </c>
      <c r="X3498" s="27">
        <v>0</v>
      </c>
      <c r="Y3498" s="80">
        <f>(W3498-X3498)</f>
        <v>702280.25</v>
      </c>
      <c r="Z3498" s="49">
        <v>3.0000000000000001E-3</v>
      </c>
    </row>
    <row r="3499" spans="1:26" s="29" customFormat="1" ht="90.75" customHeight="1" x14ac:dyDescent="0.25">
      <c r="A3499" s="20">
        <v>1646</v>
      </c>
      <c r="B3499" s="20" t="s">
        <v>0</v>
      </c>
      <c r="C3499" s="20">
        <v>61647</v>
      </c>
      <c r="D3499" s="21">
        <v>0</v>
      </c>
      <c r="E3499" s="21">
        <v>0</v>
      </c>
      <c r="F3499" s="22">
        <v>74.599999999999994</v>
      </c>
      <c r="G3499" s="23" t="s">
        <v>56</v>
      </c>
      <c r="H3499" s="24">
        <f t="shared" ref="H3499:H3505" si="962">(D3499*400)+(E3499*100)+F3499</f>
        <v>74.599999999999994</v>
      </c>
      <c r="I3499" s="25">
        <v>875</v>
      </c>
      <c r="J3499" s="24">
        <f t="shared" ref="J3499:J3511" si="963">(H3499*I3499)</f>
        <v>65274.999999999993</v>
      </c>
      <c r="K3499" s="20">
        <v>1</v>
      </c>
      <c r="L3499" s="20" t="s">
        <v>16</v>
      </c>
      <c r="M3499" s="20" t="s">
        <v>13</v>
      </c>
      <c r="N3499" s="20">
        <v>2</v>
      </c>
      <c r="O3499" s="24">
        <v>100.25</v>
      </c>
      <c r="P3499" s="24">
        <v>100</v>
      </c>
      <c r="Q3499" s="25">
        <v>6450</v>
      </c>
      <c r="R3499" s="24">
        <f t="shared" si="961"/>
        <v>646612.5</v>
      </c>
      <c r="S3499" s="53">
        <v>2</v>
      </c>
      <c r="T3499" s="27">
        <f>(R3499*2/100)</f>
        <v>12932.25</v>
      </c>
      <c r="U3499" s="27">
        <f>(R3499-T3499)</f>
        <v>633680.25</v>
      </c>
      <c r="V3499" s="27">
        <f>(J3499+U3499)</f>
        <v>698955.25</v>
      </c>
      <c r="W3499" s="26">
        <f>(V3499*100/100)</f>
        <v>698955.25</v>
      </c>
      <c r="X3499" s="27">
        <v>0</v>
      </c>
      <c r="Y3499" s="80">
        <f>(W3499-X3499)</f>
        <v>698955.25</v>
      </c>
      <c r="Z3499" s="49">
        <v>3.0000000000000001E-3</v>
      </c>
    </row>
    <row r="3500" spans="1:26" s="29" customFormat="1" ht="90.75" customHeight="1" x14ac:dyDescent="0.25">
      <c r="A3500" s="20">
        <v>1647</v>
      </c>
      <c r="B3500" s="20" t="s">
        <v>0</v>
      </c>
      <c r="C3500" s="20">
        <v>53685</v>
      </c>
      <c r="D3500" s="21">
        <v>0</v>
      </c>
      <c r="E3500" s="21">
        <v>0</v>
      </c>
      <c r="F3500" s="22">
        <v>24.3</v>
      </c>
      <c r="G3500" s="23" t="s">
        <v>56</v>
      </c>
      <c r="H3500" s="24">
        <f t="shared" si="962"/>
        <v>24.3</v>
      </c>
      <c r="I3500" s="25">
        <v>875</v>
      </c>
      <c r="J3500" s="24">
        <f t="shared" si="963"/>
        <v>21262.5</v>
      </c>
      <c r="K3500" s="20">
        <v>1</v>
      </c>
      <c r="L3500" s="20" t="s">
        <v>126</v>
      </c>
      <c r="M3500" s="20" t="s">
        <v>24</v>
      </c>
      <c r="N3500" s="20">
        <v>2</v>
      </c>
      <c r="O3500" s="24">
        <v>110</v>
      </c>
      <c r="P3500" s="24">
        <v>100</v>
      </c>
      <c r="Q3500" s="25">
        <v>6450</v>
      </c>
      <c r="R3500" s="24">
        <f t="shared" si="961"/>
        <v>709500</v>
      </c>
      <c r="S3500" s="20">
        <v>5</v>
      </c>
      <c r="T3500" s="27">
        <f t="shared" ref="T3500:T3504" si="964">(R3500*5/100)</f>
        <v>35475</v>
      </c>
      <c r="U3500" s="27">
        <f t="shared" ref="U3500:U3504" si="965">(R3500-T3500)</f>
        <v>674025</v>
      </c>
      <c r="V3500" s="27">
        <f t="shared" ref="V3500:V3504" si="966">(J3500+U3500)</f>
        <v>695287.5</v>
      </c>
      <c r="W3500" s="26">
        <f t="shared" ref="W3500:W3511" si="967">(V3500*100/100)</f>
        <v>695287.5</v>
      </c>
      <c r="X3500" s="27">
        <v>0</v>
      </c>
      <c r="Y3500" s="80">
        <f t="shared" ref="Y3500:Y3504" si="968">(W3500-X3500)</f>
        <v>695287.5</v>
      </c>
      <c r="Z3500" s="49">
        <v>2.0000000000000001E-4</v>
      </c>
    </row>
    <row r="3501" spans="1:26" s="29" customFormat="1" ht="90.75" customHeight="1" x14ac:dyDescent="0.25">
      <c r="A3501" s="20">
        <v>1648</v>
      </c>
      <c r="B3501" s="20" t="s">
        <v>0</v>
      </c>
      <c r="C3501" s="20">
        <v>53686</v>
      </c>
      <c r="D3501" s="21">
        <v>0</v>
      </c>
      <c r="E3501" s="21">
        <v>0</v>
      </c>
      <c r="F3501" s="22">
        <v>24.3</v>
      </c>
      <c r="G3501" s="23" t="s">
        <v>56</v>
      </c>
      <c r="H3501" s="24">
        <f t="shared" si="962"/>
        <v>24.3</v>
      </c>
      <c r="I3501" s="25">
        <v>875</v>
      </c>
      <c r="J3501" s="24">
        <f t="shared" si="963"/>
        <v>21262.5</v>
      </c>
      <c r="K3501" s="20">
        <v>1</v>
      </c>
      <c r="L3501" s="20" t="s">
        <v>126</v>
      </c>
      <c r="M3501" s="20" t="s">
        <v>24</v>
      </c>
      <c r="N3501" s="20">
        <v>2</v>
      </c>
      <c r="O3501" s="24">
        <v>110</v>
      </c>
      <c r="P3501" s="24">
        <v>100</v>
      </c>
      <c r="Q3501" s="25">
        <v>6450</v>
      </c>
      <c r="R3501" s="24">
        <f t="shared" si="961"/>
        <v>709500</v>
      </c>
      <c r="S3501" s="20">
        <v>5</v>
      </c>
      <c r="T3501" s="27">
        <f t="shared" si="964"/>
        <v>35475</v>
      </c>
      <c r="U3501" s="27">
        <f t="shared" si="965"/>
        <v>674025</v>
      </c>
      <c r="V3501" s="27">
        <f t="shared" si="966"/>
        <v>695287.5</v>
      </c>
      <c r="W3501" s="26">
        <f t="shared" si="967"/>
        <v>695287.5</v>
      </c>
      <c r="X3501" s="27">
        <v>0</v>
      </c>
      <c r="Y3501" s="80">
        <f t="shared" si="968"/>
        <v>695287.5</v>
      </c>
      <c r="Z3501" s="49">
        <v>2.0000000000000001E-4</v>
      </c>
    </row>
    <row r="3502" spans="1:26" s="29" customFormat="1" ht="90.75" customHeight="1" x14ac:dyDescent="0.25">
      <c r="A3502" s="20">
        <v>1649</v>
      </c>
      <c r="B3502" s="20" t="s">
        <v>0</v>
      </c>
      <c r="C3502" s="20">
        <v>53687</v>
      </c>
      <c r="D3502" s="21">
        <v>0</v>
      </c>
      <c r="E3502" s="21">
        <v>0</v>
      </c>
      <c r="F3502" s="22">
        <v>24.3</v>
      </c>
      <c r="G3502" s="23" t="s">
        <v>56</v>
      </c>
      <c r="H3502" s="24">
        <f t="shared" si="962"/>
        <v>24.3</v>
      </c>
      <c r="I3502" s="25">
        <v>875</v>
      </c>
      <c r="J3502" s="24">
        <f t="shared" si="963"/>
        <v>21262.5</v>
      </c>
      <c r="K3502" s="20">
        <v>1</v>
      </c>
      <c r="L3502" s="20" t="s">
        <v>126</v>
      </c>
      <c r="M3502" s="20" t="s">
        <v>24</v>
      </c>
      <c r="N3502" s="20">
        <v>2</v>
      </c>
      <c r="O3502" s="24">
        <v>110</v>
      </c>
      <c r="P3502" s="24">
        <v>100</v>
      </c>
      <c r="Q3502" s="25">
        <v>6450</v>
      </c>
      <c r="R3502" s="24">
        <f t="shared" si="961"/>
        <v>709500</v>
      </c>
      <c r="S3502" s="20">
        <v>5</v>
      </c>
      <c r="T3502" s="27">
        <f t="shared" si="964"/>
        <v>35475</v>
      </c>
      <c r="U3502" s="27">
        <f t="shared" si="965"/>
        <v>674025</v>
      </c>
      <c r="V3502" s="27">
        <f t="shared" si="966"/>
        <v>695287.5</v>
      </c>
      <c r="W3502" s="26">
        <f t="shared" si="967"/>
        <v>695287.5</v>
      </c>
      <c r="X3502" s="27">
        <v>0</v>
      </c>
      <c r="Y3502" s="80">
        <f t="shared" si="968"/>
        <v>695287.5</v>
      </c>
      <c r="Z3502" s="49">
        <v>2.0000000000000001E-4</v>
      </c>
    </row>
    <row r="3503" spans="1:26" s="29" customFormat="1" ht="90.75" customHeight="1" x14ac:dyDescent="0.25">
      <c r="A3503" s="20">
        <v>1650</v>
      </c>
      <c r="B3503" s="20" t="s">
        <v>0</v>
      </c>
      <c r="C3503" s="20">
        <v>53688</v>
      </c>
      <c r="D3503" s="21">
        <v>0</v>
      </c>
      <c r="E3503" s="21">
        <v>0</v>
      </c>
      <c r="F3503" s="22">
        <v>24.3</v>
      </c>
      <c r="G3503" s="23" t="s">
        <v>56</v>
      </c>
      <c r="H3503" s="24">
        <f t="shared" si="962"/>
        <v>24.3</v>
      </c>
      <c r="I3503" s="25">
        <v>875</v>
      </c>
      <c r="J3503" s="24">
        <f t="shared" si="963"/>
        <v>21262.5</v>
      </c>
      <c r="K3503" s="20">
        <v>1</v>
      </c>
      <c r="L3503" s="20" t="s">
        <v>126</v>
      </c>
      <c r="M3503" s="20" t="s">
        <v>24</v>
      </c>
      <c r="N3503" s="20">
        <v>2</v>
      </c>
      <c r="O3503" s="24">
        <v>110</v>
      </c>
      <c r="P3503" s="24">
        <v>100</v>
      </c>
      <c r="Q3503" s="25">
        <v>6450</v>
      </c>
      <c r="R3503" s="24">
        <f t="shared" si="961"/>
        <v>709500</v>
      </c>
      <c r="S3503" s="20">
        <v>5</v>
      </c>
      <c r="T3503" s="27">
        <f t="shared" si="964"/>
        <v>35475</v>
      </c>
      <c r="U3503" s="27">
        <f t="shared" si="965"/>
        <v>674025</v>
      </c>
      <c r="V3503" s="27">
        <f t="shared" si="966"/>
        <v>695287.5</v>
      </c>
      <c r="W3503" s="26">
        <f t="shared" si="967"/>
        <v>695287.5</v>
      </c>
      <c r="X3503" s="27">
        <v>0</v>
      </c>
      <c r="Y3503" s="80">
        <f t="shared" si="968"/>
        <v>695287.5</v>
      </c>
      <c r="Z3503" s="49">
        <v>2.0000000000000001E-4</v>
      </c>
    </row>
    <row r="3504" spans="1:26" s="29" customFormat="1" ht="90.75" customHeight="1" x14ac:dyDescent="0.25">
      <c r="A3504" s="20">
        <v>1651</v>
      </c>
      <c r="B3504" s="20" t="s">
        <v>0</v>
      </c>
      <c r="C3504" s="20">
        <v>53689</v>
      </c>
      <c r="D3504" s="21">
        <v>0</v>
      </c>
      <c r="E3504" s="21">
        <v>0</v>
      </c>
      <c r="F3504" s="22">
        <v>24.3</v>
      </c>
      <c r="G3504" s="23" t="s">
        <v>56</v>
      </c>
      <c r="H3504" s="24">
        <f t="shared" si="962"/>
        <v>24.3</v>
      </c>
      <c r="I3504" s="25">
        <v>875</v>
      </c>
      <c r="J3504" s="24">
        <f t="shared" si="963"/>
        <v>21262.5</v>
      </c>
      <c r="K3504" s="20">
        <v>1</v>
      </c>
      <c r="L3504" s="20" t="s">
        <v>126</v>
      </c>
      <c r="M3504" s="20" t="s">
        <v>24</v>
      </c>
      <c r="N3504" s="20">
        <v>2</v>
      </c>
      <c r="O3504" s="24">
        <v>110</v>
      </c>
      <c r="P3504" s="24">
        <v>100</v>
      </c>
      <c r="Q3504" s="25">
        <v>6450</v>
      </c>
      <c r="R3504" s="24">
        <f t="shared" si="961"/>
        <v>709500</v>
      </c>
      <c r="S3504" s="20">
        <v>5</v>
      </c>
      <c r="T3504" s="24">
        <f t="shared" si="964"/>
        <v>35475</v>
      </c>
      <c r="U3504" s="27">
        <f t="shared" si="965"/>
        <v>674025</v>
      </c>
      <c r="V3504" s="27">
        <f t="shared" si="966"/>
        <v>695287.5</v>
      </c>
      <c r="W3504" s="26">
        <f t="shared" si="967"/>
        <v>695287.5</v>
      </c>
      <c r="X3504" s="27">
        <v>0</v>
      </c>
      <c r="Y3504" s="80">
        <f t="shared" si="968"/>
        <v>695287.5</v>
      </c>
      <c r="Z3504" s="49">
        <v>2.0000000000000001E-4</v>
      </c>
    </row>
    <row r="3505" spans="1:26" s="29" customFormat="1" ht="90.75" customHeight="1" x14ac:dyDescent="0.25">
      <c r="A3505" s="20">
        <v>1652</v>
      </c>
      <c r="B3505" s="20" t="s">
        <v>0</v>
      </c>
      <c r="C3505" s="20">
        <v>47398</v>
      </c>
      <c r="D3505" s="21">
        <v>2</v>
      </c>
      <c r="E3505" s="21">
        <v>2</v>
      </c>
      <c r="F3505" s="22">
        <v>0</v>
      </c>
      <c r="G3505" s="23" t="s">
        <v>211</v>
      </c>
      <c r="H3505" s="24">
        <f t="shared" si="962"/>
        <v>1000</v>
      </c>
      <c r="I3505" s="25">
        <v>875</v>
      </c>
      <c r="J3505" s="24">
        <f t="shared" si="963"/>
        <v>875000</v>
      </c>
      <c r="K3505" s="20"/>
      <c r="L3505" s="20"/>
      <c r="M3505" s="20"/>
      <c r="N3505" s="20"/>
      <c r="O3505" s="24"/>
      <c r="P3505" s="24"/>
      <c r="Q3505" s="25"/>
      <c r="R3505" s="24"/>
      <c r="S3505" s="20"/>
      <c r="T3505" s="24"/>
      <c r="U3505" s="27"/>
      <c r="V3505" s="27"/>
      <c r="W3505" s="26"/>
      <c r="X3505" s="27"/>
      <c r="Y3505" s="80"/>
      <c r="Z3505" s="49"/>
    </row>
    <row r="3506" spans="1:26" s="29" customFormat="1" ht="90.75" customHeight="1" x14ac:dyDescent="0.25">
      <c r="A3506" s="20"/>
      <c r="B3506" s="20"/>
      <c r="C3506" s="20"/>
      <c r="D3506" s="21"/>
      <c r="E3506" s="21"/>
      <c r="F3506" s="22"/>
      <c r="G3506" s="23" t="s">
        <v>209</v>
      </c>
      <c r="H3506" s="24">
        <v>105</v>
      </c>
      <c r="I3506" s="25">
        <v>875</v>
      </c>
      <c r="J3506" s="24">
        <f t="shared" si="963"/>
        <v>91875</v>
      </c>
      <c r="K3506" s="20">
        <v>1</v>
      </c>
      <c r="L3506" s="20" t="s">
        <v>43</v>
      </c>
      <c r="M3506" s="20" t="s">
        <v>13</v>
      </c>
      <c r="N3506" s="20">
        <v>2</v>
      </c>
      <c r="O3506" s="24">
        <v>420</v>
      </c>
      <c r="P3506" s="24">
        <v>100</v>
      </c>
      <c r="Q3506" s="25">
        <v>6450</v>
      </c>
      <c r="R3506" s="24">
        <f t="shared" ref="R3506" si="969">(O3506*Q3506)</f>
        <v>2709000</v>
      </c>
      <c r="S3506" s="20">
        <v>5</v>
      </c>
      <c r="T3506" s="24">
        <f t="shared" ref="T3506" si="970">(R3506*5/100)</f>
        <v>135450</v>
      </c>
      <c r="U3506" s="27">
        <f t="shared" ref="U3506" si="971">(R3506-T3506)</f>
        <v>2573550</v>
      </c>
      <c r="V3506" s="27">
        <f t="shared" ref="V3506" si="972">(J3506+U3506)</f>
        <v>2665425</v>
      </c>
      <c r="W3506" s="26">
        <f t="shared" si="967"/>
        <v>2665425</v>
      </c>
      <c r="X3506" s="27">
        <v>0</v>
      </c>
      <c r="Y3506" s="80">
        <f t="shared" ref="Y3506:Y3511" si="973">(W3506-X3506)</f>
        <v>2665425</v>
      </c>
      <c r="Z3506" s="49">
        <v>3.0000000000000001E-3</v>
      </c>
    </row>
    <row r="3507" spans="1:26" s="29" customFormat="1" ht="90.75" customHeight="1" x14ac:dyDescent="0.25">
      <c r="A3507" s="20"/>
      <c r="B3507" s="20"/>
      <c r="C3507" s="20"/>
      <c r="D3507" s="21"/>
      <c r="E3507" s="21"/>
      <c r="F3507" s="22"/>
      <c r="G3507" s="23" t="s">
        <v>210</v>
      </c>
      <c r="H3507" s="24">
        <v>895</v>
      </c>
      <c r="I3507" s="25">
        <v>875</v>
      </c>
      <c r="J3507" s="24">
        <f t="shared" si="963"/>
        <v>783125</v>
      </c>
      <c r="K3507" s="20"/>
      <c r="L3507" s="20"/>
      <c r="M3507" s="20"/>
      <c r="N3507" s="20"/>
      <c r="O3507" s="24"/>
      <c r="P3507" s="24"/>
      <c r="Q3507" s="25"/>
      <c r="R3507" s="24"/>
      <c r="S3507" s="20"/>
      <c r="T3507" s="27"/>
      <c r="U3507" s="27"/>
      <c r="V3507" s="27">
        <f>(J3507+U3507)</f>
        <v>783125</v>
      </c>
      <c r="W3507" s="26">
        <f t="shared" si="967"/>
        <v>783125</v>
      </c>
      <c r="X3507" s="27">
        <v>0</v>
      </c>
      <c r="Y3507" s="80">
        <f t="shared" si="973"/>
        <v>783125</v>
      </c>
      <c r="Z3507" s="49">
        <v>3.0000000000000001E-3</v>
      </c>
    </row>
    <row r="3508" spans="1:26" s="29" customFormat="1" ht="90.75" customHeight="1" x14ac:dyDescent="0.25">
      <c r="A3508" s="20">
        <v>1653</v>
      </c>
      <c r="B3508" s="20" t="s">
        <v>0</v>
      </c>
      <c r="C3508" s="20">
        <v>7946</v>
      </c>
      <c r="D3508" s="21">
        <v>0</v>
      </c>
      <c r="E3508" s="21">
        <v>1</v>
      </c>
      <c r="F3508" s="22">
        <v>22</v>
      </c>
      <c r="G3508" s="23" t="s">
        <v>210</v>
      </c>
      <c r="H3508" s="24">
        <f t="shared" si="946"/>
        <v>122</v>
      </c>
      <c r="I3508" s="25">
        <v>625</v>
      </c>
      <c r="J3508" s="24">
        <f t="shared" si="963"/>
        <v>76250</v>
      </c>
      <c r="K3508" s="20"/>
      <c r="L3508" s="20"/>
      <c r="M3508" s="20"/>
      <c r="N3508" s="20"/>
      <c r="O3508" s="24"/>
      <c r="P3508" s="24"/>
      <c r="Q3508" s="25"/>
      <c r="R3508" s="24"/>
      <c r="S3508" s="20"/>
      <c r="T3508" s="27"/>
      <c r="U3508" s="20"/>
      <c r="V3508" s="27">
        <f t="shared" ref="V3508:V3511" si="974">(J3508+U3508)</f>
        <v>76250</v>
      </c>
      <c r="W3508" s="26">
        <f t="shared" si="967"/>
        <v>76250</v>
      </c>
      <c r="X3508" s="27">
        <v>0</v>
      </c>
      <c r="Y3508" s="80">
        <f t="shared" si="973"/>
        <v>76250</v>
      </c>
      <c r="Z3508" s="49">
        <v>3.0000000000000001E-3</v>
      </c>
    </row>
    <row r="3509" spans="1:26" s="29" customFormat="1" ht="90.75" customHeight="1" x14ac:dyDescent="0.25">
      <c r="A3509" s="20">
        <v>1654</v>
      </c>
      <c r="B3509" s="20" t="s">
        <v>0</v>
      </c>
      <c r="C3509" s="20">
        <v>52558</v>
      </c>
      <c r="D3509" s="21">
        <v>0</v>
      </c>
      <c r="E3509" s="21">
        <v>1</v>
      </c>
      <c r="F3509" s="22">
        <v>76</v>
      </c>
      <c r="G3509" s="23" t="s">
        <v>210</v>
      </c>
      <c r="H3509" s="24">
        <f t="shared" si="946"/>
        <v>176</v>
      </c>
      <c r="I3509" s="25">
        <v>625</v>
      </c>
      <c r="J3509" s="24">
        <f t="shared" si="963"/>
        <v>110000</v>
      </c>
      <c r="K3509" s="20"/>
      <c r="L3509" s="20"/>
      <c r="M3509" s="20"/>
      <c r="N3509" s="20"/>
      <c r="O3509" s="24"/>
      <c r="P3509" s="24"/>
      <c r="Q3509" s="25"/>
      <c r="R3509" s="24"/>
      <c r="S3509" s="27"/>
      <c r="T3509" s="27"/>
      <c r="U3509" s="27"/>
      <c r="V3509" s="27">
        <f t="shared" si="974"/>
        <v>110000</v>
      </c>
      <c r="W3509" s="26">
        <f t="shared" si="967"/>
        <v>110000</v>
      </c>
      <c r="X3509" s="27">
        <v>0</v>
      </c>
      <c r="Y3509" s="80">
        <f t="shared" si="973"/>
        <v>110000</v>
      </c>
      <c r="Z3509" s="49">
        <v>3.0000000000000001E-3</v>
      </c>
    </row>
    <row r="3510" spans="1:26" s="29" customFormat="1" ht="90.75" customHeight="1" x14ac:dyDescent="0.25">
      <c r="A3510" s="20">
        <v>1655</v>
      </c>
      <c r="B3510" s="20" t="s">
        <v>0</v>
      </c>
      <c r="C3510" s="20">
        <v>52559</v>
      </c>
      <c r="D3510" s="21">
        <v>0</v>
      </c>
      <c r="E3510" s="21">
        <v>0</v>
      </c>
      <c r="F3510" s="22">
        <v>62</v>
      </c>
      <c r="G3510" s="23" t="s">
        <v>56</v>
      </c>
      <c r="H3510" s="24">
        <f t="shared" si="946"/>
        <v>62</v>
      </c>
      <c r="I3510" s="25">
        <v>625</v>
      </c>
      <c r="J3510" s="24">
        <f t="shared" si="963"/>
        <v>38750</v>
      </c>
      <c r="K3510" s="20">
        <v>1</v>
      </c>
      <c r="L3510" s="20" t="s">
        <v>16</v>
      </c>
      <c r="M3510" s="20" t="s">
        <v>13</v>
      </c>
      <c r="N3510" s="20">
        <v>2</v>
      </c>
      <c r="O3510" s="24">
        <v>71.2</v>
      </c>
      <c r="P3510" s="24">
        <v>100</v>
      </c>
      <c r="Q3510" s="25">
        <v>6450</v>
      </c>
      <c r="R3510" s="24">
        <f t="shared" ref="R3510:R3511" si="975">(O3510*Q3510)</f>
        <v>459240</v>
      </c>
      <c r="S3510" s="53">
        <v>2</v>
      </c>
      <c r="T3510" s="27">
        <f>(R3510*2/100)</f>
        <v>9184.7999999999993</v>
      </c>
      <c r="U3510" s="27">
        <f>(R3510-T3510)</f>
        <v>450055.2</v>
      </c>
      <c r="V3510" s="27">
        <f t="shared" si="974"/>
        <v>488805.2</v>
      </c>
      <c r="W3510" s="26">
        <f t="shared" si="967"/>
        <v>488805.2</v>
      </c>
      <c r="X3510" s="27">
        <v>0</v>
      </c>
      <c r="Y3510" s="80">
        <f t="shared" si="973"/>
        <v>488805.2</v>
      </c>
      <c r="Z3510" s="49">
        <v>3.0000000000000001E-3</v>
      </c>
    </row>
    <row r="3511" spans="1:26" s="29" customFormat="1" ht="90.75" customHeight="1" x14ac:dyDescent="0.25">
      <c r="A3511" s="20">
        <v>1656</v>
      </c>
      <c r="B3511" s="20" t="s">
        <v>0</v>
      </c>
      <c r="C3511" s="20">
        <v>52560</v>
      </c>
      <c r="D3511" s="21">
        <v>0</v>
      </c>
      <c r="E3511" s="21">
        <v>0</v>
      </c>
      <c r="F3511" s="22">
        <v>62</v>
      </c>
      <c r="G3511" s="23" t="s">
        <v>56</v>
      </c>
      <c r="H3511" s="24">
        <f t="shared" si="946"/>
        <v>62</v>
      </c>
      <c r="I3511" s="25">
        <v>625</v>
      </c>
      <c r="J3511" s="24">
        <f t="shared" si="963"/>
        <v>38750</v>
      </c>
      <c r="K3511" s="20">
        <v>1</v>
      </c>
      <c r="L3511" s="20" t="s">
        <v>16</v>
      </c>
      <c r="M3511" s="20" t="s">
        <v>13</v>
      </c>
      <c r="N3511" s="20">
        <v>2</v>
      </c>
      <c r="O3511" s="24">
        <v>71.2</v>
      </c>
      <c r="P3511" s="24">
        <v>100</v>
      </c>
      <c r="Q3511" s="25">
        <v>6450</v>
      </c>
      <c r="R3511" s="24">
        <f t="shared" si="975"/>
        <v>459240</v>
      </c>
      <c r="S3511" s="53">
        <v>2</v>
      </c>
      <c r="T3511" s="27">
        <f>(R3511*2/100)</f>
        <v>9184.7999999999993</v>
      </c>
      <c r="U3511" s="27">
        <f>(R3511-T3511)</f>
        <v>450055.2</v>
      </c>
      <c r="V3511" s="27">
        <f t="shared" si="974"/>
        <v>488805.2</v>
      </c>
      <c r="W3511" s="26">
        <f t="shared" si="967"/>
        <v>488805.2</v>
      </c>
      <c r="X3511" s="27">
        <v>0</v>
      </c>
      <c r="Y3511" s="80">
        <f t="shared" si="973"/>
        <v>488805.2</v>
      </c>
      <c r="Z3511" s="49">
        <v>3.0000000000000001E-3</v>
      </c>
    </row>
    <row r="3512" spans="1:26" s="29" customFormat="1" ht="90.75" customHeight="1" x14ac:dyDescent="0.25">
      <c r="A3512" s="20">
        <v>1657</v>
      </c>
      <c r="B3512" s="20" t="s">
        <v>0</v>
      </c>
      <c r="C3512" s="20">
        <v>7944</v>
      </c>
      <c r="D3512" s="21">
        <v>0</v>
      </c>
      <c r="E3512" s="21">
        <v>1</v>
      </c>
      <c r="F3512" s="22">
        <v>71</v>
      </c>
      <c r="G3512" s="23" t="s">
        <v>210</v>
      </c>
      <c r="H3512" s="24">
        <f t="shared" si="946"/>
        <v>171</v>
      </c>
      <c r="I3512" s="25">
        <v>625</v>
      </c>
      <c r="J3512" s="24">
        <f>(H3512*I3512)</f>
        <v>106875</v>
      </c>
      <c r="K3512" s="20"/>
      <c r="L3512" s="20"/>
      <c r="M3512" s="20"/>
      <c r="N3512" s="20"/>
      <c r="O3512" s="24"/>
      <c r="P3512" s="24"/>
      <c r="Q3512" s="25"/>
      <c r="R3512" s="24"/>
      <c r="S3512" s="20"/>
      <c r="T3512" s="27"/>
      <c r="U3512" s="20"/>
      <c r="V3512" s="27">
        <f>(J3512+U3512)</f>
        <v>106875</v>
      </c>
      <c r="W3512" s="26">
        <f>(V3512*100/100)</f>
        <v>106875</v>
      </c>
      <c r="X3512" s="27">
        <v>0</v>
      </c>
      <c r="Y3512" s="80">
        <f>(W3512-X3512)</f>
        <v>106875</v>
      </c>
      <c r="Z3512" s="49">
        <v>3.0000000000000001E-3</v>
      </c>
    </row>
    <row r="3513" spans="1:26" s="29" customFormat="1" ht="90.75" customHeight="1" x14ac:dyDescent="0.25">
      <c r="A3513" s="20">
        <v>1658</v>
      </c>
      <c r="B3513" s="20" t="s">
        <v>0</v>
      </c>
      <c r="C3513" s="20">
        <v>52561</v>
      </c>
      <c r="D3513" s="21">
        <v>4</v>
      </c>
      <c r="E3513" s="21">
        <v>2</v>
      </c>
      <c r="F3513" s="22">
        <v>81</v>
      </c>
      <c r="G3513" s="23" t="s">
        <v>210</v>
      </c>
      <c r="H3513" s="24">
        <f t="shared" si="946"/>
        <v>1881</v>
      </c>
      <c r="I3513" s="25">
        <v>625</v>
      </c>
      <c r="J3513" s="24">
        <f t="shared" ref="J3513:J3544" si="976">(H3513*I3513)</f>
        <v>1175625</v>
      </c>
      <c r="K3513" s="20"/>
      <c r="L3513" s="20"/>
      <c r="M3513" s="20"/>
      <c r="N3513" s="20"/>
      <c r="O3513" s="24"/>
      <c r="P3513" s="24"/>
      <c r="Q3513" s="25"/>
      <c r="R3513" s="24"/>
      <c r="S3513" s="27"/>
      <c r="T3513" s="27"/>
      <c r="U3513" s="27"/>
      <c r="V3513" s="27">
        <f>(J3513+U3513)</f>
        <v>1175625</v>
      </c>
      <c r="W3513" s="26">
        <f>(V3513*100/100)</f>
        <v>1175625</v>
      </c>
      <c r="X3513" s="27">
        <v>0</v>
      </c>
      <c r="Y3513" s="80">
        <f>(W3513-X3513)</f>
        <v>1175625</v>
      </c>
      <c r="Z3513" s="49">
        <v>3.0000000000000001E-3</v>
      </c>
    </row>
    <row r="3514" spans="1:26" s="29" customFormat="1" ht="90.75" customHeight="1" x14ac:dyDescent="0.25">
      <c r="A3514" s="20">
        <v>1659</v>
      </c>
      <c r="B3514" s="20" t="s">
        <v>0</v>
      </c>
      <c r="C3514" s="20">
        <v>52562</v>
      </c>
      <c r="D3514" s="21">
        <v>0</v>
      </c>
      <c r="E3514" s="21">
        <v>0</v>
      </c>
      <c r="F3514" s="22">
        <v>52</v>
      </c>
      <c r="G3514" s="23" t="s">
        <v>56</v>
      </c>
      <c r="H3514" s="24">
        <f t="shared" si="946"/>
        <v>52</v>
      </c>
      <c r="I3514" s="25">
        <v>625</v>
      </c>
      <c r="J3514" s="24">
        <f t="shared" si="976"/>
        <v>32500</v>
      </c>
      <c r="K3514" s="20">
        <v>1</v>
      </c>
      <c r="L3514" s="20" t="s">
        <v>16</v>
      </c>
      <c r="M3514" s="20" t="s">
        <v>13</v>
      </c>
      <c r="N3514" s="20">
        <v>2</v>
      </c>
      <c r="O3514" s="24">
        <v>95.5</v>
      </c>
      <c r="P3514" s="24">
        <v>100</v>
      </c>
      <c r="Q3514" s="25">
        <v>6450</v>
      </c>
      <c r="R3514" s="24">
        <f>(O3514*Q3514)</f>
        <v>615975</v>
      </c>
      <c r="S3514" s="53">
        <v>2</v>
      </c>
      <c r="T3514" s="27">
        <f t="shared" ref="T3514:T3519" si="977">(R3514*2/100)</f>
        <v>12319.5</v>
      </c>
      <c r="U3514" s="27">
        <f t="shared" ref="U3514:U3519" si="978">(R3514-T3514)</f>
        <v>603655.5</v>
      </c>
      <c r="V3514" s="27">
        <f t="shared" ref="V3514:V3519" si="979">(J3514+U3514)</f>
        <v>636155.5</v>
      </c>
      <c r="W3514" s="26">
        <f t="shared" ref="W3514:W3552" si="980">(V3514*100/100)</f>
        <v>636155.5</v>
      </c>
      <c r="X3514" s="27">
        <v>0</v>
      </c>
      <c r="Y3514" s="80">
        <f t="shared" ref="Y3514:Y3519" si="981">(W3514-X3514)</f>
        <v>636155.5</v>
      </c>
      <c r="Z3514" s="49">
        <v>3.0000000000000001E-3</v>
      </c>
    </row>
    <row r="3515" spans="1:26" s="29" customFormat="1" ht="90.75" customHeight="1" x14ac:dyDescent="0.25">
      <c r="A3515" s="20">
        <v>1660</v>
      </c>
      <c r="B3515" s="20" t="s">
        <v>0</v>
      </c>
      <c r="C3515" s="20">
        <v>52563</v>
      </c>
      <c r="D3515" s="21">
        <v>0</v>
      </c>
      <c r="E3515" s="21">
        <v>0</v>
      </c>
      <c r="F3515" s="22">
        <v>53</v>
      </c>
      <c r="G3515" s="23" t="s">
        <v>56</v>
      </c>
      <c r="H3515" s="24">
        <f t="shared" si="946"/>
        <v>53</v>
      </c>
      <c r="I3515" s="25">
        <v>625</v>
      </c>
      <c r="J3515" s="24">
        <f t="shared" si="976"/>
        <v>33125</v>
      </c>
      <c r="K3515" s="20">
        <v>1</v>
      </c>
      <c r="L3515" s="20" t="s">
        <v>16</v>
      </c>
      <c r="M3515" s="20" t="s">
        <v>13</v>
      </c>
      <c r="N3515" s="20">
        <v>2</v>
      </c>
      <c r="O3515" s="24">
        <v>95.5</v>
      </c>
      <c r="P3515" s="24">
        <v>100</v>
      </c>
      <c r="Q3515" s="25">
        <v>6450</v>
      </c>
      <c r="R3515" s="24">
        <f t="shared" ref="R3515:R3519" si="982">(O3515*Q3515)</f>
        <v>615975</v>
      </c>
      <c r="S3515" s="53">
        <v>2</v>
      </c>
      <c r="T3515" s="27">
        <f t="shared" si="977"/>
        <v>12319.5</v>
      </c>
      <c r="U3515" s="27">
        <f t="shared" si="978"/>
        <v>603655.5</v>
      </c>
      <c r="V3515" s="27">
        <f t="shared" si="979"/>
        <v>636780.5</v>
      </c>
      <c r="W3515" s="26">
        <f t="shared" si="980"/>
        <v>636780.5</v>
      </c>
      <c r="X3515" s="27">
        <v>0</v>
      </c>
      <c r="Y3515" s="80">
        <f t="shared" si="981"/>
        <v>636780.5</v>
      </c>
      <c r="Z3515" s="49">
        <v>3.0000000000000001E-3</v>
      </c>
    </row>
    <row r="3516" spans="1:26" s="29" customFormat="1" ht="90.75" customHeight="1" x14ac:dyDescent="0.25">
      <c r="A3516" s="20">
        <v>1661</v>
      </c>
      <c r="B3516" s="20" t="s">
        <v>0</v>
      </c>
      <c r="C3516" s="20">
        <v>52564</v>
      </c>
      <c r="D3516" s="21">
        <v>0</v>
      </c>
      <c r="E3516" s="21">
        <v>0</v>
      </c>
      <c r="F3516" s="22">
        <v>61</v>
      </c>
      <c r="G3516" s="23" t="s">
        <v>56</v>
      </c>
      <c r="H3516" s="24">
        <f t="shared" si="946"/>
        <v>61</v>
      </c>
      <c r="I3516" s="25">
        <v>625</v>
      </c>
      <c r="J3516" s="24">
        <f t="shared" si="976"/>
        <v>38125</v>
      </c>
      <c r="K3516" s="20">
        <v>1</v>
      </c>
      <c r="L3516" s="20" t="s">
        <v>16</v>
      </c>
      <c r="M3516" s="20" t="s">
        <v>13</v>
      </c>
      <c r="N3516" s="20">
        <v>2</v>
      </c>
      <c r="O3516" s="24">
        <v>95.5</v>
      </c>
      <c r="P3516" s="24">
        <v>100</v>
      </c>
      <c r="Q3516" s="25">
        <v>6450</v>
      </c>
      <c r="R3516" s="24">
        <f t="shared" si="982"/>
        <v>615975</v>
      </c>
      <c r="S3516" s="53">
        <v>2</v>
      </c>
      <c r="T3516" s="27">
        <f t="shared" si="977"/>
        <v>12319.5</v>
      </c>
      <c r="U3516" s="27">
        <f t="shared" si="978"/>
        <v>603655.5</v>
      </c>
      <c r="V3516" s="27">
        <f t="shared" si="979"/>
        <v>641780.5</v>
      </c>
      <c r="W3516" s="26">
        <f t="shared" si="980"/>
        <v>641780.5</v>
      </c>
      <c r="X3516" s="27">
        <v>0</v>
      </c>
      <c r="Y3516" s="80">
        <f t="shared" si="981"/>
        <v>641780.5</v>
      </c>
      <c r="Z3516" s="49">
        <v>3.0000000000000001E-3</v>
      </c>
    </row>
    <row r="3517" spans="1:26" s="29" customFormat="1" ht="90.75" customHeight="1" x14ac:dyDescent="0.25">
      <c r="A3517" s="20">
        <v>1662</v>
      </c>
      <c r="B3517" s="20" t="s">
        <v>0</v>
      </c>
      <c r="C3517" s="20">
        <v>52565</v>
      </c>
      <c r="D3517" s="21">
        <v>0</v>
      </c>
      <c r="E3517" s="21">
        <v>0</v>
      </c>
      <c r="F3517" s="22">
        <v>61</v>
      </c>
      <c r="G3517" s="23" t="s">
        <v>56</v>
      </c>
      <c r="H3517" s="24">
        <f t="shared" si="946"/>
        <v>61</v>
      </c>
      <c r="I3517" s="25">
        <v>625</v>
      </c>
      <c r="J3517" s="24">
        <f t="shared" si="976"/>
        <v>38125</v>
      </c>
      <c r="K3517" s="20">
        <v>1</v>
      </c>
      <c r="L3517" s="20" t="s">
        <v>16</v>
      </c>
      <c r="M3517" s="20" t="s">
        <v>13</v>
      </c>
      <c r="N3517" s="20">
        <v>2</v>
      </c>
      <c r="O3517" s="24">
        <v>95.5</v>
      </c>
      <c r="P3517" s="24">
        <v>100</v>
      </c>
      <c r="Q3517" s="25">
        <v>6450</v>
      </c>
      <c r="R3517" s="24">
        <f t="shared" si="982"/>
        <v>615975</v>
      </c>
      <c r="S3517" s="53">
        <v>2</v>
      </c>
      <c r="T3517" s="27">
        <f t="shared" si="977"/>
        <v>12319.5</v>
      </c>
      <c r="U3517" s="27">
        <f t="shared" si="978"/>
        <v>603655.5</v>
      </c>
      <c r="V3517" s="27">
        <f t="shared" si="979"/>
        <v>641780.5</v>
      </c>
      <c r="W3517" s="26">
        <f t="shared" si="980"/>
        <v>641780.5</v>
      </c>
      <c r="X3517" s="27">
        <v>0</v>
      </c>
      <c r="Y3517" s="80">
        <f t="shared" si="981"/>
        <v>641780.5</v>
      </c>
      <c r="Z3517" s="49">
        <v>3.0000000000000001E-3</v>
      </c>
    </row>
    <row r="3518" spans="1:26" s="29" customFormat="1" ht="90.75" customHeight="1" x14ac:dyDescent="0.25">
      <c r="A3518" s="20">
        <v>1663</v>
      </c>
      <c r="B3518" s="20" t="s">
        <v>0</v>
      </c>
      <c r="C3518" s="20">
        <v>53656</v>
      </c>
      <c r="D3518" s="21">
        <v>0</v>
      </c>
      <c r="E3518" s="21">
        <v>0</v>
      </c>
      <c r="F3518" s="22">
        <v>60</v>
      </c>
      <c r="G3518" s="23" t="s">
        <v>56</v>
      </c>
      <c r="H3518" s="24">
        <f t="shared" si="946"/>
        <v>60</v>
      </c>
      <c r="I3518" s="25">
        <v>625</v>
      </c>
      <c r="J3518" s="24">
        <f t="shared" si="976"/>
        <v>37500</v>
      </c>
      <c r="K3518" s="20">
        <v>1</v>
      </c>
      <c r="L3518" s="20" t="s">
        <v>16</v>
      </c>
      <c r="M3518" s="20" t="s">
        <v>13</v>
      </c>
      <c r="N3518" s="20">
        <v>2</v>
      </c>
      <c r="O3518" s="24">
        <v>71.2</v>
      </c>
      <c r="P3518" s="24">
        <v>100</v>
      </c>
      <c r="Q3518" s="25">
        <v>6450</v>
      </c>
      <c r="R3518" s="24">
        <f t="shared" si="982"/>
        <v>459240</v>
      </c>
      <c r="S3518" s="53">
        <v>2</v>
      </c>
      <c r="T3518" s="27">
        <f t="shared" si="977"/>
        <v>9184.7999999999993</v>
      </c>
      <c r="U3518" s="27">
        <f t="shared" si="978"/>
        <v>450055.2</v>
      </c>
      <c r="V3518" s="27">
        <f t="shared" si="979"/>
        <v>487555.2</v>
      </c>
      <c r="W3518" s="26">
        <f t="shared" si="980"/>
        <v>487555.2</v>
      </c>
      <c r="X3518" s="27">
        <v>0</v>
      </c>
      <c r="Y3518" s="80">
        <f t="shared" si="981"/>
        <v>487555.2</v>
      </c>
      <c r="Z3518" s="49">
        <v>3.0000000000000001E-3</v>
      </c>
    </row>
    <row r="3519" spans="1:26" s="29" customFormat="1" ht="90.75" customHeight="1" x14ac:dyDescent="0.25">
      <c r="A3519" s="20">
        <v>1664</v>
      </c>
      <c r="B3519" s="20" t="s">
        <v>0</v>
      </c>
      <c r="C3519" s="20">
        <v>53657</v>
      </c>
      <c r="D3519" s="21">
        <v>0</v>
      </c>
      <c r="E3519" s="21">
        <v>0</v>
      </c>
      <c r="F3519" s="22">
        <v>60</v>
      </c>
      <c r="G3519" s="23" t="s">
        <v>56</v>
      </c>
      <c r="H3519" s="24">
        <f t="shared" si="946"/>
        <v>60</v>
      </c>
      <c r="I3519" s="25">
        <v>625</v>
      </c>
      <c r="J3519" s="24">
        <f t="shared" si="976"/>
        <v>37500</v>
      </c>
      <c r="K3519" s="20">
        <v>1</v>
      </c>
      <c r="L3519" s="20" t="s">
        <v>16</v>
      </c>
      <c r="M3519" s="20" t="s">
        <v>13</v>
      </c>
      <c r="N3519" s="20">
        <v>2</v>
      </c>
      <c r="O3519" s="24">
        <v>71.2</v>
      </c>
      <c r="P3519" s="24">
        <v>100</v>
      </c>
      <c r="Q3519" s="25">
        <v>6450</v>
      </c>
      <c r="R3519" s="24">
        <f t="shared" si="982"/>
        <v>459240</v>
      </c>
      <c r="S3519" s="53">
        <v>2</v>
      </c>
      <c r="T3519" s="27">
        <f t="shared" si="977"/>
        <v>9184.7999999999993</v>
      </c>
      <c r="U3519" s="27">
        <f t="shared" si="978"/>
        <v>450055.2</v>
      </c>
      <c r="V3519" s="27">
        <f t="shared" si="979"/>
        <v>487555.2</v>
      </c>
      <c r="W3519" s="26">
        <f t="shared" si="980"/>
        <v>487555.2</v>
      </c>
      <c r="X3519" s="27">
        <v>0</v>
      </c>
      <c r="Y3519" s="80">
        <f t="shared" si="981"/>
        <v>487555.2</v>
      </c>
      <c r="Z3519" s="49">
        <v>3.0000000000000001E-3</v>
      </c>
    </row>
    <row r="3520" spans="1:26" s="124" customFormat="1" ht="90.75" customHeight="1" x14ac:dyDescent="0.25">
      <c r="A3520" s="20">
        <v>1665</v>
      </c>
      <c r="B3520" s="20" t="s">
        <v>0</v>
      </c>
      <c r="C3520" s="20">
        <v>53658</v>
      </c>
      <c r="D3520" s="21">
        <v>1</v>
      </c>
      <c r="E3520" s="21">
        <v>0</v>
      </c>
      <c r="F3520" s="22">
        <v>9.6</v>
      </c>
      <c r="G3520" s="23" t="s">
        <v>210</v>
      </c>
      <c r="H3520" s="24">
        <f t="shared" si="946"/>
        <v>409.6</v>
      </c>
      <c r="I3520" s="25">
        <v>625</v>
      </c>
      <c r="J3520" s="24">
        <f t="shared" si="976"/>
        <v>256000</v>
      </c>
      <c r="K3520" s="20"/>
      <c r="L3520" s="20"/>
      <c r="M3520" s="20"/>
      <c r="N3520" s="20"/>
      <c r="O3520" s="24"/>
      <c r="P3520" s="24"/>
      <c r="Q3520" s="25"/>
      <c r="R3520" s="24"/>
      <c r="S3520" s="27"/>
      <c r="T3520" s="27"/>
      <c r="U3520" s="27"/>
      <c r="V3520" s="27">
        <f>(J3520+U3520)</f>
        <v>256000</v>
      </c>
      <c r="W3520" s="26">
        <f>(V3520*100/100)</f>
        <v>256000</v>
      </c>
      <c r="X3520" s="27">
        <v>0</v>
      </c>
      <c r="Y3520" s="80">
        <f>(W3520-X3520)</f>
        <v>256000</v>
      </c>
      <c r="Z3520" s="49">
        <v>3.0000000000000001E-3</v>
      </c>
    </row>
    <row r="3521" spans="1:26" s="124" customFormat="1" ht="90.75" customHeight="1" x14ac:dyDescent="0.25">
      <c r="A3521" s="20">
        <v>1666</v>
      </c>
      <c r="B3521" s="20" t="s">
        <v>0</v>
      </c>
      <c r="C3521" s="20">
        <v>53659</v>
      </c>
      <c r="D3521" s="21">
        <v>0</v>
      </c>
      <c r="E3521" s="21">
        <v>0</v>
      </c>
      <c r="F3521" s="22">
        <v>52</v>
      </c>
      <c r="G3521" s="23" t="s">
        <v>56</v>
      </c>
      <c r="H3521" s="24">
        <f t="shared" si="946"/>
        <v>52</v>
      </c>
      <c r="I3521" s="25">
        <v>625</v>
      </c>
      <c r="J3521" s="24">
        <f t="shared" si="976"/>
        <v>32500</v>
      </c>
      <c r="K3521" s="20">
        <v>1</v>
      </c>
      <c r="L3521" s="20" t="s">
        <v>16</v>
      </c>
      <c r="M3521" s="20" t="s">
        <v>13</v>
      </c>
      <c r="N3521" s="20">
        <v>2</v>
      </c>
      <c r="O3521" s="24">
        <v>71.2</v>
      </c>
      <c r="P3521" s="24">
        <v>100</v>
      </c>
      <c r="Q3521" s="25">
        <v>6450</v>
      </c>
      <c r="R3521" s="24">
        <f t="shared" ref="R3521:R3524" si="983">(O3521*Q3521)</f>
        <v>459240</v>
      </c>
      <c r="S3521" s="53">
        <v>2</v>
      </c>
      <c r="T3521" s="27">
        <f t="shared" ref="T3521:T3524" si="984">(R3521*2/100)</f>
        <v>9184.7999999999993</v>
      </c>
      <c r="U3521" s="27">
        <f t="shared" ref="U3521:U3524" si="985">(R3521-T3521)</f>
        <v>450055.2</v>
      </c>
      <c r="V3521" s="27">
        <f t="shared" ref="V3521:V3552" si="986">(J3521+U3521)</f>
        <v>482555.2</v>
      </c>
      <c r="W3521" s="26">
        <f t="shared" si="980"/>
        <v>482555.2</v>
      </c>
      <c r="X3521" s="27">
        <v>0</v>
      </c>
      <c r="Y3521" s="80">
        <f t="shared" ref="Y3521:Y3552" si="987">(W3521-X3521)</f>
        <v>482555.2</v>
      </c>
      <c r="Z3521" s="49">
        <v>3.0000000000000001E-3</v>
      </c>
    </row>
    <row r="3522" spans="1:26" s="124" customFormat="1" ht="90.75" customHeight="1" x14ac:dyDescent="0.25">
      <c r="A3522" s="20">
        <v>1667</v>
      </c>
      <c r="B3522" s="20" t="s">
        <v>0</v>
      </c>
      <c r="C3522" s="20">
        <v>53660</v>
      </c>
      <c r="D3522" s="21">
        <v>0</v>
      </c>
      <c r="E3522" s="21">
        <v>0</v>
      </c>
      <c r="F3522" s="22">
        <v>52</v>
      </c>
      <c r="G3522" s="23" t="s">
        <v>56</v>
      </c>
      <c r="H3522" s="24">
        <f t="shared" si="946"/>
        <v>52</v>
      </c>
      <c r="I3522" s="25">
        <v>625</v>
      </c>
      <c r="J3522" s="24">
        <f t="shared" si="976"/>
        <v>32500</v>
      </c>
      <c r="K3522" s="20">
        <v>1</v>
      </c>
      <c r="L3522" s="20" t="s">
        <v>16</v>
      </c>
      <c r="M3522" s="20" t="s">
        <v>13</v>
      </c>
      <c r="N3522" s="20">
        <v>2</v>
      </c>
      <c r="O3522" s="24">
        <v>71.2</v>
      </c>
      <c r="P3522" s="24">
        <v>100</v>
      </c>
      <c r="Q3522" s="25">
        <v>6450</v>
      </c>
      <c r="R3522" s="24">
        <f t="shared" si="983"/>
        <v>459240</v>
      </c>
      <c r="S3522" s="53">
        <v>2</v>
      </c>
      <c r="T3522" s="27">
        <f t="shared" si="984"/>
        <v>9184.7999999999993</v>
      </c>
      <c r="U3522" s="27">
        <f t="shared" si="985"/>
        <v>450055.2</v>
      </c>
      <c r="V3522" s="27">
        <f t="shared" si="986"/>
        <v>482555.2</v>
      </c>
      <c r="W3522" s="26">
        <f t="shared" si="980"/>
        <v>482555.2</v>
      </c>
      <c r="X3522" s="27">
        <v>0</v>
      </c>
      <c r="Y3522" s="80">
        <f t="shared" si="987"/>
        <v>482555.2</v>
      </c>
      <c r="Z3522" s="49">
        <v>3.0000000000000001E-3</v>
      </c>
    </row>
    <row r="3523" spans="1:26" s="29" customFormat="1" ht="90.75" customHeight="1" x14ac:dyDescent="0.25">
      <c r="A3523" s="20">
        <v>1668</v>
      </c>
      <c r="B3523" s="20" t="s">
        <v>0</v>
      </c>
      <c r="C3523" s="20">
        <v>53661</v>
      </c>
      <c r="D3523" s="21">
        <v>0</v>
      </c>
      <c r="E3523" s="21">
        <v>0</v>
      </c>
      <c r="F3523" s="22">
        <v>60</v>
      </c>
      <c r="G3523" s="23" t="s">
        <v>56</v>
      </c>
      <c r="H3523" s="24">
        <f t="shared" ref="H3523:H3553" si="988">(D3523*400)+(E3523*100)+F3523</f>
        <v>60</v>
      </c>
      <c r="I3523" s="25">
        <v>625</v>
      </c>
      <c r="J3523" s="24">
        <f t="shared" si="976"/>
        <v>37500</v>
      </c>
      <c r="K3523" s="20">
        <v>1</v>
      </c>
      <c r="L3523" s="20" t="s">
        <v>16</v>
      </c>
      <c r="M3523" s="20" t="s">
        <v>13</v>
      </c>
      <c r="N3523" s="20">
        <v>2</v>
      </c>
      <c r="O3523" s="24">
        <v>71.2</v>
      </c>
      <c r="P3523" s="24">
        <v>100</v>
      </c>
      <c r="Q3523" s="25">
        <v>6450</v>
      </c>
      <c r="R3523" s="24">
        <f t="shared" si="983"/>
        <v>459240</v>
      </c>
      <c r="S3523" s="53">
        <v>2</v>
      </c>
      <c r="T3523" s="27">
        <f t="shared" si="984"/>
        <v>9184.7999999999993</v>
      </c>
      <c r="U3523" s="27">
        <f t="shared" si="985"/>
        <v>450055.2</v>
      </c>
      <c r="V3523" s="27">
        <f t="shared" si="986"/>
        <v>487555.2</v>
      </c>
      <c r="W3523" s="26">
        <f t="shared" si="980"/>
        <v>487555.2</v>
      </c>
      <c r="X3523" s="27">
        <v>0</v>
      </c>
      <c r="Y3523" s="80">
        <f t="shared" si="987"/>
        <v>487555.2</v>
      </c>
      <c r="Z3523" s="49">
        <v>3.0000000000000001E-3</v>
      </c>
    </row>
    <row r="3524" spans="1:26" s="29" customFormat="1" ht="90.75" customHeight="1" x14ac:dyDescent="0.25">
      <c r="A3524" s="20">
        <v>1669</v>
      </c>
      <c r="B3524" s="20" t="s">
        <v>0</v>
      </c>
      <c r="C3524" s="20">
        <v>53662</v>
      </c>
      <c r="D3524" s="21">
        <v>0</v>
      </c>
      <c r="E3524" s="21">
        <v>0</v>
      </c>
      <c r="F3524" s="22">
        <v>60</v>
      </c>
      <c r="G3524" s="23" t="s">
        <v>56</v>
      </c>
      <c r="H3524" s="24">
        <f t="shared" si="988"/>
        <v>60</v>
      </c>
      <c r="I3524" s="25">
        <v>625</v>
      </c>
      <c r="J3524" s="24">
        <f t="shared" si="976"/>
        <v>37500</v>
      </c>
      <c r="K3524" s="20">
        <v>1</v>
      </c>
      <c r="L3524" s="20" t="s">
        <v>16</v>
      </c>
      <c r="M3524" s="20" t="s">
        <v>13</v>
      </c>
      <c r="N3524" s="20">
        <v>2</v>
      </c>
      <c r="O3524" s="24">
        <v>71.2</v>
      </c>
      <c r="P3524" s="24">
        <v>100</v>
      </c>
      <c r="Q3524" s="25">
        <v>6450</v>
      </c>
      <c r="R3524" s="24">
        <f t="shared" si="983"/>
        <v>459240</v>
      </c>
      <c r="S3524" s="53">
        <v>2</v>
      </c>
      <c r="T3524" s="27">
        <f t="shared" si="984"/>
        <v>9184.7999999999993</v>
      </c>
      <c r="U3524" s="27">
        <f t="shared" si="985"/>
        <v>450055.2</v>
      </c>
      <c r="V3524" s="27">
        <f t="shared" si="986"/>
        <v>487555.2</v>
      </c>
      <c r="W3524" s="26">
        <f t="shared" si="980"/>
        <v>487555.2</v>
      </c>
      <c r="X3524" s="27">
        <v>0</v>
      </c>
      <c r="Y3524" s="80">
        <f t="shared" si="987"/>
        <v>487555.2</v>
      </c>
      <c r="Z3524" s="49">
        <v>3.0000000000000001E-3</v>
      </c>
    </row>
    <row r="3525" spans="1:26" s="29" customFormat="1" ht="90.75" customHeight="1" x14ac:dyDescent="0.25">
      <c r="A3525" s="20">
        <v>1670</v>
      </c>
      <c r="B3525" s="20" t="s">
        <v>0</v>
      </c>
      <c r="C3525" s="20">
        <v>61991</v>
      </c>
      <c r="D3525" s="21">
        <v>0</v>
      </c>
      <c r="E3525" s="21">
        <v>0</v>
      </c>
      <c r="F3525" s="22">
        <v>52</v>
      </c>
      <c r="G3525" s="23" t="s">
        <v>210</v>
      </c>
      <c r="H3525" s="24">
        <f t="shared" si="988"/>
        <v>52</v>
      </c>
      <c r="I3525" s="25">
        <v>625</v>
      </c>
      <c r="J3525" s="24">
        <f t="shared" si="976"/>
        <v>32500</v>
      </c>
      <c r="K3525" s="20"/>
      <c r="L3525" s="20"/>
      <c r="M3525" s="20"/>
      <c r="N3525" s="20"/>
      <c r="O3525" s="24"/>
      <c r="P3525" s="24"/>
      <c r="Q3525" s="25"/>
      <c r="R3525" s="24"/>
      <c r="S3525" s="27"/>
      <c r="T3525" s="27"/>
      <c r="U3525" s="27"/>
      <c r="V3525" s="27">
        <f t="shared" si="986"/>
        <v>32500</v>
      </c>
      <c r="W3525" s="26">
        <f t="shared" si="980"/>
        <v>32500</v>
      </c>
      <c r="X3525" s="27">
        <v>0</v>
      </c>
      <c r="Y3525" s="80">
        <f t="shared" si="987"/>
        <v>32500</v>
      </c>
      <c r="Z3525" s="49">
        <v>3.0000000000000001E-3</v>
      </c>
    </row>
    <row r="3526" spans="1:26" s="29" customFormat="1" ht="90.75" customHeight="1" x14ac:dyDescent="0.25">
      <c r="A3526" s="20">
        <v>1671</v>
      </c>
      <c r="B3526" s="20" t="s">
        <v>0</v>
      </c>
      <c r="C3526" s="20">
        <v>62000</v>
      </c>
      <c r="D3526" s="21">
        <v>0</v>
      </c>
      <c r="E3526" s="21">
        <v>0</v>
      </c>
      <c r="F3526" s="22">
        <v>52</v>
      </c>
      <c r="G3526" s="23" t="s">
        <v>210</v>
      </c>
      <c r="H3526" s="24">
        <f t="shared" si="988"/>
        <v>52</v>
      </c>
      <c r="I3526" s="25">
        <v>625</v>
      </c>
      <c r="J3526" s="24">
        <f t="shared" si="976"/>
        <v>32500</v>
      </c>
      <c r="K3526" s="20"/>
      <c r="L3526" s="20"/>
      <c r="M3526" s="20"/>
      <c r="N3526" s="20"/>
      <c r="O3526" s="24"/>
      <c r="P3526" s="24"/>
      <c r="Q3526" s="25"/>
      <c r="R3526" s="24"/>
      <c r="S3526" s="27"/>
      <c r="T3526" s="27"/>
      <c r="U3526" s="27"/>
      <c r="V3526" s="27">
        <f t="shared" si="986"/>
        <v>32500</v>
      </c>
      <c r="W3526" s="26">
        <f t="shared" si="980"/>
        <v>32500</v>
      </c>
      <c r="X3526" s="27">
        <v>0</v>
      </c>
      <c r="Y3526" s="80">
        <f t="shared" si="987"/>
        <v>32500</v>
      </c>
      <c r="Z3526" s="49">
        <v>3.0000000000000001E-3</v>
      </c>
    </row>
    <row r="3527" spans="1:26" s="29" customFormat="1" ht="90.75" customHeight="1" x14ac:dyDescent="0.25">
      <c r="A3527" s="20">
        <v>1672</v>
      </c>
      <c r="B3527" s="20" t="s">
        <v>0</v>
      </c>
      <c r="C3527" s="20">
        <v>62001</v>
      </c>
      <c r="D3527" s="21">
        <v>0</v>
      </c>
      <c r="E3527" s="21">
        <v>0</v>
      </c>
      <c r="F3527" s="22">
        <v>52</v>
      </c>
      <c r="G3527" s="23" t="s">
        <v>56</v>
      </c>
      <c r="H3527" s="24">
        <f t="shared" si="988"/>
        <v>52</v>
      </c>
      <c r="I3527" s="25">
        <v>625</v>
      </c>
      <c r="J3527" s="24">
        <f t="shared" si="976"/>
        <v>32500</v>
      </c>
      <c r="K3527" s="20">
        <v>1</v>
      </c>
      <c r="L3527" s="20" t="s">
        <v>16</v>
      </c>
      <c r="M3527" s="20" t="s">
        <v>13</v>
      </c>
      <c r="N3527" s="20">
        <v>2</v>
      </c>
      <c r="O3527" s="24">
        <v>71.2</v>
      </c>
      <c r="P3527" s="24">
        <v>100</v>
      </c>
      <c r="Q3527" s="25">
        <v>6450</v>
      </c>
      <c r="R3527" s="24">
        <f t="shared" ref="R3527:R3530" si="989">(O3527*Q3527)</f>
        <v>459240</v>
      </c>
      <c r="S3527" s="53">
        <v>2</v>
      </c>
      <c r="T3527" s="27">
        <f t="shared" ref="T3527:T3530" si="990">(R3527*2/100)</f>
        <v>9184.7999999999993</v>
      </c>
      <c r="U3527" s="27">
        <f t="shared" ref="U3527:U3530" si="991">(R3527-T3527)</f>
        <v>450055.2</v>
      </c>
      <c r="V3527" s="27">
        <f t="shared" si="986"/>
        <v>482555.2</v>
      </c>
      <c r="W3527" s="26">
        <f t="shared" si="980"/>
        <v>482555.2</v>
      </c>
      <c r="X3527" s="27">
        <v>0</v>
      </c>
      <c r="Y3527" s="80">
        <f t="shared" si="987"/>
        <v>482555.2</v>
      </c>
      <c r="Z3527" s="49">
        <v>3.0000000000000001E-3</v>
      </c>
    </row>
    <row r="3528" spans="1:26" s="29" customFormat="1" ht="90.75" customHeight="1" x14ac:dyDescent="0.25">
      <c r="A3528" s="20">
        <v>1673</v>
      </c>
      <c r="B3528" s="20" t="s">
        <v>0</v>
      </c>
      <c r="C3528" s="20">
        <v>62002</v>
      </c>
      <c r="D3528" s="21">
        <v>0</v>
      </c>
      <c r="E3528" s="21">
        <v>0</v>
      </c>
      <c r="F3528" s="22">
        <v>52</v>
      </c>
      <c r="G3528" s="23" t="s">
        <v>56</v>
      </c>
      <c r="H3528" s="24">
        <f t="shared" si="988"/>
        <v>52</v>
      </c>
      <c r="I3528" s="25">
        <v>625</v>
      </c>
      <c r="J3528" s="24">
        <f t="shared" si="976"/>
        <v>32500</v>
      </c>
      <c r="K3528" s="20">
        <v>1</v>
      </c>
      <c r="L3528" s="20" t="s">
        <v>16</v>
      </c>
      <c r="M3528" s="20" t="s">
        <v>13</v>
      </c>
      <c r="N3528" s="20">
        <v>2</v>
      </c>
      <c r="O3528" s="24">
        <v>71.2</v>
      </c>
      <c r="P3528" s="24">
        <v>100</v>
      </c>
      <c r="Q3528" s="25">
        <v>6450</v>
      </c>
      <c r="R3528" s="24">
        <f t="shared" si="989"/>
        <v>459240</v>
      </c>
      <c r="S3528" s="53">
        <v>2</v>
      </c>
      <c r="T3528" s="27">
        <f t="shared" si="990"/>
        <v>9184.7999999999993</v>
      </c>
      <c r="U3528" s="27">
        <f t="shared" si="991"/>
        <v>450055.2</v>
      </c>
      <c r="V3528" s="27">
        <f t="shared" si="986"/>
        <v>482555.2</v>
      </c>
      <c r="W3528" s="26">
        <f t="shared" si="980"/>
        <v>482555.2</v>
      </c>
      <c r="X3528" s="27">
        <v>0</v>
      </c>
      <c r="Y3528" s="80">
        <f t="shared" si="987"/>
        <v>482555.2</v>
      </c>
      <c r="Z3528" s="49">
        <v>3.0000000000000001E-3</v>
      </c>
    </row>
    <row r="3529" spans="1:26" s="29" customFormat="1" ht="90.75" customHeight="1" x14ac:dyDescent="0.25">
      <c r="A3529" s="20">
        <v>1674</v>
      </c>
      <c r="B3529" s="20" t="s">
        <v>0</v>
      </c>
      <c r="C3529" s="20">
        <v>62003</v>
      </c>
      <c r="D3529" s="21">
        <v>0</v>
      </c>
      <c r="E3529" s="21">
        <v>0</v>
      </c>
      <c r="F3529" s="22">
        <v>52</v>
      </c>
      <c r="G3529" s="23" t="s">
        <v>56</v>
      </c>
      <c r="H3529" s="24">
        <f t="shared" si="988"/>
        <v>52</v>
      </c>
      <c r="I3529" s="25">
        <v>625</v>
      </c>
      <c r="J3529" s="24">
        <f t="shared" si="976"/>
        <v>32500</v>
      </c>
      <c r="K3529" s="20">
        <v>1</v>
      </c>
      <c r="L3529" s="20" t="s">
        <v>16</v>
      </c>
      <c r="M3529" s="20" t="s">
        <v>13</v>
      </c>
      <c r="N3529" s="20">
        <v>2</v>
      </c>
      <c r="O3529" s="24">
        <v>71.2</v>
      </c>
      <c r="P3529" s="24">
        <v>100</v>
      </c>
      <c r="Q3529" s="25">
        <v>6450</v>
      </c>
      <c r="R3529" s="24">
        <f t="shared" si="989"/>
        <v>459240</v>
      </c>
      <c r="S3529" s="53">
        <v>2</v>
      </c>
      <c r="T3529" s="27">
        <f t="shared" si="990"/>
        <v>9184.7999999999993</v>
      </c>
      <c r="U3529" s="27">
        <f t="shared" si="991"/>
        <v>450055.2</v>
      </c>
      <c r="V3529" s="27">
        <f t="shared" si="986"/>
        <v>482555.2</v>
      </c>
      <c r="W3529" s="26">
        <f t="shared" si="980"/>
        <v>482555.2</v>
      </c>
      <c r="X3529" s="27">
        <v>0</v>
      </c>
      <c r="Y3529" s="80">
        <f t="shared" si="987"/>
        <v>482555.2</v>
      </c>
      <c r="Z3529" s="49">
        <v>3.0000000000000001E-3</v>
      </c>
    </row>
    <row r="3530" spans="1:26" s="29" customFormat="1" ht="90.75" customHeight="1" x14ac:dyDescent="0.25">
      <c r="A3530" s="20">
        <v>1675</v>
      </c>
      <c r="B3530" s="20" t="s">
        <v>0</v>
      </c>
      <c r="C3530" s="20">
        <v>62005</v>
      </c>
      <c r="D3530" s="21">
        <v>0</v>
      </c>
      <c r="E3530" s="21">
        <v>0</v>
      </c>
      <c r="F3530" s="22">
        <v>48.3</v>
      </c>
      <c r="G3530" s="23" t="s">
        <v>56</v>
      </c>
      <c r="H3530" s="24">
        <f t="shared" si="988"/>
        <v>48.3</v>
      </c>
      <c r="I3530" s="25">
        <v>625</v>
      </c>
      <c r="J3530" s="24">
        <f t="shared" si="976"/>
        <v>30187.5</v>
      </c>
      <c r="K3530" s="20">
        <v>1</v>
      </c>
      <c r="L3530" s="20" t="s">
        <v>16</v>
      </c>
      <c r="M3530" s="20" t="s">
        <v>13</v>
      </c>
      <c r="N3530" s="20">
        <v>2</v>
      </c>
      <c r="O3530" s="24">
        <v>71.2</v>
      </c>
      <c r="P3530" s="24">
        <v>100</v>
      </c>
      <c r="Q3530" s="25">
        <v>6450</v>
      </c>
      <c r="R3530" s="24">
        <f t="shared" si="989"/>
        <v>459240</v>
      </c>
      <c r="S3530" s="53">
        <v>2</v>
      </c>
      <c r="T3530" s="27">
        <f t="shared" si="990"/>
        <v>9184.7999999999993</v>
      </c>
      <c r="U3530" s="27">
        <f t="shared" si="991"/>
        <v>450055.2</v>
      </c>
      <c r="V3530" s="27">
        <f t="shared" si="986"/>
        <v>480242.7</v>
      </c>
      <c r="W3530" s="26">
        <f t="shared" si="980"/>
        <v>480242.7</v>
      </c>
      <c r="X3530" s="27">
        <v>0</v>
      </c>
      <c r="Y3530" s="80">
        <f t="shared" si="987"/>
        <v>480242.7</v>
      </c>
      <c r="Z3530" s="49">
        <v>3.0000000000000001E-3</v>
      </c>
    </row>
    <row r="3531" spans="1:26" s="29" customFormat="1" ht="90.75" customHeight="1" x14ac:dyDescent="0.25">
      <c r="A3531" s="20">
        <v>1676</v>
      </c>
      <c r="B3531" s="20" t="s">
        <v>0</v>
      </c>
      <c r="C3531" s="20">
        <v>62006</v>
      </c>
      <c r="D3531" s="21">
        <v>0</v>
      </c>
      <c r="E3531" s="21">
        <v>1</v>
      </c>
      <c r="F3531" s="22">
        <v>52.3</v>
      </c>
      <c r="G3531" s="23" t="s">
        <v>210</v>
      </c>
      <c r="H3531" s="24">
        <f t="shared" si="988"/>
        <v>152.30000000000001</v>
      </c>
      <c r="I3531" s="25">
        <v>625</v>
      </c>
      <c r="J3531" s="24">
        <f t="shared" si="976"/>
        <v>95187.5</v>
      </c>
      <c r="K3531" s="20"/>
      <c r="L3531" s="20"/>
      <c r="M3531" s="20"/>
      <c r="N3531" s="20"/>
      <c r="O3531" s="24"/>
      <c r="P3531" s="24"/>
      <c r="Q3531" s="25"/>
      <c r="R3531" s="24"/>
      <c r="S3531" s="27"/>
      <c r="T3531" s="27"/>
      <c r="U3531" s="27"/>
      <c r="V3531" s="27">
        <f t="shared" si="986"/>
        <v>95187.5</v>
      </c>
      <c r="W3531" s="26">
        <f t="shared" si="980"/>
        <v>95187.5</v>
      </c>
      <c r="X3531" s="27">
        <v>0</v>
      </c>
      <c r="Y3531" s="80">
        <f t="shared" si="987"/>
        <v>95187.5</v>
      </c>
      <c r="Z3531" s="49">
        <v>3.0000000000000001E-3</v>
      </c>
    </row>
    <row r="3532" spans="1:26" s="29" customFormat="1" ht="90.75" customHeight="1" x14ac:dyDescent="0.25">
      <c r="A3532" s="20">
        <v>1677</v>
      </c>
      <c r="B3532" s="20" t="s">
        <v>0</v>
      </c>
      <c r="C3532" s="20">
        <v>62008</v>
      </c>
      <c r="D3532" s="21">
        <v>0</v>
      </c>
      <c r="E3532" s="21">
        <v>0</v>
      </c>
      <c r="F3532" s="22">
        <v>52</v>
      </c>
      <c r="G3532" s="23" t="s">
        <v>56</v>
      </c>
      <c r="H3532" s="24">
        <f t="shared" si="988"/>
        <v>52</v>
      </c>
      <c r="I3532" s="25">
        <v>625</v>
      </c>
      <c r="J3532" s="24">
        <f t="shared" si="976"/>
        <v>32500</v>
      </c>
      <c r="K3532" s="20">
        <v>1</v>
      </c>
      <c r="L3532" s="20" t="s">
        <v>16</v>
      </c>
      <c r="M3532" s="20" t="s">
        <v>13</v>
      </c>
      <c r="N3532" s="20">
        <v>2</v>
      </c>
      <c r="O3532" s="24">
        <v>71.2</v>
      </c>
      <c r="P3532" s="24">
        <v>100</v>
      </c>
      <c r="Q3532" s="25">
        <v>6450</v>
      </c>
      <c r="R3532" s="24">
        <f t="shared" ref="R3532:R3534" si="992">(O3532*Q3532)</f>
        <v>459240</v>
      </c>
      <c r="S3532" s="53">
        <v>2</v>
      </c>
      <c r="T3532" s="27">
        <f t="shared" ref="T3532:T3534" si="993">(R3532*2/100)</f>
        <v>9184.7999999999993</v>
      </c>
      <c r="U3532" s="27">
        <f t="shared" ref="U3532:U3534" si="994">(R3532-T3532)</f>
        <v>450055.2</v>
      </c>
      <c r="V3532" s="27">
        <f t="shared" si="986"/>
        <v>482555.2</v>
      </c>
      <c r="W3532" s="26">
        <f t="shared" si="980"/>
        <v>482555.2</v>
      </c>
      <c r="X3532" s="27">
        <v>0</v>
      </c>
      <c r="Y3532" s="80">
        <f t="shared" si="987"/>
        <v>482555.2</v>
      </c>
      <c r="Z3532" s="49">
        <v>3.0000000000000001E-3</v>
      </c>
    </row>
    <row r="3533" spans="1:26" s="29" customFormat="1" ht="90.75" customHeight="1" x14ac:dyDescent="0.25">
      <c r="A3533" s="20">
        <v>1678</v>
      </c>
      <c r="B3533" s="20" t="s">
        <v>0</v>
      </c>
      <c r="C3533" s="20">
        <v>62009</v>
      </c>
      <c r="D3533" s="21">
        <v>0</v>
      </c>
      <c r="E3533" s="21">
        <v>0</v>
      </c>
      <c r="F3533" s="22">
        <v>52</v>
      </c>
      <c r="G3533" s="23" t="s">
        <v>56</v>
      </c>
      <c r="H3533" s="24">
        <f t="shared" si="988"/>
        <v>52</v>
      </c>
      <c r="I3533" s="25">
        <v>625</v>
      </c>
      <c r="J3533" s="24">
        <f t="shared" si="976"/>
        <v>32500</v>
      </c>
      <c r="K3533" s="20">
        <v>1</v>
      </c>
      <c r="L3533" s="20" t="s">
        <v>16</v>
      </c>
      <c r="M3533" s="20" t="s">
        <v>13</v>
      </c>
      <c r="N3533" s="20">
        <v>2</v>
      </c>
      <c r="O3533" s="24">
        <v>71.2</v>
      </c>
      <c r="P3533" s="24">
        <v>100</v>
      </c>
      <c r="Q3533" s="25">
        <v>6450</v>
      </c>
      <c r="R3533" s="24">
        <f t="shared" si="992"/>
        <v>459240</v>
      </c>
      <c r="S3533" s="53">
        <v>2</v>
      </c>
      <c r="T3533" s="27">
        <f t="shared" si="993"/>
        <v>9184.7999999999993</v>
      </c>
      <c r="U3533" s="27">
        <f t="shared" si="994"/>
        <v>450055.2</v>
      </c>
      <c r="V3533" s="27">
        <f t="shared" si="986"/>
        <v>482555.2</v>
      </c>
      <c r="W3533" s="26">
        <f t="shared" si="980"/>
        <v>482555.2</v>
      </c>
      <c r="X3533" s="27">
        <v>0</v>
      </c>
      <c r="Y3533" s="80">
        <f t="shared" si="987"/>
        <v>482555.2</v>
      </c>
      <c r="Z3533" s="49">
        <v>3.0000000000000001E-3</v>
      </c>
    </row>
    <row r="3534" spans="1:26" s="29" customFormat="1" ht="90.75" customHeight="1" x14ac:dyDescent="0.25">
      <c r="A3534" s="20">
        <v>1679</v>
      </c>
      <c r="B3534" s="20" t="s">
        <v>0</v>
      </c>
      <c r="C3534" s="20">
        <v>62010</v>
      </c>
      <c r="D3534" s="21">
        <v>0</v>
      </c>
      <c r="E3534" s="21">
        <v>0</v>
      </c>
      <c r="F3534" s="22">
        <v>52</v>
      </c>
      <c r="G3534" s="23" t="s">
        <v>56</v>
      </c>
      <c r="H3534" s="24">
        <f t="shared" si="988"/>
        <v>52</v>
      </c>
      <c r="I3534" s="25">
        <v>625</v>
      </c>
      <c r="J3534" s="24">
        <f t="shared" si="976"/>
        <v>32500</v>
      </c>
      <c r="K3534" s="20">
        <v>1</v>
      </c>
      <c r="L3534" s="20" t="s">
        <v>16</v>
      </c>
      <c r="M3534" s="20" t="s">
        <v>13</v>
      </c>
      <c r="N3534" s="20">
        <v>2</v>
      </c>
      <c r="O3534" s="24">
        <v>71.2</v>
      </c>
      <c r="P3534" s="24">
        <v>100</v>
      </c>
      <c r="Q3534" s="25">
        <v>6450</v>
      </c>
      <c r="R3534" s="24">
        <f t="shared" si="992"/>
        <v>459240</v>
      </c>
      <c r="S3534" s="53">
        <v>2</v>
      </c>
      <c r="T3534" s="27">
        <f t="shared" si="993"/>
        <v>9184.7999999999993</v>
      </c>
      <c r="U3534" s="27">
        <f t="shared" si="994"/>
        <v>450055.2</v>
      </c>
      <c r="V3534" s="27">
        <f t="shared" si="986"/>
        <v>482555.2</v>
      </c>
      <c r="W3534" s="26">
        <f t="shared" si="980"/>
        <v>482555.2</v>
      </c>
      <c r="X3534" s="27">
        <v>0</v>
      </c>
      <c r="Y3534" s="80">
        <f t="shared" si="987"/>
        <v>482555.2</v>
      </c>
      <c r="Z3534" s="49">
        <v>3.0000000000000001E-3</v>
      </c>
    </row>
    <row r="3535" spans="1:26" s="29" customFormat="1" ht="90.75" customHeight="1" x14ac:dyDescent="0.25">
      <c r="A3535" s="20">
        <v>1680</v>
      </c>
      <c r="B3535" s="20" t="s">
        <v>0</v>
      </c>
      <c r="C3535" s="20">
        <v>62011</v>
      </c>
      <c r="D3535" s="21">
        <v>0</v>
      </c>
      <c r="E3535" s="21">
        <v>0</v>
      </c>
      <c r="F3535" s="22">
        <v>52</v>
      </c>
      <c r="G3535" s="23" t="s">
        <v>210</v>
      </c>
      <c r="H3535" s="24">
        <f t="shared" si="988"/>
        <v>52</v>
      </c>
      <c r="I3535" s="25">
        <v>625</v>
      </c>
      <c r="J3535" s="24">
        <f t="shared" si="976"/>
        <v>32500</v>
      </c>
      <c r="K3535" s="20"/>
      <c r="L3535" s="20"/>
      <c r="M3535" s="20"/>
      <c r="N3535" s="20"/>
      <c r="O3535" s="24"/>
      <c r="P3535" s="24"/>
      <c r="Q3535" s="25"/>
      <c r="R3535" s="24"/>
      <c r="S3535" s="27"/>
      <c r="T3535" s="27"/>
      <c r="U3535" s="27"/>
      <c r="V3535" s="27">
        <f t="shared" si="986"/>
        <v>32500</v>
      </c>
      <c r="W3535" s="26">
        <f t="shared" si="980"/>
        <v>32500</v>
      </c>
      <c r="X3535" s="27">
        <v>0</v>
      </c>
      <c r="Y3535" s="80">
        <f t="shared" si="987"/>
        <v>32500</v>
      </c>
      <c r="Z3535" s="49">
        <v>3.0000000000000001E-3</v>
      </c>
    </row>
    <row r="3536" spans="1:26" s="29" customFormat="1" ht="90.75" customHeight="1" x14ac:dyDescent="0.25">
      <c r="A3536" s="20">
        <v>1681</v>
      </c>
      <c r="B3536" s="20" t="s">
        <v>0</v>
      </c>
      <c r="C3536" s="20">
        <v>62012</v>
      </c>
      <c r="D3536" s="21">
        <v>0</v>
      </c>
      <c r="E3536" s="21">
        <v>0</v>
      </c>
      <c r="F3536" s="22">
        <v>52</v>
      </c>
      <c r="G3536" s="23" t="s">
        <v>210</v>
      </c>
      <c r="H3536" s="24">
        <f t="shared" si="988"/>
        <v>52</v>
      </c>
      <c r="I3536" s="25">
        <v>625</v>
      </c>
      <c r="J3536" s="24">
        <f t="shared" si="976"/>
        <v>32500</v>
      </c>
      <c r="K3536" s="20"/>
      <c r="L3536" s="20"/>
      <c r="M3536" s="20"/>
      <c r="N3536" s="20"/>
      <c r="O3536" s="24"/>
      <c r="P3536" s="24"/>
      <c r="Q3536" s="25"/>
      <c r="R3536" s="24"/>
      <c r="S3536" s="27"/>
      <c r="T3536" s="27"/>
      <c r="U3536" s="27"/>
      <c r="V3536" s="27">
        <f t="shared" si="986"/>
        <v>32500</v>
      </c>
      <c r="W3536" s="26">
        <f t="shared" si="980"/>
        <v>32500</v>
      </c>
      <c r="X3536" s="27">
        <v>0</v>
      </c>
      <c r="Y3536" s="80">
        <f t="shared" si="987"/>
        <v>32500</v>
      </c>
      <c r="Z3536" s="49">
        <v>3.0000000000000001E-3</v>
      </c>
    </row>
    <row r="3537" spans="1:26" s="29" customFormat="1" ht="90.75" customHeight="1" x14ac:dyDescent="0.25">
      <c r="A3537" s="20">
        <v>1682</v>
      </c>
      <c r="B3537" s="20" t="s">
        <v>0</v>
      </c>
      <c r="C3537" s="20">
        <v>62013</v>
      </c>
      <c r="D3537" s="21">
        <v>0</v>
      </c>
      <c r="E3537" s="21">
        <v>0</v>
      </c>
      <c r="F3537" s="22">
        <v>52</v>
      </c>
      <c r="G3537" s="23" t="s">
        <v>210</v>
      </c>
      <c r="H3537" s="24">
        <f t="shared" si="988"/>
        <v>52</v>
      </c>
      <c r="I3537" s="25">
        <v>625</v>
      </c>
      <c r="J3537" s="24">
        <f t="shared" si="976"/>
        <v>32500</v>
      </c>
      <c r="K3537" s="20"/>
      <c r="L3537" s="20"/>
      <c r="M3537" s="20"/>
      <c r="N3537" s="20"/>
      <c r="O3537" s="24"/>
      <c r="P3537" s="24"/>
      <c r="Q3537" s="25"/>
      <c r="R3537" s="24"/>
      <c r="S3537" s="27"/>
      <c r="T3537" s="27"/>
      <c r="U3537" s="27"/>
      <c r="V3537" s="27">
        <f t="shared" si="986"/>
        <v>32500</v>
      </c>
      <c r="W3537" s="26">
        <f t="shared" si="980"/>
        <v>32500</v>
      </c>
      <c r="X3537" s="27">
        <v>0</v>
      </c>
      <c r="Y3537" s="80">
        <f t="shared" si="987"/>
        <v>32500</v>
      </c>
      <c r="Z3537" s="49">
        <v>3.0000000000000001E-3</v>
      </c>
    </row>
    <row r="3538" spans="1:26" s="29" customFormat="1" ht="90.75" customHeight="1" x14ac:dyDescent="0.25">
      <c r="A3538" s="20">
        <v>1683</v>
      </c>
      <c r="B3538" s="20" t="s">
        <v>0</v>
      </c>
      <c r="C3538" s="20">
        <v>62014</v>
      </c>
      <c r="D3538" s="21">
        <v>0</v>
      </c>
      <c r="E3538" s="21">
        <v>0</v>
      </c>
      <c r="F3538" s="22">
        <v>52</v>
      </c>
      <c r="G3538" s="23" t="s">
        <v>210</v>
      </c>
      <c r="H3538" s="24">
        <f t="shared" si="988"/>
        <v>52</v>
      </c>
      <c r="I3538" s="25">
        <v>625</v>
      </c>
      <c r="J3538" s="24">
        <f t="shared" si="976"/>
        <v>32500</v>
      </c>
      <c r="K3538" s="20"/>
      <c r="L3538" s="20"/>
      <c r="M3538" s="20"/>
      <c r="N3538" s="20"/>
      <c r="O3538" s="24"/>
      <c r="P3538" s="24"/>
      <c r="Q3538" s="25"/>
      <c r="R3538" s="24"/>
      <c r="S3538" s="27"/>
      <c r="T3538" s="27"/>
      <c r="U3538" s="27"/>
      <c r="V3538" s="27">
        <f t="shared" si="986"/>
        <v>32500</v>
      </c>
      <c r="W3538" s="26">
        <f t="shared" si="980"/>
        <v>32500</v>
      </c>
      <c r="X3538" s="27">
        <v>0</v>
      </c>
      <c r="Y3538" s="80">
        <f t="shared" si="987"/>
        <v>32500</v>
      </c>
      <c r="Z3538" s="49">
        <v>3.0000000000000001E-3</v>
      </c>
    </row>
    <row r="3539" spans="1:26" s="29" customFormat="1" ht="90.75" customHeight="1" x14ac:dyDescent="0.25">
      <c r="A3539" s="20">
        <v>1684</v>
      </c>
      <c r="B3539" s="20" t="s">
        <v>0</v>
      </c>
      <c r="C3539" s="20">
        <v>62015</v>
      </c>
      <c r="D3539" s="21">
        <v>0</v>
      </c>
      <c r="E3539" s="21">
        <v>0</v>
      </c>
      <c r="F3539" s="22">
        <v>52</v>
      </c>
      <c r="G3539" s="23" t="s">
        <v>210</v>
      </c>
      <c r="H3539" s="24">
        <f t="shared" si="988"/>
        <v>52</v>
      </c>
      <c r="I3539" s="25">
        <v>625</v>
      </c>
      <c r="J3539" s="24">
        <f t="shared" si="976"/>
        <v>32500</v>
      </c>
      <c r="K3539" s="20"/>
      <c r="L3539" s="20"/>
      <c r="M3539" s="20"/>
      <c r="N3539" s="20"/>
      <c r="O3539" s="24"/>
      <c r="P3539" s="24"/>
      <c r="Q3539" s="25"/>
      <c r="R3539" s="24"/>
      <c r="S3539" s="27"/>
      <c r="T3539" s="27"/>
      <c r="U3539" s="27"/>
      <c r="V3539" s="27">
        <f t="shared" si="986"/>
        <v>32500</v>
      </c>
      <c r="W3539" s="26">
        <f t="shared" si="980"/>
        <v>32500</v>
      </c>
      <c r="X3539" s="27">
        <v>0</v>
      </c>
      <c r="Y3539" s="80">
        <f t="shared" si="987"/>
        <v>32500</v>
      </c>
      <c r="Z3539" s="49">
        <v>3.0000000000000001E-3</v>
      </c>
    </row>
    <row r="3540" spans="1:26" s="29" customFormat="1" ht="90.75" customHeight="1" x14ac:dyDescent="0.25">
      <c r="A3540" s="20">
        <v>1685</v>
      </c>
      <c r="B3540" s="20" t="s">
        <v>0</v>
      </c>
      <c r="C3540" s="20">
        <v>62016</v>
      </c>
      <c r="D3540" s="21">
        <v>0</v>
      </c>
      <c r="E3540" s="21">
        <v>0</v>
      </c>
      <c r="F3540" s="22">
        <v>52</v>
      </c>
      <c r="G3540" s="23" t="s">
        <v>210</v>
      </c>
      <c r="H3540" s="24">
        <f t="shared" si="988"/>
        <v>52</v>
      </c>
      <c r="I3540" s="25">
        <v>625</v>
      </c>
      <c r="J3540" s="24">
        <f t="shared" si="976"/>
        <v>32500</v>
      </c>
      <c r="K3540" s="20"/>
      <c r="L3540" s="20"/>
      <c r="M3540" s="20"/>
      <c r="N3540" s="20"/>
      <c r="O3540" s="24"/>
      <c r="P3540" s="24"/>
      <c r="Q3540" s="25"/>
      <c r="R3540" s="24"/>
      <c r="S3540" s="27"/>
      <c r="T3540" s="27"/>
      <c r="U3540" s="27"/>
      <c r="V3540" s="27">
        <f t="shared" si="986"/>
        <v>32500</v>
      </c>
      <c r="W3540" s="26">
        <f t="shared" si="980"/>
        <v>32500</v>
      </c>
      <c r="X3540" s="27">
        <v>0</v>
      </c>
      <c r="Y3540" s="80">
        <f t="shared" si="987"/>
        <v>32500</v>
      </c>
      <c r="Z3540" s="49">
        <v>3.0000000000000001E-3</v>
      </c>
    </row>
    <row r="3541" spans="1:26" s="29" customFormat="1" ht="90.75" customHeight="1" x14ac:dyDescent="0.25">
      <c r="A3541" s="20">
        <v>1686</v>
      </c>
      <c r="B3541" s="20" t="s">
        <v>0</v>
      </c>
      <c r="C3541" s="20">
        <v>62017</v>
      </c>
      <c r="D3541" s="21">
        <v>0</v>
      </c>
      <c r="E3541" s="21">
        <v>0</v>
      </c>
      <c r="F3541" s="22">
        <v>52</v>
      </c>
      <c r="G3541" s="23" t="s">
        <v>210</v>
      </c>
      <c r="H3541" s="24">
        <f t="shared" si="988"/>
        <v>52</v>
      </c>
      <c r="I3541" s="25">
        <v>625</v>
      </c>
      <c r="J3541" s="24">
        <f t="shared" si="976"/>
        <v>32500</v>
      </c>
      <c r="K3541" s="20"/>
      <c r="L3541" s="20"/>
      <c r="M3541" s="20"/>
      <c r="N3541" s="20"/>
      <c r="O3541" s="24"/>
      <c r="P3541" s="24"/>
      <c r="Q3541" s="25"/>
      <c r="R3541" s="24"/>
      <c r="S3541" s="27"/>
      <c r="T3541" s="27"/>
      <c r="U3541" s="27"/>
      <c r="V3541" s="27">
        <f t="shared" si="986"/>
        <v>32500</v>
      </c>
      <c r="W3541" s="26">
        <f t="shared" si="980"/>
        <v>32500</v>
      </c>
      <c r="X3541" s="27">
        <v>0</v>
      </c>
      <c r="Y3541" s="80">
        <f t="shared" si="987"/>
        <v>32500</v>
      </c>
      <c r="Z3541" s="49">
        <v>3.0000000000000001E-3</v>
      </c>
    </row>
    <row r="3542" spans="1:26" s="29" customFormat="1" ht="90.75" customHeight="1" x14ac:dyDescent="0.25">
      <c r="A3542" s="20">
        <v>1687</v>
      </c>
      <c r="B3542" s="20" t="s">
        <v>0</v>
      </c>
      <c r="C3542" s="20">
        <v>62018</v>
      </c>
      <c r="D3542" s="21">
        <v>0</v>
      </c>
      <c r="E3542" s="21">
        <v>0</v>
      </c>
      <c r="F3542" s="22">
        <v>52</v>
      </c>
      <c r="G3542" s="23" t="s">
        <v>210</v>
      </c>
      <c r="H3542" s="24">
        <f t="shared" si="988"/>
        <v>52</v>
      </c>
      <c r="I3542" s="25">
        <v>625</v>
      </c>
      <c r="J3542" s="24">
        <f t="shared" si="976"/>
        <v>32500</v>
      </c>
      <c r="K3542" s="20"/>
      <c r="L3542" s="20"/>
      <c r="M3542" s="20"/>
      <c r="N3542" s="20"/>
      <c r="O3542" s="24"/>
      <c r="P3542" s="24"/>
      <c r="Q3542" s="25"/>
      <c r="R3542" s="24"/>
      <c r="S3542" s="27"/>
      <c r="T3542" s="27"/>
      <c r="U3542" s="27"/>
      <c r="V3542" s="27">
        <f t="shared" si="986"/>
        <v>32500</v>
      </c>
      <c r="W3542" s="26">
        <f t="shared" si="980"/>
        <v>32500</v>
      </c>
      <c r="X3542" s="27">
        <v>0</v>
      </c>
      <c r="Y3542" s="80">
        <f t="shared" si="987"/>
        <v>32500</v>
      </c>
      <c r="Z3542" s="49">
        <v>3.0000000000000001E-3</v>
      </c>
    </row>
    <row r="3543" spans="1:26" s="29" customFormat="1" ht="90.75" customHeight="1" x14ac:dyDescent="0.25">
      <c r="A3543" s="20">
        <v>1688</v>
      </c>
      <c r="B3543" s="20" t="s">
        <v>0</v>
      </c>
      <c r="C3543" s="20">
        <v>62019</v>
      </c>
      <c r="D3543" s="21">
        <v>0</v>
      </c>
      <c r="E3543" s="21">
        <v>0</v>
      </c>
      <c r="F3543" s="22">
        <v>52</v>
      </c>
      <c r="G3543" s="23" t="s">
        <v>210</v>
      </c>
      <c r="H3543" s="24">
        <f t="shared" si="988"/>
        <v>52</v>
      </c>
      <c r="I3543" s="25">
        <v>625</v>
      </c>
      <c r="J3543" s="24">
        <f t="shared" si="976"/>
        <v>32500</v>
      </c>
      <c r="K3543" s="20"/>
      <c r="L3543" s="20"/>
      <c r="M3543" s="20"/>
      <c r="N3543" s="20"/>
      <c r="O3543" s="24"/>
      <c r="P3543" s="24"/>
      <c r="Q3543" s="25"/>
      <c r="R3543" s="24"/>
      <c r="S3543" s="27"/>
      <c r="T3543" s="27"/>
      <c r="U3543" s="27"/>
      <c r="V3543" s="27">
        <f t="shared" si="986"/>
        <v>32500</v>
      </c>
      <c r="W3543" s="26">
        <f t="shared" si="980"/>
        <v>32500</v>
      </c>
      <c r="X3543" s="27">
        <v>0</v>
      </c>
      <c r="Y3543" s="80">
        <f t="shared" si="987"/>
        <v>32500</v>
      </c>
      <c r="Z3543" s="49">
        <v>3.0000000000000001E-3</v>
      </c>
    </row>
    <row r="3544" spans="1:26" s="29" customFormat="1" ht="90.75" customHeight="1" x14ac:dyDescent="0.25">
      <c r="A3544" s="20">
        <v>1689</v>
      </c>
      <c r="B3544" s="20" t="s">
        <v>0</v>
      </c>
      <c r="C3544" s="20">
        <v>62020</v>
      </c>
      <c r="D3544" s="21">
        <v>0</v>
      </c>
      <c r="E3544" s="21">
        <v>0</v>
      </c>
      <c r="F3544" s="22">
        <v>52</v>
      </c>
      <c r="G3544" s="23" t="s">
        <v>210</v>
      </c>
      <c r="H3544" s="24">
        <f t="shared" si="988"/>
        <v>52</v>
      </c>
      <c r="I3544" s="25">
        <v>625</v>
      </c>
      <c r="J3544" s="24">
        <f t="shared" si="976"/>
        <v>32500</v>
      </c>
      <c r="K3544" s="20"/>
      <c r="L3544" s="20"/>
      <c r="M3544" s="20"/>
      <c r="N3544" s="20"/>
      <c r="O3544" s="24"/>
      <c r="P3544" s="24"/>
      <c r="Q3544" s="25"/>
      <c r="R3544" s="24"/>
      <c r="S3544" s="27"/>
      <c r="T3544" s="27"/>
      <c r="U3544" s="27"/>
      <c r="V3544" s="27">
        <f t="shared" si="986"/>
        <v>32500</v>
      </c>
      <c r="W3544" s="26">
        <f t="shared" si="980"/>
        <v>32500</v>
      </c>
      <c r="X3544" s="27">
        <v>0</v>
      </c>
      <c r="Y3544" s="80">
        <f t="shared" si="987"/>
        <v>32500</v>
      </c>
      <c r="Z3544" s="49">
        <v>3.0000000000000001E-3</v>
      </c>
    </row>
    <row r="3545" spans="1:26" s="29" customFormat="1" ht="90.75" customHeight="1" x14ac:dyDescent="0.25">
      <c r="A3545" s="20">
        <v>1690</v>
      </c>
      <c r="B3545" s="20" t="s">
        <v>0</v>
      </c>
      <c r="C3545" s="20">
        <v>62491</v>
      </c>
      <c r="D3545" s="21">
        <v>0</v>
      </c>
      <c r="E3545" s="21">
        <v>1</v>
      </c>
      <c r="F3545" s="22">
        <v>9.6</v>
      </c>
      <c r="G3545" s="23" t="s">
        <v>56</v>
      </c>
      <c r="H3545" s="24">
        <f t="shared" si="988"/>
        <v>109.6</v>
      </c>
      <c r="I3545" s="25"/>
      <c r="J3545" s="24"/>
      <c r="K3545" s="20">
        <v>1</v>
      </c>
      <c r="L3545" s="20" t="s">
        <v>16</v>
      </c>
      <c r="M3545" s="20" t="s">
        <v>51</v>
      </c>
      <c r="N3545" s="20">
        <v>2</v>
      </c>
      <c r="O3545" s="24">
        <v>96</v>
      </c>
      <c r="P3545" s="24">
        <v>100</v>
      </c>
      <c r="Q3545" s="25">
        <v>6450</v>
      </c>
      <c r="R3545" s="24">
        <f>(O3545*Q3545)</f>
        <v>619200</v>
      </c>
      <c r="S3545" s="20">
        <v>1</v>
      </c>
      <c r="T3545" s="24">
        <f>(R3545*1/100)</f>
        <v>6192</v>
      </c>
      <c r="U3545" s="27">
        <f>(R3545-T3545)</f>
        <v>613008</v>
      </c>
      <c r="V3545" s="27">
        <f t="shared" si="986"/>
        <v>613008</v>
      </c>
      <c r="W3545" s="26">
        <f t="shared" si="980"/>
        <v>613008</v>
      </c>
      <c r="X3545" s="27">
        <v>0</v>
      </c>
      <c r="Y3545" s="80">
        <f t="shared" si="987"/>
        <v>613008</v>
      </c>
      <c r="Z3545" s="49">
        <v>3.0000000000000001E-3</v>
      </c>
    </row>
    <row r="3546" spans="1:26" s="29" customFormat="1" ht="90.75" customHeight="1" x14ac:dyDescent="0.25">
      <c r="A3546" s="20">
        <v>1691</v>
      </c>
      <c r="B3546" s="20" t="s">
        <v>0</v>
      </c>
      <c r="C3546" s="20">
        <v>62492</v>
      </c>
      <c r="D3546" s="21">
        <v>0</v>
      </c>
      <c r="E3546" s="21">
        <v>0</v>
      </c>
      <c r="F3546" s="22">
        <v>89.5</v>
      </c>
      <c r="G3546" s="23" t="s">
        <v>56</v>
      </c>
      <c r="H3546" s="24">
        <f t="shared" si="988"/>
        <v>89.5</v>
      </c>
      <c r="I3546" s="25"/>
      <c r="J3546" s="24"/>
      <c r="K3546" s="20">
        <v>1</v>
      </c>
      <c r="L3546" s="20" t="s">
        <v>16</v>
      </c>
      <c r="M3546" s="20" t="s">
        <v>51</v>
      </c>
      <c r="N3546" s="20">
        <v>2</v>
      </c>
      <c r="O3546" s="24">
        <v>96</v>
      </c>
      <c r="P3546" s="24">
        <v>100</v>
      </c>
      <c r="Q3546" s="25">
        <v>6450</v>
      </c>
      <c r="R3546" s="24">
        <f t="shared" ref="R3546:R3552" si="995">(O3546*Q3546)</f>
        <v>619200</v>
      </c>
      <c r="S3546" s="20">
        <v>1</v>
      </c>
      <c r="T3546" s="24">
        <f t="shared" ref="T3546:T3552" si="996">(R3546*1/100)</f>
        <v>6192</v>
      </c>
      <c r="U3546" s="27">
        <f t="shared" ref="U3546:U3552" si="997">(R3546-T3546)</f>
        <v>613008</v>
      </c>
      <c r="V3546" s="27">
        <f t="shared" si="986"/>
        <v>613008</v>
      </c>
      <c r="W3546" s="26">
        <f t="shared" si="980"/>
        <v>613008</v>
      </c>
      <c r="X3546" s="27">
        <v>0</v>
      </c>
      <c r="Y3546" s="80">
        <f t="shared" si="987"/>
        <v>613008</v>
      </c>
      <c r="Z3546" s="49">
        <v>3.0000000000000001E-3</v>
      </c>
    </row>
    <row r="3547" spans="1:26" s="29" customFormat="1" ht="90.75" customHeight="1" x14ac:dyDescent="0.25">
      <c r="A3547" s="20">
        <v>1692</v>
      </c>
      <c r="B3547" s="20" t="s">
        <v>0</v>
      </c>
      <c r="C3547" s="20">
        <v>62493</v>
      </c>
      <c r="D3547" s="21">
        <v>0</v>
      </c>
      <c r="E3547" s="21">
        <v>0</v>
      </c>
      <c r="F3547" s="22">
        <v>86.9</v>
      </c>
      <c r="G3547" s="23" t="s">
        <v>56</v>
      </c>
      <c r="H3547" s="24">
        <f t="shared" si="988"/>
        <v>86.9</v>
      </c>
      <c r="I3547" s="25"/>
      <c r="J3547" s="24"/>
      <c r="K3547" s="20">
        <v>1</v>
      </c>
      <c r="L3547" s="20" t="s">
        <v>16</v>
      </c>
      <c r="M3547" s="20" t="s">
        <v>51</v>
      </c>
      <c r="N3547" s="20">
        <v>2</v>
      </c>
      <c r="O3547" s="24">
        <v>96</v>
      </c>
      <c r="P3547" s="24">
        <v>100</v>
      </c>
      <c r="Q3547" s="25">
        <v>6450</v>
      </c>
      <c r="R3547" s="24">
        <f t="shared" si="995"/>
        <v>619200</v>
      </c>
      <c r="S3547" s="20">
        <v>1</v>
      </c>
      <c r="T3547" s="24">
        <f t="shared" si="996"/>
        <v>6192</v>
      </c>
      <c r="U3547" s="27">
        <f t="shared" si="997"/>
        <v>613008</v>
      </c>
      <c r="V3547" s="27">
        <f t="shared" si="986"/>
        <v>613008</v>
      </c>
      <c r="W3547" s="26">
        <f t="shared" si="980"/>
        <v>613008</v>
      </c>
      <c r="X3547" s="27">
        <v>0</v>
      </c>
      <c r="Y3547" s="80">
        <f t="shared" si="987"/>
        <v>613008</v>
      </c>
      <c r="Z3547" s="49">
        <v>3.0000000000000001E-3</v>
      </c>
    </row>
    <row r="3548" spans="1:26" s="29" customFormat="1" ht="90.75" customHeight="1" x14ac:dyDescent="0.25">
      <c r="A3548" s="20">
        <v>1693</v>
      </c>
      <c r="B3548" s="20" t="s">
        <v>0</v>
      </c>
      <c r="C3548" s="20">
        <v>62494</v>
      </c>
      <c r="D3548" s="21">
        <v>0</v>
      </c>
      <c r="E3548" s="21">
        <v>0</v>
      </c>
      <c r="F3548" s="22">
        <v>84.4</v>
      </c>
      <c r="G3548" s="23" t="s">
        <v>56</v>
      </c>
      <c r="H3548" s="24">
        <f t="shared" si="988"/>
        <v>84.4</v>
      </c>
      <c r="I3548" s="25"/>
      <c r="J3548" s="24"/>
      <c r="K3548" s="20">
        <v>1</v>
      </c>
      <c r="L3548" s="20" t="s">
        <v>16</v>
      </c>
      <c r="M3548" s="20" t="s">
        <v>51</v>
      </c>
      <c r="N3548" s="20">
        <v>2</v>
      </c>
      <c r="O3548" s="24">
        <v>96</v>
      </c>
      <c r="P3548" s="24">
        <v>100</v>
      </c>
      <c r="Q3548" s="25">
        <v>6450</v>
      </c>
      <c r="R3548" s="24">
        <f t="shared" si="995"/>
        <v>619200</v>
      </c>
      <c r="S3548" s="20">
        <v>1</v>
      </c>
      <c r="T3548" s="24">
        <f t="shared" si="996"/>
        <v>6192</v>
      </c>
      <c r="U3548" s="27">
        <f t="shared" si="997"/>
        <v>613008</v>
      </c>
      <c r="V3548" s="27">
        <f t="shared" si="986"/>
        <v>613008</v>
      </c>
      <c r="W3548" s="26">
        <f t="shared" si="980"/>
        <v>613008</v>
      </c>
      <c r="X3548" s="27">
        <v>0</v>
      </c>
      <c r="Y3548" s="80">
        <f t="shared" si="987"/>
        <v>613008</v>
      </c>
      <c r="Z3548" s="49">
        <v>3.0000000000000001E-3</v>
      </c>
    </row>
    <row r="3549" spans="1:26" s="29" customFormat="1" ht="90.75" customHeight="1" x14ac:dyDescent="0.25">
      <c r="A3549" s="20">
        <v>1694</v>
      </c>
      <c r="B3549" s="20" t="s">
        <v>0</v>
      </c>
      <c r="C3549" s="20">
        <v>62495</v>
      </c>
      <c r="D3549" s="21">
        <v>0</v>
      </c>
      <c r="E3549" s="21">
        <v>0</v>
      </c>
      <c r="F3549" s="22">
        <v>81.8</v>
      </c>
      <c r="G3549" s="23" t="s">
        <v>56</v>
      </c>
      <c r="H3549" s="24">
        <f t="shared" si="988"/>
        <v>81.8</v>
      </c>
      <c r="I3549" s="25"/>
      <c r="J3549" s="24"/>
      <c r="K3549" s="20">
        <v>1</v>
      </c>
      <c r="L3549" s="20" t="s">
        <v>16</v>
      </c>
      <c r="M3549" s="20" t="s">
        <v>51</v>
      </c>
      <c r="N3549" s="20">
        <v>2</v>
      </c>
      <c r="O3549" s="24">
        <v>96</v>
      </c>
      <c r="P3549" s="24">
        <v>100</v>
      </c>
      <c r="Q3549" s="25">
        <v>6450</v>
      </c>
      <c r="R3549" s="24">
        <f t="shared" si="995"/>
        <v>619200</v>
      </c>
      <c r="S3549" s="20">
        <v>1</v>
      </c>
      <c r="T3549" s="24">
        <f t="shared" si="996"/>
        <v>6192</v>
      </c>
      <c r="U3549" s="27">
        <f t="shared" si="997"/>
        <v>613008</v>
      </c>
      <c r="V3549" s="27">
        <f t="shared" si="986"/>
        <v>613008</v>
      </c>
      <c r="W3549" s="26">
        <f t="shared" si="980"/>
        <v>613008</v>
      </c>
      <c r="X3549" s="27">
        <v>0</v>
      </c>
      <c r="Y3549" s="80">
        <f t="shared" si="987"/>
        <v>613008</v>
      </c>
      <c r="Z3549" s="49">
        <v>3.0000000000000001E-3</v>
      </c>
    </row>
    <row r="3550" spans="1:26" s="29" customFormat="1" ht="90.75" customHeight="1" x14ac:dyDescent="0.25">
      <c r="A3550" s="20">
        <v>1695</v>
      </c>
      <c r="B3550" s="20" t="s">
        <v>0</v>
      </c>
      <c r="C3550" s="20">
        <v>62496</v>
      </c>
      <c r="D3550" s="21">
        <v>0</v>
      </c>
      <c r="E3550" s="21">
        <v>0</v>
      </c>
      <c r="F3550" s="22">
        <v>80.3</v>
      </c>
      <c r="G3550" s="23" t="s">
        <v>56</v>
      </c>
      <c r="H3550" s="24">
        <f t="shared" si="988"/>
        <v>80.3</v>
      </c>
      <c r="I3550" s="25"/>
      <c r="J3550" s="24"/>
      <c r="K3550" s="20">
        <v>1</v>
      </c>
      <c r="L3550" s="20" t="s">
        <v>16</v>
      </c>
      <c r="M3550" s="20" t="s">
        <v>51</v>
      </c>
      <c r="N3550" s="20">
        <v>2</v>
      </c>
      <c r="O3550" s="24">
        <v>96</v>
      </c>
      <c r="P3550" s="24">
        <v>100</v>
      </c>
      <c r="Q3550" s="25">
        <v>6450</v>
      </c>
      <c r="R3550" s="24">
        <f t="shared" si="995"/>
        <v>619200</v>
      </c>
      <c r="S3550" s="20">
        <v>1</v>
      </c>
      <c r="T3550" s="24">
        <f t="shared" si="996"/>
        <v>6192</v>
      </c>
      <c r="U3550" s="27">
        <f t="shared" si="997"/>
        <v>613008</v>
      </c>
      <c r="V3550" s="27">
        <f t="shared" si="986"/>
        <v>613008</v>
      </c>
      <c r="W3550" s="26">
        <f t="shared" si="980"/>
        <v>613008</v>
      </c>
      <c r="X3550" s="27">
        <v>0</v>
      </c>
      <c r="Y3550" s="80">
        <f t="shared" si="987"/>
        <v>613008</v>
      </c>
      <c r="Z3550" s="49">
        <v>3.0000000000000001E-3</v>
      </c>
    </row>
    <row r="3551" spans="1:26" s="29" customFormat="1" ht="90.75" customHeight="1" x14ac:dyDescent="0.25">
      <c r="A3551" s="20">
        <v>1696</v>
      </c>
      <c r="B3551" s="20" t="s">
        <v>0</v>
      </c>
      <c r="C3551" s="20">
        <v>62497</v>
      </c>
      <c r="D3551" s="21">
        <v>0</v>
      </c>
      <c r="E3551" s="21">
        <v>0</v>
      </c>
      <c r="F3551" s="22">
        <v>81.3</v>
      </c>
      <c r="G3551" s="23" t="s">
        <v>56</v>
      </c>
      <c r="H3551" s="24">
        <f t="shared" si="988"/>
        <v>81.3</v>
      </c>
      <c r="I3551" s="25"/>
      <c r="J3551" s="24"/>
      <c r="K3551" s="20">
        <v>1</v>
      </c>
      <c r="L3551" s="20" t="s">
        <v>16</v>
      </c>
      <c r="M3551" s="20" t="s">
        <v>51</v>
      </c>
      <c r="N3551" s="20">
        <v>2</v>
      </c>
      <c r="O3551" s="24">
        <v>96</v>
      </c>
      <c r="P3551" s="24">
        <v>100</v>
      </c>
      <c r="Q3551" s="25">
        <v>6450</v>
      </c>
      <c r="R3551" s="24">
        <f t="shared" si="995"/>
        <v>619200</v>
      </c>
      <c r="S3551" s="20">
        <v>1</v>
      </c>
      <c r="T3551" s="24">
        <f t="shared" si="996"/>
        <v>6192</v>
      </c>
      <c r="U3551" s="27">
        <f t="shared" si="997"/>
        <v>613008</v>
      </c>
      <c r="V3551" s="27">
        <f t="shared" si="986"/>
        <v>613008</v>
      </c>
      <c r="W3551" s="26">
        <f t="shared" si="980"/>
        <v>613008</v>
      </c>
      <c r="X3551" s="27">
        <v>0</v>
      </c>
      <c r="Y3551" s="80">
        <f t="shared" si="987"/>
        <v>613008</v>
      </c>
      <c r="Z3551" s="49">
        <v>3.0000000000000001E-3</v>
      </c>
    </row>
    <row r="3552" spans="1:26" s="29" customFormat="1" ht="90.75" customHeight="1" x14ac:dyDescent="0.25">
      <c r="A3552" s="20">
        <v>1697</v>
      </c>
      <c r="B3552" s="20" t="s">
        <v>0</v>
      </c>
      <c r="C3552" s="20">
        <v>62498</v>
      </c>
      <c r="D3552" s="21">
        <v>0</v>
      </c>
      <c r="E3552" s="21">
        <v>0</v>
      </c>
      <c r="F3552" s="22">
        <v>84</v>
      </c>
      <c r="G3552" s="23" t="s">
        <v>56</v>
      </c>
      <c r="H3552" s="24">
        <f t="shared" si="988"/>
        <v>84</v>
      </c>
      <c r="I3552" s="25"/>
      <c r="J3552" s="24"/>
      <c r="K3552" s="20">
        <v>1</v>
      </c>
      <c r="L3552" s="20" t="s">
        <v>16</v>
      </c>
      <c r="M3552" s="20" t="s">
        <v>51</v>
      </c>
      <c r="N3552" s="20">
        <v>2</v>
      </c>
      <c r="O3552" s="24">
        <v>96</v>
      </c>
      <c r="P3552" s="24">
        <v>100</v>
      </c>
      <c r="Q3552" s="25">
        <v>6450</v>
      </c>
      <c r="R3552" s="24">
        <f t="shared" si="995"/>
        <v>619200</v>
      </c>
      <c r="S3552" s="20">
        <v>1</v>
      </c>
      <c r="T3552" s="24">
        <f t="shared" si="996"/>
        <v>6192</v>
      </c>
      <c r="U3552" s="27">
        <f t="shared" si="997"/>
        <v>613008</v>
      </c>
      <c r="V3552" s="27">
        <f t="shared" si="986"/>
        <v>613008</v>
      </c>
      <c r="W3552" s="26">
        <f t="shared" si="980"/>
        <v>613008</v>
      </c>
      <c r="X3552" s="27">
        <v>0</v>
      </c>
      <c r="Y3552" s="80">
        <f t="shared" si="987"/>
        <v>613008</v>
      </c>
      <c r="Z3552" s="49">
        <v>3.0000000000000001E-3</v>
      </c>
    </row>
    <row r="3553" spans="1:26" s="29" customFormat="1" ht="90.75" customHeight="1" x14ac:dyDescent="0.25">
      <c r="A3553" s="20">
        <v>1698</v>
      </c>
      <c r="B3553" s="20" t="s">
        <v>0</v>
      </c>
      <c r="C3553" s="20">
        <v>5822</v>
      </c>
      <c r="D3553" s="21">
        <v>0</v>
      </c>
      <c r="E3553" s="21">
        <v>1</v>
      </c>
      <c r="F3553" s="22">
        <v>0.1</v>
      </c>
      <c r="G3553" s="23" t="s">
        <v>56</v>
      </c>
      <c r="H3553" s="24">
        <f t="shared" si="988"/>
        <v>100.1</v>
      </c>
      <c r="I3553" s="25">
        <v>200</v>
      </c>
      <c r="J3553" s="24">
        <f>(H3553*I3553)</f>
        <v>20020</v>
      </c>
      <c r="K3553" s="20"/>
      <c r="L3553" s="20"/>
      <c r="M3553" s="20"/>
      <c r="N3553" s="20"/>
      <c r="O3553" s="24"/>
      <c r="P3553" s="24"/>
      <c r="Q3553" s="25"/>
      <c r="R3553" s="24"/>
      <c r="S3553" s="20"/>
      <c r="T3553" s="24"/>
      <c r="U3553" s="80"/>
      <c r="V3553" s="80"/>
      <c r="W3553" s="26"/>
      <c r="X3553" s="27"/>
      <c r="Y3553" s="20"/>
      <c r="Z3553" s="20"/>
    </row>
    <row r="3554" spans="1:26" s="29" customFormat="1" ht="90.75" customHeight="1" x14ac:dyDescent="0.25">
      <c r="A3554" s="20"/>
      <c r="B3554" s="20"/>
      <c r="C3554" s="20"/>
      <c r="D3554" s="21"/>
      <c r="E3554" s="21"/>
      <c r="F3554" s="22"/>
      <c r="G3554" s="23"/>
      <c r="H3554" s="24"/>
      <c r="I3554" s="25"/>
      <c r="J3554" s="24"/>
      <c r="K3554" s="20">
        <v>1</v>
      </c>
      <c r="L3554" s="20" t="s">
        <v>221</v>
      </c>
      <c r="M3554" s="20" t="s">
        <v>13</v>
      </c>
      <c r="N3554" s="20">
        <v>2</v>
      </c>
      <c r="O3554" s="24">
        <v>194.5</v>
      </c>
      <c r="P3554" s="24">
        <v>100</v>
      </c>
      <c r="Q3554" s="25">
        <v>7700</v>
      </c>
      <c r="R3554" s="24">
        <f>(O3554*Q3554)</f>
        <v>1497650</v>
      </c>
      <c r="S3554" s="20">
        <v>22</v>
      </c>
      <c r="T3554" s="24">
        <f>(R3554*34/100)</f>
        <v>509201</v>
      </c>
      <c r="U3554" s="80">
        <f>(R3554-T3554)</f>
        <v>988449</v>
      </c>
      <c r="V3554" s="80">
        <f>(J3553+U3554)</f>
        <v>1008469</v>
      </c>
      <c r="W3554" s="26">
        <f>(V3554*100/100)</f>
        <v>1008469</v>
      </c>
      <c r="X3554" s="27"/>
      <c r="Y3554" s="20"/>
      <c r="Z3554" s="20"/>
    </row>
    <row r="3555" spans="1:26" s="29" customFormat="1" ht="90.75" customHeight="1" x14ac:dyDescent="0.25">
      <c r="A3555" s="20"/>
      <c r="B3555" s="20"/>
      <c r="C3555" s="20"/>
      <c r="D3555" s="21"/>
      <c r="E3555" s="21"/>
      <c r="F3555" s="22"/>
      <c r="G3555" s="23"/>
      <c r="H3555" s="24"/>
      <c r="I3555" s="25"/>
      <c r="J3555" s="24"/>
      <c r="K3555" s="20"/>
      <c r="L3555" s="20"/>
      <c r="M3555" s="20"/>
      <c r="N3555" s="20"/>
      <c r="O3555" s="24">
        <v>38.9</v>
      </c>
      <c r="P3555" s="24">
        <v>20</v>
      </c>
      <c r="Q3555" s="25">
        <v>7700</v>
      </c>
      <c r="R3555" s="24">
        <f t="shared" ref="R3555:R3560" si="998">(O3555*Q3555)</f>
        <v>299530</v>
      </c>
      <c r="S3555" s="20"/>
      <c r="T3555" s="27"/>
      <c r="U3555" s="20"/>
      <c r="V3555" s="20"/>
      <c r="W3555" s="26">
        <f>(W3554*20/100)</f>
        <v>201693.8</v>
      </c>
      <c r="X3555" s="27"/>
      <c r="Y3555" s="20"/>
      <c r="Z3555" s="20"/>
    </row>
    <row r="3556" spans="1:26" s="29" customFormat="1" ht="90.75" customHeight="1" x14ac:dyDescent="0.25">
      <c r="A3556" s="20"/>
      <c r="B3556" s="20"/>
      <c r="C3556" s="20"/>
      <c r="D3556" s="21"/>
      <c r="E3556" s="21"/>
      <c r="F3556" s="22"/>
      <c r="G3556" s="23"/>
      <c r="H3556" s="24"/>
      <c r="I3556" s="25"/>
      <c r="J3556" s="24"/>
      <c r="K3556" s="20"/>
      <c r="L3556" s="20"/>
      <c r="M3556" s="20"/>
      <c r="N3556" s="20"/>
      <c r="O3556" s="24">
        <v>38.9</v>
      </c>
      <c r="P3556" s="24">
        <v>20</v>
      </c>
      <c r="Q3556" s="25">
        <v>7700</v>
      </c>
      <c r="R3556" s="24">
        <f t="shared" si="998"/>
        <v>299530</v>
      </c>
      <c r="S3556" s="20"/>
      <c r="T3556" s="27"/>
      <c r="U3556" s="20"/>
      <c r="V3556" s="20"/>
      <c r="W3556" s="26">
        <f>(W3554*20/100)</f>
        <v>201693.8</v>
      </c>
      <c r="X3556" s="27"/>
      <c r="Y3556" s="20"/>
      <c r="Z3556" s="20"/>
    </row>
    <row r="3557" spans="1:26" s="29" customFormat="1" ht="90.75" customHeight="1" x14ac:dyDescent="0.25">
      <c r="A3557" s="37"/>
      <c r="B3557" s="37"/>
      <c r="C3557" s="37"/>
      <c r="D3557" s="37"/>
      <c r="E3557" s="37"/>
      <c r="F3557" s="37"/>
      <c r="G3557" s="91"/>
      <c r="H3557" s="36"/>
      <c r="I3557" s="25"/>
      <c r="J3557" s="37"/>
      <c r="K3557" s="30"/>
      <c r="L3557" s="20"/>
      <c r="M3557" s="35"/>
      <c r="N3557" s="30"/>
      <c r="O3557" s="24">
        <v>38.9</v>
      </c>
      <c r="P3557" s="24">
        <v>20</v>
      </c>
      <c r="Q3557" s="25">
        <v>7700</v>
      </c>
      <c r="R3557" s="24">
        <f t="shared" si="998"/>
        <v>299530</v>
      </c>
      <c r="S3557" s="84"/>
      <c r="T3557" s="28"/>
      <c r="U3557" s="84"/>
      <c r="V3557" s="36"/>
      <c r="W3557" s="26">
        <f>(W3554*20/100)</f>
        <v>201693.8</v>
      </c>
      <c r="X3557" s="28">
        <v>0</v>
      </c>
      <c r="Y3557" s="26">
        <f>(W3557-X3557)</f>
        <v>201693.8</v>
      </c>
      <c r="Z3557" s="49">
        <v>2.0000000000000001E-4</v>
      </c>
    </row>
    <row r="3558" spans="1:26" s="29" customFormat="1" ht="90.75" customHeight="1" x14ac:dyDescent="0.25">
      <c r="A3558" s="37"/>
      <c r="B3558" s="37"/>
      <c r="C3558" s="37"/>
      <c r="D3558" s="37"/>
      <c r="E3558" s="37"/>
      <c r="F3558" s="37"/>
      <c r="G3558" s="91"/>
      <c r="H3558" s="36"/>
      <c r="I3558" s="25"/>
      <c r="J3558" s="37"/>
      <c r="K3558" s="30"/>
      <c r="L3558" s="20"/>
      <c r="M3558" s="35"/>
      <c r="N3558" s="30"/>
      <c r="O3558" s="24">
        <v>38.9</v>
      </c>
      <c r="P3558" s="24">
        <v>20</v>
      </c>
      <c r="Q3558" s="25">
        <v>7700</v>
      </c>
      <c r="R3558" s="24">
        <f t="shared" si="998"/>
        <v>299530</v>
      </c>
      <c r="S3558" s="84"/>
      <c r="T3558" s="28"/>
      <c r="U3558" s="84"/>
      <c r="V3558" s="36"/>
      <c r="W3558" s="26">
        <f>(W3554*20/100)</f>
        <v>201693.8</v>
      </c>
      <c r="X3558" s="28">
        <v>0</v>
      </c>
      <c r="Y3558" s="26">
        <f t="shared" ref="Y3558:Y3559" si="999">(W3558-X3558)</f>
        <v>201693.8</v>
      </c>
      <c r="Z3558" s="49">
        <v>2.0000000000000001E-4</v>
      </c>
    </row>
    <row r="3559" spans="1:26" s="29" customFormat="1" ht="90.75" customHeight="1" x14ac:dyDescent="0.25">
      <c r="A3559" s="37"/>
      <c r="B3559" s="37"/>
      <c r="C3559" s="37"/>
      <c r="D3559" s="37"/>
      <c r="E3559" s="37"/>
      <c r="F3559" s="37"/>
      <c r="G3559" s="91"/>
      <c r="H3559" s="36"/>
      <c r="I3559" s="25"/>
      <c r="J3559" s="37"/>
      <c r="K3559" s="30"/>
      <c r="L3559" s="20"/>
      <c r="M3559" s="35"/>
      <c r="N3559" s="30"/>
      <c r="O3559" s="24">
        <v>38.9</v>
      </c>
      <c r="P3559" s="24">
        <v>20</v>
      </c>
      <c r="Q3559" s="25">
        <v>7700</v>
      </c>
      <c r="R3559" s="24">
        <f t="shared" si="998"/>
        <v>299530</v>
      </c>
      <c r="S3559" s="84"/>
      <c r="T3559" s="28"/>
      <c r="U3559" s="84"/>
      <c r="V3559" s="36"/>
      <c r="W3559" s="26">
        <f>(W3554*20/100)</f>
        <v>201693.8</v>
      </c>
      <c r="X3559" s="28">
        <v>0</v>
      </c>
      <c r="Y3559" s="26">
        <f t="shared" si="999"/>
        <v>201693.8</v>
      </c>
      <c r="Z3559" s="49">
        <v>2.0000000000000001E-4</v>
      </c>
    </row>
    <row r="3560" spans="1:26" s="29" customFormat="1" ht="90.75" customHeight="1" x14ac:dyDescent="0.25">
      <c r="A3560" s="20">
        <v>1699</v>
      </c>
      <c r="B3560" s="20" t="s">
        <v>0</v>
      </c>
      <c r="C3560" s="20">
        <v>10075</v>
      </c>
      <c r="D3560" s="21">
        <v>0</v>
      </c>
      <c r="E3560" s="21">
        <v>3</v>
      </c>
      <c r="F3560" s="22">
        <v>83</v>
      </c>
      <c r="G3560" s="91" t="s">
        <v>211</v>
      </c>
      <c r="H3560" s="24">
        <f t="shared" ref="H3560" si="1000">(D3560*400)+(E3560*100)+F3560</f>
        <v>383</v>
      </c>
      <c r="I3560" s="25">
        <v>575</v>
      </c>
      <c r="J3560" s="24">
        <f>(H3560*I3560)</f>
        <v>220225</v>
      </c>
      <c r="K3560" s="30">
        <v>1</v>
      </c>
      <c r="L3560" s="20" t="s">
        <v>16</v>
      </c>
      <c r="M3560" s="35" t="s">
        <v>51</v>
      </c>
      <c r="N3560" s="30">
        <v>5</v>
      </c>
      <c r="O3560" s="28">
        <v>162</v>
      </c>
      <c r="P3560" s="86">
        <v>100</v>
      </c>
      <c r="Q3560" s="40">
        <v>6450</v>
      </c>
      <c r="R3560" s="36">
        <f t="shared" si="998"/>
        <v>1044900</v>
      </c>
      <c r="S3560" s="84">
        <v>30</v>
      </c>
      <c r="T3560" s="28">
        <f>(R3560*50/100)</f>
        <v>522450</v>
      </c>
      <c r="U3560" s="36">
        <f>(R3560-T3560)</f>
        <v>522450</v>
      </c>
      <c r="V3560" s="36">
        <f>(J3560+U3560)</f>
        <v>742675</v>
      </c>
      <c r="W3560" s="26">
        <f>(V3560*100/100)</f>
        <v>742675</v>
      </c>
      <c r="X3560" s="28"/>
      <c r="Y3560" s="26"/>
      <c r="Z3560" s="53"/>
    </row>
    <row r="3561" spans="1:26" s="29" customFormat="1" ht="90.75" customHeight="1" x14ac:dyDescent="0.25">
      <c r="A3561" s="37"/>
      <c r="B3561" s="37"/>
      <c r="C3561" s="37"/>
      <c r="D3561" s="37"/>
      <c r="E3561" s="37"/>
      <c r="F3561" s="37"/>
      <c r="G3561" s="91"/>
      <c r="H3561" s="36"/>
      <c r="I3561" s="25"/>
      <c r="J3561" s="37"/>
      <c r="K3561" s="30"/>
      <c r="L3561" s="20"/>
      <c r="M3561" s="35"/>
      <c r="N3561" s="30"/>
      <c r="O3561" s="28">
        <v>147</v>
      </c>
      <c r="P3561" s="86">
        <v>90.74</v>
      </c>
      <c r="Q3561" s="40"/>
      <c r="R3561" s="36"/>
      <c r="S3561" s="84"/>
      <c r="T3561" s="28"/>
      <c r="U3561" s="84"/>
      <c r="V3561" s="36"/>
      <c r="W3561" s="36">
        <f>(W3560*90.74/100)</f>
        <v>673903.29500000004</v>
      </c>
      <c r="X3561" s="28">
        <v>50000000</v>
      </c>
      <c r="Y3561" s="126">
        <v>0</v>
      </c>
      <c r="Z3561" s="53"/>
    </row>
    <row r="3562" spans="1:26" s="29" customFormat="1" ht="90.75" customHeight="1" x14ac:dyDescent="0.25">
      <c r="A3562" s="37"/>
      <c r="B3562" s="37"/>
      <c r="C3562" s="37"/>
      <c r="D3562" s="37"/>
      <c r="E3562" s="37"/>
      <c r="F3562" s="37"/>
      <c r="G3562" s="91"/>
      <c r="H3562" s="36"/>
      <c r="I3562" s="25"/>
      <c r="J3562" s="37"/>
      <c r="K3562" s="30"/>
      <c r="L3562" s="20"/>
      <c r="M3562" s="35"/>
      <c r="N3562" s="30"/>
      <c r="O3562" s="28">
        <v>15</v>
      </c>
      <c r="P3562" s="86">
        <v>9.26</v>
      </c>
      <c r="Q3562" s="40"/>
      <c r="R3562" s="36"/>
      <c r="S3562" s="84"/>
      <c r="T3562" s="28"/>
      <c r="U3562" s="84"/>
      <c r="V3562" s="36"/>
      <c r="W3562" s="36">
        <f>(W3560*9.26/100)</f>
        <v>68771.705000000002</v>
      </c>
      <c r="X3562" s="27">
        <v>0</v>
      </c>
      <c r="Y3562" s="80">
        <f t="shared" ref="Y3562" si="1001">(W3562-X3562)</f>
        <v>68771.705000000002</v>
      </c>
      <c r="Z3562" s="49">
        <v>3.0000000000000001E-3</v>
      </c>
    </row>
    <row r="3563" spans="1:26" s="29" customFormat="1" ht="90.75" customHeight="1" x14ac:dyDescent="0.25">
      <c r="A3563" s="37">
        <v>1700</v>
      </c>
      <c r="B3563" s="20" t="s">
        <v>0</v>
      </c>
      <c r="C3563" s="20">
        <v>38805</v>
      </c>
      <c r="D3563" s="21">
        <v>0</v>
      </c>
      <c r="E3563" s="21">
        <v>1</v>
      </c>
      <c r="F3563" s="22">
        <v>62</v>
      </c>
      <c r="G3563" s="91">
        <v>3</v>
      </c>
      <c r="H3563" s="24">
        <v>162</v>
      </c>
      <c r="I3563" s="25">
        <v>875</v>
      </c>
      <c r="J3563" s="24">
        <v>141750</v>
      </c>
      <c r="K3563" s="30"/>
      <c r="L3563" s="20"/>
      <c r="M3563" s="20"/>
      <c r="N3563" s="30"/>
      <c r="O3563" s="28"/>
      <c r="P3563" s="86"/>
      <c r="Q3563" s="40"/>
      <c r="R3563" s="36"/>
      <c r="S3563" s="84"/>
      <c r="T3563" s="28"/>
      <c r="U3563" s="84"/>
      <c r="V3563" s="36"/>
      <c r="W3563" s="36"/>
      <c r="X3563" s="28"/>
      <c r="Y3563" s="26"/>
      <c r="Z3563" s="53"/>
    </row>
    <row r="3564" spans="1:26" s="29" customFormat="1" ht="90.75" customHeight="1" x14ac:dyDescent="0.25">
      <c r="A3564" s="37"/>
      <c r="B3564" s="37"/>
      <c r="C3564" s="37"/>
      <c r="D3564" s="37"/>
      <c r="E3564" s="37"/>
      <c r="F3564" s="37"/>
      <c r="G3564" s="91"/>
      <c r="H3564" s="36"/>
      <c r="I3564" s="25"/>
      <c r="J3564" s="37"/>
      <c r="K3564" s="30">
        <v>1</v>
      </c>
      <c r="L3564" s="20" t="s">
        <v>215</v>
      </c>
      <c r="M3564" s="20" t="s">
        <v>13</v>
      </c>
      <c r="N3564" s="24">
        <v>3</v>
      </c>
      <c r="O3564" s="28">
        <v>105</v>
      </c>
      <c r="P3564" s="86">
        <v>100</v>
      </c>
      <c r="Q3564" s="40">
        <v>6450</v>
      </c>
      <c r="R3564" s="36">
        <v>677250</v>
      </c>
      <c r="S3564" s="84">
        <v>22</v>
      </c>
      <c r="T3564" s="28">
        <f>(R3564*34/100)</f>
        <v>230265</v>
      </c>
      <c r="U3564" s="36">
        <f>(R3564-T3564)</f>
        <v>446985</v>
      </c>
      <c r="V3564" s="36"/>
      <c r="W3564" s="36"/>
      <c r="X3564" s="28"/>
      <c r="Y3564" s="26"/>
      <c r="Z3564" s="53"/>
    </row>
    <row r="3565" spans="1:26" s="29" customFormat="1" ht="90.75" customHeight="1" x14ac:dyDescent="0.25">
      <c r="A3565" s="37"/>
      <c r="B3565" s="37"/>
      <c r="C3565" s="37"/>
      <c r="D3565" s="37"/>
      <c r="E3565" s="37"/>
      <c r="F3565" s="37"/>
      <c r="G3565" s="91"/>
      <c r="H3565" s="36"/>
      <c r="I3565" s="25"/>
      <c r="J3565" s="37"/>
      <c r="K3565" s="30">
        <v>2</v>
      </c>
      <c r="L3565" s="20" t="s">
        <v>31</v>
      </c>
      <c r="M3565" s="35"/>
      <c r="N3565" s="30">
        <v>3</v>
      </c>
      <c r="O3565" s="28">
        <v>36</v>
      </c>
      <c r="P3565" s="86">
        <v>100</v>
      </c>
      <c r="Q3565" s="40">
        <v>2550</v>
      </c>
      <c r="R3565" s="36">
        <v>91800</v>
      </c>
      <c r="S3565" s="84">
        <v>22</v>
      </c>
      <c r="T3565" s="28">
        <f>(R3565*34/100)</f>
        <v>31212</v>
      </c>
      <c r="U3565" s="36">
        <f>(R3565-T3565)</f>
        <v>60588</v>
      </c>
      <c r="V3565" s="36"/>
      <c r="W3565" s="36"/>
      <c r="X3565" s="28"/>
      <c r="Y3565" s="26"/>
      <c r="Z3565" s="53"/>
    </row>
    <row r="3566" spans="1:26" s="29" customFormat="1" ht="90.75" customHeight="1" x14ac:dyDescent="0.25">
      <c r="A3566" s="37"/>
      <c r="B3566" s="37"/>
      <c r="C3566" s="37"/>
      <c r="D3566" s="37"/>
      <c r="E3566" s="37"/>
      <c r="F3566" s="37"/>
      <c r="G3566" s="91"/>
      <c r="H3566" s="36"/>
      <c r="I3566" s="25"/>
      <c r="J3566" s="37"/>
      <c r="K3566" s="30"/>
      <c r="L3566" s="20"/>
      <c r="M3566" s="35"/>
      <c r="N3566" s="30"/>
      <c r="O3566" s="28"/>
      <c r="P3566" s="86"/>
      <c r="Q3566" s="40"/>
      <c r="R3566" s="36"/>
      <c r="S3566" s="84"/>
      <c r="T3566" s="28"/>
      <c r="U3566" s="36">
        <f>SUM(U3564:U3565)</f>
        <v>507573</v>
      </c>
      <c r="V3566" s="36">
        <f>(J3563+U3566)</f>
        <v>649323</v>
      </c>
      <c r="W3566" s="36">
        <f>(V3566*100/100)</f>
        <v>649323</v>
      </c>
      <c r="X3566" s="28">
        <v>0</v>
      </c>
      <c r="Y3566" s="26">
        <f>(W3566-X3566)</f>
        <v>649323</v>
      </c>
      <c r="Z3566" s="49">
        <v>2.0000000000000001E-4</v>
      </c>
    </row>
    <row r="3567" spans="1:26" s="29" customFormat="1" ht="90.75" customHeight="1" x14ac:dyDescent="0.25">
      <c r="A3567" s="37">
        <v>1701</v>
      </c>
      <c r="B3567" s="20" t="s">
        <v>0</v>
      </c>
      <c r="C3567" s="20">
        <v>10461</v>
      </c>
      <c r="D3567" s="37">
        <v>1</v>
      </c>
      <c r="E3567" s="37">
        <v>3</v>
      </c>
      <c r="F3567" s="37">
        <v>34</v>
      </c>
      <c r="G3567" s="91">
        <v>2</v>
      </c>
      <c r="H3567" s="24">
        <v>734</v>
      </c>
      <c r="I3567" s="25" t="s">
        <v>116</v>
      </c>
      <c r="J3567" s="24">
        <f>(H3567*I3567)</f>
        <v>715650</v>
      </c>
      <c r="K3567" s="30"/>
      <c r="L3567" s="20"/>
      <c r="M3567" s="20"/>
      <c r="N3567" s="20"/>
      <c r="O3567" s="26"/>
      <c r="P3567" s="86"/>
      <c r="Q3567" s="40"/>
      <c r="R3567" s="36"/>
      <c r="S3567" s="84"/>
      <c r="T3567" s="28"/>
      <c r="U3567" s="84"/>
      <c r="V3567" s="36"/>
      <c r="W3567" s="36"/>
      <c r="X3567" s="28"/>
      <c r="Y3567" s="26"/>
      <c r="Z3567" s="53"/>
    </row>
    <row r="3568" spans="1:26" s="29" customFormat="1" ht="90.75" customHeight="1" x14ac:dyDescent="0.25">
      <c r="A3568" s="37"/>
      <c r="B3568" s="37"/>
      <c r="C3568" s="37"/>
      <c r="D3568" s="37"/>
      <c r="E3568" s="37"/>
      <c r="F3568" s="37"/>
      <c r="G3568" s="91"/>
      <c r="H3568" s="36"/>
      <c r="I3568" s="25"/>
      <c r="J3568" s="37"/>
      <c r="K3568" s="30">
        <v>1</v>
      </c>
      <c r="L3568" s="20" t="s">
        <v>215</v>
      </c>
      <c r="M3568" s="20"/>
      <c r="N3568" s="20">
        <v>2</v>
      </c>
      <c r="O3568" s="26">
        <v>39</v>
      </c>
      <c r="P3568" s="86">
        <v>100</v>
      </c>
      <c r="Q3568" s="40">
        <v>6450</v>
      </c>
      <c r="R3568" s="36">
        <v>251550</v>
      </c>
      <c r="S3568" s="84">
        <v>6</v>
      </c>
      <c r="T3568" s="28">
        <f>(R3568*6/100)</f>
        <v>15093</v>
      </c>
      <c r="U3568" s="36">
        <f>(R3568-T3568)</f>
        <v>236457</v>
      </c>
      <c r="V3568" s="36"/>
      <c r="W3568" s="36"/>
      <c r="X3568" s="28"/>
      <c r="Y3568" s="26"/>
      <c r="Z3568" s="53"/>
    </row>
    <row r="3569" spans="1:26" s="29" customFormat="1" ht="90.75" customHeight="1" x14ac:dyDescent="0.25">
      <c r="A3569" s="37"/>
      <c r="B3569" s="37"/>
      <c r="C3569" s="37"/>
      <c r="D3569" s="37"/>
      <c r="E3569" s="37"/>
      <c r="F3569" s="37"/>
      <c r="G3569" s="91"/>
      <c r="H3569" s="36"/>
      <c r="I3569" s="25"/>
      <c r="J3569" s="37"/>
      <c r="K3569" s="30">
        <v>2</v>
      </c>
      <c r="L3569" s="20" t="s">
        <v>31</v>
      </c>
      <c r="M3569" s="20"/>
      <c r="N3569" s="20">
        <v>2</v>
      </c>
      <c r="O3569" s="26">
        <v>89.25</v>
      </c>
      <c r="P3569" s="86">
        <v>100</v>
      </c>
      <c r="Q3569" s="40">
        <v>2550</v>
      </c>
      <c r="R3569" s="36">
        <v>227587.5</v>
      </c>
      <c r="S3569" s="84">
        <v>6</v>
      </c>
      <c r="T3569" s="28">
        <f t="shared" ref="T3569:T3570" si="1002">(R3569*6/100)</f>
        <v>13655.25</v>
      </c>
      <c r="U3569" s="36">
        <f t="shared" ref="U3569:U3570" si="1003">(R3569-T3569)</f>
        <v>213932.25</v>
      </c>
      <c r="V3569" s="36"/>
      <c r="W3569" s="36"/>
      <c r="X3569" s="28"/>
      <c r="Y3569" s="26"/>
      <c r="Z3569" s="53"/>
    </row>
    <row r="3570" spans="1:26" s="29" customFormat="1" ht="90.75" customHeight="1" x14ac:dyDescent="0.25">
      <c r="A3570" s="37"/>
      <c r="B3570" s="37"/>
      <c r="C3570" s="37"/>
      <c r="D3570" s="37"/>
      <c r="E3570" s="37"/>
      <c r="F3570" s="37"/>
      <c r="G3570" s="91"/>
      <c r="H3570" s="36"/>
      <c r="I3570" s="25"/>
      <c r="J3570" s="37"/>
      <c r="K3570" s="30">
        <v>3</v>
      </c>
      <c r="L3570" s="20" t="s">
        <v>215</v>
      </c>
      <c r="M3570" s="35"/>
      <c r="N3570" s="30">
        <v>2</v>
      </c>
      <c r="O3570" s="28">
        <v>50</v>
      </c>
      <c r="P3570" s="86">
        <v>100</v>
      </c>
      <c r="Q3570" s="40">
        <v>6450</v>
      </c>
      <c r="R3570" s="36">
        <v>322500</v>
      </c>
      <c r="S3570" s="84">
        <v>6</v>
      </c>
      <c r="T3570" s="28">
        <f t="shared" si="1002"/>
        <v>19350</v>
      </c>
      <c r="U3570" s="36">
        <f t="shared" si="1003"/>
        <v>303150</v>
      </c>
      <c r="V3570" s="36"/>
      <c r="W3570" s="36"/>
      <c r="X3570" s="28"/>
      <c r="Y3570" s="26"/>
      <c r="Z3570" s="53"/>
    </row>
    <row r="3571" spans="1:26" s="29" customFormat="1" ht="90.75" customHeight="1" x14ac:dyDescent="0.25">
      <c r="A3571" s="37"/>
      <c r="B3571" s="37"/>
      <c r="C3571" s="37"/>
      <c r="D3571" s="37"/>
      <c r="E3571" s="37"/>
      <c r="F3571" s="37"/>
      <c r="G3571" s="20"/>
      <c r="H3571" s="37"/>
      <c r="I3571" s="37"/>
      <c r="J3571" s="37"/>
      <c r="K3571" s="37"/>
      <c r="L3571" s="37"/>
      <c r="M3571" s="37"/>
      <c r="N3571" s="37"/>
      <c r="O3571" s="37"/>
      <c r="P3571" s="37"/>
      <c r="Q3571" s="37"/>
      <c r="R3571" s="37"/>
      <c r="S3571" s="37"/>
      <c r="T3571" s="65"/>
      <c r="U3571" s="128">
        <f>SUM(U3568:U3570)</f>
        <v>753539.25</v>
      </c>
      <c r="V3571" s="65">
        <f>(J3567+U3571)</f>
        <v>1469189.25</v>
      </c>
      <c r="W3571" s="37">
        <f>(V3571*100/100)</f>
        <v>1469189.25</v>
      </c>
      <c r="X3571" s="28">
        <v>0</v>
      </c>
      <c r="Y3571" s="26">
        <v>680085</v>
      </c>
      <c r="Z3571" s="49">
        <v>2.0000000000000001E-4</v>
      </c>
    </row>
    <row r="3572" spans="1:26" s="135" customFormat="1" ht="90.75" customHeight="1" x14ac:dyDescent="0.25">
      <c r="A3572" s="129">
        <v>1702</v>
      </c>
      <c r="B3572" s="127" t="s">
        <v>0</v>
      </c>
      <c r="C3572" s="127">
        <v>12615</v>
      </c>
      <c r="D3572" s="130">
        <v>0</v>
      </c>
      <c r="E3572" s="130">
        <v>1</v>
      </c>
      <c r="F3572" s="131">
        <v>63</v>
      </c>
      <c r="G3572" s="91">
        <v>1</v>
      </c>
      <c r="H3572" s="24">
        <v>163</v>
      </c>
      <c r="I3572" s="131">
        <v>625</v>
      </c>
      <c r="J3572" s="24">
        <v>101875</v>
      </c>
      <c r="K3572" s="132"/>
      <c r="L3572" s="20"/>
      <c r="M3572" s="133"/>
      <c r="N3572" s="133"/>
      <c r="O3572" s="129"/>
      <c r="P3572" s="129"/>
      <c r="Q3572" s="129"/>
      <c r="R3572" s="129"/>
      <c r="S3572" s="129"/>
      <c r="T3572" s="134"/>
      <c r="U3572" s="129"/>
      <c r="V3572" s="129"/>
      <c r="W3572" s="129"/>
      <c r="X3572" s="129"/>
      <c r="Y3572" s="129"/>
      <c r="Z3572" s="136"/>
    </row>
    <row r="3573" spans="1:26" s="135" customFormat="1" ht="90.75" customHeight="1" x14ac:dyDescent="0.25">
      <c r="A3573" s="129"/>
      <c r="B3573" s="129"/>
      <c r="C3573" s="129"/>
      <c r="D3573" s="129"/>
      <c r="E3573" s="129"/>
      <c r="F3573" s="129"/>
      <c r="G3573" s="136"/>
      <c r="H3573" s="129">
        <v>153.37</v>
      </c>
      <c r="I3573" s="129">
        <v>625</v>
      </c>
      <c r="J3573" s="37">
        <v>95856.25</v>
      </c>
      <c r="K3573" s="37">
        <v>1</v>
      </c>
      <c r="L3573" s="20" t="s">
        <v>215</v>
      </c>
      <c r="M3573" s="37" t="s">
        <v>40</v>
      </c>
      <c r="N3573" s="79">
        <v>3</v>
      </c>
      <c r="O3573" s="65">
        <v>72.25</v>
      </c>
      <c r="P3573" s="65">
        <v>100</v>
      </c>
      <c r="Q3573" s="65">
        <v>6450</v>
      </c>
      <c r="R3573" s="65">
        <f>(O3573*Q3573)</f>
        <v>466012.5</v>
      </c>
      <c r="S3573" s="79">
        <v>42</v>
      </c>
      <c r="T3573" s="28">
        <f>(R3573*93/100)</f>
        <v>433391.625</v>
      </c>
      <c r="U3573" s="65">
        <f>(R3573-T3573)</f>
        <v>32620.875</v>
      </c>
      <c r="V3573" s="65">
        <f>(J3573+U3573)</f>
        <v>128477.125</v>
      </c>
      <c r="W3573" s="65">
        <f>(V3573*100/100)</f>
        <v>128477.125</v>
      </c>
      <c r="X3573" s="65">
        <v>50000000</v>
      </c>
      <c r="Y3573" s="35"/>
      <c r="Z3573" s="20"/>
    </row>
    <row r="3574" spans="1:26" s="135" customFormat="1" ht="90.75" customHeight="1" x14ac:dyDescent="0.25">
      <c r="A3574" s="129"/>
      <c r="B3574" s="129"/>
      <c r="C3574" s="129"/>
      <c r="D3574" s="129"/>
      <c r="E3574" s="129"/>
      <c r="F3574" s="129"/>
      <c r="G3574" s="136"/>
      <c r="H3574" s="129">
        <v>9.625</v>
      </c>
      <c r="I3574" s="129">
        <v>625</v>
      </c>
      <c r="J3574" s="37">
        <v>6015.625</v>
      </c>
      <c r="K3574" s="37">
        <v>2</v>
      </c>
      <c r="L3574" s="20" t="s">
        <v>215</v>
      </c>
      <c r="M3574" s="37" t="s">
        <v>13</v>
      </c>
      <c r="N3574" s="79">
        <v>2</v>
      </c>
      <c r="O3574" s="65">
        <v>38.5</v>
      </c>
      <c r="P3574" s="65">
        <v>100</v>
      </c>
      <c r="Q3574" s="65">
        <v>6450</v>
      </c>
      <c r="R3574" s="65">
        <f>(O3574*Q3574)</f>
        <v>248325</v>
      </c>
      <c r="S3574" s="79">
        <v>32</v>
      </c>
      <c r="T3574" s="28">
        <f>(R3574*34/100)</f>
        <v>84430.5</v>
      </c>
      <c r="U3574" s="65">
        <f>(R3574-T3574)</f>
        <v>163894.5</v>
      </c>
      <c r="V3574" s="65">
        <f>(J3574+U3574)</f>
        <v>169910.125</v>
      </c>
      <c r="W3574" s="65">
        <f>(V3574*100/100)</f>
        <v>169910.125</v>
      </c>
      <c r="X3574" s="65"/>
      <c r="Y3574" s="35"/>
      <c r="Z3574" s="20"/>
    </row>
    <row r="3575" spans="1:26" s="135" customFormat="1" ht="90.75" customHeight="1" x14ac:dyDescent="0.25">
      <c r="A3575" s="129"/>
      <c r="B3575" s="129"/>
      <c r="C3575" s="129"/>
      <c r="D3575" s="129"/>
      <c r="E3575" s="129"/>
      <c r="F3575" s="129"/>
      <c r="G3575" s="136"/>
      <c r="H3575" s="129"/>
      <c r="I3575" s="129"/>
      <c r="J3575" s="129"/>
      <c r="K3575" s="129"/>
      <c r="L3575" s="20" t="s">
        <v>69</v>
      </c>
      <c r="M3575" s="37"/>
      <c r="N3575" s="129"/>
      <c r="O3575" s="65">
        <v>11</v>
      </c>
      <c r="P3575" s="65">
        <v>28.57</v>
      </c>
      <c r="Q3575" s="37"/>
      <c r="R3575" s="37"/>
      <c r="S3575" s="37"/>
      <c r="T3575" s="65"/>
      <c r="U3575" s="37"/>
      <c r="V3575" s="37"/>
      <c r="W3575" s="65">
        <f>(V3574*28.57/100)</f>
        <v>48543.322712500005</v>
      </c>
      <c r="X3575" s="65">
        <v>10000000</v>
      </c>
      <c r="Y3575" s="65"/>
      <c r="Z3575" s="27"/>
    </row>
    <row r="3576" spans="1:26" s="135" customFormat="1" ht="90.75" customHeight="1" x14ac:dyDescent="0.25">
      <c r="A3576" s="129"/>
      <c r="B3576" s="129"/>
      <c r="C3576" s="129"/>
      <c r="D3576" s="129"/>
      <c r="E3576" s="129"/>
      <c r="F3576" s="129"/>
      <c r="G3576" s="136"/>
      <c r="H3576" s="129"/>
      <c r="I3576" s="129"/>
      <c r="J3576" s="129"/>
      <c r="K3576" s="129"/>
      <c r="L3576" s="20" t="s">
        <v>29</v>
      </c>
      <c r="M3576" s="37" t="s">
        <v>13</v>
      </c>
      <c r="N3576" s="37">
        <v>3</v>
      </c>
      <c r="O3576" s="37">
        <v>27.5</v>
      </c>
      <c r="P3576" s="37">
        <v>71.430000000000007</v>
      </c>
      <c r="Q3576" s="37"/>
      <c r="R3576" s="37"/>
      <c r="S3576" s="37"/>
      <c r="T3576" s="65"/>
      <c r="U3576" s="37"/>
      <c r="V3576" s="37"/>
      <c r="W3576" s="65">
        <f>(V3574*71.43/100)</f>
        <v>121366.80228750002</v>
      </c>
      <c r="X3576" s="28">
        <v>0</v>
      </c>
      <c r="Y3576" s="24">
        <f>(W3576-X3576)</f>
        <v>121366.80228750002</v>
      </c>
      <c r="Z3576" s="49">
        <v>3.0000000000000001E-3</v>
      </c>
    </row>
    <row r="3577" spans="1:26" s="29" customFormat="1" ht="75.75" customHeight="1" x14ac:dyDescent="0.25">
      <c r="G3577" s="50"/>
      <c r="T3577" s="137"/>
      <c r="X3577" s="137"/>
      <c r="Z3577" s="50"/>
    </row>
    <row r="3578" spans="1:26" s="29" customFormat="1" ht="75.75" customHeight="1" x14ac:dyDescent="0.25">
      <c r="G3578" s="50"/>
      <c r="T3578" s="137"/>
      <c r="X3578" s="137"/>
      <c r="Z3578" s="50"/>
    </row>
    <row r="3579" spans="1:26" s="29" customFormat="1" ht="75.75" customHeight="1" x14ac:dyDescent="0.25">
      <c r="G3579" s="50"/>
      <c r="T3579" s="137"/>
      <c r="X3579" s="137"/>
      <c r="Z3579" s="50"/>
    </row>
    <row r="3580" spans="1:26" ht="75.75" customHeight="1" x14ac:dyDescent="0.25">
      <c r="G3580" s="5"/>
      <c r="H3580" s="2"/>
      <c r="I3580" s="2"/>
      <c r="K3580" s="2"/>
      <c r="L3580" s="2"/>
      <c r="M3580" s="2"/>
      <c r="N3580" s="2"/>
      <c r="O3580" s="2"/>
      <c r="P3580" s="2"/>
      <c r="Q3580" s="2"/>
      <c r="R3580" s="2"/>
      <c r="S3580" s="2"/>
      <c r="T3580" s="19"/>
      <c r="U3580" s="2"/>
      <c r="V3580" s="2"/>
      <c r="W3580" s="2"/>
      <c r="X3580" s="19"/>
      <c r="Y3580" s="2"/>
      <c r="Z3580" s="5"/>
    </row>
    <row r="3581" spans="1:26" ht="75.75" customHeight="1" x14ac:dyDescent="0.25">
      <c r="G3581" s="5"/>
      <c r="H3581" s="2"/>
      <c r="I3581" s="2"/>
      <c r="K3581" s="2"/>
      <c r="L3581" s="2"/>
      <c r="M3581" s="2"/>
      <c r="N3581" s="2"/>
      <c r="O3581" s="2"/>
      <c r="P3581" s="2"/>
      <c r="Q3581" s="2"/>
      <c r="R3581" s="2"/>
      <c r="S3581" s="2"/>
      <c r="T3581" s="19"/>
      <c r="U3581" s="2"/>
      <c r="V3581" s="2"/>
      <c r="W3581" s="2"/>
      <c r="X3581" s="19"/>
      <c r="Y3581" s="2"/>
      <c r="Z3581" s="5"/>
    </row>
    <row r="3582" spans="1:26" ht="75.75" customHeight="1" x14ac:dyDescent="0.25">
      <c r="G3582" s="5"/>
      <c r="H3582" s="2"/>
      <c r="I3582" s="2"/>
      <c r="K3582" s="2"/>
      <c r="L3582" s="2"/>
      <c r="M3582" s="2"/>
      <c r="N3582" s="2"/>
      <c r="O3582" s="2"/>
      <c r="P3582" s="2"/>
      <c r="Q3582" s="2"/>
      <c r="R3582" s="2"/>
      <c r="S3582" s="2"/>
      <c r="T3582" s="19"/>
      <c r="U3582" s="2"/>
      <c r="V3582" s="2"/>
      <c r="W3582" s="2"/>
      <c r="X3582" s="19"/>
      <c r="Y3582" s="2"/>
      <c r="Z3582" s="5"/>
    </row>
    <row r="3583" spans="1:26" ht="75.75" customHeight="1" x14ac:dyDescent="0.25">
      <c r="G3583" s="5"/>
      <c r="H3583" s="2"/>
      <c r="I3583" s="2"/>
      <c r="K3583" s="2"/>
      <c r="L3583" s="2"/>
      <c r="M3583" s="2"/>
      <c r="N3583" s="2"/>
      <c r="O3583" s="2"/>
      <c r="P3583" s="2"/>
      <c r="Q3583" s="2"/>
      <c r="R3583" s="2"/>
      <c r="S3583" s="2"/>
      <c r="T3583" s="19"/>
      <c r="U3583" s="2"/>
      <c r="V3583" s="2"/>
      <c r="W3583" s="2"/>
      <c r="X3583" s="19"/>
      <c r="Y3583" s="2"/>
      <c r="Z3583" s="5"/>
    </row>
    <row r="3584" spans="1:26" ht="75.75" customHeight="1" x14ac:dyDescent="0.25">
      <c r="G3584" s="5"/>
      <c r="H3584" s="2"/>
      <c r="I3584" s="2"/>
      <c r="K3584" s="2"/>
      <c r="L3584" s="2"/>
      <c r="M3584" s="2"/>
      <c r="N3584" s="2"/>
      <c r="O3584" s="2"/>
      <c r="P3584" s="2"/>
      <c r="Q3584" s="2"/>
      <c r="R3584" s="2"/>
      <c r="S3584" s="2"/>
      <c r="T3584" s="19"/>
      <c r="U3584" s="2"/>
      <c r="V3584" s="2"/>
      <c r="W3584" s="2"/>
      <c r="X3584" s="19"/>
      <c r="Y3584" s="2"/>
      <c r="Z3584" s="5"/>
    </row>
    <row r="3585" spans="7:26" ht="75.75" customHeight="1" x14ac:dyDescent="0.25">
      <c r="G3585" s="5"/>
      <c r="H3585" s="2"/>
      <c r="I3585" s="2"/>
      <c r="K3585" s="2"/>
      <c r="L3585" s="2"/>
      <c r="M3585" s="2"/>
      <c r="N3585" s="2"/>
      <c r="O3585" s="2"/>
      <c r="P3585" s="2"/>
      <c r="Q3585" s="2"/>
      <c r="R3585" s="2"/>
      <c r="S3585" s="2"/>
      <c r="T3585" s="19"/>
      <c r="U3585" s="2"/>
      <c r="V3585" s="2"/>
      <c r="W3585" s="2"/>
      <c r="X3585" s="19"/>
      <c r="Y3585" s="2"/>
      <c r="Z3585" s="5"/>
    </row>
    <row r="3586" spans="7:26" ht="75.75" customHeight="1" x14ac:dyDescent="0.25">
      <c r="G3586" s="5"/>
      <c r="H3586" s="2"/>
      <c r="I3586" s="2"/>
      <c r="K3586" s="2"/>
      <c r="L3586" s="2"/>
      <c r="M3586" s="2"/>
      <c r="N3586" s="2"/>
      <c r="O3586" s="2"/>
      <c r="P3586" s="2"/>
      <c r="Q3586" s="2"/>
      <c r="R3586" s="2"/>
      <c r="S3586" s="2"/>
      <c r="T3586" s="19"/>
      <c r="U3586" s="2"/>
      <c r="V3586" s="2"/>
      <c r="W3586" s="2"/>
      <c r="X3586" s="19"/>
      <c r="Y3586" s="2"/>
      <c r="Z3586" s="5"/>
    </row>
    <row r="3587" spans="7:26" ht="75.75" customHeight="1" x14ac:dyDescent="0.25">
      <c r="G3587" s="5"/>
      <c r="H3587" s="2"/>
      <c r="I3587" s="2"/>
      <c r="K3587" s="2"/>
      <c r="L3587" s="2"/>
      <c r="M3587" s="2"/>
      <c r="N3587" s="2"/>
      <c r="O3587" s="2"/>
      <c r="P3587" s="2"/>
      <c r="Q3587" s="2"/>
      <c r="R3587" s="2"/>
      <c r="S3587" s="2"/>
      <c r="T3587" s="19"/>
      <c r="U3587" s="2"/>
      <c r="V3587" s="2"/>
      <c r="W3587" s="2"/>
      <c r="X3587" s="19"/>
      <c r="Y3587" s="2"/>
      <c r="Z3587" s="5"/>
    </row>
    <row r="3588" spans="7:26" ht="75.75" customHeight="1" x14ac:dyDescent="0.25">
      <c r="G3588" s="5"/>
      <c r="H3588" s="2"/>
      <c r="I3588" s="2"/>
      <c r="K3588" s="2"/>
      <c r="L3588" s="2"/>
      <c r="M3588" s="2"/>
      <c r="N3588" s="2"/>
      <c r="O3588" s="2"/>
      <c r="P3588" s="2"/>
      <c r="Q3588" s="2"/>
      <c r="R3588" s="2"/>
      <c r="S3588" s="2"/>
      <c r="T3588" s="19"/>
      <c r="U3588" s="2"/>
      <c r="V3588" s="2"/>
      <c r="W3588" s="2"/>
      <c r="X3588" s="19"/>
      <c r="Y3588" s="2"/>
      <c r="Z3588" s="5"/>
    </row>
    <row r="3589" spans="7:26" ht="75.75" customHeight="1" x14ac:dyDescent="0.25">
      <c r="G3589" s="5"/>
      <c r="H3589" s="2"/>
      <c r="I3589" s="2"/>
      <c r="K3589" s="2"/>
      <c r="L3589" s="2"/>
      <c r="M3589" s="2"/>
      <c r="N3589" s="2"/>
      <c r="O3589" s="2"/>
      <c r="P3589" s="2"/>
      <c r="Q3589" s="2"/>
      <c r="R3589" s="2"/>
      <c r="S3589" s="2"/>
      <c r="T3589" s="19"/>
      <c r="U3589" s="2"/>
      <c r="V3589" s="2"/>
      <c r="W3589" s="2"/>
      <c r="X3589" s="19"/>
      <c r="Y3589" s="2"/>
      <c r="Z3589" s="5"/>
    </row>
    <row r="3590" spans="7:26" ht="75.75" customHeight="1" x14ac:dyDescent="0.25">
      <c r="G3590" s="5"/>
      <c r="H3590" s="2"/>
      <c r="I3590" s="2"/>
      <c r="K3590" s="2"/>
      <c r="L3590" s="2"/>
      <c r="M3590" s="2"/>
      <c r="N3590" s="2"/>
      <c r="O3590" s="2"/>
      <c r="P3590" s="2"/>
      <c r="Q3590" s="2"/>
      <c r="R3590" s="2"/>
      <c r="S3590" s="2"/>
      <c r="T3590" s="19"/>
      <c r="U3590" s="2"/>
      <c r="V3590" s="2"/>
      <c r="W3590" s="2"/>
      <c r="X3590" s="19"/>
      <c r="Y3590" s="2"/>
      <c r="Z3590" s="5"/>
    </row>
    <row r="3591" spans="7:26" ht="75.75" customHeight="1" x14ac:dyDescent="0.25">
      <c r="G3591" s="5"/>
      <c r="H3591" s="2"/>
      <c r="I3591" s="2"/>
      <c r="K3591" s="2"/>
      <c r="L3591" s="2"/>
      <c r="M3591" s="2"/>
      <c r="N3591" s="2"/>
      <c r="O3591" s="2"/>
      <c r="P3591" s="2"/>
      <c r="Q3591" s="2"/>
      <c r="R3591" s="2"/>
      <c r="S3591" s="2"/>
      <c r="T3591" s="19"/>
      <c r="U3591" s="2"/>
      <c r="V3591" s="2"/>
      <c r="W3591" s="2"/>
      <c r="X3591" s="19"/>
      <c r="Y3591" s="2"/>
      <c r="Z3591" s="5"/>
    </row>
    <row r="3592" spans="7:26" ht="75.75" customHeight="1" x14ac:dyDescent="0.25">
      <c r="G3592" s="5"/>
      <c r="H3592" s="2"/>
      <c r="I3592" s="2"/>
      <c r="K3592" s="2"/>
      <c r="L3592" s="2"/>
      <c r="M3592" s="2"/>
      <c r="N3592" s="2"/>
      <c r="O3592" s="2"/>
      <c r="P3592" s="2"/>
      <c r="Q3592" s="2"/>
      <c r="R3592" s="2"/>
      <c r="S3592" s="2"/>
      <c r="T3592" s="19"/>
      <c r="U3592" s="2"/>
      <c r="V3592" s="2"/>
      <c r="W3592" s="2"/>
      <c r="X3592" s="19"/>
      <c r="Y3592" s="2"/>
      <c r="Z3592" s="5"/>
    </row>
    <row r="3593" spans="7:26" ht="75.75" customHeight="1" x14ac:dyDescent="0.25">
      <c r="G3593" s="5"/>
      <c r="H3593" s="2"/>
      <c r="I3593" s="2"/>
      <c r="K3593" s="2"/>
      <c r="L3593" s="2"/>
      <c r="M3593" s="2"/>
      <c r="N3593" s="2"/>
      <c r="O3593" s="2"/>
      <c r="P3593" s="2"/>
      <c r="Q3593" s="2"/>
      <c r="R3593" s="2"/>
      <c r="S3593" s="2"/>
      <c r="T3593" s="19"/>
      <c r="U3593" s="2"/>
      <c r="V3593" s="2"/>
      <c r="W3593" s="2"/>
      <c r="X3593" s="19"/>
      <c r="Y3593" s="2"/>
      <c r="Z3593" s="5"/>
    </row>
    <row r="3594" spans="7:26" ht="75.75" customHeight="1" x14ac:dyDescent="0.25">
      <c r="G3594" s="5"/>
      <c r="H3594" s="2"/>
      <c r="I3594" s="2"/>
      <c r="K3594" s="2"/>
      <c r="L3594" s="2"/>
      <c r="M3594" s="2"/>
      <c r="N3594" s="2"/>
      <c r="O3594" s="2"/>
      <c r="P3594" s="2"/>
      <c r="Q3594" s="2"/>
      <c r="R3594" s="2"/>
      <c r="S3594" s="2"/>
      <c r="T3594" s="19"/>
      <c r="U3594" s="2"/>
      <c r="V3594" s="2"/>
      <c r="W3594" s="2"/>
      <c r="X3594" s="19"/>
      <c r="Y3594" s="2"/>
      <c r="Z3594" s="5"/>
    </row>
    <row r="3595" spans="7:26" ht="75.75" customHeight="1" x14ac:dyDescent="0.25">
      <c r="G3595" s="5"/>
      <c r="H3595" s="2"/>
      <c r="I3595" s="2"/>
      <c r="K3595" s="2"/>
      <c r="L3595" s="2"/>
      <c r="M3595" s="2"/>
      <c r="N3595" s="2"/>
      <c r="O3595" s="2"/>
      <c r="P3595" s="2"/>
      <c r="Q3595" s="2"/>
      <c r="R3595" s="2"/>
      <c r="S3595" s="2"/>
      <c r="T3595" s="19"/>
      <c r="U3595" s="2"/>
      <c r="V3595" s="2"/>
      <c r="W3595" s="2"/>
      <c r="X3595" s="19"/>
      <c r="Y3595" s="2"/>
      <c r="Z3595" s="5"/>
    </row>
    <row r="3596" spans="7:26" ht="75.75" customHeight="1" x14ac:dyDescent="0.25">
      <c r="G3596" s="5"/>
      <c r="H3596" s="2"/>
      <c r="I3596" s="2"/>
      <c r="K3596" s="2"/>
      <c r="L3596" s="2"/>
      <c r="M3596" s="2"/>
      <c r="N3596" s="2"/>
      <c r="O3596" s="2"/>
      <c r="P3596" s="2"/>
      <c r="Q3596" s="2"/>
      <c r="R3596" s="2"/>
      <c r="S3596" s="2"/>
      <c r="T3596" s="19"/>
      <c r="U3596" s="2"/>
      <c r="V3596" s="2"/>
      <c r="W3596" s="2"/>
      <c r="X3596" s="19"/>
      <c r="Y3596" s="2"/>
      <c r="Z3596" s="5"/>
    </row>
    <row r="3597" spans="7:26" ht="75.75" customHeight="1" x14ac:dyDescent="0.25">
      <c r="G3597" s="5"/>
      <c r="H3597" s="2"/>
      <c r="I3597" s="2"/>
      <c r="K3597" s="2"/>
      <c r="L3597" s="2"/>
      <c r="M3597" s="2"/>
      <c r="N3597" s="2"/>
      <c r="O3597" s="2"/>
      <c r="P3597" s="2"/>
      <c r="Q3597" s="2"/>
      <c r="R3597" s="2"/>
      <c r="S3597" s="2"/>
      <c r="T3597" s="19"/>
      <c r="U3597" s="2"/>
      <c r="V3597" s="2"/>
      <c r="W3597" s="2"/>
      <c r="X3597" s="19"/>
      <c r="Y3597" s="2"/>
      <c r="Z3597" s="5"/>
    </row>
    <row r="3598" spans="7:26" ht="75.75" customHeight="1" x14ac:dyDescent="0.25">
      <c r="G3598" s="5"/>
      <c r="H3598" s="2"/>
      <c r="I3598" s="2"/>
      <c r="K3598" s="2"/>
      <c r="L3598" s="2"/>
      <c r="M3598" s="2"/>
      <c r="N3598" s="2"/>
      <c r="O3598" s="2"/>
      <c r="P3598" s="2"/>
      <c r="Q3598" s="2"/>
      <c r="R3598" s="2"/>
      <c r="S3598" s="2"/>
      <c r="T3598" s="19"/>
      <c r="U3598" s="2"/>
      <c r="V3598" s="2"/>
      <c r="W3598" s="2"/>
      <c r="X3598" s="19"/>
      <c r="Y3598" s="2"/>
      <c r="Z3598" s="5"/>
    </row>
    <row r="3599" spans="7:26" ht="75.75" customHeight="1" x14ac:dyDescent="0.25">
      <c r="G3599" s="5"/>
      <c r="H3599" s="2"/>
      <c r="I3599" s="2"/>
      <c r="K3599" s="2"/>
      <c r="L3599" s="2"/>
      <c r="M3599" s="2"/>
      <c r="N3599" s="2"/>
      <c r="O3599" s="2"/>
      <c r="P3599" s="2"/>
      <c r="Q3599" s="2"/>
      <c r="R3599" s="2"/>
      <c r="S3599" s="2"/>
      <c r="T3599" s="19"/>
      <c r="U3599" s="2"/>
      <c r="V3599" s="2"/>
      <c r="W3599" s="2"/>
      <c r="X3599" s="19"/>
      <c r="Y3599" s="2"/>
      <c r="Z3599" s="5"/>
    </row>
    <row r="3600" spans="7:26" ht="75.75" customHeight="1" x14ac:dyDescent="0.25">
      <c r="G3600" s="5"/>
      <c r="H3600" s="2"/>
      <c r="I3600" s="2"/>
      <c r="K3600" s="2"/>
      <c r="L3600" s="2"/>
      <c r="M3600" s="2"/>
      <c r="N3600" s="2"/>
      <c r="O3600" s="2"/>
      <c r="P3600" s="2"/>
      <c r="Q3600" s="2"/>
      <c r="R3600" s="2"/>
      <c r="S3600" s="2"/>
      <c r="T3600" s="19"/>
      <c r="U3600" s="2"/>
      <c r="V3600" s="2"/>
      <c r="W3600" s="2"/>
      <c r="X3600" s="19"/>
      <c r="Y3600" s="2"/>
      <c r="Z3600" s="5"/>
    </row>
    <row r="3601" spans="7:26" ht="75.75" customHeight="1" x14ac:dyDescent="0.25">
      <c r="G3601" s="5"/>
      <c r="H3601" s="2"/>
      <c r="I3601" s="2"/>
      <c r="K3601" s="2"/>
      <c r="L3601" s="2"/>
      <c r="M3601" s="2"/>
      <c r="N3601" s="2"/>
      <c r="O3601" s="2"/>
      <c r="P3601" s="2"/>
      <c r="Q3601" s="2"/>
      <c r="R3601" s="2"/>
      <c r="S3601" s="2"/>
      <c r="T3601" s="19"/>
      <c r="U3601" s="2"/>
      <c r="V3601" s="2"/>
      <c r="W3601" s="2"/>
      <c r="X3601" s="19"/>
      <c r="Y3601" s="2"/>
      <c r="Z3601" s="5"/>
    </row>
    <row r="3602" spans="7:26" ht="75.75" customHeight="1" x14ac:dyDescent="0.25">
      <c r="G3602" s="5"/>
      <c r="H3602" s="2"/>
      <c r="I3602" s="2"/>
      <c r="K3602" s="2"/>
      <c r="L3602" s="2"/>
      <c r="M3602" s="2"/>
      <c r="N3602" s="2"/>
      <c r="O3602" s="2"/>
      <c r="P3602" s="2"/>
      <c r="Q3602" s="2"/>
      <c r="R3602" s="2"/>
      <c r="S3602" s="2"/>
      <c r="T3602" s="19"/>
      <c r="U3602" s="2"/>
      <c r="V3602" s="2"/>
      <c r="W3602" s="2"/>
      <c r="X3602" s="19"/>
      <c r="Y3602" s="2"/>
      <c r="Z3602" s="5"/>
    </row>
    <row r="3603" spans="7:26" ht="75.75" customHeight="1" x14ac:dyDescent="0.25">
      <c r="G3603" s="5"/>
      <c r="H3603" s="2"/>
      <c r="I3603" s="2"/>
      <c r="K3603" s="2"/>
      <c r="L3603" s="2"/>
      <c r="M3603" s="2"/>
      <c r="N3603" s="2"/>
      <c r="O3603" s="2"/>
      <c r="P3603" s="2"/>
      <c r="Q3603" s="2"/>
      <c r="R3603" s="2"/>
      <c r="S3603" s="2"/>
      <c r="T3603" s="19"/>
      <c r="U3603" s="2"/>
      <c r="V3603" s="2"/>
      <c r="W3603" s="2"/>
      <c r="X3603" s="19"/>
      <c r="Y3603" s="2"/>
      <c r="Z3603" s="5"/>
    </row>
    <row r="3604" spans="7:26" ht="75.75" customHeight="1" x14ac:dyDescent="0.25">
      <c r="G3604" s="5"/>
      <c r="H3604" s="2"/>
      <c r="I3604" s="2"/>
      <c r="K3604" s="2"/>
      <c r="L3604" s="2"/>
      <c r="M3604" s="2"/>
      <c r="N3604" s="2"/>
      <c r="O3604" s="2"/>
      <c r="P3604" s="2"/>
      <c r="Q3604" s="2"/>
      <c r="R3604" s="2"/>
      <c r="S3604" s="2"/>
      <c r="T3604" s="19"/>
      <c r="U3604" s="2"/>
      <c r="V3604" s="2"/>
      <c r="W3604" s="2"/>
      <c r="X3604" s="19"/>
      <c r="Y3604" s="2"/>
      <c r="Z3604" s="5"/>
    </row>
    <row r="3605" spans="7:26" ht="75.75" customHeight="1" x14ac:dyDescent="0.25">
      <c r="G3605" s="5"/>
      <c r="H3605" s="2"/>
      <c r="I3605" s="2"/>
      <c r="K3605" s="2"/>
      <c r="L3605" s="2"/>
      <c r="M3605" s="2"/>
      <c r="N3605" s="2"/>
      <c r="O3605" s="2"/>
      <c r="P3605" s="2"/>
      <c r="Q3605" s="2"/>
      <c r="R3605" s="2"/>
      <c r="S3605" s="2"/>
      <c r="T3605" s="19"/>
      <c r="U3605" s="2"/>
      <c r="V3605" s="2"/>
      <c r="W3605" s="2"/>
      <c r="X3605" s="19"/>
      <c r="Y3605" s="2"/>
      <c r="Z3605" s="5"/>
    </row>
    <row r="3606" spans="7:26" ht="75.75" customHeight="1" x14ac:dyDescent="0.25">
      <c r="G3606" s="5"/>
      <c r="H3606" s="2"/>
      <c r="I3606" s="2"/>
      <c r="K3606" s="2"/>
      <c r="L3606" s="2"/>
      <c r="M3606" s="2"/>
      <c r="N3606" s="2"/>
      <c r="O3606" s="2"/>
      <c r="P3606" s="2"/>
      <c r="Q3606" s="2"/>
      <c r="R3606" s="2"/>
      <c r="S3606" s="2"/>
      <c r="T3606" s="19"/>
      <c r="U3606" s="2"/>
      <c r="V3606" s="2"/>
      <c r="W3606" s="2"/>
      <c r="X3606" s="19"/>
      <c r="Y3606" s="2"/>
      <c r="Z3606" s="5"/>
    </row>
    <row r="3607" spans="7:26" ht="75.75" customHeight="1" x14ac:dyDescent="0.25">
      <c r="G3607" s="5"/>
      <c r="H3607" s="2"/>
      <c r="I3607" s="2"/>
      <c r="K3607" s="2"/>
      <c r="L3607" s="2"/>
      <c r="M3607" s="2"/>
      <c r="N3607" s="2"/>
      <c r="O3607" s="2"/>
      <c r="P3607" s="2"/>
      <c r="Q3607" s="2"/>
      <c r="R3607" s="2"/>
      <c r="S3607" s="2"/>
      <c r="T3607" s="19"/>
      <c r="U3607" s="2"/>
      <c r="V3607" s="2"/>
      <c r="W3607" s="2"/>
      <c r="X3607" s="19"/>
      <c r="Y3607" s="2"/>
      <c r="Z3607" s="5"/>
    </row>
    <row r="3608" spans="7:26" ht="75.75" customHeight="1" x14ac:dyDescent="0.25">
      <c r="G3608" s="5"/>
      <c r="H3608" s="2"/>
      <c r="I3608" s="2"/>
      <c r="K3608" s="2"/>
      <c r="L3608" s="2"/>
      <c r="M3608" s="2"/>
      <c r="N3608" s="2"/>
      <c r="O3608" s="2"/>
      <c r="P3608" s="2"/>
      <c r="Q3608" s="2"/>
      <c r="R3608" s="2"/>
      <c r="S3608" s="2"/>
      <c r="T3608" s="19"/>
      <c r="U3608" s="2"/>
      <c r="V3608" s="2"/>
      <c r="W3608" s="2"/>
      <c r="X3608" s="19"/>
      <c r="Y3608" s="2"/>
      <c r="Z3608" s="5"/>
    </row>
    <row r="3609" spans="7:26" ht="75.75" customHeight="1" x14ac:dyDescent="0.25">
      <c r="G3609" s="5"/>
      <c r="H3609" s="2"/>
      <c r="I3609" s="2"/>
      <c r="K3609" s="2"/>
      <c r="L3609" s="2"/>
      <c r="M3609" s="2"/>
      <c r="N3609" s="2"/>
      <c r="O3609" s="2"/>
      <c r="P3609" s="2"/>
      <c r="Q3609" s="2"/>
      <c r="R3609" s="2"/>
      <c r="S3609" s="2"/>
      <c r="T3609" s="19"/>
      <c r="U3609" s="2"/>
      <c r="V3609" s="2"/>
      <c r="W3609" s="2"/>
      <c r="X3609" s="19"/>
      <c r="Y3609" s="2"/>
      <c r="Z3609" s="5"/>
    </row>
    <row r="3610" spans="7:26" ht="75.75" customHeight="1" x14ac:dyDescent="0.25">
      <c r="G3610" s="5"/>
      <c r="H3610" s="2"/>
      <c r="I3610" s="2"/>
      <c r="K3610" s="2"/>
      <c r="L3610" s="2"/>
      <c r="M3610" s="2"/>
      <c r="N3610" s="2"/>
      <c r="O3610" s="2"/>
      <c r="P3610" s="2"/>
      <c r="Q3610" s="2"/>
      <c r="R3610" s="2"/>
      <c r="S3610" s="2"/>
      <c r="T3610" s="19"/>
      <c r="U3610" s="2"/>
      <c r="V3610" s="2"/>
      <c r="W3610" s="2"/>
      <c r="X3610" s="19"/>
      <c r="Y3610" s="2"/>
      <c r="Z3610" s="5"/>
    </row>
    <row r="3611" spans="7:26" ht="75.75" customHeight="1" x14ac:dyDescent="0.25">
      <c r="G3611" s="5"/>
      <c r="H3611" s="2"/>
      <c r="I3611" s="2"/>
      <c r="K3611" s="2"/>
      <c r="L3611" s="2"/>
      <c r="M3611" s="2"/>
      <c r="N3611" s="2"/>
      <c r="O3611" s="2"/>
      <c r="P3611" s="2"/>
      <c r="Q3611" s="2"/>
      <c r="R3611" s="2"/>
      <c r="S3611" s="2"/>
      <c r="T3611" s="19"/>
      <c r="U3611" s="2"/>
      <c r="V3611" s="2"/>
      <c r="W3611" s="2"/>
      <c r="X3611" s="19"/>
      <c r="Y3611" s="2"/>
      <c r="Z3611" s="5"/>
    </row>
    <row r="3612" spans="7:26" ht="75.75" customHeight="1" x14ac:dyDescent="0.25">
      <c r="G3612" s="5"/>
      <c r="H3612" s="2"/>
      <c r="I3612" s="2"/>
      <c r="K3612" s="2"/>
      <c r="L3612" s="2"/>
      <c r="M3612" s="2"/>
      <c r="N3612" s="2"/>
      <c r="O3612" s="2"/>
      <c r="P3612" s="2"/>
      <c r="Q3612" s="2"/>
      <c r="R3612" s="2"/>
      <c r="S3612" s="2"/>
      <c r="T3612" s="19"/>
      <c r="U3612" s="2"/>
      <c r="V3612" s="2"/>
      <c r="W3612" s="2"/>
      <c r="X3612" s="19"/>
      <c r="Y3612" s="2"/>
      <c r="Z3612" s="5"/>
    </row>
    <row r="3613" spans="7:26" ht="75.75" customHeight="1" x14ac:dyDescent="0.25">
      <c r="G3613" s="5"/>
      <c r="H3613" s="2"/>
      <c r="I3613" s="2"/>
      <c r="K3613" s="2"/>
      <c r="L3613" s="2"/>
      <c r="M3613" s="2"/>
      <c r="N3613" s="2"/>
      <c r="O3613" s="2"/>
      <c r="P3613" s="2"/>
      <c r="Q3613" s="2"/>
      <c r="R3613" s="2"/>
      <c r="S3613" s="2"/>
      <c r="T3613" s="19"/>
      <c r="U3613" s="2"/>
      <c r="V3613" s="2"/>
      <c r="W3613" s="2"/>
      <c r="X3613" s="19"/>
      <c r="Y3613" s="2"/>
      <c r="Z3613" s="5"/>
    </row>
    <row r="3614" spans="7:26" ht="75.75" customHeight="1" x14ac:dyDescent="0.25">
      <c r="G3614" s="5"/>
      <c r="H3614" s="2"/>
      <c r="I3614" s="2"/>
      <c r="K3614" s="2"/>
      <c r="L3614" s="2"/>
      <c r="M3614" s="2"/>
      <c r="N3614" s="2"/>
      <c r="O3614" s="2"/>
      <c r="P3614" s="2"/>
      <c r="Q3614" s="2"/>
      <c r="R3614" s="2"/>
      <c r="S3614" s="2"/>
      <c r="T3614" s="19"/>
      <c r="U3614" s="2"/>
      <c r="V3614" s="2"/>
      <c r="W3614" s="2"/>
      <c r="X3614" s="19"/>
      <c r="Y3614" s="2"/>
      <c r="Z3614" s="5"/>
    </row>
    <row r="3615" spans="7:26" ht="75.75" customHeight="1" x14ac:dyDescent="0.25">
      <c r="G3615" s="5"/>
      <c r="H3615" s="2"/>
      <c r="I3615" s="2"/>
      <c r="K3615" s="2"/>
      <c r="L3615" s="2"/>
      <c r="M3615" s="2"/>
      <c r="N3615" s="2"/>
      <c r="O3615" s="2"/>
      <c r="P3615" s="2"/>
      <c r="Q3615" s="2"/>
      <c r="R3615" s="2"/>
      <c r="S3615" s="2"/>
      <c r="T3615" s="19"/>
      <c r="U3615" s="2"/>
      <c r="V3615" s="2"/>
      <c r="W3615" s="2"/>
      <c r="X3615" s="19"/>
      <c r="Y3615" s="2"/>
      <c r="Z3615" s="5"/>
    </row>
    <row r="3616" spans="7:26" ht="75.75" customHeight="1" x14ac:dyDescent="0.25">
      <c r="G3616" s="5"/>
      <c r="H3616" s="2"/>
      <c r="I3616" s="2"/>
      <c r="K3616" s="2"/>
      <c r="L3616" s="2"/>
      <c r="M3616" s="2"/>
      <c r="N3616" s="2"/>
      <c r="O3616" s="2"/>
      <c r="P3616" s="2"/>
      <c r="Q3616" s="2"/>
      <c r="R3616" s="2"/>
      <c r="S3616" s="2"/>
      <c r="T3616" s="19"/>
      <c r="U3616" s="2"/>
      <c r="V3616" s="2"/>
      <c r="W3616" s="2"/>
      <c r="X3616" s="19"/>
      <c r="Y3616" s="2"/>
      <c r="Z3616" s="5"/>
    </row>
    <row r="3617" spans="7:26" ht="75.75" customHeight="1" x14ac:dyDescent="0.25">
      <c r="G3617" s="5"/>
      <c r="H3617" s="2"/>
      <c r="I3617" s="2"/>
      <c r="K3617" s="2"/>
      <c r="L3617" s="2"/>
      <c r="M3617" s="2"/>
      <c r="N3617" s="2"/>
      <c r="O3617" s="2"/>
      <c r="P3617" s="2"/>
      <c r="Q3617" s="2"/>
      <c r="R3617" s="2"/>
      <c r="S3617" s="2"/>
      <c r="T3617" s="19"/>
      <c r="U3617" s="2"/>
      <c r="V3617" s="2"/>
      <c r="W3617" s="2"/>
      <c r="X3617" s="19"/>
      <c r="Y3617" s="2"/>
      <c r="Z3617" s="5"/>
    </row>
    <row r="3618" spans="7:26" ht="75.75" customHeight="1" x14ac:dyDescent="0.25">
      <c r="G3618" s="5"/>
      <c r="H3618" s="2"/>
      <c r="I3618" s="2"/>
      <c r="K3618" s="2"/>
      <c r="L3618" s="2"/>
      <c r="M3618" s="2"/>
      <c r="N3618" s="2"/>
      <c r="O3618" s="2"/>
      <c r="P3618" s="2"/>
      <c r="Q3618" s="2"/>
      <c r="R3618" s="2"/>
      <c r="S3618" s="2"/>
      <c r="T3618" s="19"/>
      <c r="U3618" s="2"/>
      <c r="V3618" s="2"/>
      <c r="W3618" s="2"/>
      <c r="X3618" s="19"/>
      <c r="Y3618" s="2"/>
      <c r="Z3618" s="5"/>
    </row>
    <row r="3619" spans="7:26" ht="75.75" customHeight="1" x14ac:dyDescent="0.25">
      <c r="G3619" s="5"/>
      <c r="H3619" s="2"/>
      <c r="I3619" s="2"/>
      <c r="K3619" s="2"/>
      <c r="L3619" s="2"/>
      <c r="M3619" s="2"/>
      <c r="N3619" s="2"/>
      <c r="O3619" s="2"/>
      <c r="P3619" s="2"/>
      <c r="Q3619" s="2"/>
      <c r="R3619" s="2"/>
      <c r="S3619" s="2"/>
      <c r="T3619" s="19"/>
      <c r="U3619" s="2"/>
      <c r="V3619" s="2"/>
      <c r="W3619" s="2"/>
      <c r="X3619" s="19"/>
      <c r="Y3619" s="2"/>
      <c r="Z3619" s="5"/>
    </row>
    <row r="3620" spans="7:26" ht="75.75" customHeight="1" x14ac:dyDescent="0.25">
      <c r="G3620" s="5"/>
      <c r="H3620" s="2"/>
      <c r="I3620" s="2"/>
      <c r="K3620" s="2"/>
      <c r="L3620" s="2"/>
      <c r="M3620" s="2"/>
      <c r="N3620" s="2"/>
      <c r="O3620" s="2"/>
      <c r="P3620" s="2"/>
      <c r="Q3620" s="2"/>
      <c r="R3620" s="2"/>
      <c r="S3620" s="2"/>
      <c r="T3620" s="19"/>
      <c r="U3620" s="2"/>
      <c r="V3620" s="2"/>
      <c r="W3620" s="2"/>
      <c r="X3620" s="19"/>
      <c r="Y3620" s="2"/>
      <c r="Z3620" s="5"/>
    </row>
    <row r="3621" spans="7:26" ht="75.75" customHeight="1" x14ac:dyDescent="0.25">
      <c r="G3621" s="5"/>
      <c r="H3621" s="2"/>
      <c r="I3621" s="2"/>
      <c r="K3621" s="2"/>
      <c r="L3621" s="2"/>
      <c r="M3621" s="2"/>
      <c r="N3621" s="2"/>
      <c r="O3621" s="2"/>
      <c r="P3621" s="2"/>
      <c r="Q3621" s="2"/>
      <c r="R3621" s="2"/>
      <c r="S3621" s="2"/>
      <c r="T3621" s="19"/>
      <c r="U3621" s="2"/>
      <c r="V3621" s="2"/>
      <c r="W3621" s="2"/>
      <c r="X3621" s="19"/>
      <c r="Y3621" s="2"/>
      <c r="Z3621" s="5"/>
    </row>
    <row r="3622" spans="7:26" ht="75.75" customHeight="1" x14ac:dyDescent="0.25">
      <c r="G3622" s="5"/>
      <c r="H3622" s="2"/>
      <c r="I3622" s="2"/>
      <c r="K3622" s="2"/>
      <c r="L3622" s="2"/>
      <c r="M3622" s="2"/>
      <c r="N3622" s="2"/>
      <c r="O3622" s="2"/>
      <c r="P3622" s="2"/>
      <c r="Q3622" s="2"/>
      <c r="R3622" s="2"/>
      <c r="S3622" s="2"/>
      <c r="T3622" s="19"/>
      <c r="U3622" s="2"/>
      <c r="V3622" s="2"/>
      <c r="W3622" s="2"/>
      <c r="X3622" s="19"/>
      <c r="Y3622" s="2"/>
      <c r="Z3622" s="5"/>
    </row>
    <row r="3623" spans="7:26" ht="75.75" customHeight="1" x14ac:dyDescent="0.25">
      <c r="G3623" s="5"/>
      <c r="H3623" s="2"/>
      <c r="I3623" s="2"/>
      <c r="K3623" s="2"/>
      <c r="L3623" s="2"/>
      <c r="M3623" s="2"/>
      <c r="N3623" s="2"/>
      <c r="O3623" s="2"/>
      <c r="P3623" s="2"/>
      <c r="Q3623" s="2"/>
      <c r="R3623" s="2"/>
      <c r="S3623" s="2"/>
      <c r="T3623" s="19"/>
      <c r="U3623" s="2"/>
      <c r="V3623" s="2"/>
      <c r="W3623" s="2"/>
      <c r="X3623" s="19"/>
      <c r="Y3623" s="2"/>
      <c r="Z3623" s="5"/>
    </row>
    <row r="3624" spans="7:26" ht="75.75" customHeight="1" x14ac:dyDescent="0.25">
      <c r="G3624" s="5"/>
      <c r="H3624" s="2"/>
      <c r="I3624" s="2"/>
      <c r="K3624" s="2"/>
      <c r="L3624" s="2"/>
      <c r="M3624" s="2"/>
      <c r="N3624" s="2"/>
      <c r="O3624" s="2"/>
      <c r="P3624" s="2"/>
      <c r="Q3624" s="2"/>
      <c r="R3624" s="2"/>
      <c r="S3624" s="2"/>
      <c r="T3624" s="19"/>
      <c r="U3624" s="2"/>
      <c r="V3624" s="2"/>
      <c r="W3624" s="2"/>
      <c r="X3624" s="19"/>
      <c r="Y3624" s="2"/>
      <c r="Z3624" s="5"/>
    </row>
    <row r="3625" spans="7:26" ht="75.75" customHeight="1" x14ac:dyDescent="0.25">
      <c r="G3625" s="5"/>
      <c r="H3625" s="2"/>
      <c r="I3625" s="2"/>
      <c r="K3625" s="2"/>
      <c r="L3625" s="2"/>
      <c r="M3625" s="2"/>
      <c r="N3625" s="2"/>
      <c r="O3625" s="2"/>
      <c r="P3625" s="2"/>
      <c r="Q3625" s="2"/>
      <c r="R3625" s="2"/>
      <c r="S3625" s="2"/>
      <c r="T3625" s="19"/>
      <c r="U3625" s="2"/>
      <c r="V3625" s="2"/>
      <c r="W3625" s="2"/>
      <c r="X3625" s="19"/>
      <c r="Y3625" s="2"/>
      <c r="Z3625" s="5"/>
    </row>
    <row r="3626" spans="7:26" ht="75.75" customHeight="1" x14ac:dyDescent="0.25">
      <c r="G3626" s="5"/>
      <c r="H3626" s="2"/>
      <c r="I3626" s="2"/>
      <c r="K3626" s="2"/>
      <c r="L3626" s="2"/>
      <c r="M3626" s="2"/>
      <c r="N3626" s="2"/>
      <c r="O3626" s="2"/>
      <c r="P3626" s="2"/>
      <c r="Q3626" s="2"/>
      <c r="R3626" s="2"/>
      <c r="S3626" s="2"/>
      <c r="T3626" s="19"/>
      <c r="U3626" s="2"/>
      <c r="V3626" s="2"/>
      <c r="W3626" s="2"/>
      <c r="X3626" s="19"/>
      <c r="Y3626" s="2"/>
      <c r="Z3626" s="5"/>
    </row>
    <row r="3627" spans="7:26" ht="75.75" customHeight="1" x14ac:dyDescent="0.25">
      <c r="G3627" s="5"/>
      <c r="H3627" s="2"/>
      <c r="I3627" s="2"/>
      <c r="K3627" s="2"/>
      <c r="L3627" s="2"/>
      <c r="M3627" s="2"/>
      <c r="N3627" s="2"/>
      <c r="O3627" s="2"/>
      <c r="P3627" s="2"/>
      <c r="Q3627" s="2"/>
      <c r="R3627" s="2"/>
      <c r="S3627" s="2"/>
      <c r="T3627" s="19"/>
      <c r="U3627" s="2"/>
      <c r="V3627" s="2"/>
      <c r="W3627" s="2"/>
      <c r="X3627" s="19"/>
      <c r="Y3627" s="2"/>
      <c r="Z3627" s="5"/>
    </row>
    <row r="3628" spans="7:26" ht="75.75" customHeight="1" x14ac:dyDescent="0.25">
      <c r="G3628" s="5"/>
      <c r="H3628" s="2"/>
      <c r="I3628" s="2"/>
      <c r="K3628" s="2"/>
      <c r="L3628" s="2"/>
      <c r="M3628" s="2"/>
      <c r="N3628" s="2"/>
      <c r="O3628" s="2"/>
      <c r="P3628" s="2"/>
      <c r="Q3628" s="2"/>
      <c r="R3628" s="2"/>
      <c r="S3628" s="2"/>
      <c r="T3628" s="19"/>
      <c r="U3628" s="2"/>
      <c r="V3628" s="2"/>
      <c r="W3628" s="2"/>
      <c r="X3628" s="19"/>
      <c r="Y3628" s="2"/>
      <c r="Z3628" s="5"/>
    </row>
    <row r="3629" spans="7:26" ht="75.75" customHeight="1" x14ac:dyDescent="0.25">
      <c r="G3629" s="5"/>
      <c r="H3629" s="2"/>
      <c r="I3629" s="2"/>
      <c r="K3629" s="2"/>
      <c r="L3629" s="2"/>
      <c r="M3629" s="2"/>
      <c r="N3629" s="2"/>
      <c r="O3629" s="2"/>
      <c r="P3629" s="2"/>
      <c r="Q3629" s="2"/>
      <c r="R3629" s="2"/>
      <c r="S3629" s="2"/>
      <c r="T3629" s="19"/>
      <c r="U3629" s="2"/>
      <c r="V3629" s="2"/>
      <c r="W3629" s="2"/>
      <c r="X3629" s="19"/>
      <c r="Y3629" s="2"/>
      <c r="Z3629" s="5"/>
    </row>
    <row r="3630" spans="7:26" ht="75.75" customHeight="1" x14ac:dyDescent="0.25">
      <c r="G3630" s="5"/>
      <c r="H3630" s="2"/>
      <c r="I3630" s="2"/>
      <c r="K3630" s="2"/>
      <c r="L3630" s="2"/>
      <c r="M3630" s="2"/>
      <c r="N3630" s="2"/>
      <c r="O3630" s="2"/>
      <c r="P3630" s="2"/>
      <c r="Q3630" s="2"/>
      <c r="R3630" s="2"/>
      <c r="S3630" s="2"/>
      <c r="T3630" s="19"/>
      <c r="U3630" s="2"/>
      <c r="V3630" s="2"/>
      <c r="W3630" s="2"/>
      <c r="X3630" s="19"/>
      <c r="Y3630" s="2"/>
      <c r="Z3630" s="5"/>
    </row>
    <row r="3631" spans="7:26" ht="75.75" customHeight="1" x14ac:dyDescent="0.25">
      <c r="G3631" s="5"/>
      <c r="H3631" s="2"/>
      <c r="I3631" s="2"/>
      <c r="K3631" s="2"/>
      <c r="L3631" s="2"/>
      <c r="M3631" s="2"/>
      <c r="N3631" s="2"/>
      <c r="O3631" s="2"/>
      <c r="P3631" s="2"/>
      <c r="Q3631" s="2"/>
      <c r="R3631" s="2"/>
      <c r="S3631" s="2"/>
      <c r="T3631" s="19"/>
      <c r="U3631" s="2"/>
      <c r="V3631" s="2"/>
      <c r="W3631" s="2"/>
      <c r="X3631" s="19"/>
      <c r="Y3631" s="2"/>
      <c r="Z3631" s="5"/>
    </row>
    <row r="3632" spans="7:26" ht="75.75" customHeight="1" x14ac:dyDescent="0.25">
      <c r="G3632" s="5"/>
      <c r="H3632" s="2"/>
      <c r="I3632" s="2"/>
      <c r="K3632" s="2"/>
      <c r="L3632" s="2"/>
      <c r="M3632" s="2"/>
      <c r="N3632" s="2"/>
      <c r="O3632" s="2"/>
      <c r="P3632" s="2"/>
      <c r="Q3632" s="2"/>
      <c r="R3632" s="2"/>
      <c r="S3632" s="2"/>
      <c r="T3632" s="19"/>
      <c r="U3632" s="2"/>
      <c r="V3632" s="2"/>
      <c r="W3632" s="2"/>
      <c r="X3632" s="19"/>
      <c r="Y3632" s="2"/>
      <c r="Z3632" s="5"/>
    </row>
    <row r="3633" spans="7:26" ht="75.75" customHeight="1" x14ac:dyDescent="0.25">
      <c r="G3633" s="5"/>
      <c r="H3633" s="2"/>
      <c r="I3633" s="2"/>
      <c r="K3633" s="2"/>
      <c r="L3633" s="2"/>
      <c r="M3633" s="2"/>
      <c r="N3633" s="2"/>
      <c r="O3633" s="2"/>
      <c r="P3633" s="2"/>
      <c r="Q3633" s="2"/>
      <c r="R3633" s="2"/>
      <c r="S3633" s="2"/>
      <c r="T3633" s="19"/>
      <c r="U3633" s="2"/>
      <c r="V3633" s="2"/>
      <c r="W3633" s="2"/>
      <c r="X3633" s="19"/>
      <c r="Y3633" s="2"/>
      <c r="Z3633" s="5"/>
    </row>
    <row r="3634" spans="7:26" ht="75.75" customHeight="1" x14ac:dyDescent="0.25">
      <c r="G3634" s="5"/>
      <c r="H3634" s="2"/>
      <c r="I3634" s="2"/>
      <c r="K3634" s="2"/>
      <c r="L3634" s="2"/>
      <c r="M3634" s="2"/>
      <c r="N3634" s="2"/>
      <c r="O3634" s="2"/>
      <c r="P3634" s="2"/>
      <c r="Q3634" s="2"/>
      <c r="R3634" s="2"/>
      <c r="S3634" s="2"/>
      <c r="T3634" s="19"/>
      <c r="U3634" s="2"/>
      <c r="V3634" s="2"/>
      <c r="W3634" s="2"/>
      <c r="X3634" s="19"/>
      <c r="Y3634" s="2"/>
      <c r="Z3634" s="5"/>
    </row>
    <row r="3635" spans="7:26" ht="75.75" customHeight="1" x14ac:dyDescent="0.25">
      <c r="G3635" s="5"/>
      <c r="H3635" s="2"/>
      <c r="I3635" s="2"/>
      <c r="K3635" s="2"/>
      <c r="L3635" s="2"/>
      <c r="M3635" s="2"/>
      <c r="N3635" s="2"/>
      <c r="O3635" s="2"/>
      <c r="P3635" s="2"/>
      <c r="Q3635" s="2"/>
      <c r="R3635" s="2"/>
      <c r="S3635" s="2"/>
      <c r="T3635" s="19"/>
      <c r="U3635" s="2"/>
      <c r="V3635" s="2"/>
      <c r="W3635" s="2"/>
      <c r="X3635" s="19"/>
      <c r="Y3635" s="2"/>
      <c r="Z3635" s="5"/>
    </row>
    <row r="3636" spans="7:26" ht="75.75" customHeight="1" x14ac:dyDescent="0.25">
      <c r="G3636" s="5"/>
      <c r="H3636" s="2"/>
      <c r="I3636" s="2"/>
      <c r="K3636" s="2"/>
      <c r="L3636" s="2"/>
      <c r="M3636" s="2"/>
      <c r="N3636" s="2"/>
      <c r="O3636" s="2"/>
      <c r="P3636" s="2"/>
      <c r="Q3636" s="2"/>
      <c r="R3636" s="2"/>
      <c r="S3636" s="2"/>
      <c r="T3636" s="19"/>
      <c r="U3636" s="2"/>
      <c r="V3636" s="2"/>
      <c r="W3636" s="2"/>
      <c r="X3636" s="19"/>
      <c r="Y3636" s="2"/>
      <c r="Z3636" s="5"/>
    </row>
    <row r="3637" spans="7:26" ht="75.75" customHeight="1" x14ac:dyDescent="0.25">
      <c r="G3637" s="5"/>
      <c r="H3637" s="2"/>
      <c r="I3637" s="2"/>
      <c r="K3637" s="2"/>
      <c r="L3637" s="2"/>
      <c r="M3637" s="2"/>
      <c r="N3637" s="2"/>
      <c r="O3637" s="2"/>
      <c r="P3637" s="2"/>
      <c r="Q3637" s="2"/>
      <c r="R3637" s="2"/>
      <c r="S3637" s="2"/>
      <c r="T3637" s="19"/>
      <c r="U3637" s="2"/>
      <c r="V3637" s="2"/>
      <c r="W3637" s="2"/>
      <c r="X3637" s="19"/>
      <c r="Y3637" s="2"/>
      <c r="Z3637" s="5"/>
    </row>
    <row r="3638" spans="7:26" ht="75.75" customHeight="1" x14ac:dyDescent="0.25">
      <c r="G3638" s="5"/>
      <c r="H3638" s="2"/>
      <c r="I3638" s="2"/>
      <c r="K3638" s="2"/>
      <c r="L3638" s="2"/>
      <c r="M3638" s="2"/>
      <c r="N3638" s="2"/>
      <c r="O3638" s="2"/>
      <c r="P3638" s="2"/>
      <c r="Q3638" s="2"/>
      <c r="R3638" s="2"/>
      <c r="S3638" s="2"/>
      <c r="T3638" s="19"/>
      <c r="U3638" s="2"/>
      <c r="V3638" s="2"/>
      <c r="W3638" s="2"/>
      <c r="X3638" s="19"/>
      <c r="Y3638" s="2"/>
      <c r="Z3638" s="5"/>
    </row>
    <row r="3639" spans="7:26" ht="75.75" customHeight="1" x14ac:dyDescent="0.25">
      <c r="G3639" s="5"/>
      <c r="H3639" s="2"/>
      <c r="I3639" s="2"/>
      <c r="K3639" s="2"/>
      <c r="L3639" s="2"/>
      <c r="M3639" s="2"/>
      <c r="N3639" s="2"/>
      <c r="O3639" s="2"/>
      <c r="P3639" s="2"/>
      <c r="Q3639" s="2"/>
      <c r="R3639" s="2"/>
      <c r="S3639" s="2"/>
      <c r="T3639" s="19"/>
      <c r="U3639" s="2"/>
      <c r="V3639" s="2"/>
      <c r="W3639" s="2"/>
      <c r="X3639" s="19"/>
      <c r="Y3639" s="2"/>
      <c r="Z3639" s="5"/>
    </row>
    <row r="3640" spans="7:26" ht="75.75" customHeight="1" x14ac:dyDescent="0.25">
      <c r="G3640" s="5"/>
      <c r="H3640" s="2"/>
      <c r="I3640" s="2"/>
      <c r="K3640" s="2"/>
      <c r="L3640" s="2"/>
      <c r="M3640" s="2"/>
      <c r="N3640" s="2"/>
      <c r="O3640" s="2"/>
      <c r="P3640" s="2"/>
      <c r="Q3640" s="2"/>
      <c r="R3640" s="2"/>
      <c r="S3640" s="2"/>
      <c r="T3640" s="19"/>
      <c r="U3640" s="2"/>
      <c r="V3640" s="2"/>
      <c r="W3640" s="2"/>
      <c r="X3640" s="19"/>
      <c r="Y3640" s="2"/>
      <c r="Z3640" s="5"/>
    </row>
    <row r="3641" spans="7:26" ht="75.75" customHeight="1" x14ac:dyDescent="0.25">
      <c r="G3641" s="5"/>
      <c r="H3641" s="2"/>
      <c r="I3641" s="2"/>
      <c r="K3641" s="2"/>
      <c r="L3641" s="2"/>
      <c r="M3641" s="2"/>
      <c r="N3641" s="2"/>
      <c r="O3641" s="2"/>
      <c r="P3641" s="2"/>
      <c r="Q3641" s="2"/>
      <c r="R3641" s="2"/>
      <c r="S3641" s="2"/>
      <c r="T3641" s="19"/>
      <c r="U3641" s="2"/>
      <c r="V3641" s="2"/>
      <c r="W3641" s="2"/>
      <c r="X3641" s="19"/>
      <c r="Y3641" s="2"/>
      <c r="Z3641" s="5"/>
    </row>
    <row r="3642" spans="7:26" ht="75.75" customHeight="1" x14ac:dyDescent="0.25">
      <c r="G3642" s="5"/>
      <c r="H3642" s="2"/>
      <c r="I3642" s="2"/>
      <c r="K3642" s="2"/>
      <c r="L3642" s="2"/>
      <c r="M3642" s="2"/>
      <c r="N3642" s="2"/>
      <c r="O3642" s="2"/>
      <c r="P3642" s="2"/>
      <c r="Q3642" s="2"/>
      <c r="R3642" s="2"/>
      <c r="S3642" s="2"/>
      <c r="T3642" s="19"/>
      <c r="U3642" s="2"/>
      <c r="V3642" s="2"/>
      <c r="W3642" s="2"/>
      <c r="X3642" s="19"/>
      <c r="Y3642" s="2"/>
      <c r="Z3642" s="5"/>
    </row>
    <row r="3643" spans="7:26" ht="75.75" customHeight="1" x14ac:dyDescent="0.25">
      <c r="G3643" s="5"/>
      <c r="H3643" s="2"/>
      <c r="I3643" s="2"/>
      <c r="K3643" s="2"/>
      <c r="L3643" s="2"/>
      <c r="M3643" s="2"/>
      <c r="N3643" s="2"/>
      <c r="O3643" s="2"/>
      <c r="P3643" s="2"/>
      <c r="Q3643" s="2"/>
      <c r="R3643" s="2"/>
      <c r="S3643" s="2"/>
      <c r="T3643" s="19"/>
      <c r="U3643" s="2"/>
      <c r="V3643" s="2"/>
      <c r="W3643" s="2"/>
      <c r="X3643" s="19"/>
      <c r="Y3643" s="2"/>
      <c r="Z3643" s="5"/>
    </row>
    <row r="3644" spans="7:26" ht="75.75" customHeight="1" x14ac:dyDescent="0.25">
      <c r="G3644" s="5"/>
      <c r="H3644" s="2"/>
      <c r="I3644" s="2"/>
      <c r="K3644" s="2"/>
      <c r="L3644" s="2"/>
      <c r="M3644" s="2"/>
      <c r="N3644" s="2"/>
      <c r="O3644" s="2"/>
      <c r="P3644" s="2"/>
      <c r="Q3644" s="2"/>
      <c r="R3644" s="2"/>
      <c r="S3644" s="2"/>
      <c r="T3644" s="19"/>
      <c r="U3644" s="2"/>
      <c r="V3644" s="2"/>
      <c r="W3644" s="2"/>
      <c r="X3644" s="19"/>
      <c r="Y3644" s="2"/>
      <c r="Z3644" s="5"/>
    </row>
    <row r="3645" spans="7:26" ht="75.75" customHeight="1" x14ac:dyDescent="0.25">
      <c r="G3645" s="5"/>
      <c r="H3645" s="2"/>
      <c r="I3645" s="2"/>
      <c r="K3645" s="2"/>
      <c r="L3645" s="2"/>
      <c r="M3645" s="2"/>
      <c r="N3645" s="2"/>
      <c r="O3645" s="2"/>
      <c r="P3645" s="2"/>
      <c r="Q3645" s="2"/>
      <c r="R3645" s="2"/>
      <c r="S3645" s="2"/>
      <c r="T3645" s="19"/>
      <c r="U3645" s="2"/>
      <c r="V3645" s="2"/>
      <c r="W3645" s="2"/>
      <c r="X3645" s="19"/>
      <c r="Y3645" s="2"/>
      <c r="Z3645" s="5"/>
    </row>
    <row r="3646" spans="7:26" ht="75.75" customHeight="1" x14ac:dyDescent="0.25">
      <c r="G3646" s="5"/>
      <c r="H3646" s="2"/>
      <c r="I3646" s="2"/>
      <c r="K3646" s="2"/>
      <c r="L3646" s="2"/>
      <c r="M3646" s="2"/>
      <c r="N3646" s="2"/>
      <c r="O3646" s="2"/>
      <c r="P3646" s="2"/>
      <c r="Q3646" s="2"/>
      <c r="R3646" s="2"/>
      <c r="S3646" s="2"/>
      <c r="T3646" s="19"/>
      <c r="U3646" s="2"/>
      <c r="V3646" s="2"/>
      <c r="W3646" s="2"/>
      <c r="X3646" s="19"/>
      <c r="Y3646" s="2"/>
      <c r="Z3646" s="5"/>
    </row>
    <row r="3647" spans="7:26" ht="75.75" customHeight="1" x14ac:dyDescent="0.25">
      <c r="G3647" s="5"/>
      <c r="H3647" s="2"/>
      <c r="I3647" s="2"/>
      <c r="K3647" s="2"/>
      <c r="L3647" s="2"/>
      <c r="M3647" s="2"/>
      <c r="N3647" s="2"/>
      <c r="O3647" s="2"/>
      <c r="P3647" s="2"/>
      <c r="Q3647" s="2"/>
      <c r="R3647" s="2"/>
      <c r="S3647" s="2"/>
      <c r="T3647" s="19"/>
      <c r="U3647" s="2"/>
      <c r="V3647" s="2"/>
      <c r="W3647" s="2"/>
      <c r="X3647" s="19"/>
      <c r="Y3647" s="2"/>
      <c r="Z3647" s="5"/>
    </row>
    <row r="3648" spans="7:26" ht="75.75" customHeight="1" x14ac:dyDescent="0.25">
      <c r="G3648" s="5"/>
      <c r="H3648" s="2"/>
      <c r="I3648" s="2"/>
      <c r="K3648" s="2"/>
      <c r="L3648" s="2"/>
      <c r="M3648" s="2"/>
      <c r="N3648" s="2"/>
      <c r="O3648" s="2"/>
      <c r="P3648" s="2"/>
      <c r="Q3648" s="2"/>
      <c r="R3648" s="2"/>
      <c r="S3648" s="2"/>
      <c r="T3648" s="19"/>
      <c r="U3648" s="2"/>
      <c r="V3648" s="2"/>
      <c r="W3648" s="2"/>
      <c r="X3648" s="19"/>
      <c r="Y3648" s="2"/>
      <c r="Z3648" s="5"/>
    </row>
    <row r="3649" spans="7:26" ht="75.75" customHeight="1" x14ac:dyDescent="0.25">
      <c r="G3649" s="5"/>
      <c r="H3649" s="2"/>
      <c r="I3649" s="2"/>
      <c r="K3649" s="2"/>
      <c r="L3649" s="2"/>
      <c r="M3649" s="2"/>
      <c r="N3649" s="2"/>
      <c r="O3649" s="2"/>
      <c r="P3649" s="2"/>
      <c r="Q3649" s="2"/>
      <c r="R3649" s="2"/>
      <c r="S3649" s="2"/>
      <c r="T3649" s="19"/>
      <c r="U3649" s="2"/>
      <c r="V3649" s="2"/>
      <c r="W3649" s="2"/>
      <c r="X3649" s="19"/>
      <c r="Y3649" s="2"/>
      <c r="Z3649" s="5"/>
    </row>
    <row r="3650" spans="7:26" ht="75.75" customHeight="1" x14ac:dyDescent="0.25">
      <c r="G3650" s="5"/>
      <c r="H3650" s="2"/>
      <c r="I3650" s="2"/>
      <c r="K3650" s="2"/>
      <c r="L3650" s="2"/>
      <c r="M3650" s="2"/>
      <c r="N3650" s="2"/>
      <c r="O3650" s="2"/>
      <c r="P3650" s="2"/>
      <c r="Q3650" s="2"/>
      <c r="R3650" s="2"/>
      <c r="S3650" s="2"/>
      <c r="T3650" s="19"/>
      <c r="U3650" s="2"/>
      <c r="V3650" s="2"/>
      <c r="W3650" s="2"/>
      <c r="X3650" s="19"/>
      <c r="Y3650" s="2"/>
      <c r="Z3650" s="5"/>
    </row>
    <row r="3651" spans="7:26" ht="75.75" customHeight="1" x14ac:dyDescent="0.25">
      <c r="G3651" s="5"/>
      <c r="H3651" s="2"/>
      <c r="I3651" s="2"/>
      <c r="K3651" s="2"/>
      <c r="L3651" s="2"/>
      <c r="M3651" s="2"/>
      <c r="N3651" s="2"/>
      <c r="O3651" s="2"/>
      <c r="P3651" s="2"/>
      <c r="Q3651" s="2"/>
      <c r="R3651" s="2"/>
      <c r="S3651" s="2"/>
      <c r="T3651" s="19"/>
      <c r="U3651" s="2"/>
      <c r="V3651" s="2"/>
      <c r="W3651" s="2"/>
      <c r="X3651" s="19"/>
      <c r="Y3651" s="2"/>
      <c r="Z3651" s="5"/>
    </row>
    <row r="3652" spans="7:26" ht="75.75" customHeight="1" x14ac:dyDescent="0.25">
      <c r="G3652" s="5"/>
      <c r="H3652" s="2"/>
      <c r="I3652" s="2"/>
      <c r="K3652" s="2"/>
      <c r="L3652" s="2"/>
      <c r="M3652" s="2"/>
      <c r="N3652" s="2"/>
      <c r="O3652" s="2"/>
      <c r="P3652" s="2"/>
      <c r="Q3652" s="2"/>
      <c r="R3652" s="2"/>
      <c r="S3652" s="2"/>
      <c r="T3652" s="19"/>
      <c r="U3652" s="2"/>
      <c r="V3652" s="2"/>
      <c r="W3652" s="2"/>
      <c r="X3652" s="19"/>
      <c r="Y3652" s="2"/>
      <c r="Z3652" s="5"/>
    </row>
    <row r="3653" spans="7:26" ht="75.75" customHeight="1" x14ac:dyDescent="0.25">
      <c r="G3653" s="5"/>
      <c r="H3653" s="2"/>
      <c r="I3653" s="2"/>
      <c r="K3653" s="2"/>
      <c r="L3653" s="2"/>
      <c r="M3653" s="2"/>
      <c r="N3653" s="2"/>
      <c r="O3653" s="2"/>
      <c r="P3653" s="2"/>
      <c r="Q3653" s="2"/>
      <c r="R3653" s="2"/>
      <c r="S3653" s="2"/>
      <c r="T3653" s="19"/>
      <c r="U3653" s="2"/>
      <c r="V3653" s="2"/>
      <c r="W3653" s="2"/>
      <c r="X3653" s="19"/>
      <c r="Y3653" s="2"/>
      <c r="Z3653" s="5"/>
    </row>
    <row r="3654" spans="7:26" ht="75.75" customHeight="1" x14ac:dyDescent="0.25">
      <c r="G3654" s="5"/>
      <c r="H3654" s="2"/>
      <c r="I3654" s="2"/>
      <c r="K3654" s="2"/>
      <c r="L3654" s="2"/>
      <c r="M3654" s="2"/>
      <c r="N3654" s="2"/>
      <c r="O3654" s="2"/>
      <c r="P3654" s="2"/>
      <c r="Q3654" s="2"/>
      <c r="R3654" s="2"/>
      <c r="S3654" s="2"/>
      <c r="T3654" s="19"/>
      <c r="U3654" s="2"/>
      <c r="V3654" s="2"/>
      <c r="W3654" s="2"/>
      <c r="X3654" s="19"/>
      <c r="Y3654" s="2"/>
      <c r="Z3654" s="5"/>
    </row>
    <row r="3655" spans="7:26" ht="75.75" customHeight="1" x14ac:dyDescent="0.25">
      <c r="G3655" s="5"/>
      <c r="H3655" s="2"/>
      <c r="I3655" s="2"/>
      <c r="K3655" s="2"/>
      <c r="L3655" s="2"/>
      <c r="M3655" s="2"/>
      <c r="N3655" s="2"/>
      <c r="O3655" s="2"/>
      <c r="P3655" s="2"/>
      <c r="Q3655" s="2"/>
      <c r="R3655" s="2"/>
      <c r="S3655" s="2"/>
      <c r="T3655" s="19"/>
      <c r="U3655" s="2"/>
      <c r="V3655" s="2"/>
      <c r="W3655" s="2"/>
      <c r="X3655" s="19"/>
      <c r="Y3655" s="2"/>
      <c r="Z3655" s="5"/>
    </row>
    <row r="3656" spans="7:26" ht="75.75" customHeight="1" x14ac:dyDescent="0.25">
      <c r="G3656" s="5"/>
      <c r="H3656" s="2"/>
      <c r="I3656" s="2"/>
      <c r="K3656" s="2"/>
      <c r="L3656" s="2"/>
      <c r="M3656" s="2"/>
      <c r="N3656" s="2"/>
      <c r="O3656" s="2"/>
      <c r="P3656" s="2"/>
      <c r="Q3656" s="2"/>
      <c r="R3656" s="2"/>
      <c r="S3656" s="2"/>
      <c r="T3656" s="19"/>
      <c r="U3656" s="2"/>
      <c r="V3656" s="2"/>
      <c r="W3656" s="2"/>
      <c r="X3656" s="19"/>
      <c r="Y3656" s="2"/>
      <c r="Z3656" s="5"/>
    </row>
    <row r="3657" spans="7:26" ht="75.75" customHeight="1" x14ac:dyDescent="0.25">
      <c r="G3657" s="5"/>
      <c r="H3657" s="2"/>
      <c r="I3657" s="2"/>
      <c r="K3657" s="2"/>
      <c r="L3657" s="2"/>
      <c r="M3657" s="2"/>
      <c r="N3657" s="2"/>
      <c r="O3657" s="2"/>
      <c r="P3657" s="2"/>
      <c r="Q3657" s="2"/>
      <c r="R3657" s="2"/>
      <c r="S3657" s="2"/>
      <c r="T3657" s="19"/>
      <c r="U3657" s="2"/>
      <c r="V3657" s="2"/>
      <c r="W3657" s="2"/>
      <c r="X3657" s="19"/>
      <c r="Y3657" s="2"/>
      <c r="Z3657" s="5"/>
    </row>
    <row r="3658" spans="7:26" ht="75.75" customHeight="1" x14ac:dyDescent="0.25">
      <c r="G3658" s="5"/>
      <c r="H3658" s="2"/>
      <c r="I3658" s="2"/>
      <c r="K3658" s="2"/>
      <c r="L3658" s="2"/>
      <c r="M3658" s="2"/>
      <c r="N3658" s="2"/>
      <c r="O3658" s="2"/>
      <c r="P3658" s="2"/>
      <c r="Q3658" s="2"/>
      <c r="R3658" s="2"/>
      <c r="S3658" s="2"/>
      <c r="T3658" s="19"/>
      <c r="U3658" s="2"/>
      <c r="V3658" s="2"/>
      <c r="W3658" s="2"/>
      <c r="X3658" s="19"/>
      <c r="Y3658" s="2"/>
      <c r="Z3658" s="5"/>
    </row>
    <row r="3659" spans="7:26" ht="75.75" customHeight="1" x14ac:dyDescent="0.25">
      <c r="G3659" s="5"/>
      <c r="H3659" s="2"/>
      <c r="I3659" s="2"/>
      <c r="K3659" s="2"/>
      <c r="L3659" s="2"/>
      <c r="M3659" s="2"/>
      <c r="N3659" s="2"/>
      <c r="O3659" s="2"/>
      <c r="P3659" s="2"/>
      <c r="Q3659" s="2"/>
      <c r="R3659" s="2"/>
      <c r="S3659" s="2"/>
      <c r="T3659" s="19"/>
      <c r="U3659" s="2"/>
      <c r="V3659" s="2"/>
      <c r="W3659" s="2"/>
      <c r="X3659" s="19"/>
      <c r="Y3659" s="2"/>
      <c r="Z3659" s="5"/>
    </row>
    <row r="3660" spans="7:26" ht="75.75" customHeight="1" x14ac:dyDescent="0.25">
      <c r="G3660" s="5"/>
      <c r="H3660" s="2"/>
      <c r="I3660" s="2"/>
      <c r="K3660" s="2"/>
      <c r="L3660" s="2"/>
      <c r="M3660" s="2"/>
      <c r="N3660" s="2"/>
      <c r="O3660" s="2"/>
      <c r="P3660" s="2"/>
      <c r="Q3660" s="2"/>
      <c r="R3660" s="2"/>
      <c r="S3660" s="2"/>
      <c r="T3660" s="19"/>
      <c r="U3660" s="2"/>
      <c r="V3660" s="2"/>
      <c r="W3660" s="2"/>
      <c r="X3660" s="19"/>
      <c r="Y3660" s="2"/>
      <c r="Z3660" s="5"/>
    </row>
    <row r="3661" spans="7:26" ht="75.75" customHeight="1" x14ac:dyDescent="0.25">
      <c r="G3661" s="5"/>
      <c r="H3661" s="2"/>
      <c r="I3661" s="2"/>
      <c r="K3661" s="2"/>
      <c r="L3661" s="2"/>
      <c r="M3661" s="2"/>
      <c r="N3661" s="2"/>
      <c r="O3661" s="2"/>
      <c r="P3661" s="2"/>
      <c r="Q3661" s="2"/>
      <c r="R3661" s="2"/>
      <c r="S3661" s="2"/>
      <c r="T3661" s="19"/>
      <c r="U3661" s="2"/>
      <c r="V3661" s="2"/>
      <c r="W3661" s="2"/>
      <c r="X3661" s="19"/>
      <c r="Y3661" s="2"/>
      <c r="Z3661" s="5"/>
    </row>
    <row r="3662" spans="7:26" ht="75.75" customHeight="1" x14ac:dyDescent="0.25">
      <c r="G3662" s="5"/>
      <c r="H3662" s="2"/>
      <c r="I3662" s="2"/>
      <c r="K3662" s="2"/>
      <c r="L3662" s="2"/>
      <c r="M3662" s="2"/>
      <c r="N3662" s="2"/>
      <c r="O3662" s="2"/>
      <c r="P3662" s="2"/>
      <c r="Q3662" s="2"/>
      <c r="R3662" s="2"/>
      <c r="S3662" s="2"/>
      <c r="T3662" s="19"/>
      <c r="U3662" s="2"/>
      <c r="V3662" s="2"/>
      <c r="W3662" s="2"/>
      <c r="X3662" s="19"/>
      <c r="Y3662" s="2"/>
      <c r="Z3662" s="5"/>
    </row>
    <row r="3663" spans="7:26" ht="75.75" customHeight="1" x14ac:dyDescent="0.25">
      <c r="G3663" s="5"/>
      <c r="H3663" s="2"/>
      <c r="I3663" s="2"/>
      <c r="K3663" s="2"/>
      <c r="L3663" s="2"/>
      <c r="M3663" s="2"/>
      <c r="N3663" s="2"/>
      <c r="O3663" s="2"/>
      <c r="P3663" s="2"/>
      <c r="Q3663" s="2"/>
      <c r="R3663" s="2"/>
      <c r="S3663" s="2"/>
      <c r="T3663" s="19"/>
      <c r="U3663" s="2"/>
      <c r="V3663" s="2"/>
      <c r="W3663" s="2"/>
      <c r="X3663" s="19"/>
      <c r="Y3663" s="2"/>
      <c r="Z3663" s="5"/>
    </row>
    <row r="3664" spans="7:26" ht="75.75" customHeight="1" x14ac:dyDescent="0.25">
      <c r="G3664" s="5"/>
      <c r="H3664" s="2"/>
      <c r="I3664" s="2"/>
      <c r="K3664" s="2"/>
      <c r="L3664" s="2"/>
      <c r="M3664" s="2"/>
      <c r="N3664" s="2"/>
      <c r="O3664" s="2"/>
      <c r="P3664" s="2"/>
      <c r="Q3664" s="2"/>
      <c r="R3664" s="2"/>
      <c r="S3664" s="2"/>
      <c r="T3664" s="19"/>
      <c r="U3664" s="2"/>
      <c r="V3664" s="2"/>
      <c r="W3664" s="2"/>
      <c r="X3664" s="19"/>
      <c r="Y3664" s="2"/>
      <c r="Z3664" s="5"/>
    </row>
    <row r="3665" spans="7:26" ht="75.75" customHeight="1" x14ac:dyDescent="0.25">
      <c r="G3665" s="5"/>
      <c r="H3665" s="2"/>
      <c r="I3665" s="2"/>
      <c r="K3665" s="2"/>
      <c r="L3665" s="2"/>
      <c r="M3665" s="2"/>
      <c r="N3665" s="2"/>
      <c r="O3665" s="2"/>
      <c r="P3665" s="2"/>
      <c r="Q3665" s="2"/>
      <c r="R3665" s="2"/>
      <c r="S3665" s="2"/>
      <c r="T3665" s="19"/>
      <c r="U3665" s="2"/>
      <c r="V3665" s="2"/>
      <c r="W3665" s="2"/>
      <c r="X3665" s="19"/>
      <c r="Y3665" s="2"/>
      <c r="Z3665" s="5"/>
    </row>
    <row r="3666" spans="7:26" ht="75.75" customHeight="1" x14ac:dyDescent="0.25">
      <c r="G3666" s="5"/>
      <c r="H3666" s="2"/>
      <c r="I3666" s="2"/>
      <c r="K3666" s="2"/>
      <c r="L3666" s="2"/>
      <c r="M3666" s="2"/>
      <c r="N3666" s="2"/>
      <c r="O3666" s="2"/>
      <c r="P3666" s="2"/>
      <c r="Q3666" s="2"/>
      <c r="R3666" s="2"/>
      <c r="S3666" s="2"/>
      <c r="T3666" s="19"/>
      <c r="U3666" s="2"/>
      <c r="V3666" s="2"/>
      <c r="W3666" s="2"/>
      <c r="X3666" s="19"/>
      <c r="Y3666" s="2"/>
      <c r="Z3666" s="5"/>
    </row>
    <row r="3667" spans="7:26" ht="75.75" customHeight="1" x14ac:dyDescent="0.25">
      <c r="G3667" s="5"/>
      <c r="H3667" s="2"/>
      <c r="I3667" s="2"/>
      <c r="K3667" s="2"/>
      <c r="L3667" s="2"/>
      <c r="M3667" s="2"/>
      <c r="N3667" s="2"/>
      <c r="O3667" s="2"/>
      <c r="P3667" s="2"/>
      <c r="Q3667" s="2"/>
      <c r="R3667" s="2"/>
      <c r="S3667" s="2"/>
      <c r="T3667" s="19"/>
      <c r="U3667" s="2"/>
      <c r="V3667" s="2"/>
      <c r="W3667" s="2"/>
      <c r="X3667" s="19"/>
      <c r="Y3667" s="2"/>
      <c r="Z3667" s="5"/>
    </row>
    <row r="3668" spans="7:26" ht="75.75" customHeight="1" x14ac:dyDescent="0.25">
      <c r="G3668" s="5"/>
      <c r="H3668" s="2"/>
      <c r="I3668" s="2"/>
      <c r="K3668" s="2"/>
      <c r="L3668" s="2"/>
      <c r="M3668" s="2"/>
      <c r="N3668" s="2"/>
      <c r="O3668" s="2"/>
      <c r="P3668" s="2"/>
      <c r="Q3668" s="2"/>
      <c r="R3668" s="2"/>
      <c r="S3668" s="2"/>
      <c r="T3668" s="19"/>
      <c r="U3668" s="2"/>
      <c r="V3668" s="2"/>
      <c r="W3668" s="2"/>
      <c r="X3668" s="19"/>
      <c r="Y3668" s="2"/>
      <c r="Z3668" s="5"/>
    </row>
    <row r="3669" spans="7:26" ht="75.75" customHeight="1" x14ac:dyDescent="0.25">
      <c r="G3669" s="5"/>
      <c r="H3669" s="2"/>
      <c r="I3669" s="2"/>
      <c r="K3669" s="2"/>
      <c r="L3669" s="2"/>
      <c r="M3669" s="2"/>
      <c r="N3669" s="2"/>
      <c r="O3669" s="2"/>
      <c r="P3669" s="2"/>
      <c r="Q3669" s="2"/>
      <c r="R3669" s="2"/>
      <c r="S3669" s="2"/>
      <c r="T3669" s="19"/>
      <c r="U3669" s="2"/>
      <c r="V3669" s="2"/>
      <c r="W3669" s="2"/>
      <c r="X3669" s="19"/>
      <c r="Y3669" s="2"/>
      <c r="Z3669" s="5"/>
    </row>
    <row r="3670" spans="7:26" ht="75.75" customHeight="1" x14ac:dyDescent="0.25">
      <c r="G3670" s="5"/>
      <c r="H3670" s="2"/>
      <c r="I3670" s="2"/>
      <c r="K3670" s="2"/>
      <c r="L3670" s="2"/>
      <c r="M3670" s="2"/>
      <c r="N3670" s="2"/>
      <c r="O3670" s="2"/>
      <c r="P3670" s="2"/>
      <c r="Q3670" s="2"/>
      <c r="R3670" s="2"/>
      <c r="S3670" s="2"/>
      <c r="T3670" s="19"/>
      <c r="U3670" s="2"/>
      <c r="V3670" s="2"/>
      <c r="W3670" s="2"/>
      <c r="X3670" s="19"/>
      <c r="Y3670" s="2"/>
      <c r="Z3670" s="5"/>
    </row>
    <row r="3671" spans="7:26" ht="75.75" customHeight="1" x14ac:dyDescent="0.25">
      <c r="G3671" s="5"/>
      <c r="H3671" s="2"/>
      <c r="I3671" s="2"/>
      <c r="K3671" s="2"/>
      <c r="L3671" s="2"/>
      <c r="M3671" s="2"/>
      <c r="N3671" s="2"/>
      <c r="O3671" s="2"/>
      <c r="P3671" s="2"/>
      <c r="Q3671" s="2"/>
      <c r="R3671" s="2"/>
      <c r="S3671" s="2"/>
      <c r="T3671" s="19"/>
      <c r="U3671" s="2"/>
      <c r="V3671" s="2"/>
      <c r="W3671" s="2"/>
      <c r="X3671" s="19"/>
      <c r="Y3671" s="2"/>
      <c r="Z3671" s="5"/>
    </row>
    <row r="3672" spans="7:26" ht="75.75" customHeight="1" x14ac:dyDescent="0.25">
      <c r="G3672" s="5"/>
      <c r="H3672" s="2"/>
      <c r="I3672" s="2"/>
      <c r="K3672" s="2"/>
      <c r="L3672" s="2"/>
      <c r="M3672" s="2"/>
      <c r="N3672" s="2"/>
      <c r="O3672" s="2"/>
      <c r="P3672" s="2"/>
      <c r="Q3672" s="2"/>
      <c r="R3672" s="2"/>
      <c r="S3672" s="2"/>
      <c r="T3672" s="19"/>
      <c r="U3672" s="2"/>
      <c r="V3672" s="2"/>
      <c r="W3672" s="2"/>
      <c r="X3672" s="19"/>
      <c r="Y3672" s="2"/>
      <c r="Z3672" s="5"/>
    </row>
    <row r="3673" spans="7:26" ht="75.75" customHeight="1" x14ac:dyDescent="0.25">
      <c r="G3673" s="5"/>
      <c r="H3673" s="2"/>
      <c r="I3673" s="2"/>
      <c r="K3673" s="2"/>
      <c r="L3673" s="2"/>
      <c r="M3673" s="2"/>
      <c r="N3673" s="2"/>
      <c r="O3673" s="2"/>
      <c r="P3673" s="2"/>
      <c r="Q3673" s="2"/>
      <c r="R3673" s="2"/>
      <c r="S3673" s="2"/>
      <c r="T3673" s="19"/>
      <c r="U3673" s="2"/>
      <c r="V3673" s="2"/>
      <c r="W3673" s="2"/>
      <c r="X3673" s="19"/>
      <c r="Y3673" s="2"/>
      <c r="Z3673" s="5"/>
    </row>
    <row r="3674" spans="7:26" ht="75.75" customHeight="1" x14ac:dyDescent="0.25">
      <c r="G3674" s="5"/>
      <c r="H3674" s="2"/>
      <c r="I3674" s="2"/>
      <c r="K3674" s="2"/>
      <c r="L3674" s="2"/>
      <c r="M3674" s="2"/>
      <c r="N3674" s="2"/>
      <c r="O3674" s="2"/>
      <c r="P3674" s="2"/>
      <c r="Q3674" s="2"/>
      <c r="R3674" s="2"/>
      <c r="S3674" s="2"/>
      <c r="T3674" s="19"/>
      <c r="U3674" s="2"/>
      <c r="V3674" s="2"/>
      <c r="W3674" s="2"/>
      <c r="X3674" s="19"/>
      <c r="Y3674" s="2"/>
      <c r="Z3674" s="5"/>
    </row>
    <row r="3675" spans="7:26" ht="75.75" customHeight="1" x14ac:dyDescent="0.25">
      <c r="G3675" s="5"/>
      <c r="H3675" s="2"/>
      <c r="I3675" s="2"/>
      <c r="K3675" s="2"/>
      <c r="L3675" s="2"/>
      <c r="M3675" s="2"/>
      <c r="N3675" s="2"/>
      <c r="O3675" s="2"/>
      <c r="P3675" s="2"/>
      <c r="Q3675" s="2"/>
      <c r="R3675" s="2"/>
      <c r="S3675" s="2"/>
      <c r="T3675" s="19"/>
      <c r="U3675" s="2"/>
      <c r="V3675" s="2"/>
      <c r="W3675" s="2"/>
      <c r="X3675" s="19"/>
      <c r="Y3675" s="2"/>
      <c r="Z3675" s="5"/>
    </row>
    <row r="3676" spans="7:26" ht="75.75" customHeight="1" x14ac:dyDescent="0.25">
      <c r="G3676" s="5"/>
      <c r="H3676" s="2"/>
      <c r="I3676" s="2"/>
      <c r="K3676" s="2"/>
      <c r="L3676" s="2"/>
      <c r="M3676" s="2"/>
      <c r="N3676" s="2"/>
      <c r="O3676" s="2"/>
      <c r="P3676" s="2"/>
      <c r="Q3676" s="2"/>
      <c r="R3676" s="2"/>
      <c r="S3676" s="2"/>
      <c r="T3676" s="19"/>
      <c r="U3676" s="2"/>
      <c r="V3676" s="2"/>
      <c r="W3676" s="2"/>
      <c r="X3676" s="19"/>
      <c r="Y3676" s="2"/>
      <c r="Z3676" s="5"/>
    </row>
    <row r="3677" spans="7:26" ht="75.75" customHeight="1" x14ac:dyDescent="0.25">
      <c r="G3677" s="5"/>
      <c r="H3677" s="2"/>
      <c r="I3677" s="2"/>
      <c r="K3677" s="2"/>
      <c r="L3677" s="2"/>
      <c r="M3677" s="2"/>
      <c r="N3677" s="2"/>
      <c r="O3677" s="2"/>
      <c r="P3677" s="2"/>
      <c r="Q3677" s="2"/>
      <c r="R3677" s="2"/>
      <c r="S3677" s="2"/>
      <c r="T3677" s="19"/>
      <c r="U3677" s="2"/>
      <c r="V3677" s="2"/>
      <c r="W3677" s="2"/>
      <c r="X3677" s="19"/>
      <c r="Y3677" s="2"/>
      <c r="Z3677" s="5"/>
    </row>
    <row r="3678" spans="7:26" ht="75.75" customHeight="1" x14ac:dyDescent="0.25">
      <c r="G3678" s="5"/>
      <c r="H3678" s="2"/>
      <c r="I3678" s="2"/>
      <c r="K3678" s="2"/>
      <c r="L3678" s="2"/>
      <c r="M3678" s="2"/>
      <c r="N3678" s="2"/>
      <c r="O3678" s="2"/>
      <c r="P3678" s="2"/>
      <c r="Q3678" s="2"/>
      <c r="R3678" s="2"/>
      <c r="S3678" s="2"/>
      <c r="T3678" s="19"/>
      <c r="U3678" s="2"/>
      <c r="V3678" s="2"/>
      <c r="W3678" s="2"/>
      <c r="X3678" s="19"/>
      <c r="Y3678" s="2"/>
      <c r="Z3678" s="5"/>
    </row>
    <row r="3679" spans="7:26" ht="75.75" customHeight="1" x14ac:dyDescent="0.25">
      <c r="G3679" s="5"/>
      <c r="H3679" s="2"/>
      <c r="I3679" s="2"/>
      <c r="K3679" s="2"/>
      <c r="L3679" s="2"/>
      <c r="M3679" s="2"/>
      <c r="N3679" s="2"/>
      <c r="O3679" s="2"/>
      <c r="P3679" s="2"/>
      <c r="Q3679" s="2"/>
      <c r="R3679" s="2"/>
      <c r="S3679" s="2"/>
      <c r="T3679" s="19"/>
      <c r="U3679" s="2"/>
      <c r="V3679" s="2"/>
      <c r="W3679" s="2"/>
      <c r="X3679" s="19"/>
      <c r="Y3679" s="2"/>
      <c r="Z3679" s="5"/>
    </row>
    <row r="3680" spans="7:26" ht="75.75" customHeight="1" x14ac:dyDescent="0.25">
      <c r="G3680" s="5"/>
      <c r="H3680" s="2"/>
      <c r="I3680" s="2"/>
      <c r="K3680" s="2"/>
      <c r="L3680" s="2"/>
      <c r="M3680" s="2"/>
      <c r="N3680" s="2"/>
      <c r="O3680" s="2"/>
      <c r="P3680" s="2"/>
      <c r="Q3680" s="2"/>
      <c r="R3680" s="2"/>
      <c r="S3680" s="2"/>
      <c r="T3680" s="19"/>
      <c r="U3680" s="2"/>
      <c r="V3680" s="2"/>
      <c r="W3680" s="2"/>
      <c r="X3680" s="19"/>
      <c r="Y3680" s="2"/>
      <c r="Z3680" s="5"/>
    </row>
    <row r="3681" spans="7:26" ht="75.75" customHeight="1" x14ac:dyDescent="0.25">
      <c r="G3681" s="5"/>
      <c r="H3681" s="2"/>
      <c r="I3681" s="2"/>
      <c r="K3681" s="2"/>
      <c r="L3681" s="2"/>
      <c r="M3681" s="2"/>
      <c r="N3681" s="2"/>
      <c r="O3681" s="2"/>
      <c r="P3681" s="2"/>
      <c r="Q3681" s="2"/>
      <c r="R3681" s="2"/>
      <c r="S3681" s="2"/>
      <c r="T3681" s="19"/>
      <c r="U3681" s="2"/>
      <c r="V3681" s="2"/>
      <c r="W3681" s="2"/>
      <c r="X3681" s="19"/>
      <c r="Y3681" s="2"/>
      <c r="Z3681" s="5"/>
    </row>
    <row r="3682" spans="7:26" ht="75.75" customHeight="1" x14ac:dyDescent="0.25">
      <c r="G3682" s="5"/>
      <c r="H3682" s="2"/>
      <c r="I3682" s="2"/>
      <c r="K3682" s="2"/>
      <c r="L3682" s="2"/>
      <c r="M3682" s="2"/>
      <c r="N3682" s="2"/>
      <c r="O3682" s="2"/>
      <c r="P3682" s="2"/>
      <c r="Q3682" s="2"/>
      <c r="R3682" s="2"/>
      <c r="S3682" s="2"/>
      <c r="T3682" s="19"/>
      <c r="U3682" s="2"/>
      <c r="V3682" s="2"/>
      <c r="W3682" s="2"/>
      <c r="X3682" s="19"/>
      <c r="Y3682" s="2"/>
      <c r="Z3682" s="5"/>
    </row>
    <row r="3683" spans="7:26" ht="75.75" customHeight="1" x14ac:dyDescent="0.25">
      <c r="G3683" s="5"/>
      <c r="H3683" s="2"/>
      <c r="I3683" s="2"/>
      <c r="K3683" s="2"/>
      <c r="L3683" s="2"/>
      <c r="M3683" s="2"/>
      <c r="N3683" s="2"/>
      <c r="O3683" s="2"/>
      <c r="P3683" s="2"/>
      <c r="Q3683" s="2"/>
      <c r="R3683" s="2"/>
      <c r="S3683" s="2"/>
      <c r="T3683" s="19"/>
      <c r="U3683" s="2"/>
      <c r="V3683" s="2"/>
      <c r="W3683" s="2"/>
      <c r="X3683" s="19"/>
      <c r="Y3683" s="2"/>
      <c r="Z3683" s="5"/>
    </row>
    <row r="3684" spans="7:26" ht="75.75" customHeight="1" x14ac:dyDescent="0.25">
      <c r="G3684" s="5"/>
      <c r="H3684" s="2"/>
      <c r="I3684" s="2"/>
      <c r="K3684" s="2"/>
      <c r="L3684" s="2"/>
      <c r="M3684" s="2"/>
      <c r="N3684" s="2"/>
      <c r="O3684" s="2"/>
      <c r="P3684" s="2"/>
      <c r="Q3684" s="2"/>
      <c r="R3684" s="2"/>
      <c r="S3684" s="2"/>
      <c r="T3684" s="19"/>
      <c r="U3684" s="2"/>
      <c r="V3684" s="2"/>
      <c r="W3684" s="2"/>
      <c r="X3684" s="19"/>
      <c r="Y3684" s="2"/>
      <c r="Z3684" s="5"/>
    </row>
    <row r="3685" spans="7:26" ht="75.75" customHeight="1" x14ac:dyDescent="0.25">
      <c r="G3685" s="5"/>
      <c r="H3685" s="2"/>
      <c r="I3685" s="2"/>
      <c r="K3685" s="2"/>
      <c r="L3685" s="2"/>
      <c r="M3685" s="2"/>
      <c r="N3685" s="2"/>
      <c r="O3685" s="2"/>
      <c r="P3685" s="2"/>
      <c r="Q3685" s="2"/>
      <c r="R3685" s="2"/>
      <c r="S3685" s="2"/>
      <c r="T3685" s="19"/>
      <c r="U3685" s="2"/>
      <c r="V3685" s="2"/>
      <c r="W3685" s="2"/>
      <c r="X3685" s="19"/>
      <c r="Y3685" s="2"/>
      <c r="Z3685" s="5"/>
    </row>
    <row r="3686" spans="7:26" ht="75.75" customHeight="1" x14ac:dyDescent="0.25">
      <c r="G3686" s="5"/>
      <c r="H3686" s="2"/>
      <c r="I3686" s="2"/>
      <c r="K3686" s="2"/>
      <c r="L3686" s="2"/>
      <c r="M3686" s="2"/>
      <c r="N3686" s="2"/>
      <c r="O3686" s="2"/>
      <c r="P3686" s="2"/>
      <c r="Q3686" s="2"/>
      <c r="R3686" s="2"/>
      <c r="S3686" s="2"/>
      <c r="T3686" s="19"/>
      <c r="U3686" s="2"/>
      <c r="V3686" s="2"/>
      <c r="W3686" s="2"/>
      <c r="X3686" s="19"/>
      <c r="Y3686" s="2"/>
      <c r="Z3686" s="5"/>
    </row>
    <row r="3687" spans="7:26" ht="75.75" customHeight="1" x14ac:dyDescent="0.25">
      <c r="G3687" s="5"/>
      <c r="H3687" s="2"/>
      <c r="I3687" s="2"/>
      <c r="K3687" s="2"/>
      <c r="L3687" s="2"/>
      <c r="M3687" s="2"/>
      <c r="N3687" s="2"/>
      <c r="O3687" s="2"/>
      <c r="P3687" s="2"/>
      <c r="Q3687" s="2"/>
      <c r="R3687" s="2"/>
      <c r="S3687" s="2"/>
      <c r="T3687" s="19"/>
      <c r="U3687" s="2"/>
      <c r="V3687" s="2"/>
      <c r="W3687" s="2"/>
      <c r="X3687" s="19"/>
      <c r="Y3687" s="2"/>
      <c r="Z3687" s="5"/>
    </row>
    <row r="3688" spans="7:26" ht="75.75" customHeight="1" x14ac:dyDescent="0.25">
      <c r="G3688" s="5"/>
      <c r="H3688" s="2"/>
      <c r="I3688" s="2"/>
      <c r="K3688" s="2"/>
      <c r="L3688" s="2"/>
      <c r="M3688" s="2"/>
      <c r="N3688" s="2"/>
      <c r="O3688" s="2"/>
      <c r="P3688" s="2"/>
      <c r="Q3688" s="2"/>
      <c r="R3688" s="2"/>
      <c r="S3688" s="2"/>
      <c r="T3688" s="19"/>
      <c r="U3688" s="2"/>
      <c r="V3688" s="2"/>
      <c r="W3688" s="2"/>
      <c r="X3688" s="19"/>
      <c r="Y3688" s="2"/>
      <c r="Z3688" s="5"/>
    </row>
    <row r="3689" spans="7:26" ht="75.75" customHeight="1" x14ac:dyDescent="0.25">
      <c r="G3689" s="5"/>
      <c r="H3689" s="2"/>
      <c r="I3689" s="2"/>
      <c r="K3689" s="2"/>
      <c r="L3689" s="2"/>
      <c r="M3689" s="2"/>
      <c r="N3689" s="2"/>
      <c r="O3689" s="2"/>
      <c r="P3689" s="2"/>
      <c r="Q3689" s="2"/>
      <c r="R3689" s="2"/>
      <c r="S3689" s="2"/>
      <c r="T3689" s="19"/>
      <c r="U3689" s="2"/>
      <c r="V3689" s="2"/>
      <c r="W3689" s="2"/>
      <c r="X3689" s="19"/>
      <c r="Y3689" s="2"/>
      <c r="Z3689" s="5"/>
    </row>
    <row r="3690" spans="7:26" ht="75.75" customHeight="1" x14ac:dyDescent="0.25">
      <c r="G3690" s="5"/>
      <c r="H3690" s="2"/>
      <c r="I3690" s="2"/>
      <c r="K3690" s="2"/>
      <c r="L3690" s="2"/>
      <c r="M3690" s="2"/>
      <c r="N3690" s="2"/>
      <c r="O3690" s="2"/>
      <c r="P3690" s="2"/>
      <c r="Q3690" s="2"/>
      <c r="R3690" s="2"/>
      <c r="S3690" s="2"/>
      <c r="T3690" s="19"/>
      <c r="U3690" s="2"/>
      <c r="V3690" s="2"/>
      <c r="W3690" s="2"/>
      <c r="X3690" s="19"/>
      <c r="Y3690" s="2"/>
      <c r="Z3690" s="5"/>
    </row>
    <row r="3691" spans="7:26" ht="75.75" customHeight="1" x14ac:dyDescent="0.25">
      <c r="G3691" s="5"/>
      <c r="H3691" s="2"/>
      <c r="I3691" s="2"/>
      <c r="K3691" s="2"/>
      <c r="L3691" s="2"/>
      <c r="M3691" s="2"/>
      <c r="N3691" s="2"/>
      <c r="O3691" s="2"/>
      <c r="P3691" s="2"/>
      <c r="Q3691" s="2"/>
      <c r="R3691" s="2"/>
      <c r="S3691" s="2"/>
      <c r="T3691" s="19"/>
      <c r="U3691" s="2"/>
      <c r="V3691" s="2"/>
      <c r="W3691" s="2"/>
      <c r="X3691" s="19"/>
      <c r="Y3691" s="2"/>
      <c r="Z3691" s="5"/>
    </row>
    <row r="3692" spans="7:26" ht="75.75" customHeight="1" x14ac:dyDescent="0.25">
      <c r="G3692" s="5"/>
      <c r="H3692" s="2"/>
      <c r="I3692" s="2"/>
      <c r="K3692" s="2"/>
      <c r="L3692" s="2"/>
      <c r="M3692" s="2"/>
      <c r="N3692" s="2"/>
      <c r="O3692" s="2"/>
      <c r="P3692" s="2"/>
      <c r="Q3692" s="2"/>
      <c r="R3692" s="2"/>
      <c r="S3692" s="2"/>
      <c r="T3692" s="19"/>
      <c r="U3692" s="2"/>
      <c r="V3692" s="2"/>
      <c r="W3692" s="2"/>
      <c r="X3692" s="19"/>
      <c r="Y3692" s="2"/>
      <c r="Z3692" s="5"/>
    </row>
    <row r="3693" spans="7:26" ht="75.75" customHeight="1" x14ac:dyDescent="0.25">
      <c r="G3693" s="5"/>
      <c r="H3693" s="2"/>
      <c r="I3693" s="2"/>
      <c r="K3693" s="2"/>
      <c r="L3693" s="2"/>
      <c r="M3693" s="2"/>
      <c r="N3693" s="2"/>
      <c r="O3693" s="2"/>
      <c r="P3693" s="2"/>
      <c r="Q3693" s="2"/>
      <c r="R3693" s="2"/>
      <c r="S3693" s="2"/>
      <c r="T3693" s="19"/>
      <c r="U3693" s="2"/>
      <c r="V3693" s="2"/>
      <c r="W3693" s="2"/>
      <c r="X3693" s="19"/>
      <c r="Y3693" s="2"/>
      <c r="Z3693" s="5"/>
    </row>
    <row r="3694" spans="7:26" ht="75.75" customHeight="1" x14ac:dyDescent="0.25">
      <c r="G3694" s="5"/>
      <c r="H3694" s="2"/>
      <c r="I3694" s="2"/>
      <c r="K3694" s="2"/>
      <c r="L3694" s="2"/>
      <c r="M3694" s="2"/>
      <c r="N3694" s="2"/>
      <c r="O3694" s="2"/>
      <c r="P3694" s="2"/>
      <c r="Q3694" s="2"/>
      <c r="R3694" s="2"/>
      <c r="S3694" s="2"/>
      <c r="T3694" s="19"/>
      <c r="U3694" s="2"/>
      <c r="V3694" s="2"/>
      <c r="W3694" s="2"/>
      <c r="X3694" s="19"/>
      <c r="Y3694" s="2"/>
      <c r="Z3694" s="5"/>
    </row>
    <row r="3695" spans="7:26" ht="75.75" customHeight="1" x14ac:dyDescent="0.25">
      <c r="G3695" s="5"/>
      <c r="H3695" s="2"/>
      <c r="I3695" s="2"/>
      <c r="K3695" s="2"/>
      <c r="L3695" s="2"/>
      <c r="M3695" s="2"/>
      <c r="N3695" s="2"/>
      <c r="O3695" s="2"/>
      <c r="P3695" s="2"/>
      <c r="Q3695" s="2"/>
      <c r="R3695" s="2"/>
      <c r="S3695" s="2"/>
      <c r="T3695" s="19"/>
      <c r="U3695" s="2"/>
      <c r="V3695" s="2"/>
      <c r="W3695" s="2"/>
      <c r="X3695" s="19"/>
      <c r="Y3695" s="2"/>
      <c r="Z3695" s="5"/>
    </row>
    <row r="3696" spans="7:26" ht="75.75" customHeight="1" x14ac:dyDescent="0.25">
      <c r="G3696" s="5"/>
      <c r="H3696" s="2"/>
      <c r="I3696" s="2"/>
      <c r="K3696" s="2"/>
      <c r="L3696" s="2"/>
      <c r="M3696" s="2"/>
      <c r="N3696" s="2"/>
      <c r="O3696" s="2"/>
      <c r="P3696" s="2"/>
      <c r="Q3696" s="2"/>
      <c r="R3696" s="2"/>
      <c r="S3696" s="2"/>
      <c r="T3696" s="19"/>
      <c r="U3696" s="2"/>
      <c r="V3696" s="2"/>
      <c r="W3696" s="2"/>
      <c r="X3696" s="19"/>
      <c r="Y3696" s="2"/>
      <c r="Z3696" s="5"/>
    </row>
    <row r="3697" spans="7:26" ht="75.75" customHeight="1" x14ac:dyDescent="0.25">
      <c r="G3697" s="5"/>
      <c r="H3697" s="2"/>
      <c r="I3697" s="2"/>
      <c r="K3697" s="2"/>
      <c r="L3697" s="2"/>
      <c r="M3697" s="2"/>
      <c r="N3697" s="2"/>
      <c r="O3697" s="2"/>
      <c r="P3697" s="2"/>
      <c r="Q3697" s="2"/>
      <c r="R3697" s="2"/>
      <c r="S3697" s="2"/>
      <c r="T3697" s="19"/>
      <c r="U3697" s="2"/>
      <c r="V3697" s="2"/>
      <c r="W3697" s="2"/>
      <c r="X3697" s="19"/>
      <c r="Y3697" s="2"/>
      <c r="Z3697" s="5"/>
    </row>
    <row r="3698" spans="7:26" ht="75.75" customHeight="1" x14ac:dyDescent="0.25">
      <c r="G3698" s="5"/>
      <c r="H3698" s="2"/>
      <c r="I3698" s="2"/>
      <c r="K3698" s="2"/>
      <c r="L3698" s="2"/>
      <c r="M3698" s="2"/>
      <c r="N3698" s="2"/>
      <c r="O3698" s="2"/>
      <c r="P3698" s="2"/>
      <c r="Q3698" s="2"/>
      <c r="R3698" s="2"/>
      <c r="S3698" s="2"/>
      <c r="T3698" s="19"/>
      <c r="U3698" s="2"/>
      <c r="V3698" s="2"/>
      <c r="W3698" s="2"/>
      <c r="X3698" s="19"/>
      <c r="Y3698" s="2"/>
      <c r="Z3698" s="5"/>
    </row>
    <row r="3699" spans="7:26" ht="75.75" customHeight="1" x14ac:dyDescent="0.25">
      <c r="G3699" s="5"/>
      <c r="H3699" s="2"/>
      <c r="I3699" s="2"/>
      <c r="K3699" s="2"/>
      <c r="L3699" s="2"/>
      <c r="M3699" s="2"/>
      <c r="N3699" s="2"/>
      <c r="O3699" s="2"/>
      <c r="P3699" s="2"/>
      <c r="Q3699" s="2"/>
      <c r="R3699" s="2"/>
      <c r="S3699" s="2"/>
      <c r="T3699" s="19"/>
      <c r="U3699" s="2"/>
      <c r="V3699" s="2"/>
      <c r="W3699" s="2"/>
      <c r="X3699" s="19"/>
      <c r="Y3699" s="2"/>
      <c r="Z3699" s="5"/>
    </row>
    <row r="3700" spans="7:26" ht="75.75" customHeight="1" x14ac:dyDescent="0.25">
      <c r="G3700" s="5"/>
      <c r="H3700" s="2"/>
      <c r="I3700" s="2"/>
      <c r="K3700" s="2"/>
      <c r="L3700" s="2"/>
      <c r="M3700" s="2"/>
      <c r="N3700" s="2"/>
      <c r="O3700" s="2"/>
      <c r="P3700" s="2"/>
      <c r="Q3700" s="2"/>
      <c r="R3700" s="2"/>
      <c r="S3700" s="2"/>
      <c r="T3700" s="19"/>
      <c r="U3700" s="2"/>
      <c r="V3700" s="2"/>
      <c r="W3700" s="2"/>
      <c r="X3700" s="19"/>
      <c r="Y3700" s="2"/>
      <c r="Z3700" s="5"/>
    </row>
    <row r="3701" spans="7:26" ht="75.75" customHeight="1" x14ac:dyDescent="0.25">
      <c r="G3701" s="5"/>
      <c r="H3701" s="2"/>
      <c r="I3701" s="2"/>
      <c r="K3701" s="2"/>
      <c r="L3701" s="2"/>
      <c r="M3701" s="2"/>
      <c r="N3701" s="2"/>
      <c r="O3701" s="2"/>
      <c r="P3701" s="2"/>
      <c r="Q3701" s="2"/>
      <c r="R3701" s="2"/>
      <c r="S3701" s="2"/>
      <c r="T3701" s="19"/>
      <c r="U3701" s="2"/>
      <c r="V3701" s="2"/>
      <c r="W3701" s="2"/>
      <c r="X3701" s="19"/>
      <c r="Y3701" s="2"/>
      <c r="Z3701" s="5"/>
    </row>
    <row r="3702" spans="7:26" ht="75.75" customHeight="1" x14ac:dyDescent="0.25">
      <c r="G3702" s="5"/>
      <c r="H3702" s="2"/>
      <c r="I3702" s="2"/>
      <c r="K3702" s="2"/>
      <c r="L3702" s="2"/>
      <c r="M3702" s="2"/>
      <c r="N3702" s="2"/>
      <c r="O3702" s="2"/>
      <c r="P3702" s="2"/>
      <c r="Q3702" s="2"/>
      <c r="R3702" s="2"/>
      <c r="S3702" s="2"/>
      <c r="T3702" s="19"/>
      <c r="U3702" s="2"/>
      <c r="V3702" s="2"/>
      <c r="W3702" s="2"/>
      <c r="X3702" s="19"/>
      <c r="Y3702" s="2"/>
      <c r="Z3702" s="5"/>
    </row>
    <row r="3703" spans="7:26" ht="75.75" customHeight="1" x14ac:dyDescent="0.25">
      <c r="G3703" s="5"/>
      <c r="H3703" s="2"/>
      <c r="I3703" s="2"/>
      <c r="K3703" s="2"/>
      <c r="L3703" s="2"/>
      <c r="M3703" s="2"/>
      <c r="N3703" s="2"/>
      <c r="O3703" s="2"/>
      <c r="P3703" s="2"/>
      <c r="Q3703" s="2"/>
      <c r="R3703" s="2"/>
      <c r="S3703" s="2"/>
      <c r="T3703" s="19"/>
      <c r="U3703" s="2"/>
      <c r="V3703" s="2"/>
      <c r="W3703" s="2"/>
      <c r="X3703" s="19"/>
      <c r="Y3703" s="2"/>
      <c r="Z3703" s="5"/>
    </row>
    <row r="3704" spans="7:26" ht="75.75" customHeight="1" x14ac:dyDescent="0.25">
      <c r="G3704" s="5"/>
      <c r="H3704" s="2"/>
      <c r="I3704" s="2"/>
      <c r="K3704" s="2"/>
      <c r="L3704" s="2"/>
      <c r="M3704" s="2"/>
      <c r="N3704" s="2"/>
      <c r="O3704" s="2"/>
      <c r="P3704" s="2"/>
      <c r="Q3704" s="2"/>
      <c r="R3704" s="2"/>
      <c r="S3704" s="2"/>
      <c r="T3704" s="19"/>
      <c r="U3704" s="2"/>
      <c r="V3704" s="2"/>
      <c r="W3704" s="2"/>
      <c r="X3704" s="19"/>
      <c r="Y3704" s="2"/>
      <c r="Z3704" s="5"/>
    </row>
    <row r="3705" spans="7:26" ht="75.75" customHeight="1" x14ac:dyDescent="0.25">
      <c r="G3705" s="5"/>
      <c r="H3705" s="2"/>
      <c r="I3705" s="2"/>
      <c r="K3705" s="2"/>
      <c r="L3705" s="2"/>
      <c r="M3705" s="2"/>
      <c r="N3705" s="2"/>
      <c r="O3705" s="2"/>
      <c r="P3705" s="2"/>
      <c r="Q3705" s="2"/>
      <c r="R3705" s="2"/>
      <c r="S3705" s="2"/>
      <c r="T3705" s="19"/>
      <c r="U3705" s="2"/>
      <c r="V3705" s="2"/>
      <c r="W3705" s="2"/>
      <c r="X3705" s="19"/>
      <c r="Y3705" s="2"/>
      <c r="Z3705" s="5"/>
    </row>
    <row r="3706" spans="7:26" ht="75.75" customHeight="1" x14ac:dyDescent="0.25">
      <c r="G3706" s="5"/>
      <c r="H3706" s="2"/>
      <c r="I3706" s="2"/>
      <c r="K3706" s="2"/>
      <c r="L3706" s="2"/>
      <c r="M3706" s="2"/>
      <c r="N3706" s="2"/>
      <c r="O3706" s="2"/>
      <c r="P3706" s="2"/>
      <c r="Q3706" s="2"/>
      <c r="R3706" s="2"/>
      <c r="S3706" s="2"/>
      <c r="T3706" s="19"/>
      <c r="U3706" s="2"/>
      <c r="V3706" s="2"/>
      <c r="W3706" s="2"/>
      <c r="X3706" s="19"/>
      <c r="Y3706" s="2"/>
      <c r="Z3706" s="5"/>
    </row>
    <row r="3707" spans="7:26" ht="75.75" customHeight="1" x14ac:dyDescent="0.25">
      <c r="G3707" s="5"/>
      <c r="H3707" s="2"/>
      <c r="I3707" s="2"/>
      <c r="K3707" s="2"/>
      <c r="L3707" s="2"/>
      <c r="M3707" s="2"/>
      <c r="N3707" s="2"/>
      <c r="O3707" s="2"/>
      <c r="P3707" s="2"/>
      <c r="Q3707" s="2"/>
      <c r="R3707" s="2"/>
      <c r="S3707" s="2"/>
      <c r="T3707" s="19"/>
      <c r="U3707" s="2"/>
      <c r="V3707" s="2"/>
      <c r="W3707" s="2"/>
      <c r="X3707" s="19"/>
      <c r="Y3707" s="2"/>
      <c r="Z3707" s="5"/>
    </row>
    <row r="3708" spans="7:26" ht="75.75" customHeight="1" x14ac:dyDescent="0.25">
      <c r="G3708" s="5"/>
      <c r="H3708" s="2"/>
      <c r="I3708" s="2"/>
      <c r="K3708" s="2"/>
      <c r="L3708" s="2"/>
      <c r="M3708" s="2"/>
      <c r="N3708" s="2"/>
      <c r="O3708" s="2"/>
      <c r="P3708" s="2"/>
      <c r="Q3708" s="2"/>
      <c r="R3708" s="2"/>
      <c r="S3708" s="2"/>
      <c r="T3708" s="19"/>
      <c r="U3708" s="2"/>
      <c r="V3708" s="2"/>
      <c r="W3708" s="2"/>
      <c r="X3708" s="19"/>
      <c r="Y3708" s="2"/>
      <c r="Z3708" s="5"/>
    </row>
    <row r="3709" spans="7:26" ht="75.75" customHeight="1" x14ac:dyDescent="0.25">
      <c r="G3709" s="5"/>
      <c r="H3709" s="2"/>
      <c r="I3709" s="2"/>
      <c r="K3709" s="2"/>
      <c r="L3709" s="2"/>
      <c r="M3709" s="2"/>
      <c r="N3709" s="2"/>
      <c r="O3709" s="2"/>
      <c r="P3709" s="2"/>
      <c r="Q3709" s="2"/>
      <c r="R3709" s="2"/>
      <c r="S3709" s="2"/>
      <c r="T3709" s="19"/>
      <c r="U3709" s="2"/>
      <c r="V3709" s="2"/>
      <c r="W3709" s="2"/>
      <c r="X3709" s="19"/>
      <c r="Y3709" s="2"/>
      <c r="Z3709" s="5"/>
    </row>
    <row r="3710" spans="7:26" ht="75.75" customHeight="1" x14ac:dyDescent="0.25">
      <c r="G3710" s="5"/>
      <c r="H3710" s="2"/>
      <c r="I3710" s="2"/>
      <c r="K3710" s="2"/>
      <c r="L3710" s="2"/>
      <c r="M3710" s="2"/>
      <c r="N3710" s="2"/>
      <c r="O3710" s="2"/>
      <c r="P3710" s="2"/>
      <c r="Q3710" s="2"/>
      <c r="R3710" s="2"/>
      <c r="S3710" s="2"/>
      <c r="T3710" s="19"/>
      <c r="U3710" s="2"/>
      <c r="V3710" s="2"/>
      <c r="W3710" s="2"/>
      <c r="X3710" s="19"/>
      <c r="Y3710" s="2"/>
      <c r="Z3710" s="5"/>
    </row>
    <row r="3711" spans="7:26" ht="75.75" customHeight="1" x14ac:dyDescent="0.25">
      <c r="G3711" s="5"/>
      <c r="H3711" s="2"/>
      <c r="I3711" s="2"/>
      <c r="K3711" s="2"/>
      <c r="L3711" s="2"/>
      <c r="M3711" s="2"/>
      <c r="N3711" s="2"/>
      <c r="O3711" s="2"/>
      <c r="P3711" s="2"/>
      <c r="Q3711" s="2"/>
      <c r="R3711" s="2"/>
      <c r="S3711" s="2"/>
      <c r="T3711" s="19"/>
      <c r="U3711" s="2"/>
      <c r="V3711" s="2"/>
      <c r="W3711" s="2"/>
      <c r="X3711" s="19"/>
      <c r="Y3711" s="2"/>
      <c r="Z3711" s="5"/>
    </row>
    <row r="3712" spans="7:26" ht="75.75" customHeight="1" x14ac:dyDescent="0.25">
      <c r="G3712" s="5"/>
      <c r="H3712" s="2"/>
      <c r="I3712" s="2"/>
      <c r="K3712" s="2"/>
      <c r="L3712" s="2"/>
      <c r="M3712" s="2"/>
      <c r="N3712" s="2"/>
      <c r="O3712" s="2"/>
      <c r="P3712" s="2"/>
      <c r="Q3712" s="2"/>
      <c r="R3712" s="2"/>
      <c r="S3712" s="2"/>
      <c r="T3712" s="19"/>
      <c r="U3712" s="2"/>
      <c r="V3712" s="2"/>
      <c r="W3712" s="2"/>
      <c r="X3712" s="19"/>
      <c r="Y3712" s="2"/>
      <c r="Z3712" s="5"/>
    </row>
    <row r="3713" spans="7:26" ht="75.75" customHeight="1" x14ac:dyDescent="0.25">
      <c r="G3713" s="5"/>
      <c r="H3713" s="2"/>
      <c r="I3713" s="2"/>
      <c r="K3713" s="2"/>
      <c r="L3713" s="2"/>
      <c r="M3713" s="2"/>
      <c r="N3713" s="2"/>
      <c r="O3713" s="2"/>
      <c r="P3713" s="2"/>
      <c r="Q3713" s="2"/>
      <c r="R3713" s="2"/>
      <c r="S3713" s="2"/>
      <c r="T3713" s="19"/>
      <c r="U3713" s="2"/>
      <c r="V3713" s="2"/>
      <c r="W3713" s="2"/>
      <c r="X3713" s="19"/>
      <c r="Y3713" s="2"/>
      <c r="Z3713" s="5"/>
    </row>
    <row r="3714" spans="7:26" ht="75.75" customHeight="1" x14ac:dyDescent="0.25">
      <c r="G3714" s="5"/>
      <c r="H3714" s="2"/>
      <c r="I3714" s="2"/>
      <c r="K3714" s="2"/>
      <c r="L3714" s="2"/>
      <c r="M3714" s="2"/>
      <c r="N3714" s="2"/>
      <c r="O3714" s="2"/>
      <c r="P3714" s="2"/>
      <c r="Q3714" s="2"/>
      <c r="R3714" s="2"/>
      <c r="S3714" s="2"/>
      <c r="T3714" s="19"/>
      <c r="U3714" s="2"/>
      <c r="V3714" s="2"/>
      <c r="W3714" s="2"/>
      <c r="X3714" s="19"/>
      <c r="Y3714" s="2"/>
      <c r="Z3714" s="5"/>
    </row>
    <row r="3715" spans="7:26" ht="75.75" customHeight="1" x14ac:dyDescent="0.25">
      <c r="G3715" s="5"/>
      <c r="H3715" s="2"/>
      <c r="I3715" s="2"/>
      <c r="K3715" s="2"/>
      <c r="L3715" s="2"/>
      <c r="M3715" s="2"/>
      <c r="N3715" s="2"/>
      <c r="O3715" s="2"/>
      <c r="P3715" s="2"/>
      <c r="Q3715" s="2"/>
      <c r="R3715" s="2"/>
      <c r="S3715" s="2"/>
      <c r="T3715" s="19"/>
      <c r="U3715" s="2"/>
      <c r="V3715" s="2"/>
      <c r="W3715" s="2"/>
      <c r="X3715" s="19"/>
      <c r="Y3715" s="2"/>
      <c r="Z3715" s="5"/>
    </row>
    <row r="3716" spans="7:26" ht="75.75" customHeight="1" x14ac:dyDescent="0.25">
      <c r="G3716" s="5"/>
      <c r="H3716" s="2"/>
      <c r="I3716" s="2"/>
      <c r="K3716" s="2"/>
      <c r="L3716" s="2"/>
      <c r="M3716" s="2"/>
      <c r="N3716" s="2"/>
      <c r="O3716" s="2"/>
      <c r="P3716" s="2"/>
      <c r="Q3716" s="2"/>
      <c r="R3716" s="2"/>
      <c r="S3716" s="2"/>
      <c r="T3716" s="19"/>
      <c r="U3716" s="2"/>
      <c r="V3716" s="2"/>
      <c r="W3716" s="2"/>
      <c r="X3716" s="19"/>
      <c r="Y3716" s="2"/>
      <c r="Z3716" s="5"/>
    </row>
    <row r="3717" spans="7:26" ht="75.75" customHeight="1" x14ac:dyDescent="0.25">
      <c r="G3717" s="5"/>
      <c r="H3717" s="2"/>
      <c r="I3717" s="2"/>
      <c r="K3717" s="2"/>
      <c r="L3717" s="2"/>
      <c r="M3717" s="2"/>
      <c r="N3717" s="2"/>
      <c r="O3717" s="2"/>
      <c r="P3717" s="2"/>
      <c r="Q3717" s="2"/>
      <c r="R3717" s="2"/>
      <c r="S3717" s="2"/>
      <c r="T3717" s="19"/>
      <c r="U3717" s="2"/>
      <c r="V3717" s="2"/>
      <c r="W3717" s="2"/>
      <c r="X3717" s="19"/>
      <c r="Y3717" s="2"/>
      <c r="Z3717" s="5"/>
    </row>
    <row r="3718" spans="7:26" ht="75.75" customHeight="1" x14ac:dyDescent="0.25">
      <c r="G3718" s="5"/>
      <c r="H3718" s="2"/>
      <c r="I3718" s="2"/>
      <c r="K3718" s="2"/>
      <c r="L3718" s="2"/>
      <c r="M3718" s="2"/>
      <c r="N3718" s="2"/>
      <c r="O3718" s="2"/>
      <c r="P3718" s="2"/>
      <c r="Q3718" s="2"/>
      <c r="R3718" s="2"/>
      <c r="S3718" s="2"/>
      <c r="T3718" s="19"/>
      <c r="U3718" s="2"/>
      <c r="V3718" s="2"/>
      <c r="W3718" s="2"/>
      <c r="X3718" s="19"/>
      <c r="Y3718" s="2"/>
      <c r="Z3718" s="5"/>
    </row>
    <row r="3719" spans="7:26" ht="75.75" customHeight="1" x14ac:dyDescent="0.25">
      <c r="G3719" s="5"/>
      <c r="H3719" s="2"/>
      <c r="I3719" s="2"/>
      <c r="K3719" s="2"/>
      <c r="L3719" s="2"/>
      <c r="M3719" s="2"/>
      <c r="N3719" s="2"/>
      <c r="O3719" s="2"/>
      <c r="P3719" s="2"/>
      <c r="Q3719" s="2"/>
      <c r="R3719" s="2"/>
      <c r="S3719" s="2"/>
      <c r="T3719" s="19"/>
      <c r="U3719" s="2"/>
      <c r="V3719" s="2"/>
      <c r="W3719" s="2"/>
      <c r="X3719" s="19"/>
      <c r="Y3719" s="2"/>
      <c r="Z3719" s="5"/>
    </row>
    <row r="3720" spans="7:26" ht="75.75" customHeight="1" x14ac:dyDescent="0.25">
      <c r="G3720" s="5"/>
      <c r="H3720" s="2"/>
      <c r="I3720" s="2"/>
      <c r="K3720" s="2"/>
      <c r="L3720" s="2"/>
      <c r="M3720" s="2"/>
      <c r="N3720" s="2"/>
      <c r="O3720" s="2"/>
      <c r="P3720" s="2"/>
      <c r="Q3720" s="2"/>
      <c r="R3720" s="2"/>
      <c r="S3720" s="2"/>
      <c r="T3720" s="19"/>
      <c r="U3720" s="2"/>
      <c r="V3720" s="2"/>
      <c r="W3720" s="2"/>
      <c r="X3720" s="19"/>
      <c r="Y3720" s="2"/>
      <c r="Z3720" s="5"/>
    </row>
    <row r="3721" spans="7:26" ht="75.75" customHeight="1" x14ac:dyDescent="0.25">
      <c r="G3721" s="5"/>
      <c r="H3721" s="2"/>
      <c r="I3721" s="2"/>
      <c r="K3721" s="2"/>
      <c r="L3721" s="2"/>
      <c r="M3721" s="2"/>
      <c r="N3721" s="2"/>
      <c r="O3721" s="2"/>
      <c r="P3721" s="2"/>
      <c r="Q3721" s="2"/>
      <c r="R3721" s="2"/>
      <c r="S3721" s="2"/>
      <c r="T3721" s="19"/>
      <c r="U3721" s="2"/>
      <c r="V3721" s="2"/>
      <c r="W3721" s="2"/>
      <c r="X3721" s="19"/>
      <c r="Y3721" s="2"/>
      <c r="Z3721" s="5"/>
    </row>
    <row r="3722" spans="7:26" ht="75.75" customHeight="1" x14ac:dyDescent="0.25">
      <c r="G3722" s="5"/>
      <c r="H3722" s="2"/>
      <c r="I3722" s="2"/>
      <c r="K3722" s="2"/>
      <c r="L3722" s="2"/>
      <c r="M3722" s="2"/>
      <c r="N3722" s="2"/>
      <c r="O3722" s="2"/>
      <c r="P3722" s="2"/>
      <c r="Q3722" s="2"/>
      <c r="R3722" s="2"/>
      <c r="S3722" s="2"/>
      <c r="T3722" s="19"/>
      <c r="U3722" s="2"/>
      <c r="V3722" s="2"/>
      <c r="W3722" s="2"/>
      <c r="X3722" s="19"/>
      <c r="Y3722" s="2"/>
      <c r="Z3722" s="5"/>
    </row>
    <row r="3723" spans="7:26" ht="75.75" customHeight="1" x14ac:dyDescent="0.25">
      <c r="G3723" s="5"/>
      <c r="H3723" s="2"/>
      <c r="I3723" s="2"/>
      <c r="K3723" s="2"/>
      <c r="L3723" s="2"/>
      <c r="M3723" s="2"/>
      <c r="N3723" s="2"/>
      <c r="O3723" s="2"/>
      <c r="P3723" s="2"/>
      <c r="Q3723" s="2"/>
      <c r="R3723" s="2"/>
      <c r="S3723" s="2"/>
      <c r="T3723" s="19"/>
      <c r="U3723" s="2"/>
      <c r="V3723" s="2"/>
      <c r="W3723" s="2"/>
      <c r="X3723" s="19"/>
      <c r="Y3723" s="2"/>
      <c r="Z3723" s="5"/>
    </row>
    <row r="3724" spans="7:26" ht="75.75" customHeight="1" x14ac:dyDescent="0.25">
      <c r="G3724" s="5"/>
      <c r="H3724" s="2"/>
      <c r="I3724" s="2"/>
      <c r="K3724" s="2"/>
      <c r="L3724" s="2"/>
      <c r="M3724" s="2"/>
      <c r="N3724" s="2"/>
      <c r="O3724" s="2"/>
      <c r="P3724" s="2"/>
      <c r="Q3724" s="2"/>
      <c r="R3724" s="2"/>
      <c r="S3724" s="2"/>
      <c r="T3724" s="19"/>
      <c r="U3724" s="2"/>
      <c r="V3724" s="2"/>
      <c r="W3724" s="2"/>
      <c r="X3724" s="19"/>
      <c r="Y3724" s="2"/>
      <c r="Z3724" s="5"/>
    </row>
    <row r="3725" spans="7:26" ht="75.75" customHeight="1" x14ac:dyDescent="0.25">
      <c r="G3725" s="5"/>
      <c r="H3725" s="2"/>
      <c r="I3725" s="2"/>
      <c r="K3725" s="2"/>
      <c r="L3725" s="2"/>
      <c r="M3725" s="2"/>
      <c r="N3725" s="2"/>
      <c r="O3725" s="2"/>
      <c r="P3725" s="2"/>
      <c r="Q3725" s="2"/>
      <c r="R3725" s="2"/>
      <c r="S3725" s="2"/>
      <c r="T3725" s="19"/>
      <c r="U3725" s="2"/>
      <c r="V3725" s="2"/>
      <c r="W3725" s="2"/>
      <c r="X3725" s="19"/>
      <c r="Y3725" s="2"/>
      <c r="Z3725" s="5"/>
    </row>
    <row r="3726" spans="7:26" ht="75.75" customHeight="1" x14ac:dyDescent="0.25">
      <c r="G3726" s="5"/>
      <c r="H3726" s="2"/>
      <c r="I3726" s="2"/>
      <c r="K3726" s="2"/>
      <c r="L3726" s="2"/>
      <c r="M3726" s="2"/>
      <c r="N3726" s="2"/>
      <c r="O3726" s="2"/>
      <c r="P3726" s="2"/>
      <c r="Q3726" s="2"/>
      <c r="R3726" s="2"/>
      <c r="S3726" s="2"/>
      <c r="T3726" s="19"/>
      <c r="U3726" s="2"/>
      <c r="V3726" s="2"/>
      <c r="W3726" s="2"/>
      <c r="X3726" s="19"/>
      <c r="Y3726" s="2"/>
      <c r="Z3726" s="5"/>
    </row>
    <row r="3727" spans="7:26" ht="75.75" customHeight="1" x14ac:dyDescent="0.25">
      <c r="G3727" s="5"/>
      <c r="H3727" s="2"/>
      <c r="I3727" s="2"/>
      <c r="K3727" s="2"/>
      <c r="L3727" s="2"/>
      <c r="M3727" s="2"/>
      <c r="N3727" s="2"/>
      <c r="O3727" s="2"/>
      <c r="P3727" s="2"/>
      <c r="Q3727" s="2"/>
      <c r="R3727" s="2"/>
      <c r="S3727" s="2"/>
      <c r="T3727" s="19"/>
      <c r="U3727" s="2"/>
      <c r="V3727" s="2"/>
      <c r="W3727" s="2"/>
      <c r="X3727" s="19"/>
      <c r="Y3727" s="2"/>
      <c r="Z3727" s="5"/>
    </row>
    <row r="3728" spans="7:26" ht="75.75" customHeight="1" x14ac:dyDescent="0.25">
      <c r="G3728" s="5"/>
      <c r="H3728" s="2"/>
      <c r="I3728" s="2"/>
      <c r="K3728" s="2"/>
      <c r="L3728" s="2"/>
      <c r="M3728" s="2"/>
      <c r="N3728" s="2"/>
      <c r="O3728" s="2"/>
      <c r="P3728" s="2"/>
      <c r="Q3728" s="2"/>
      <c r="R3728" s="2"/>
      <c r="S3728" s="2"/>
      <c r="T3728" s="19"/>
      <c r="U3728" s="2"/>
      <c r="V3728" s="2"/>
      <c r="W3728" s="2"/>
      <c r="X3728" s="19"/>
      <c r="Y3728" s="2"/>
      <c r="Z3728" s="5"/>
    </row>
    <row r="3729" spans="7:26" ht="75.75" customHeight="1" x14ac:dyDescent="0.25">
      <c r="G3729" s="5"/>
      <c r="H3729" s="2"/>
      <c r="I3729" s="2"/>
      <c r="K3729" s="2"/>
      <c r="L3729" s="2"/>
      <c r="M3729" s="2"/>
      <c r="N3729" s="2"/>
      <c r="O3729" s="2"/>
      <c r="P3729" s="2"/>
      <c r="Q3729" s="2"/>
      <c r="R3729" s="2"/>
      <c r="S3729" s="2"/>
      <c r="T3729" s="19"/>
      <c r="U3729" s="2"/>
      <c r="V3729" s="2"/>
      <c r="W3729" s="2"/>
      <c r="X3729" s="19"/>
      <c r="Y3729" s="2"/>
      <c r="Z3729" s="5"/>
    </row>
    <row r="3730" spans="7:26" ht="75.75" customHeight="1" x14ac:dyDescent="0.25">
      <c r="G3730" s="5"/>
      <c r="H3730" s="2"/>
      <c r="I3730" s="2"/>
      <c r="K3730" s="2"/>
      <c r="L3730" s="2"/>
      <c r="M3730" s="2"/>
      <c r="N3730" s="2"/>
      <c r="O3730" s="2"/>
      <c r="P3730" s="2"/>
      <c r="Q3730" s="2"/>
      <c r="R3730" s="2"/>
      <c r="S3730" s="2"/>
      <c r="T3730" s="19"/>
      <c r="U3730" s="2"/>
      <c r="V3730" s="2"/>
      <c r="W3730" s="2"/>
      <c r="X3730" s="19"/>
      <c r="Y3730" s="2"/>
      <c r="Z3730" s="5"/>
    </row>
    <row r="3731" spans="7:26" ht="75.75" customHeight="1" x14ac:dyDescent="0.25">
      <c r="G3731" s="5"/>
      <c r="H3731" s="2"/>
      <c r="I3731" s="2"/>
      <c r="K3731" s="2"/>
      <c r="L3731" s="2"/>
      <c r="M3731" s="2"/>
      <c r="N3731" s="2"/>
      <c r="O3731" s="2"/>
      <c r="P3731" s="2"/>
      <c r="Q3731" s="2"/>
      <c r="R3731" s="2"/>
      <c r="S3731" s="2"/>
      <c r="T3731" s="19"/>
      <c r="U3731" s="2"/>
      <c r="V3731" s="2"/>
      <c r="W3731" s="2"/>
      <c r="X3731" s="19"/>
      <c r="Y3731" s="2"/>
      <c r="Z3731" s="5"/>
    </row>
    <row r="3732" spans="7:26" ht="75.75" customHeight="1" x14ac:dyDescent="0.25">
      <c r="G3732" s="5"/>
      <c r="H3732" s="2"/>
      <c r="I3732" s="2"/>
      <c r="K3732" s="2"/>
      <c r="L3732" s="2"/>
      <c r="M3732" s="2"/>
      <c r="N3732" s="2"/>
      <c r="O3732" s="2"/>
      <c r="P3732" s="2"/>
      <c r="Q3732" s="2"/>
      <c r="R3732" s="2"/>
      <c r="S3732" s="2"/>
      <c r="T3732" s="19"/>
      <c r="U3732" s="2"/>
      <c r="V3732" s="2"/>
      <c r="W3732" s="2"/>
      <c r="X3732" s="19"/>
      <c r="Y3732" s="2"/>
      <c r="Z3732" s="5"/>
    </row>
    <row r="3733" spans="7:26" ht="75.75" customHeight="1" x14ac:dyDescent="0.25">
      <c r="G3733" s="5"/>
      <c r="H3733" s="2"/>
      <c r="I3733" s="2"/>
      <c r="K3733" s="2"/>
      <c r="L3733" s="2"/>
      <c r="M3733" s="2"/>
      <c r="N3733" s="2"/>
      <c r="O3733" s="2"/>
      <c r="P3733" s="2"/>
      <c r="Q3733" s="2"/>
      <c r="R3733" s="2"/>
      <c r="S3733" s="2"/>
      <c r="T3733" s="19"/>
      <c r="U3733" s="2"/>
      <c r="V3733" s="2"/>
      <c r="W3733" s="2"/>
      <c r="X3733" s="19"/>
      <c r="Y3733" s="2"/>
      <c r="Z3733" s="5"/>
    </row>
    <row r="3734" spans="7:26" ht="75.75" customHeight="1" x14ac:dyDescent="0.25">
      <c r="G3734" s="5"/>
      <c r="H3734" s="2"/>
      <c r="I3734" s="2"/>
      <c r="K3734" s="2"/>
      <c r="L3734" s="2"/>
      <c r="M3734" s="2"/>
      <c r="N3734" s="2"/>
      <c r="O3734" s="2"/>
      <c r="P3734" s="2"/>
      <c r="Q3734" s="2"/>
      <c r="R3734" s="2"/>
      <c r="S3734" s="2"/>
      <c r="T3734" s="19"/>
      <c r="U3734" s="2"/>
      <c r="V3734" s="2"/>
      <c r="W3734" s="2"/>
      <c r="X3734" s="19"/>
      <c r="Y3734" s="2"/>
      <c r="Z3734" s="5"/>
    </row>
    <row r="3735" spans="7:26" ht="75.75" customHeight="1" x14ac:dyDescent="0.25">
      <c r="G3735" s="5"/>
      <c r="H3735" s="2"/>
      <c r="I3735" s="2"/>
      <c r="K3735" s="2"/>
      <c r="L3735" s="2"/>
      <c r="M3735" s="2"/>
      <c r="N3735" s="2"/>
      <c r="O3735" s="2"/>
      <c r="P3735" s="2"/>
      <c r="Q3735" s="2"/>
      <c r="R3735" s="2"/>
      <c r="S3735" s="2"/>
      <c r="T3735" s="19"/>
      <c r="U3735" s="2"/>
      <c r="V3735" s="2"/>
      <c r="W3735" s="2"/>
      <c r="X3735" s="19"/>
      <c r="Y3735" s="2"/>
      <c r="Z3735" s="5"/>
    </row>
    <row r="3736" spans="7:26" ht="75.75" customHeight="1" x14ac:dyDescent="0.25">
      <c r="G3736" s="5"/>
      <c r="H3736" s="2"/>
      <c r="I3736" s="2"/>
      <c r="K3736" s="2"/>
      <c r="L3736" s="2"/>
      <c r="M3736" s="2"/>
      <c r="N3736" s="2"/>
      <c r="O3736" s="2"/>
      <c r="P3736" s="2"/>
      <c r="Q3736" s="2"/>
      <c r="R3736" s="2"/>
      <c r="S3736" s="2"/>
      <c r="T3736" s="19"/>
      <c r="U3736" s="2"/>
      <c r="V3736" s="2"/>
      <c r="W3736" s="2"/>
      <c r="X3736" s="19"/>
      <c r="Y3736" s="2"/>
      <c r="Z3736" s="5"/>
    </row>
    <row r="3737" spans="7:26" ht="75.75" customHeight="1" x14ac:dyDescent="0.25">
      <c r="G3737" s="5"/>
      <c r="H3737" s="2"/>
      <c r="I3737" s="2"/>
      <c r="K3737" s="2"/>
      <c r="L3737" s="2"/>
      <c r="M3737" s="2"/>
      <c r="N3737" s="2"/>
      <c r="O3737" s="2"/>
      <c r="P3737" s="2"/>
      <c r="Q3737" s="2"/>
      <c r="R3737" s="2"/>
      <c r="S3737" s="2"/>
      <c r="T3737" s="19"/>
      <c r="U3737" s="2"/>
      <c r="V3737" s="2"/>
      <c r="W3737" s="2"/>
      <c r="X3737" s="19"/>
      <c r="Y3737" s="2"/>
      <c r="Z3737" s="5"/>
    </row>
    <row r="3738" spans="7:26" ht="75.75" customHeight="1" x14ac:dyDescent="0.25">
      <c r="G3738" s="5"/>
      <c r="H3738" s="2"/>
      <c r="I3738" s="2"/>
      <c r="K3738" s="2"/>
      <c r="L3738" s="2"/>
      <c r="M3738" s="2"/>
      <c r="N3738" s="2"/>
      <c r="O3738" s="2"/>
      <c r="P3738" s="2"/>
      <c r="Q3738" s="2"/>
      <c r="R3738" s="2"/>
      <c r="S3738" s="2"/>
      <c r="T3738" s="19"/>
      <c r="U3738" s="2"/>
      <c r="V3738" s="2"/>
      <c r="W3738" s="2"/>
      <c r="X3738" s="19"/>
      <c r="Y3738" s="2"/>
      <c r="Z3738" s="5"/>
    </row>
    <row r="3739" spans="7:26" ht="75.75" customHeight="1" x14ac:dyDescent="0.25">
      <c r="G3739" s="5"/>
      <c r="H3739" s="2"/>
      <c r="I3739" s="2"/>
      <c r="K3739" s="2"/>
      <c r="L3739" s="2"/>
      <c r="M3739" s="2"/>
      <c r="N3739" s="2"/>
      <c r="O3739" s="2"/>
      <c r="P3739" s="2"/>
      <c r="Q3739" s="2"/>
      <c r="R3739" s="2"/>
      <c r="S3739" s="2"/>
      <c r="T3739" s="19"/>
      <c r="U3739" s="2"/>
      <c r="V3739" s="2"/>
      <c r="W3739" s="2"/>
      <c r="X3739" s="19"/>
      <c r="Y3739" s="2"/>
      <c r="Z3739" s="5"/>
    </row>
    <row r="3740" spans="7:26" ht="75.75" customHeight="1" x14ac:dyDescent="0.25">
      <c r="G3740" s="5"/>
      <c r="H3740" s="2"/>
      <c r="I3740" s="2"/>
      <c r="K3740" s="2"/>
      <c r="L3740" s="2"/>
      <c r="M3740" s="2"/>
      <c r="N3740" s="2"/>
      <c r="O3740" s="2"/>
      <c r="P3740" s="2"/>
      <c r="Q3740" s="2"/>
      <c r="R3740" s="2"/>
      <c r="S3740" s="2"/>
      <c r="T3740" s="19"/>
      <c r="U3740" s="2"/>
      <c r="V3740" s="2"/>
      <c r="W3740" s="2"/>
      <c r="X3740" s="19"/>
      <c r="Y3740" s="2"/>
      <c r="Z3740" s="5"/>
    </row>
    <row r="3741" spans="7:26" ht="75.75" customHeight="1" x14ac:dyDescent="0.25">
      <c r="G3741" s="5"/>
      <c r="H3741" s="2"/>
      <c r="I3741" s="2"/>
      <c r="K3741" s="2"/>
      <c r="L3741" s="2"/>
      <c r="M3741" s="2"/>
      <c r="N3741" s="2"/>
      <c r="O3741" s="2"/>
      <c r="P3741" s="2"/>
      <c r="Q3741" s="2"/>
      <c r="R3741" s="2"/>
      <c r="S3741" s="2"/>
      <c r="T3741" s="19"/>
      <c r="U3741" s="2"/>
      <c r="V3741" s="2"/>
      <c r="W3741" s="2"/>
      <c r="X3741" s="19"/>
      <c r="Y3741" s="2"/>
      <c r="Z3741" s="5"/>
    </row>
    <row r="3742" spans="7:26" ht="75.75" customHeight="1" x14ac:dyDescent="0.25">
      <c r="G3742" s="5"/>
      <c r="H3742" s="2"/>
      <c r="I3742" s="2"/>
      <c r="K3742" s="2"/>
      <c r="L3742" s="2"/>
      <c r="M3742" s="2"/>
      <c r="N3742" s="2"/>
      <c r="O3742" s="2"/>
      <c r="P3742" s="2"/>
      <c r="Q3742" s="2"/>
      <c r="R3742" s="2"/>
      <c r="S3742" s="2"/>
      <c r="T3742" s="19"/>
      <c r="U3742" s="2"/>
      <c r="V3742" s="2"/>
      <c r="W3742" s="2"/>
      <c r="X3742" s="19"/>
      <c r="Y3742" s="2"/>
      <c r="Z3742" s="5"/>
    </row>
    <row r="3743" spans="7:26" ht="75.75" customHeight="1" x14ac:dyDescent="0.25">
      <c r="G3743" s="5"/>
      <c r="H3743" s="2"/>
      <c r="I3743" s="2"/>
      <c r="K3743" s="2"/>
      <c r="L3743" s="2"/>
      <c r="M3743" s="2"/>
      <c r="N3743" s="2"/>
      <c r="O3743" s="2"/>
      <c r="P3743" s="2"/>
      <c r="Q3743" s="2"/>
      <c r="R3743" s="2"/>
      <c r="S3743" s="2"/>
      <c r="T3743" s="19"/>
      <c r="U3743" s="2"/>
      <c r="V3743" s="2"/>
      <c r="W3743" s="2"/>
      <c r="X3743" s="19"/>
      <c r="Y3743" s="2"/>
      <c r="Z3743" s="5"/>
    </row>
    <row r="3744" spans="7:26" ht="75.75" customHeight="1" x14ac:dyDescent="0.25">
      <c r="G3744" s="5"/>
      <c r="H3744" s="2"/>
      <c r="I3744" s="2"/>
      <c r="K3744" s="2"/>
      <c r="L3744" s="2"/>
      <c r="M3744" s="2"/>
      <c r="N3744" s="2"/>
      <c r="O3744" s="2"/>
      <c r="P3744" s="2"/>
      <c r="Q3744" s="2"/>
      <c r="R3744" s="2"/>
      <c r="S3744" s="2"/>
      <c r="T3744" s="19"/>
      <c r="U3744" s="2"/>
      <c r="V3744" s="2"/>
      <c r="W3744" s="2"/>
      <c r="X3744" s="19"/>
      <c r="Y3744" s="2"/>
      <c r="Z3744" s="5"/>
    </row>
    <row r="3745" spans="7:26" ht="75.75" customHeight="1" x14ac:dyDescent="0.25">
      <c r="G3745" s="5"/>
      <c r="H3745" s="2"/>
      <c r="I3745" s="2"/>
      <c r="K3745" s="2"/>
      <c r="L3745" s="2"/>
      <c r="M3745" s="2"/>
      <c r="N3745" s="2"/>
      <c r="O3745" s="2"/>
      <c r="P3745" s="2"/>
      <c r="Q3745" s="2"/>
      <c r="R3745" s="2"/>
      <c r="S3745" s="2"/>
      <c r="T3745" s="19"/>
      <c r="U3745" s="2"/>
      <c r="V3745" s="2"/>
      <c r="W3745" s="2"/>
      <c r="X3745" s="19"/>
      <c r="Y3745" s="2"/>
      <c r="Z3745" s="5"/>
    </row>
    <row r="3746" spans="7:26" ht="75.75" customHeight="1" x14ac:dyDescent="0.25">
      <c r="G3746" s="5"/>
      <c r="H3746" s="2"/>
      <c r="I3746" s="2"/>
      <c r="K3746" s="2"/>
      <c r="L3746" s="2"/>
      <c r="M3746" s="2"/>
      <c r="N3746" s="2"/>
      <c r="O3746" s="2"/>
      <c r="P3746" s="2"/>
      <c r="Q3746" s="2"/>
      <c r="R3746" s="2"/>
      <c r="S3746" s="2"/>
      <c r="T3746" s="19"/>
      <c r="U3746" s="2"/>
      <c r="V3746" s="2"/>
      <c r="W3746" s="2"/>
      <c r="X3746" s="19"/>
      <c r="Y3746" s="2"/>
      <c r="Z3746" s="5"/>
    </row>
    <row r="3747" spans="7:26" ht="75.75" customHeight="1" x14ac:dyDescent="0.25">
      <c r="G3747" s="5"/>
      <c r="H3747" s="2"/>
      <c r="I3747" s="2"/>
      <c r="K3747" s="2"/>
      <c r="L3747" s="2"/>
      <c r="M3747" s="2"/>
      <c r="N3747" s="2"/>
      <c r="O3747" s="2"/>
      <c r="P3747" s="2"/>
      <c r="Q3747" s="2"/>
      <c r="R3747" s="2"/>
      <c r="S3747" s="2"/>
      <c r="T3747" s="19"/>
      <c r="U3747" s="2"/>
      <c r="V3747" s="2"/>
      <c r="W3747" s="2"/>
      <c r="X3747" s="19"/>
      <c r="Y3747" s="2"/>
      <c r="Z3747" s="5"/>
    </row>
    <row r="3748" spans="7:26" ht="75.75" customHeight="1" x14ac:dyDescent="0.25">
      <c r="G3748" s="5"/>
      <c r="H3748" s="2"/>
      <c r="I3748" s="2"/>
      <c r="K3748" s="2"/>
      <c r="L3748" s="2"/>
      <c r="M3748" s="2"/>
      <c r="N3748" s="2"/>
      <c r="O3748" s="2"/>
      <c r="P3748" s="2"/>
      <c r="Q3748" s="2"/>
      <c r="R3748" s="2"/>
      <c r="S3748" s="2"/>
      <c r="T3748" s="19"/>
      <c r="U3748" s="2"/>
      <c r="V3748" s="2"/>
      <c r="W3748" s="2"/>
      <c r="X3748" s="19"/>
      <c r="Y3748" s="2"/>
      <c r="Z3748" s="5"/>
    </row>
    <row r="3749" spans="7:26" ht="75.75" customHeight="1" x14ac:dyDescent="0.25">
      <c r="G3749" s="5"/>
      <c r="H3749" s="2"/>
      <c r="I3749" s="2"/>
      <c r="K3749" s="2"/>
      <c r="L3749" s="2"/>
      <c r="M3749" s="2"/>
      <c r="N3749" s="2"/>
      <c r="O3749" s="2"/>
      <c r="P3749" s="2"/>
      <c r="Q3749" s="2"/>
      <c r="R3749" s="2"/>
      <c r="S3749" s="2"/>
      <c r="T3749" s="19"/>
      <c r="U3749" s="2"/>
      <c r="V3749" s="2"/>
      <c r="W3749" s="2"/>
      <c r="X3749" s="19"/>
      <c r="Y3749" s="2"/>
      <c r="Z3749" s="5"/>
    </row>
    <row r="3750" spans="7:26" ht="75.75" customHeight="1" x14ac:dyDescent="0.25">
      <c r="G3750" s="5"/>
      <c r="H3750" s="2"/>
      <c r="I3750" s="2"/>
      <c r="K3750" s="2"/>
      <c r="L3750" s="2"/>
      <c r="M3750" s="2"/>
      <c r="N3750" s="2"/>
      <c r="O3750" s="2"/>
      <c r="P3750" s="2"/>
      <c r="Q3750" s="2"/>
      <c r="R3750" s="2"/>
      <c r="S3750" s="2"/>
      <c r="T3750" s="19"/>
      <c r="U3750" s="2"/>
      <c r="V3750" s="2"/>
      <c r="W3750" s="2"/>
      <c r="X3750" s="19"/>
      <c r="Y3750" s="2"/>
      <c r="Z3750" s="5"/>
    </row>
    <row r="3751" spans="7:26" ht="75.75" customHeight="1" x14ac:dyDescent="0.25">
      <c r="G3751" s="5"/>
      <c r="H3751" s="2"/>
      <c r="I3751" s="2"/>
      <c r="K3751" s="2"/>
      <c r="L3751" s="2"/>
      <c r="M3751" s="2"/>
      <c r="N3751" s="2"/>
      <c r="O3751" s="2"/>
      <c r="P3751" s="2"/>
      <c r="Q3751" s="2"/>
      <c r="R3751" s="2"/>
      <c r="S3751" s="2"/>
      <c r="T3751" s="19"/>
      <c r="U3751" s="2"/>
      <c r="V3751" s="2"/>
      <c r="W3751" s="2"/>
      <c r="X3751" s="19"/>
      <c r="Y3751" s="2"/>
      <c r="Z3751" s="5"/>
    </row>
    <row r="3752" spans="7:26" ht="75.75" customHeight="1" x14ac:dyDescent="0.25">
      <c r="G3752" s="5"/>
      <c r="H3752" s="2"/>
      <c r="I3752" s="2"/>
      <c r="K3752" s="2"/>
      <c r="L3752" s="2"/>
      <c r="M3752" s="2"/>
      <c r="N3752" s="2"/>
      <c r="O3752" s="2"/>
      <c r="P3752" s="2"/>
      <c r="Q3752" s="2"/>
      <c r="R3752" s="2"/>
      <c r="S3752" s="2"/>
      <c r="T3752" s="19"/>
      <c r="U3752" s="2"/>
      <c r="V3752" s="2"/>
      <c r="W3752" s="2"/>
      <c r="X3752" s="19"/>
      <c r="Y3752" s="2"/>
      <c r="Z3752" s="5"/>
    </row>
    <row r="3753" spans="7:26" ht="75.75" customHeight="1" x14ac:dyDescent="0.25">
      <c r="G3753" s="5"/>
      <c r="H3753" s="2"/>
      <c r="I3753" s="2"/>
      <c r="K3753" s="2"/>
      <c r="L3753" s="2"/>
      <c r="M3753" s="2"/>
      <c r="N3753" s="2"/>
      <c r="O3753" s="2"/>
      <c r="P3753" s="2"/>
      <c r="Q3753" s="2"/>
      <c r="R3753" s="2"/>
      <c r="S3753" s="2"/>
      <c r="T3753" s="19"/>
      <c r="U3753" s="2"/>
      <c r="V3753" s="2"/>
      <c r="W3753" s="2"/>
      <c r="X3753" s="19"/>
      <c r="Y3753" s="2"/>
      <c r="Z3753" s="5"/>
    </row>
    <row r="3754" spans="7:26" ht="75.75" customHeight="1" x14ac:dyDescent="0.25">
      <c r="G3754" s="5"/>
      <c r="H3754" s="2"/>
      <c r="I3754" s="2"/>
      <c r="K3754" s="2"/>
      <c r="L3754" s="2"/>
      <c r="M3754" s="2"/>
      <c r="N3754" s="2"/>
      <c r="O3754" s="2"/>
      <c r="P3754" s="2"/>
      <c r="Q3754" s="2"/>
      <c r="R3754" s="2"/>
      <c r="S3754" s="2"/>
      <c r="T3754" s="19"/>
      <c r="U3754" s="2"/>
      <c r="V3754" s="2"/>
      <c r="W3754" s="2"/>
      <c r="X3754" s="19"/>
      <c r="Y3754" s="2"/>
      <c r="Z3754" s="5"/>
    </row>
    <row r="3755" spans="7:26" ht="75.75" customHeight="1" x14ac:dyDescent="0.25">
      <c r="G3755" s="5"/>
      <c r="H3755" s="2"/>
      <c r="I3755" s="2"/>
      <c r="K3755" s="2"/>
      <c r="L3755" s="2"/>
      <c r="M3755" s="2"/>
      <c r="N3755" s="2"/>
      <c r="O3755" s="2"/>
      <c r="P3755" s="2"/>
      <c r="Q3755" s="2"/>
      <c r="R3755" s="2"/>
      <c r="S3755" s="2"/>
      <c r="T3755" s="19"/>
      <c r="U3755" s="2"/>
      <c r="V3755" s="2"/>
      <c r="W3755" s="2"/>
      <c r="X3755" s="19"/>
      <c r="Y3755" s="2"/>
      <c r="Z3755" s="5"/>
    </row>
    <row r="3756" spans="7:26" ht="75.75" customHeight="1" x14ac:dyDescent="0.25">
      <c r="G3756" s="5"/>
      <c r="H3756" s="2"/>
      <c r="I3756" s="2"/>
      <c r="K3756" s="2"/>
      <c r="L3756" s="2"/>
      <c r="M3756" s="2"/>
      <c r="N3756" s="2"/>
      <c r="O3756" s="2"/>
      <c r="P3756" s="2"/>
      <c r="Q3756" s="2"/>
      <c r="R3756" s="2"/>
      <c r="S3756" s="2"/>
      <c r="T3756" s="19"/>
      <c r="U3756" s="2"/>
      <c r="V3756" s="2"/>
      <c r="W3756" s="2"/>
      <c r="X3756" s="19"/>
      <c r="Y3756" s="2"/>
      <c r="Z3756" s="5"/>
    </row>
    <row r="3757" spans="7:26" ht="75.75" customHeight="1" x14ac:dyDescent="0.25">
      <c r="G3757" s="5"/>
      <c r="H3757" s="2"/>
      <c r="I3757" s="2"/>
      <c r="K3757" s="2"/>
      <c r="L3757" s="2"/>
      <c r="M3757" s="2"/>
      <c r="N3757" s="2"/>
      <c r="O3757" s="2"/>
      <c r="P3757" s="2"/>
      <c r="Q3757" s="2"/>
      <c r="R3757" s="2"/>
      <c r="S3757" s="2"/>
      <c r="T3757" s="19"/>
      <c r="U3757" s="2"/>
      <c r="V3757" s="2"/>
      <c r="W3757" s="2"/>
      <c r="X3757" s="19"/>
      <c r="Y3757" s="2"/>
      <c r="Z3757" s="5"/>
    </row>
    <row r="3758" spans="7:26" ht="75.75" customHeight="1" x14ac:dyDescent="0.25">
      <c r="G3758" s="5"/>
      <c r="H3758" s="2"/>
      <c r="I3758" s="2"/>
      <c r="K3758" s="2"/>
      <c r="L3758" s="2"/>
      <c r="M3758" s="2"/>
      <c r="N3758" s="2"/>
      <c r="O3758" s="2"/>
      <c r="P3758" s="2"/>
      <c r="Q3758" s="2"/>
      <c r="R3758" s="2"/>
      <c r="S3758" s="2"/>
      <c r="T3758" s="19"/>
      <c r="U3758" s="2"/>
      <c r="V3758" s="2"/>
      <c r="W3758" s="2"/>
      <c r="X3758" s="19"/>
      <c r="Y3758" s="2"/>
      <c r="Z3758" s="5"/>
    </row>
    <row r="3759" spans="7:26" ht="75.75" customHeight="1" x14ac:dyDescent="0.25">
      <c r="G3759" s="5"/>
      <c r="H3759" s="2"/>
      <c r="I3759" s="2"/>
      <c r="K3759" s="2"/>
      <c r="L3759" s="2"/>
      <c r="M3759" s="2"/>
      <c r="N3759" s="2"/>
      <c r="O3759" s="2"/>
      <c r="P3759" s="2"/>
      <c r="Q3759" s="2"/>
      <c r="R3759" s="2"/>
      <c r="S3759" s="2"/>
      <c r="T3759" s="19"/>
      <c r="U3759" s="2"/>
      <c r="V3759" s="2"/>
      <c r="W3759" s="2"/>
      <c r="X3759" s="19"/>
      <c r="Y3759" s="2"/>
      <c r="Z3759" s="5"/>
    </row>
    <row r="3760" spans="7:26" ht="75.75" customHeight="1" x14ac:dyDescent="0.25">
      <c r="G3760" s="5"/>
      <c r="H3760" s="2"/>
      <c r="I3760" s="2"/>
      <c r="K3760" s="2"/>
      <c r="L3760" s="2"/>
      <c r="M3760" s="2"/>
      <c r="N3760" s="2"/>
      <c r="O3760" s="2"/>
      <c r="P3760" s="2"/>
      <c r="Q3760" s="2"/>
      <c r="R3760" s="2"/>
      <c r="S3760" s="2"/>
      <c r="T3760" s="19"/>
      <c r="U3760" s="2"/>
      <c r="V3760" s="2"/>
      <c r="W3760" s="2"/>
      <c r="X3760" s="19"/>
      <c r="Y3760" s="2"/>
      <c r="Z3760" s="5"/>
    </row>
    <row r="3761" spans="7:26" ht="75.75" customHeight="1" x14ac:dyDescent="0.25">
      <c r="G3761" s="5"/>
      <c r="H3761" s="2"/>
      <c r="I3761" s="2"/>
      <c r="K3761" s="2"/>
      <c r="L3761" s="2"/>
      <c r="M3761" s="2"/>
      <c r="N3761" s="2"/>
      <c r="O3761" s="2"/>
      <c r="P3761" s="2"/>
      <c r="Q3761" s="2"/>
      <c r="R3761" s="2"/>
      <c r="S3761" s="2"/>
      <c r="T3761" s="19"/>
      <c r="U3761" s="2"/>
      <c r="V3761" s="2"/>
      <c r="W3761" s="2"/>
      <c r="X3761" s="19"/>
      <c r="Y3761" s="2"/>
      <c r="Z3761" s="5"/>
    </row>
    <row r="3762" spans="7:26" ht="75.75" customHeight="1" x14ac:dyDescent="0.25">
      <c r="G3762" s="5"/>
      <c r="H3762" s="2"/>
      <c r="I3762" s="2"/>
      <c r="K3762" s="2"/>
      <c r="L3762" s="2"/>
      <c r="M3762" s="2"/>
      <c r="N3762" s="2"/>
      <c r="O3762" s="2"/>
      <c r="P3762" s="2"/>
      <c r="Q3762" s="2"/>
      <c r="R3762" s="2"/>
      <c r="S3762" s="2"/>
      <c r="T3762" s="19"/>
      <c r="U3762" s="2"/>
      <c r="V3762" s="2"/>
      <c r="W3762" s="2"/>
      <c r="X3762" s="19"/>
      <c r="Y3762" s="2"/>
      <c r="Z3762" s="5"/>
    </row>
    <row r="3763" spans="7:26" ht="75.75" customHeight="1" x14ac:dyDescent="0.25">
      <c r="G3763" s="5"/>
      <c r="H3763" s="2"/>
      <c r="I3763" s="2"/>
      <c r="K3763" s="2"/>
      <c r="L3763" s="2"/>
      <c r="M3763" s="2"/>
      <c r="N3763" s="2"/>
      <c r="O3763" s="2"/>
      <c r="P3763" s="2"/>
      <c r="Q3763" s="2"/>
      <c r="R3763" s="2"/>
      <c r="S3763" s="2"/>
      <c r="T3763" s="19"/>
      <c r="U3763" s="2"/>
      <c r="V3763" s="2"/>
      <c r="W3763" s="2"/>
      <c r="X3763" s="19"/>
      <c r="Y3763" s="2"/>
      <c r="Z3763" s="5"/>
    </row>
    <row r="3764" spans="7:26" ht="75.75" customHeight="1" x14ac:dyDescent="0.25">
      <c r="G3764" s="5"/>
      <c r="H3764" s="2"/>
      <c r="I3764" s="2"/>
      <c r="K3764" s="2"/>
      <c r="L3764" s="2"/>
      <c r="M3764" s="2"/>
      <c r="N3764" s="2"/>
      <c r="O3764" s="2"/>
      <c r="P3764" s="2"/>
      <c r="Q3764" s="2"/>
      <c r="R3764" s="2"/>
      <c r="S3764" s="2"/>
      <c r="T3764" s="19"/>
      <c r="U3764" s="2"/>
      <c r="V3764" s="2"/>
      <c r="W3764" s="2"/>
      <c r="X3764" s="19"/>
      <c r="Y3764" s="2"/>
      <c r="Z3764" s="5"/>
    </row>
    <row r="3765" spans="7:26" ht="75.75" customHeight="1" x14ac:dyDescent="0.25">
      <c r="G3765" s="5"/>
      <c r="H3765" s="2"/>
      <c r="I3765" s="2"/>
      <c r="K3765" s="2"/>
      <c r="L3765" s="2"/>
      <c r="M3765" s="2"/>
      <c r="N3765" s="2"/>
      <c r="O3765" s="2"/>
      <c r="P3765" s="2"/>
      <c r="Q3765" s="2"/>
      <c r="R3765" s="2"/>
      <c r="S3765" s="2"/>
      <c r="T3765" s="19"/>
      <c r="U3765" s="2"/>
      <c r="V3765" s="2"/>
      <c r="W3765" s="2"/>
      <c r="X3765" s="19"/>
      <c r="Y3765" s="2"/>
      <c r="Z3765" s="5"/>
    </row>
    <row r="3766" spans="7:26" ht="75.75" customHeight="1" x14ac:dyDescent="0.25">
      <c r="G3766" s="5"/>
      <c r="H3766" s="2"/>
      <c r="I3766" s="2"/>
      <c r="K3766" s="2"/>
      <c r="L3766" s="2"/>
      <c r="M3766" s="2"/>
      <c r="N3766" s="2"/>
      <c r="O3766" s="2"/>
      <c r="P3766" s="2"/>
      <c r="Q3766" s="2"/>
      <c r="R3766" s="2"/>
      <c r="S3766" s="2"/>
      <c r="T3766" s="19"/>
      <c r="U3766" s="2"/>
      <c r="V3766" s="2"/>
      <c r="W3766" s="2"/>
      <c r="X3766" s="19"/>
      <c r="Y3766" s="2"/>
      <c r="Z3766" s="5"/>
    </row>
    <row r="3767" spans="7:26" ht="75.75" customHeight="1" x14ac:dyDescent="0.25">
      <c r="G3767" s="5"/>
      <c r="H3767" s="2"/>
      <c r="I3767" s="2"/>
      <c r="K3767" s="2"/>
      <c r="L3767" s="2"/>
      <c r="M3767" s="2"/>
      <c r="N3767" s="2"/>
      <c r="O3767" s="2"/>
      <c r="P3767" s="2"/>
      <c r="Q3767" s="2"/>
      <c r="R3767" s="2"/>
      <c r="S3767" s="2"/>
      <c r="T3767" s="19"/>
      <c r="U3767" s="2"/>
      <c r="V3767" s="2"/>
      <c r="W3767" s="2"/>
      <c r="X3767" s="19"/>
      <c r="Y3767" s="2"/>
      <c r="Z3767" s="5"/>
    </row>
    <row r="3768" spans="7:26" ht="75.75" customHeight="1" x14ac:dyDescent="0.25">
      <c r="G3768" s="5"/>
      <c r="H3768" s="2"/>
      <c r="I3768" s="2"/>
      <c r="K3768" s="2"/>
      <c r="L3768" s="2"/>
      <c r="M3768" s="2"/>
      <c r="N3768" s="2"/>
      <c r="O3768" s="2"/>
      <c r="P3768" s="2"/>
      <c r="Q3768" s="2"/>
      <c r="R3768" s="2"/>
      <c r="S3768" s="2"/>
      <c r="T3768" s="19"/>
      <c r="U3768" s="2"/>
      <c r="V3768" s="2"/>
      <c r="W3768" s="2"/>
      <c r="X3768" s="19"/>
      <c r="Y3768" s="2"/>
      <c r="Z3768" s="5"/>
    </row>
    <row r="3769" spans="7:26" ht="75.75" customHeight="1" x14ac:dyDescent="0.25">
      <c r="G3769" s="5"/>
      <c r="H3769" s="2"/>
      <c r="I3769" s="2"/>
      <c r="K3769" s="2"/>
      <c r="L3769" s="2"/>
      <c r="M3769" s="2"/>
      <c r="N3769" s="2"/>
      <c r="O3769" s="2"/>
      <c r="P3769" s="2"/>
      <c r="Q3769" s="2"/>
      <c r="R3769" s="2"/>
      <c r="S3769" s="2"/>
      <c r="T3769" s="19"/>
      <c r="U3769" s="2"/>
      <c r="V3769" s="2"/>
      <c r="W3769" s="2"/>
      <c r="X3769" s="19"/>
      <c r="Y3769" s="2"/>
      <c r="Z3769" s="5"/>
    </row>
    <row r="3770" spans="7:26" ht="75.75" customHeight="1" x14ac:dyDescent="0.25">
      <c r="G3770" s="5"/>
      <c r="H3770" s="2"/>
      <c r="I3770" s="2"/>
      <c r="K3770" s="2"/>
      <c r="L3770" s="2"/>
      <c r="M3770" s="2"/>
      <c r="N3770" s="2"/>
      <c r="O3770" s="2"/>
      <c r="P3770" s="2"/>
      <c r="Q3770" s="2"/>
      <c r="R3770" s="2"/>
      <c r="S3770" s="2"/>
      <c r="T3770" s="19"/>
      <c r="U3770" s="2"/>
      <c r="V3770" s="2"/>
      <c r="W3770" s="2"/>
      <c r="X3770" s="19"/>
      <c r="Y3770" s="2"/>
      <c r="Z3770" s="5"/>
    </row>
    <row r="3771" spans="7:26" ht="75.75" customHeight="1" x14ac:dyDescent="0.25">
      <c r="G3771" s="5"/>
      <c r="H3771" s="2"/>
      <c r="I3771" s="2"/>
      <c r="K3771" s="2"/>
      <c r="L3771" s="2"/>
      <c r="M3771" s="2"/>
      <c r="N3771" s="2"/>
      <c r="O3771" s="2"/>
      <c r="P3771" s="2"/>
      <c r="Q3771" s="2"/>
      <c r="R3771" s="2"/>
      <c r="S3771" s="2"/>
      <c r="T3771" s="19"/>
      <c r="U3771" s="2"/>
      <c r="V3771" s="2"/>
      <c r="W3771" s="2"/>
      <c r="X3771" s="19"/>
      <c r="Y3771" s="2"/>
      <c r="Z3771" s="5"/>
    </row>
    <row r="3772" spans="7:26" ht="75.75" customHeight="1" x14ac:dyDescent="0.25">
      <c r="G3772" s="5"/>
      <c r="H3772" s="2"/>
      <c r="I3772" s="2"/>
      <c r="K3772" s="2"/>
      <c r="L3772" s="2"/>
      <c r="M3772" s="2"/>
      <c r="N3772" s="2"/>
      <c r="O3772" s="2"/>
      <c r="P3772" s="2"/>
      <c r="Q3772" s="2"/>
      <c r="R3772" s="2"/>
      <c r="S3772" s="2"/>
      <c r="T3772" s="19"/>
      <c r="U3772" s="2"/>
      <c r="V3772" s="2"/>
      <c r="W3772" s="2"/>
      <c r="X3772" s="19"/>
      <c r="Y3772" s="2"/>
      <c r="Z3772" s="5"/>
    </row>
    <row r="3773" spans="7:26" ht="75.75" customHeight="1" x14ac:dyDescent="0.25">
      <c r="G3773" s="5"/>
      <c r="H3773" s="2"/>
      <c r="I3773" s="2"/>
      <c r="K3773" s="2"/>
      <c r="L3773" s="2"/>
      <c r="M3773" s="2"/>
      <c r="N3773" s="2"/>
      <c r="O3773" s="2"/>
      <c r="P3773" s="2"/>
      <c r="Q3773" s="2"/>
      <c r="R3773" s="2"/>
      <c r="S3773" s="2"/>
      <c r="T3773" s="19"/>
      <c r="U3773" s="2"/>
      <c r="V3773" s="2"/>
      <c r="W3773" s="2"/>
      <c r="X3773" s="19"/>
      <c r="Y3773" s="2"/>
      <c r="Z3773" s="5"/>
    </row>
    <row r="3774" spans="7:26" ht="75.75" customHeight="1" x14ac:dyDescent="0.25">
      <c r="G3774" s="5"/>
      <c r="H3774" s="2"/>
      <c r="I3774" s="2"/>
      <c r="K3774" s="2"/>
      <c r="L3774" s="2"/>
      <c r="M3774" s="2"/>
      <c r="N3774" s="2"/>
      <c r="O3774" s="2"/>
      <c r="P3774" s="2"/>
      <c r="Q3774" s="2"/>
      <c r="R3774" s="2"/>
      <c r="S3774" s="2"/>
      <c r="T3774" s="19"/>
      <c r="U3774" s="2"/>
      <c r="V3774" s="2"/>
      <c r="W3774" s="2"/>
      <c r="X3774" s="19"/>
      <c r="Y3774" s="2"/>
      <c r="Z3774" s="5"/>
    </row>
    <row r="3775" spans="7:26" ht="75.75" customHeight="1" x14ac:dyDescent="0.25">
      <c r="G3775" s="5"/>
      <c r="H3775" s="2"/>
      <c r="I3775" s="2"/>
      <c r="K3775" s="2"/>
      <c r="L3775" s="2"/>
      <c r="M3775" s="2"/>
      <c r="N3775" s="2"/>
      <c r="O3775" s="2"/>
      <c r="P3775" s="2"/>
      <c r="Q3775" s="2"/>
      <c r="R3775" s="2"/>
      <c r="S3775" s="2"/>
      <c r="T3775" s="19"/>
      <c r="U3775" s="2"/>
      <c r="V3775" s="2"/>
      <c r="W3775" s="2"/>
      <c r="X3775" s="19"/>
      <c r="Y3775" s="2"/>
      <c r="Z3775" s="5"/>
    </row>
    <row r="3776" spans="7:26" ht="75.75" customHeight="1" x14ac:dyDescent="0.25">
      <c r="G3776" s="5"/>
      <c r="H3776" s="2"/>
      <c r="I3776" s="2"/>
      <c r="K3776" s="2"/>
      <c r="L3776" s="2"/>
      <c r="M3776" s="2"/>
      <c r="N3776" s="2"/>
      <c r="O3776" s="2"/>
      <c r="P3776" s="2"/>
      <c r="Q3776" s="2"/>
      <c r="R3776" s="2"/>
      <c r="S3776" s="2"/>
      <c r="T3776" s="19"/>
      <c r="U3776" s="2"/>
      <c r="V3776" s="2"/>
      <c r="W3776" s="2"/>
      <c r="X3776" s="19"/>
      <c r="Y3776" s="2"/>
      <c r="Z3776" s="5"/>
    </row>
    <row r="3777" spans="7:26" ht="75.75" customHeight="1" x14ac:dyDescent="0.25">
      <c r="G3777" s="5"/>
      <c r="H3777" s="2"/>
      <c r="I3777" s="2"/>
      <c r="K3777" s="2"/>
      <c r="L3777" s="2"/>
      <c r="M3777" s="2"/>
      <c r="N3777" s="2"/>
      <c r="O3777" s="2"/>
      <c r="P3777" s="2"/>
      <c r="Q3777" s="2"/>
      <c r="R3777" s="2"/>
      <c r="S3777" s="2"/>
      <c r="T3777" s="19"/>
      <c r="U3777" s="2"/>
      <c r="V3777" s="2"/>
      <c r="W3777" s="2"/>
      <c r="X3777" s="19"/>
      <c r="Y3777" s="2"/>
      <c r="Z3777" s="5"/>
    </row>
    <row r="3778" spans="7:26" ht="75.75" customHeight="1" x14ac:dyDescent="0.25">
      <c r="G3778" s="5"/>
      <c r="H3778" s="2"/>
      <c r="I3778" s="2"/>
      <c r="K3778" s="2"/>
      <c r="L3778" s="2"/>
      <c r="M3778" s="2"/>
      <c r="N3778" s="2"/>
      <c r="O3778" s="2"/>
      <c r="P3778" s="2"/>
      <c r="Q3778" s="2"/>
      <c r="R3778" s="2"/>
      <c r="S3778" s="2"/>
      <c r="T3778" s="19"/>
      <c r="U3778" s="2"/>
      <c r="V3778" s="2"/>
      <c r="W3778" s="2"/>
      <c r="X3778" s="19"/>
      <c r="Y3778" s="2"/>
      <c r="Z3778" s="5"/>
    </row>
    <row r="3779" spans="7:26" ht="75.75" customHeight="1" x14ac:dyDescent="0.25">
      <c r="G3779" s="5"/>
      <c r="H3779" s="2"/>
      <c r="I3779" s="2"/>
      <c r="K3779" s="2"/>
      <c r="L3779" s="2"/>
      <c r="M3779" s="2"/>
      <c r="N3779" s="2"/>
      <c r="O3779" s="2"/>
      <c r="P3779" s="2"/>
      <c r="Q3779" s="2"/>
      <c r="R3779" s="2"/>
      <c r="S3779" s="2"/>
      <c r="T3779" s="19"/>
      <c r="U3779" s="2"/>
      <c r="V3779" s="2"/>
      <c r="W3779" s="2"/>
      <c r="X3779" s="19"/>
      <c r="Y3779" s="2"/>
      <c r="Z3779" s="5"/>
    </row>
    <row r="3780" spans="7:26" ht="75.75" customHeight="1" x14ac:dyDescent="0.25">
      <c r="G3780" s="5"/>
      <c r="H3780" s="2"/>
      <c r="I3780" s="2"/>
      <c r="K3780" s="2"/>
      <c r="L3780" s="2"/>
      <c r="M3780" s="2"/>
      <c r="N3780" s="2"/>
      <c r="O3780" s="2"/>
      <c r="P3780" s="2"/>
      <c r="Q3780" s="2"/>
      <c r="R3780" s="2"/>
      <c r="S3780" s="2"/>
      <c r="T3780" s="19"/>
      <c r="U3780" s="2"/>
      <c r="V3780" s="2"/>
      <c r="W3780" s="2"/>
      <c r="X3780" s="19"/>
      <c r="Y3780" s="2"/>
      <c r="Z3780" s="5"/>
    </row>
    <row r="3781" spans="7:26" ht="75.75" customHeight="1" x14ac:dyDescent="0.25">
      <c r="G3781" s="5"/>
      <c r="H3781" s="2"/>
      <c r="I3781" s="2"/>
      <c r="K3781" s="2"/>
      <c r="L3781" s="2"/>
      <c r="M3781" s="2"/>
      <c r="N3781" s="2"/>
      <c r="O3781" s="2"/>
      <c r="P3781" s="2"/>
      <c r="Q3781" s="2"/>
      <c r="R3781" s="2"/>
      <c r="S3781" s="2"/>
      <c r="T3781" s="19"/>
      <c r="U3781" s="2"/>
      <c r="V3781" s="2"/>
      <c r="W3781" s="2"/>
      <c r="X3781" s="19"/>
      <c r="Y3781" s="2"/>
      <c r="Z3781" s="5"/>
    </row>
    <row r="3782" spans="7:26" ht="75.75" customHeight="1" x14ac:dyDescent="0.25">
      <c r="G3782" s="5"/>
      <c r="H3782" s="2"/>
      <c r="I3782" s="2"/>
      <c r="K3782" s="2"/>
      <c r="L3782" s="2"/>
      <c r="M3782" s="2"/>
      <c r="N3782" s="2"/>
      <c r="O3782" s="2"/>
      <c r="P3782" s="2"/>
      <c r="Q3782" s="2"/>
      <c r="R3782" s="2"/>
      <c r="S3782" s="2"/>
      <c r="T3782" s="19"/>
      <c r="U3782" s="2"/>
      <c r="V3782" s="2"/>
      <c r="W3782" s="2"/>
      <c r="X3782" s="19"/>
      <c r="Y3782" s="2"/>
      <c r="Z3782" s="5"/>
    </row>
    <row r="3783" spans="7:26" ht="75.75" customHeight="1" x14ac:dyDescent="0.25">
      <c r="G3783" s="5"/>
      <c r="H3783" s="2"/>
      <c r="I3783" s="2"/>
      <c r="K3783" s="2"/>
      <c r="L3783" s="2"/>
      <c r="M3783" s="2"/>
      <c r="N3783" s="2"/>
      <c r="O3783" s="2"/>
      <c r="P3783" s="2"/>
      <c r="Q3783" s="2"/>
      <c r="R3783" s="2"/>
      <c r="S3783" s="2"/>
      <c r="T3783" s="19"/>
      <c r="U3783" s="2"/>
      <c r="V3783" s="2"/>
      <c r="W3783" s="2"/>
      <c r="X3783" s="19"/>
      <c r="Y3783" s="2"/>
      <c r="Z3783" s="5"/>
    </row>
    <row r="3784" spans="7:26" ht="75.75" customHeight="1" x14ac:dyDescent="0.25">
      <c r="G3784" s="5"/>
      <c r="H3784" s="2"/>
      <c r="I3784" s="2"/>
      <c r="K3784" s="2"/>
      <c r="L3784" s="2"/>
      <c r="M3784" s="2"/>
      <c r="N3784" s="2"/>
      <c r="O3784" s="2"/>
      <c r="P3784" s="2"/>
      <c r="Q3784" s="2"/>
      <c r="R3784" s="2"/>
      <c r="S3784" s="2"/>
      <c r="T3784" s="19"/>
      <c r="U3784" s="2"/>
      <c r="V3784" s="2"/>
      <c r="W3784" s="2"/>
      <c r="X3784" s="19"/>
      <c r="Y3784" s="2"/>
      <c r="Z3784" s="5"/>
    </row>
    <row r="3785" spans="7:26" ht="75.75" customHeight="1" x14ac:dyDescent="0.25">
      <c r="G3785" s="5"/>
      <c r="H3785" s="2"/>
      <c r="I3785" s="2"/>
      <c r="K3785" s="2"/>
      <c r="L3785" s="2"/>
      <c r="M3785" s="2"/>
      <c r="N3785" s="2"/>
      <c r="O3785" s="2"/>
      <c r="P3785" s="2"/>
      <c r="Q3785" s="2"/>
      <c r="R3785" s="2"/>
      <c r="S3785" s="2"/>
      <c r="T3785" s="19"/>
      <c r="U3785" s="2"/>
      <c r="V3785" s="2"/>
      <c r="W3785" s="2"/>
      <c r="X3785" s="19"/>
      <c r="Y3785" s="2"/>
      <c r="Z3785" s="5"/>
    </row>
    <row r="3786" spans="7:26" ht="75.75" customHeight="1" x14ac:dyDescent="0.25">
      <c r="G3786" s="5"/>
      <c r="H3786" s="2"/>
      <c r="I3786" s="2"/>
      <c r="K3786" s="2"/>
      <c r="L3786" s="2"/>
      <c r="M3786" s="2"/>
      <c r="N3786" s="2"/>
      <c r="O3786" s="2"/>
      <c r="P3786" s="2"/>
      <c r="Q3786" s="2"/>
      <c r="R3786" s="2"/>
      <c r="S3786" s="2"/>
      <c r="T3786" s="19"/>
      <c r="U3786" s="2"/>
      <c r="V3786" s="2"/>
      <c r="W3786" s="2"/>
      <c r="X3786" s="19"/>
      <c r="Y3786" s="2"/>
      <c r="Z3786" s="5"/>
    </row>
    <row r="3787" spans="7:26" ht="75.75" customHeight="1" x14ac:dyDescent="0.25">
      <c r="G3787" s="5"/>
      <c r="H3787" s="2"/>
      <c r="I3787" s="2"/>
      <c r="K3787" s="2"/>
      <c r="L3787" s="2"/>
      <c r="M3787" s="2"/>
      <c r="N3787" s="2"/>
      <c r="O3787" s="2"/>
      <c r="P3787" s="2"/>
      <c r="Q3787" s="2"/>
      <c r="R3787" s="2"/>
      <c r="S3787" s="2"/>
      <c r="T3787" s="19"/>
      <c r="U3787" s="2"/>
      <c r="V3787" s="2"/>
      <c r="W3787" s="2"/>
      <c r="X3787" s="19"/>
      <c r="Y3787" s="2"/>
      <c r="Z3787" s="5"/>
    </row>
    <row r="3788" spans="7:26" ht="75.75" customHeight="1" x14ac:dyDescent="0.25">
      <c r="G3788" s="5"/>
      <c r="H3788" s="2"/>
      <c r="I3788" s="2"/>
      <c r="K3788" s="2"/>
      <c r="L3788" s="2"/>
      <c r="M3788" s="2"/>
      <c r="N3788" s="2"/>
      <c r="O3788" s="2"/>
      <c r="P3788" s="2"/>
      <c r="Q3788" s="2"/>
      <c r="R3788" s="2"/>
      <c r="S3788" s="2"/>
      <c r="T3788" s="19"/>
      <c r="U3788" s="2"/>
      <c r="V3788" s="2"/>
      <c r="W3788" s="2"/>
      <c r="X3788" s="19"/>
      <c r="Y3788" s="2"/>
      <c r="Z3788" s="5"/>
    </row>
    <row r="3789" spans="7:26" ht="75.75" customHeight="1" x14ac:dyDescent="0.25">
      <c r="G3789" s="5"/>
      <c r="H3789" s="2"/>
      <c r="I3789" s="2"/>
      <c r="K3789" s="2"/>
      <c r="L3789" s="2"/>
      <c r="M3789" s="2"/>
      <c r="N3789" s="2"/>
      <c r="O3789" s="2"/>
      <c r="P3789" s="2"/>
      <c r="Q3789" s="2"/>
      <c r="R3789" s="2"/>
      <c r="S3789" s="2"/>
      <c r="T3789" s="19"/>
      <c r="U3789" s="2"/>
      <c r="V3789" s="2"/>
      <c r="W3789" s="2"/>
      <c r="X3789" s="19"/>
      <c r="Y3789" s="2"/>
      <c r="Z3789" s="5"/>
    </row>
    <row r="3790" spans="7:26" ht="75.75" customHeight="1" x14ac:dyDescent="0.25">
      <c r="G3790" s="5"/>
      <c r="H3790" s="2"/>
      <c r="I3790" s="2"/>
      <c r="K3790" s="2"/>
      <c r="L3790" s="2"/>
      <c r="M3790" s="2"/>
      <c r="N3790" s="2"/>
      <c r="O3790" s="2"/>
      <c r="P3790" s="2"/>
      <c r="Q3790" s="2"/>
      <c r="R3790" s="2"/>
      <c r="S3790" s="2"/>
      <c r="T3790" s="19"/>
      <c r="U3790" s="2"/>
      <c r="V3790" s="2"/>
      <c r="W3790" s="2"/>
      <c r="X3790" s="19"/>
      <c r="Y3790" s="2"/>
      <c r="Z3790" s="5"/>
    </row>
    <row r="3791" spans="7:26" ht="75.75" customHeight="1" x14ac:dyDescent="0.25">
      <c r="G3791" s="5"/>
      <c r="H3791" s="2"/>
      <c r="I3791" s="2"/>
      <c r="K3791" s="2"/>
      <c r="L3791" s="2"/>
      <c r="M3791" s="2"/>
      <c r="N3791" s="2"/>
      <c r="O3791" s="2"/>
      <c r="P3791" s="2"/>
      <c r="Q3791" s="2"/>
      <c r="R3791" s="2"/>
      <c r="S3791" s="2"/>
      <c r="T3791" s="19"/>
      <c r="U3791" s="2"/>
      <c r="V3791" s="2"/>
      <c r="W3791" s="2"/>
      <c r="X3791" s="19"/>
      <c r="Y3791" s="2"/>
      <c r="Z3791" s="5"/>
    </row>
    <row r="3792" spans="7:26" ht="75.75" customHeight="1" x14ac:dyDescent="0.25">
      <c r="G3792" s="5"/>
      <c r="H3792" s="2"/>
      <c r="I3792" s="2"/>
      <c r="K3792" s="2"/>
      <c r="L3792" s="2"/>
      <c r="M3792" s="2"/>
      <c r="N3792" s="2"/>
      <c r="O3792" s="2"/>
      <c r="P3792" s="2"/>
      <c r="Q3792" s="2"/>
      <c r="R3792" s="2"/>
      <c r="S3792" s="2"/>
      <c r="T3792" s="19"/>
      <c r="U3792" s="2"/>
      <c r="V3792" s="2"/>
      <c r="W3792" s="2"/>
      <c r="X3792" s="19"/>
      <c r="Y3792" s="2"/>
      <c r="Z3792" s="5"/>
    </row>
    <row r="3793" spans="7:26" ht="75.75" customHeight="1" x14ac:dyDescent="0.25">
      <c r="G3793" s="5"/>
      <c r="H3793" s="2"/>
      <c r="I3793" s="2"/>
      <c r="K3793" s="2"/>
      <c r="L3793" s="2"/>
      <c r="M3793" s="2"/>
      <c r="N3793" s="2"/>
      <c r="O3793" s="2"/>
      <c r="P3793" s="2"/>
      <c r="Q3793" s="2"/>
      <c r="R3793" s="2"/>
      <c r="S3793" s="2"/>
      <c r="T3793" s="19"/>
      <c r="U3793" s="2"/>
      <c r="V3793" s="2"/>
      <c r="W3793" s="2"/>
      <c r="X3793" s="19"/>
      <c r="Y3793" s="2"/>
      <c r="Z3793" s="5"/>
    </row>
    <row r="3794" spans="7:26" ht="75.75" customHeight="1" x14ac:dyDescent="0.25">
      <c r="G3794" s="5"/>
      <c r="H3794" s="2"/>
      <c r="I3794" s="2"/>
      <c r="K3794" s="2"/>
      <c r="L3794" s="2"/>
      <c r="M3794" s="2"/>
      <c r="N3794" s="2"/>
      <c r="O3794" s="2"/>
      <c r="P3794" s="2"/>
      <c r="Q3794" s="2"/>
      <c r="R3794" s="2"/>
      <c r="S3794" s="2"/>
      <c r="T3794" s="19"/>
      <c r="U3794" s="2"/>
      <c r="V3794" s="2"/>
      <c r="W3794" s="2"/>
      <c r="X3794" s="19"/>
      <c r="Y3794" s="2"/>
      <c r="Z3794" s="5"/>
    </row>
    <row r="3795" spans="7:26" ht="75.75" customHeight="1" x14ac:dyDescent="0.25">
      <c r="G3795" s="5"/>
      <c r="H3795" s="2"/>
      <c r="I3795" s="2"/>
      <c r="K3795" s="2"/>
      <c r="L3795" s="2"/>
      <c r="M3795" s="2"/>
      <c r="N3795" s="2"/>
      <c r="O3795" s="2"/>
      <c r="P3795" s="2"/>
      <c r="Q3795" s="2"/>
      <c r="R3795" s="2"/>
      <c r="S3795" s="2"/>
      <c r="T3795" s="19"/>
      <c r="U3795" s="2"/>
      <c r="V3795" s="2"/>
      <c r="W3795" s="2"/>
      <c r="X3795" s="19"/>
      <c r="Y3795" s="2"/>
      <c r="Z3795" s="5"/>
    </row>
    <row r="3796" spans="7:26" ht="75.75" customHeight="1" x14ac:dyDescent="0.25">
      <c r="G3796" s="5"/>
      <c r="H3796" s="2"/>
      <c r="I3796" s="2"/>
      <c r="K3796" s="2"/>
      <c r="L3796" s="2"/>
      <c r="M3796" s="2"/>
      <c r="N3796" s="2"/>
      <c r="O3796" s="2"/>
      <c r="P3796" s="2"/>
      <c r="Q3796" s="2"/>
      <c r="R3796" s="2"/>
      <c r="S3796" s="2"/>
      <c r="T3796" s="19"/>
      <c r="U3796" s="2"/>
      <c r="V3796" s="2"/>
      <c r="W3796" s="2"/>
      <c r="X3796" s="19"/>
      <c r="Y3796" s="2"/>
      <c r="Z3796" s="5"/>
    </row>
    <row r="3797" spans="7:26" ht="75.75" customHeight="1" x14ac:dyDescent="0.25">
      <c r="G3797" s="5"/>
      <c r="H3797" s="2"/>
      <c r="I3797" s="2"/>
      <c r="K3797" s="2"/>
      <c r="L3797" s="2"/>
      <c r="M3797" s="2"/>
      <c r="N3797" s="2"/>
      <c r="O3797" s="2"/>
      <c r="P3797" s="2"/>
      <c r="Q3797" s="2"/>
      <c r="R3797" s="2"/>
      <c r="S3797" s="2"/>
      <c r="T3797" s="19"/>
      <c r="U3797" s="2"/>
      <c r="V3797" s="2"/>
      <c r="W3797" s="2"/>
      <c r="X3797" s="19"/>
      <c r="Y3797" s="2"/>
      <c r="Z3797" s="5"/>
    </row>
    <row r="3798" spans="7:26" ht="75.75" customHeight="1" x14ac:dyDescent="0.25">
      <c r="G3798" s="5"/>
      <c r="H3798" s="2"/>
      <c r="I3798" s="2"/>
      <c r="K3798" s="2"/>
      <c r="L3798" s="2"/>
      <c r="M3798" s="2"/>
      <c r="N3798" s="2"/>
      <c r="O3798" s="2"/>
      <c r="P3798" s="2"/>
      <c r="Q3798" s="2"/>
      <c r="R3798" s="2"/>
      <c r="S3798" s="2"/>
      <c r="T3798" s="19"/>
      <c r="U3798" s="2"/>
      <c r="V3798" s="2"/>
      <c r="W3798" s="2"/>
      <c r="X3798" s="19"/>
      <c r="Y3798" s="2"/>
      <c r="Z3798" s="5"/>
    </row>
    <row r="3799" spans="7:26" ht="75.75" customHeight="1" x14ac:dyDescent="0.25">
      <c r="G3799" s="5"/>
      <c r="H3799" s="2"/>
      <c r="I3799" s="2"/>
      <c r="K3799" s="2"/>
      <c r="L3799" s="2"/>
      <c r="M3799" s="2"/>
      <c r="N3799" s="2"/>
      <c r="O3799" s="2"/>
      <c r="P3799" s="2"/>
      <c r="Q3799" s="2"/>
      <c r="R3799" s="2"/>
      <c r="S3799" s="2"/>
      <c r="T3799" s="19"/>
      <c r="U3799" s="2"/>
      <c r="V3799" s="2"/>
      <c r="W3799" s="2"/>
      <c r="X3799" s="19"/>
      <c r="Y3799" s="2"/>
      <c r="Z3799" s="5"/>
    </row>
    <row r="3800" spans="7:26" ht="75.75" customHeight="1" x14ac:dyDescent="0.25">
      <c r="G3800" s="5"/>
      <c r="H3800" s="2"/>
      <c r="I3800" s="2"/>
      <c r="K3800" s="2"/>
      <c r="L3800" s="2"/>
      <c r="M3800" s="2"/>
      <c r="N3800" s="2"/>
      <c r="O3800" s="2"/>
      <c r="P3800" s="2"/>
      <c r="Q3800" s="2"/>
      <c r="R3800" s="2"/>
      <c r="S3800" s="2"/>
      <c r="T3800" s="19"/>
      <c r="U3800" s="2"/>
      <c r="V3800" s="2"/>
      <c r="W3800" s="2"/>
      <c r="X3800" s="19"/>
      <c r="Y3800" s="2"/>
      <c r="Z3800" s="5"/>
    </row>
    <row r="3801" spans="7:26" ht="75.75" customHeight="1" x14ac:dyDescent="0.25">
      <c r="G3801" s="5"/>
      <c r="H3801" s="2"/>
      <c r="I3801" s="2"/>
      <c r="K3801" s="2"/>
      <c r="L3801" s="2"/>
      <c r="M3801" s="2"/>
      <c r="N3801" s="2"/>
      <c r="O3801" s="2"/>
      <c r="P3801" s="2"/>
      <c r="Q3801" s="2"/>
      <c r="R3801" s="2"/>
      <c r="S3801" s="2"/>
      <c r="T3801" s="19"/>
      <c r="U3801" s="2"/>
      <c r="V3801" s="2"/>
      <c r="W3801" s="2"/>
      <c r="X3801" s="19"/>
      <c r="Y3801" s="2"/>
      <c r="Z3801" s="5"/>
    </row>
    <row r="3802" spans="7:26" ht="75.75" customHeight="1" x14ac:dyDescent="0.25">
      <c r="G3802" s="5"/>
      <c r="H3802" s="2"/>
      <c r="I3802" s="2"/>
      <c r="K3802" s="2"/>
      <c r="L3802" s="2"/>
      <c r="M3802" s="2"/>
      <c r="N3802" s="2"/>
      <c r="O3802" s="2"/>
      <c r="P3802" s="2"/>
      <c r="Q3802" s="2"/>
      <c r="R3802" s="2"/>
      <c r="S3802" s="2"/>
      <c r="T3802" s="19"/>
      <c r="U3802" s="2"/>
      <c r="V3802" s="2"/>
      <c r="W3802" s="2"/>
      <c r="X3802" s="19"/>
      <c r="Y3802" s="2"/>
      <c r="Z3802" s="5"/>
    </row>
    <row r="3803" spans="7:26" ht="75.75" customHeight="1" x14ac:dyDescent="0.25">
      <c r="G3803" s="5"/>
      <c r="H3803" s="2"/>
      <c r="I3803" s="2"/>
      <c r="K3803" s="2"/>
      <c r="L3803" s="2"/>
      <c r="M3803" s="2"/>
      <c r="N3803" s="2"/>
      <c r="O3803" s="2"/>
      <c r="P3803" s="2"/>
      <c r="Q3803" s="2"/>
      <c r="R3803" s="2"/>
      <c r="S3803" s="2"/>
      <c r="T3803" s="19"/>
      <c r="U3803" s="2"/>
      <c r="V3803" s="2"/>
      <c r="W3803" s="2"/>
      <c r="X3803" s="19"/>
      <c r="Y3803" s="2"/>
      <c r="Z3803" s="5"/>
    </row>
    <row r="3804" spans="7:26" ht="75.75" customHeight="1" x14ac:dyDescent="0.25">
      <c r="G3804" s="5"/>
      <c r="H3804" s="2"/>
      <c r="I3804" s="2"/>
      <c r="K3804" s="2"/>
      <c r="L3804" s="2"/>
      <c r="M3804" s="2"/>
      <c r="N3804" s="2"/>
      <c r="O3804" s="2"/>
      <c r="P3804" s="2"/>
      <c r="Q3804" s="2"/>
      <c r="R3804" s="2"/>
      <c r="S3804" s="2"/>
      <c r="T3804" s="19"/>
      <c r="U3804" s="2"/>
      <c r="V3804" s="2"/>
      <c r="W3804" s="2"/>
      <c r="X3804" s="19"/>
      <c r="Y3804" s="2"/>
      <c r="Z3804" s="5"/>
    </row>
    <row r="3805" spans="7:26" ht="75.75" customHeight="1" x14ac:dyDescent="0.25">
      <c r="G3805" s="5"/>
      <c r="H3805" s="2"/>
      <c r="I3805" s="2"/>
      <c r="K3805" s="2"/>
      <c r="L3805" s="2"/>
      <c r="M3805" s="2"/>
      <c r="N3805" s="2"/>
      <c r="O3805" s="2"/>
      <c r="P3805" s="2"/>
      <c r="Q3805" s="2"/>
      <c r="R3805" s="2"/>
      <c r="S3805" s="2"/>
      <c r="T3805" s="19"/>
      <c r="U3805" s="2"/>
      <c r="V3805" s="2"/>
      <c r="W3805" s="2"/>
      <c r="X3805" s="19"/>
      <c r="Y3805" s="2"/>
      <c r="Z3805" s="5"/>
    </row>
    <row r="3806" spans="7:26" ht="75.75" customHeight="1" x14ac:dyDescent="0.25">
      <c r="G3806" s="5"/>
      <c r="H3806" s="2"/>
      <c r="I3806" s="2"/>
      <c r="K3806" s="2"/>
      <c r="L3806" s="2"/>
      <c r="M3806" s="2"/>
      <c r="N3806" s="2"/>
      <c r="O3806" s="2"/>
      <c r="P3806" s="2"/>
      <c r="Q3806" s="2"/>
      <c r="R3806" s="2"/>
      <c r="S3806" s="2"/>
      <c r="T3806" s="19"/>
      <c r="U3806" s="2"/>
      <c r="V3806" s="2"/>
      <c r="W3806" s="2"/>
      <c r="X3806" s="19"/>
      <c r="Y3806" s="2"/>
      <c r="Z3806" s="5"/>
    </row>
    <row r="3807" spans="7:26" ht="75.75" customHeight="1" x14ac:dyDescent="0.25">
      <c r="G3807" s="5"/>
      <c r="H3807" s="2"/>
      <c r="I3807" s="2"/>
      <c r="K3807" s="2"/>
      <c r="L3807" s="2"/>
      <c r="M3807" s="2"/>
      <c r="N3807" s="2"/>
      <c r="O3807" s="2"/>
      <c r="P3807" s="2"/>
      <c r="Q3807" s="2"/>
      <c r="R3807" s="2"/>
      <c r="S3807" s="2"/>
      <c r="T3807" s="19"/>
      <c r="U3807" s="2"/>
      <c r="V3807" s="2"/>
      <c r="W3807" s="2"/>
      <c r="X3807" s="19"/>
      <c r="Y3807" s="2"/>
      <c r="Z3807" s="5"/>
    </row>
    <row r="3808" spans="7:26" ht="75.75" customHeight="1" x14ac:dyDescent="0.25">
      <c r="G3808" s="5"/>
      <c r="H3808" s="2"/>
      <c r="I3808" s="2"/>
      <c r="K3808" s="2"/>
      <c r="L3808" s="2"/>
      <c r="M3808" s="2"/>
      <c r="N3808" s="2"/>
      <c r="O3808" s="2"/>
      <c r="P3808" s="2"/>
      <c r="Q3808" s="2"/>
      <c r="R3808" s="2"/>
      <c r="S3808" s="2"/>
      <c r="T3808" s="19"/>
      <c r="U3808" s="2"/>
      <c r="V3808" s="2"/>
      <c r="W3808" s="2"/>
      <c r="X3808" s="19"/>
      <c r="Y3808" s="2"/>
      <c r="Z3808" s="5"/>
    </row>
    <row r="3809" spans="7:26" ht="75.75" customHeight="1" x14ac:dyDescent="0.25">
      <c r="G3809" s="5"/>
      <c r="H3809" s="2"/>
      <c r="I3809" s="2"/>
      <c r="K3809" s="2"/>
      <c r="L3809" s="2"/>
      <c r="M3809" s="2"/>
      <c r="N3809" s="2"/>
      <c r="O3809" s="2"/>
      <c r="P3809" s="2"/>
      <c r="Q3809" s="2"/>
      <c r="R3809" s="2"/>
      <c r="S3809" s="2"/>
      <c r="T3809" s="19"/>
      <c r="U3809" s="2"/>
      <c r="V3809" s="2"/>
      <c r="W3809" s="2"/>
      <c r="X3809" s="19"/>
      <c r="Y3809" s="2"/>
      <c r="Z3809" s="5"/>
    </row>
    <row r="3810" spans="7:26" ht="75.75" customHeight="1" x14ac:dyDescent="0.25">
      <c r="G3810" s="5"/>
      <c r="H3810" s="2"/>
      <c r="I3810" s="2"/>
      <c r="K3810" s="2"/>
      <c r="L3810" s="2"/>
      <c r="M3810" s="2"/>
      <c r="N3810" s="2"/>
      <c r="O3810" s="2"/>
      <c r="P3810" s="2"/>
      <c r="Q3810" s="2"/>
      <c r="R3810" s="2"/>
      <c r="S3810" s="2"/>
      <c r="T3810" s="19"/>
      <c r="U3810" s="2"/>
      <c r="V3810" s="2"/>
      <c r="W3810" s="2"/>
      <c r="X3810" s="19"/>
      <c r="Y3810" s="2"/>
      <c r="Z3810" s="5"/>
    </row>
    <row r="3811" spans="7:26" ht="75.75" customHeight="1" x14ac:dyDescent="0.25">
      <c r="G3811" s="5"/>
      <c r="H3811" s="2"/>
      <c r="I3811" s="2"/>
      <c r="K3811" s="2"/>
      <c r="L3811" s="2"/>
      <c r="M3811" s="2"/>
      <c r="N3811" s="2"/>
      <c r="O3811" s="2"/>
      <c r="P3811" s="2"/>
      <c r="Q3811" s="2"/>
      <c r="R3811" s="2"/>
      <c r="S3811" s="2"/>
      <c r="T3811" s="19"/>
      <c r="U3811" s="2"/>
      <c r="V3811" s="2"/>
      <c r="W3811" s="2"/>
      <c r="X3811" s="19"/>
      <c r="Y3811" s="2"/>
      <c r="Z3811" s="5"/>
    </row>
    <row r="3812" spans="7:26" ht="75.75" customHeight="1" x14ac:dyDescent="0.25">
      <c r="G3812" s="5"/>
      <c r="H3812" s="2"/>
      <c r="I3812" s="2"/>
      <c r="K3812" s="2"/>
      <c r="L3812" s="2"/>
      <c r="M3812" s="2"/>
      <c r="N3812" s="2"/>
      <c r="O3812" s="2"/>
      <c r="P3812" s="2"/>
      <c r="Q3812" s="2"/>
      <c r="R3812" s="2"/>
      <c r="S3812" s="2"/>
      <c r="T3812" s="19"/>
      <c r="U3812" s="2"/>
      <c r="V3812" s="2"/>
      <c r="W3812" s="2"/>
      <c r="X3812" s="19"/>
      <c r="Y3812" s="2"/>
      <c r="Z3812" s="5"/>
    </row>
    <row r="3813" spans="7:26" ht="75.75" customHeight="1" x14ac:dyDescent="0.25">
      <c r="G3813" s="5"/>
      <c r="H3813" s="2"/>
      <c r="I3813" s="2"/>
      <c r="K3813" s="2"/>
      <c r="L3813" s="2"/>
      <c r="M3813" s="2"/>
      <c r="N3813" s="2"/>
      <c r="O3813" s="2"/>
      <c r="P3813" s="2"/>
      <c r="Q3813" s="2"/>
      <c r="R3813" s="2"/>
      <c r="S3813" s="2"/>
      <c r="T3813" s="19"/>
      <c r="U3813" s="2"/>
      <c r="V3813" s="2"/>
      <c r="W3813" s="2"/>
      <c r="X3813" s="19"/>
      <c r="Y3813" s="2"/>
      <c r="Z3813" s="5"/>
    </row>
    <row r="3814" spans="7:26" ht="75.75" customHeight="1" x14ac:dyDescent="0.25">
      <c r="G3814" s="5"/>
      <c r="H3814" s="2"/>
      <c r="I3814" s="2"/>
      <c r="K3814" s="2"/>
      <c r="L3814" s="2"/>
      <c r="M3814" s="2"/>
      <c r="N3814" s="2"/>
      <c r="O3814" s="2"/>
      <c r="P3814" s="2"/>
      <c r="Q3814" s="2"/>
      <c r="R3814" s="2"/>
      <c r="S3814" s="2"/>
      <c r="T3814" s="19"/>
      <c r="U3814" s="2"/>
      <c r="V3814" s="2"/>
      <c r="W3814" s="2"/>
      <c r="X3814" s="19"/>
      <c r="Y3814" s="2"/>
      <c r="Z3814" s="5"/>
    </row>
    <row r="3815" spans="7:26" ht="75.75" customHeight="1" x14ac:dyDescent="0.25">
      <c r="G3815" s="5"/>
      <c r="H3815" s="2"/>
      <c r="I3815" s="2"/>
      <c r="K3815" s="2"/>
      <c r="L3815" s="2"/>
      <c r="M3815" s="2"/>
      <c r="N3815" s="2"/>
      <c r="O3815" s="2"/>
      <c r="P3815" s="2"/>
      <c r="Q3815" s="2"/>
      <c r="R3815" s="2"/>
      <c r="S3815" s="2"/>
      <c r="T3815" s="19"/>
      <c r="U3815" s="2"/>
      <c r="V3815" s="2"/>
      <c r="W3815" s="2"/>
      <c r="X3815" s="19"/>
      <c r="Y3815" s="2"/>
      <c r="Z3815" s="5"/>
    </row>
    <row r="3816" spans="7:26" ht="75.75" customHeight="1" x14ac:dyDescent="0.25">
      <c r="G3816" s="5"/>
      <c r="H3816" s="2"/>
      <c r="I3816" s="2"/>
      <c r="K3816" s="2"/>
      <c r="L3816" s="2"/>
      <c r="M3816" s="2"/>
      <c r="N3816" s="2"/>
      <c r="O3816" s="2"/>
      <c r="P3816" s="2"/>
      <c r="Q3816" s="2"/>
      <c r="R3816" s="2"/>
      <c r="S3816" s="2"/>
      <c r="T3816" s="19"/>
      <c r="U3816" s="2"/>
      <c r="V3816" s="2"/>
      <c r="W3816" s="2"/>
      <c r="X3816" s="19"/>
      <c r="Y3816" s="2"/>
      <c r="Z3816" s="5"/>
    </row>
    <row r="3817" spans="7:26" ht="75.75" customHeight="1" x14ac:dyDescent="0.25">
      <c r="G3817" s="5"/>
      <c r="H3817" s="2"/>
      <c r="I3817" s="2"/>
      <c r="K3817" s="2"/>
      <c r="L3817" s="2"/>
      <c r="M3817" s="2"/>
      <c r="N3817" s="2"/>
      <c r="O3817" s="2"/>
      <c r="P3817" s="2"/>
      <c r="Q3817" s="2"/>
      <c r="R3817" s="2"/>
      <c r="S3817" s="2"/>
      <c r="T3817" s="19"/>
      <c r="U3817" s="2"/>
      <c r="V3817" s="2"/>
      <c r="W3817" s="2"/>
      <c r="X3817" s="19"/>
      <c r="Y3817" s="2"/>
      <c r="Z3817" s="5"/>
    </row>
    <row r="3818" spans="7:26" ht="75.75" customHeight="1" x14ac:dyDescent="0.25">
      <c r="G3818" s="5"/>
      <c r="H3818" s="2"/>
      <c r="I3818" s="2"/>
      <c r="K3818" s="2"/>
      <c r="L3818" s="2"/>
      <c r="M3818" s="2"/>
      <c r="N3818" s="2"/>
      <c r="O3818" s="2"/>
      <c r="P3818" s="2"/>
      <c r="Q3818" s="2"/>
      <c r="R3818" s="2"/>
      <c r="S3818" s="2"/>
      <c r="T3818" s="19"/>
      <c r="U3818" s="2"/>
      <c r="V3818" s="2"/>
      <c r="W3818" s="2"/>
      <c r="X3818" s="19"/>
      <c r="Y3818" s="2"/>
      <c r="Z3818" s="5"/>
    </row>
    <row r="3819" spans="7:26" ht="75.75" customHeight="1" x14ac:dyDescent="0.25">
      <c r="G3819" s="5"/>
      <c r="H3819" s="2"/>
      <c r="I3819" s="2"/>
      <c r="K3819" s="2"/>
      <c r="L3819" s="2"/>
      <c r="M3819" s="2"/>
      <c r="N3819" s="2"/>
      <c r="O3819" s="2"/>
      <c r="P3819" s="2"/>
      <c r="Q3819" s="2"/>
      <c r="R3819" s="2"/>
      <c r="S3819" s="2"/>
      <c r="T3819" s="19"/>
      <c r="U3819" s="2"/>
      <c r="V3819" s="2"/>
      <c r="W3819" s="2"/>
      <c r="X3819" s="19"/>
      <c r="Y3819" s="2"/>
      <c r="Z3819" s="5"/>
    </row>
    <row r="3820" spans="7:26" ht="75.75" customHeight="1" x14ac:dyDescent="0.25">
      <c r="G3820" s="5"/>
      <c r="H3820" s="2"/>
      <c r="I3820" s="2"/>
      <c r="K3820" s="2"/>
      <c r="L3820" s="2"/>
      <c r="M3820" s="2"/>
      <c r="N3820" s="2"/>
      <c r="O3820" s="2"/>
      <c r="P3820" s="2"/>
      <c r="Q3820" s="2"/>
      <c r="R3820" s="2"/>
      <c r="S3820" s="2"/>
      <c r="T3820" s="19"/>
      <c r="U3820" s="2"/>
      <c r="V3820" s="2"/>
      <c r="W3820" s="2"/>
      <c r="X3820" s="19"/>
      <c r="Y3820" s="2"/>
      <c r="Z3820" s="5"/>
    </row>
    <row r="3821" spans="7:26" ht="75.75" customHeight="1" x14ac:dyDescent="0.25">
      <c r="G3821" s="5"/>
      <c r="H3821" s="2"/>
      <c r="I3821" s="2"/>
      <c r="K3821" s="2"/>
      <c r="L3821" s="2"/>
      <c r="M3821" s="2"/>
      <c r="N3821" s="2"/>
      <c r="O3821" s="2"/>
      <c r="P3821" s="2"/>
      <c r="Q3821" s="2"/>
      <c r="R3821" s="2"/>
      <c r="S3821" s="2"/>
      <c r="T3821" s="19"/>
      <c r="U3821" s="2"/>
      <c r="V3821" s="2"/>
      <c r="W3821" s="2"/>
      <c r="X3821" s="19"/>
      <c r="Y3821" s="2"/>
      <c r="Z3821" s="5"/>
    </row>
    <row r="3822" spans="7:26" ht="75.75" customHeight="1" x14ac:dyDescent="0.25">
      <c r="G3822" s="5"/>
      <c r="H3822" s="2"/>
      <c r="I3822" s="2"/>
      <c r="K3822" s="2"/>
      <c r="L3822" s="2"/>
      <c r="M3822" s="2"/>
      <c r="N3822" s="2"/>
      <c r="O3822" s="2"/>
      <c r="P3822" s="2"/>
      <c r="Q3822" s="2"/>
      <c r="R3822" s="2"/>
      <c r="S3822" s="2"/>
      <c r="T3822" s="19"/>
      <c r="U3822" s="2"/>
      <c r="V3822" s="2"/>
      <c r="W3822" s="2"/>
      <c r="X3822" s="19"/>
      <c r="Y3822" s="2"/>
      <c r="Z3822" s="5"/>
    </row>
    <row r="3823" spans="7:26" ht="75.75" customHeight="1" x14ac:dyDescent="0.25">
      <c r="G3823" s="5"/>
      <c r="H3823" s="2"/>
      <c r="I3823" s="2"/>
      <c r="K3823" s="2"/>
      <c r="L3823" s="2"/>
      <c r="M3823" s="2"/>
      <c r="N3823" s="2"/>
      <c r="O3823" s="2"/>
      <c r="P3823" s="2"/>
      <c r="Q3823" s="2"/>
      <c r="R3823" s="2"/>
      <c r="S3823" s="2"/>
      <c r="T3823" s="19"/>
      <c r="U3823" s="2"/>
      <c r="V3823" s="2"/>
      <c r="W3823" s="2"/>
      <c r="X3823" s="19"/>
      <c r="Y3823" s="2"/>
      <c r="Z3823" s="5"/>
    </row>
    <row r="3824" spans="7:26" ht="75.75" customHeight="1" x14ac:dyDescent="0.25">
      <c r="G3824" s="5"/>
      <c r="H3824" s="2"/>
      <c r="I3824" s="2"/>
      <c r="K3824" s="2"/>
      <c r="L3824" s="2"/>
      <c r="M3824" s="2"/>
      <c r="N3824" s="2"/>
      <c r="O3824" s="2"/>
      <c r="P3824" s="2"/>
      <c r="Q3824" s="2"/>
      <c r="R3824" s="2"/>
      <c r="S3824" s="2"/>
      <c r="T3824" s="19"/>
      <c r="U3824" s="2"/>
      <c r="V3824" s="2"/>
      <c r="W3824" s="2"/>
      <c r="X3824" s="19"/>
      <c r="Y3824" s="2"/>
      <c r="Z3824" s="5"/>
    </row>
    <row r="3825" spans="7:26" ht="75.75" customHeight="1" x14ac:dyDescent="0.25">
      <c r="G3825" s="5"/>
      <c r="H3825" s="2"/>
      <c r="I3825" s="2"/>
      <c r="K3825" s="2"/>
      <c r="L3825" s="2"/>
      <c r="M3825" s="2"/>
      <c r="N3825" s="2"/>
      <c r="O3825" s="2"/>
      <c r="P3825" s="2"/>
      <c r="Q3825" s="2"/>
      <c r="R3825" s="2"/>
      <c r="S3825" s="2"/>
      <c r="T3825" s="19"/>
      <c r="U3825" s="2"/>
      <c r="V3825" s="2"/>
      <c r="W3825" s="2"/>
      <c r="X3825" s="19"/>
      <c r="Y3825" s="2"/>
      <c r="Z3825" s="5"/>
    </row>
    <row r="3826" spans="7:26" ht="75.75" customHeight="1" x14ac:dyDescent="0.25">
      <c r="G3826" s="5"/>
      <c r="H3826" s="2"/>
      <c r="I3826" s="2"/>
      <c r="K3826" s="2"/>
      <c r="L3826" s="2"/>
      <c r="M3826" s="2"/>
      <c r="N3826" s="2"/>
      <c r="O3826" s="2"/>
      <c r="P3826" s="2"/>
      <c r="Q3826" s="2"/>
      <c r="R3826" s="2"/>
      <c r="S3826" s="2"/>
      <c r="T3826" s="19"/>
      <c r="U3826" s="2"/>
      <c r="V3826" s="2"/>
      <c r="W3826" s="2"/>
      <c r="X3826" s="19"/>
      <c r="Y3826" s="2"/>
      <c r="Z3826" s="5"/>
    </row>
    <row r="3827" spans="7:26" ht="75.75" customHeight="1" x14ac:dyDescent="0.25">
      <c r="G3827" s="5"/>
      <c r="H3827" s="2"/>
      <c r="I3827" s="2"/>
      <c r="K3827" s="2"/>
      <c r="L3827" s="2"/>
      <c r="M3827" s="2"/>
      <c r="N3827" s="2"/>
      <c r="O3827" s="2"/>
      <c r="P3827" s="2"/>
      <c r="Q3827" s="2"/>
      <c r="R3827" s="2"/>
      <c r="S3827" s="2"/>
      <c r="T3827" s="19"/>
      <c r="U3827" s="2"/>
      <c r="V3827" s="2"/>
      <c r="W3827" s="2"/>
      <c r="X3827" s="19"/>
      <c r="Y3827" s="2"/>
      <c r="Z3827" s="5"/>
    </row>
    <row r="3828" spans="7:26" ht="75.75" customHeight="1" x14ac:dyDescent="0.25">
      <c r="G3828" s="5"/>
      <c r="H3828" s="2"/>
      <c r="I3828" s="2"/>
      <c r="K3828" s="2"/>
      <c r="L3828" s="2"/>
      <c r="M3828" s="2"/>
      <c r="N3828" s="2"/>
      <c r="O3828" s="2"/>
      <c r="P3828" s="2"/>
      <c r="Q3828" s="2"/>
      <c r="R3828" s="2"/>
      <c r="S3828" s="2"/>
      <c r="T3828" s="19"/>
      <c r="U3828" s="2"/>
      <c r="V3828" s="2"/>
      <c r="W3828" s="2"/>
      <c r="X3828" s="19"/>
      <c r="Y3828" s="2"/>
      <c r="Z3828" s="5"/>
    </row>
    <row r="3829" spans="7:26" ht="75.75" customHeight="1" x14ac:dyDescent="0.25">
      <c r="G3829" s="5"/>
      <c r="H3829" s="2"/>
      <c r="I3829" s="2"/>
      <c r="K3829" s="2"/>
      <c r="L3829" s="2"/>
      <c r="M3829" s="2"/>
      <c r="N3829" s="2"/>
      <c r="O3829" s="2"/>
      <c r="P3829" s="2"/>
      <c r="Q3829" s="2"/>
      <c r="R3829" s="2"/>
      <c r="S3829" s="2"/>
      <c r="T3829" s="19"/>
      <c r="U3829" s="2"/>
      <c r="V3829" s="2"/>
      <c r="W3829" s="2"/>
      <c r="X3829" s="19"/>
      <c r="Y3829" s="2"/>
      <c r="Z3829" s="5"/>
    </row>
    <row r="3830" spans="7:26" ht="75.75" customHeight="1" x14ac:dyDescent="0.25">
      <c r="G3830" s="5"/>
      <c r="H3830" s="2"/>
      <c r="I3830" s="2"/>
      <c r="K3830" s="2"/>
      <c r="L3830" s="2"/>
      <c r="M3830" s="2"/>
      <c r="N3830" s="2"/>
      <c r="O3830" s="2"/>
      <c r="P3830" s="2"/>
      <c r="Q3830" s="2"/>
      <c r="R3830" s="2"/>
      <c r="S3830" s="2"/>
      <c r="T3830" s="19"/>
      <c r="U3830" s="2"/>
      <c r="V3830" s="2"/>
      <c r="W3830" s="2"/>
      <c r="X3830" s="19"/>
      <c r="Y3830" s="2"/>
      <c r="Z3830" s="5"/>
    </row>
    <row r="3831" spans="7:26" ht="75.75" customHeight="1" x14ac:dyDescent="0.25">
      <c r="G3831" s="5"/>
      <c r="H3831" s="2"/>
      <c r="I3831" s="2"/>
      <c r="K3831" s="2"/>
      <c r="L3831" s="2"/>
      <c r="M3831" s="2"/>
      <c r="N3831" s="2"/>
      <c r="O3831" s="2"/>
      <c r="P3831" s="2"/>
      <c r="Q3831" s="2"/>
      <c r="R3831" s="2"/>
      <c r="S3831" s="2"/>
      <c r="T3831" s="19"/>
      <c r="U3831" s="2"/>
      <c r="V3831" s="2"/>
      <c r="W3831" s="2"/>
      <c r="X3831" s="19"/>
      <c r="Y3831" s="2"/>
      <c r="Z3831" s="5"/>
    </row>
    <row r="3832" spans="7:26" ht="75.75" customHeight="1" x14ac:dyDescent="0.25">
      <c r="G3832" s="5"/>
      <c r="H3832" s="2"/>
      <c r="I3832" s="2"/>
      <c r="K3832" s="2"/>
      <c r="L3832" s="2"/>
      <c r="M3832" s="2"/>
      <c r="N3832" s="2"/>
      <c r="O3832" s="2"/>
      <c r="P3832" s="2"/>
      <c r="Q3832" s="2"/>
      <c r="R3832" s="2"/>
      <c r="S3832" s="2"/>
      <c r="T3832" s="19"/>
      <c r="U3832" s="2"/>
      <c r="V3832" s="2"/>
      <c r="W3832" s="2"/>
      <c r="X3832" s="19"/>
      <c r="Y3832" s="2"/>
      <c r="Z3832" s="5"/>
    </row>
    <row r="3833" spans="7:26" ht="75.75" customHeight="1" x14ac:dyDescent="0.25">
      <c r="G3833" s="5"/>
      <c r="H3833" s="2"/>
      <c r="I3833" s="2"/>
      <c r="K3833" s="2"/>
      <c r="L3833" s="2"/>
      <c r="M3833" s="2"/>
      <c r="N3833" s="2"/>
      <c r="O3833" s="2"/>
      <c r="P3833" s="2"/>
      <c r="Q3833" s="2"/>
      <c r="R3833" s="2"/>
      <c r="S3833" s="2"/>
      <c r="T3833" s="19"/>
      <c r="U3833" s="2"/>
      <c r="V3833" s="2"/>
      <c r="W3833" s="2"/>
      <c r="X3833" s="19"/>
      <c r="Y3833" s="2"/>
      <c r="Z3833" s="5"/>
    </row>
    <row r="3834" spans="7:26" ht="75.75" customHeight="1" x14ac:dyDescent="0.25">
      <c r="G3834" s="5"/>
      <c r="H3834" s="2"/>
      <c r="I3834" s="2"/>
      <c r="K3834" s="2"/>
      <c r="L3834" s="2"/>
      <c r="M3834" s="2"/>
      <c r="N3834" s="2"/>
      <c r="O3834" s="2"/>
      <c r="P3834" s="2"/>
      <c r="Q3834" s="2"/>
      <c r="R3834" s="2"/>
      <c r="S3834" s="2"/>
      <c r="T3834" s="19"/>
      <c r="U3834" s="2"/>
      <c r="V3834" s="2"/>
      <c r="W3834" s="2"/>
      <c r="X3834" s="19"/>
      <c r="Y3834" s="2"/>
      <c r="Z3834" s="5"/>
    </row>
    <row r="3835" spans="7:26" ht="75.75" customHeight="1" x14ac:dyDescent="0.25">
      <c r="G3835" s="5"/>
      <c r="H3835" s="2"/>
      <c r="I3835" s="2"/>
      <c r="K3835" s="2"/>
      <c r="L3835" s="2"/>
      <c r="M3835" s="2"/>
      <c r="N3835" s="2"/>
      <c r="O3835" s="2"/>
      <c r="P3835" s="2"/>
      <c r="Q3835" s="2"/>
      <c r="R3835" s="2"/>
      <c r="S3835" s="2"/>
      <c r="T3835" s="19"/>
      <c r="U3835" s="2"/>
      <c r="V3835" s="2"/>
      <c r="W3835" s="2"/>
      <c r="X3835" s="19"/>
      <c r="Y3835" s="2"/>
      <c r="Z3835" s="5"/>
    </row>
    <row r="3836" spans="7:26" ht="75.75" customHeight="1" x14ac:dyDescent="0.25">
      <c r="G3836" s="5"/>
      <c r="H3836" s="2"/>
      <c r="I3836" s="2"/>
      <c r="K3836" s="2"/>
      <c r="L3836" s="2"/>
      <c r="M3836" s="2"/>
      <c r="N3836" s="2"/>
      <c r="O3836" s="2"/>
      <c r="P3836" s="2"/>
      <c r="Q3836" s="2"/>
      <c r="R3836" s="2"/>
      <c r="S3836" s="2"/>
      <c r="T3836" s="19"/>
      <c r="U3836" s="2"/>
      <c r="V3836" s="2"/>
      <c r="W3836" s="2"/>
      <c r="X3836" s="19"/>
      <c r="Y3836" s="2"/>
      <c r="Z3836" s="5"/>
    </row>
    <row r="3837" spans="7:26" ht="75.75" customHeight="1" x14ac:dyDescent="0.25">
      <c r="G3837" s="5"/>
      <c r="H3837" s="2"/>
      <c r="I3837" s="2"/>
      <c r="K3837" s="2"/>
      <c r="L3837" s="2"/>
      <c r="M3837" s="2"/>
      <c r="N3837" s="2"/>
      <c r="O3837" s="2"/>
      <c r="P3837" s="2"/>
      <c r="Q3837" s="2"/>
      <c r="R3837" s="2"/>
      <c r="S3837" s="2"/>
      <c r="T3837" s="19"/>
      <c r="U3837" s="2"/>
      <c r="V3837" s="2"/>
      <c r="W3837" s="2"/>
      <c r="X3837" s="19"/>
      <c r="Y3837" s="2"/>
      <c r="Z3837" s="5"/>
    </row>
    <row r="3838" spans="7:26" ht="75.75" customHeight="1" x14ac:dyDescent="0.25">
      <c r="G3838" s="5"/>
      <c r="H3838" s="2"/>
      <c r="I3838" s="2"/>
      <c r="K3838" s="2"/>
      <c r="L3838" s="2"/>
      <c r="M3838" s="2"/>
      <c r="N3838" s="2"/>
      <c r="O3838" s="2"/>
      <c r="P3838" s="2"/>
      <c r="Q3838" s="2"/>
      <c r="R3838" s="2"/>
      <c r="S3838" s="2"/>
      <c r="T3838" s="19"/>
      <c r="U3838" s="2"/>
      <c r="V3838" s="2"/>
      <c r="W3838" s="2"/>
      <c r="X3838" s="19"/>
      <c r="Y3838" s="2"/>
      <c r="Z3838" s="5"/>
    </row>
    <row r="3839" spans="7:26" ht="75.75" customHeight="1" x14ac:dyDescent="0.25">
      <c r="G3839" s="5"/>
      <c r="H3839" s="2"/>
      <c r="I3839" s="2"/>
      <c r="K3839" s="2"/>
      <c r="L3839" s="2"/>
      <c r="M3839" s="2"/>
      <c r="N3839" s="2"/>
      <c r="O3839" s="2"/>
      <c r="P3839" s="2"/>
      <c r="Q3839" s="2"/>
      <c r="R3839" s="2"/>
      <c r="S3839" s="2"/>
      <c r="T3839" s="19"/>
      <c r="U3839" s="2"/>
      <c r="V3839" s="2"/>
      <c r="W3839" s="2"/>
      <c r="X3839" s="19"/>
      <c r="Y3839" s="2"/>
      <c r="Z3839" s="5"/>
    </row>
    <row r="3840" spans="7:26" ht="75.75" customHeight="1" x14ac:dyDescent="0.25">
      <c r="G3840" s="5"/>
      <c r="H3840" s="2"/>
      <c r="I3840" s="2"/>
      <c r="K3840" s="2"/>
      <c r="L3840" s="2"/>
      <c r="M3840" s="2"/>
      <c r="N3840" s="2"/>
      <c r="O3840" s="2"/>
      <c r="P3840" s="2"/>
      <c r="Q3840" s="2"/>
      <c r="R3840" s="2"/>
      <c r="S3840" s="2"/>
      <c r="T3840" s="19"/>
      <c r="U3840" s="2"/>
      <c r="V3840" s="2"/>
      <c r="W3840" s="2"/>
      <c r="X3840" s="19"/>
      <c r="Y3840" s="2"/>
      <c r="Z3840" s="5"/>
    </row>
    <row r="3841" spans="7:26" ht="75.75" customHeight="1" x14ac:dyDescent="0.25">
      <c r="G3841" s="5"/>
      <c r="H3841" s="2"/>
      <c r="I3841" s="2"/>
      <c r="K3841" s="2"/>
      <c r="L3841" s="2"/>
      <c r="M3841" s="2"/>
      <c r="N3841" s="2"/>
      <c r="O3841" s="2"/>
      <c r="P3841" s="2"/>
      <c r="Q3841" s="2"/>
      <c r="R3841" s="2"/>
      <c r="S3841" s="2"/>
      <c r="T3841" s="19"/>
      <c r="U3841" s="2"/>
      <c r="V3841" s="2"/>
      <c r="W3841" s="2"/>
      <c r="X3841" s="19"/>
      <c r="Y3841" s="2"/>
      <c r="Z3841" s="5"/>
    </row>
    <row r="3842" spans="7:26" ht="75.75" customHeight="1" x14ac:dyDescent="0.25">
      <c r="G3842" s="5"/>
      <c r="H3842" s="2"/>
      <c r="I3842" s="2"/>
      <c r="K3842" s="2"/>
      <c r="L3842" s="2"/>
      <c r="M3842" s="2"/>
      <c r="N3842" s="2"/>
      <c r="O3842" s="2"/>
      <c r="P3842" s="2"/>
      <c r="Q3842" s="2"/>
      <c r="R3842" s="2"/>
      <c r="S3842" s="2"/>
      <c r="T3842" s="19"/>
      <c r="U3842" s="2"/>
      <c r="V3842" s="2"/>
      <c r="W3842" s="2"/>
      <c r="X3842" s="19"/>
      <c r="Y3842" s="2"/>
      <c r="Z3842" s="5"/>
    </row>
    <row r="3843" spans="7:26" ht="75.75" customHeight="1" x14ac:dyDescent="0.25">
      <c r="G3843" s="5"/>
      <c r="H3843" s="2"/>
      <c r="I3843" s="2"/>
      <c r="K3843" s="2"/>
      <c r="L3843" s="2"/>
      <c r="M3843" s="2"/>
      <c r="N3843" s="2"/>
      <c r="O3843" s="2"/>
      <c r="P3843" s="2"/>
      <c r="Q3843" s="2"/>
      <c r="R3843" s="2"/>
      <c r="S3843" s="2"/>
      <c r="T3843" s="19"/>
      <c r="U3843" s="2"/>
      <c r="V3843" s="2"/>
      <c r="W3843" s="2"/>
      <c r="X3843" s="19"/>
      <c r="Y3843" s="2"/>
      <c r="Z3843" s="5"/>
    </row>
    <row r="3844" spans="7:26" ht="75.75" customHeight="1" x14ac:dyDescent="0.25">
      <c r="G3844" s="5"/>
      <c r="H3844" s="2"/>
      <c r="I3844" s="2"/>
      <c r="K3844" s="2"/>
      <c r="L3844" s="2"/>
      <c r="M3844" s="2"/>
      <c r="N3844" s="2"/>
      <c r="O3844" s="2"/>
      <c r="P3844" s="2"/>
      <c r="Q3844" s="2"/>
      <c r="R3844" s="2"/>
      <c r="S3844" s="2"/>
      <c r="T3844" s="19"/>
      <c r="U3844" s="2"/>
      <c r="V3844" s="2"/>
      <c r="W3844" s="2"/>
      <c r="X3844" s="19"/>
      <c r="Y3844" s="2"/>
      <c r="Z3844" s="5"/>
    </row>
    <row r="3845" spans="7:26" ht="75.75" customHeight="1" x14ac:dyDescent="0.25">
      <c r="G3845" s="5"/>
      <c r="H3845" s="2"/>
      <c r="I3845" s="2"/>
      <c r="K3845" s="2"/>
      <c r="L3845" s="2"/>
      <c r="M3845" s="2"/>
      <c r="N3845" s="2"/>
      <c r="O3845" s="2"/>
      <c r="P3845" s="2"/>
      <c r="Q3845" s="2"/>
      <c r="R3845" s="2"/>
      <c r="S3845" s="2"/>
      <c r="T3845" s="19"/>
      <c r="U3845" s="2"/>
      <c r="V3845" s="2"/>
      <c r="W3845" s="2"/>
      <c r="X3845" s="19"/>
      <c r="Y3845" s="2"/>
      <c r="Z3845" s="5"/>
    </row>
    <row r="3846" spans="7:26" ht="75.75" customHeight="1" x14ac:dyDescent="0.25">
      <c r="G3846" s="5"/>
      <c r="H3846" s="2"/>
      <c r="I3846" s="2"/>
      <c r="K3846" s="2"/>
      <c r="L3846" s="2"/>
      <c r="M3846" s="2"/>
      <c r="N3846" s="2"/>
      <c r="O3846" s="2"/>
      <c r="P3846" s="2"/>
      <c r="Q3846" s="2"/>
      <c r="R3846" s="2"/>
      <c r="S3846" s="2"/>
      <c r="T3846" s="19"/>
      <c r="U3846" s="2"/>
      <c r="V3846" s="2"/>
      <c r="W3846" s="2"/>
      <c r="X3846" s="19"/>
      <c r="Y3846" s="2"/>
      <c r="Z3846" s="5"/>
    </row>
    <row r="3847" spans="7:26" ht="75.75" customHeight="1" x14ac:dyDescent="0.25">
      <c r="G3847" s="5"/>
      <c r="H3847" s="2"/>
      <c r="I3847" s="2"/>
      <c r="K3847" s="2"/>
      <c r="L3847" s="2"/>
      <c r="M3847" s="2"/>
      <c r="N3847" s="2"/>
      <c r="O3847" s="2"/>
      <c r="P3847" s="2"/>
      <c r="Q3847" s="2"/>
      <c r="R3847" s="2"/>
      <c r="S3847" s="2"/>
      <c r="T3847" s="19"/>
      <c r="U3847" s="2"/>
      <c r="V3847" s="2"/>
      <c r="W3847" s="2"/>
      <c r="X3847" s="19"/>
      <c r="Y3847" s="2"/>
      <c r="Z3847" s="5"/>
    </row>
    <row r="3848" spans="7:26" ht="75.75" customHeight="1" x14ac:dyDescent="0.25">
      <c r="G3848" s="5"/>
      <c r="H3848" s="2"/>
      <c r="I3848" s="2"/>
      <c r="K3848" s="2"/>
      <c r="L3848" s="2"/>
      <c r="M3848" s="2"/>
      <c r="N3848" s="2"/>
      <c r="O3848" s="2"/>
      <c r="P3848" s="2"/>
      <c r="Q3848" s="2"/>
      <c r="R3848" s="2"/>
      <c r="S3848" s="2"/>
      <c r="T3848" s="19"/>
      <c r="U3848" s="2"/>
      <c r="V3848" s="2"/>
      <c r="W3848" s="2"/>
      <c r="X3848" s="19"/>
      <c r="Y3848" s="2"/>
      <c r="Z3848" s="5"/>
    </row>
    <row r="3849" spans="7:26" ht="75.75" customHeight="1" x14ac:dyDescent="0.25">
      <c r="G3849" s="5"/>
      <c r="H3849" s="2"/>
      <c r="I3849" s="2"/>
      <c r="K3849" s="2"/>
      <c r="L3849" s="2"/>
      <c r="M3849" s="2"/>
      <c r="N3849" s="2"/>
      <c r="O3849" s="2"/>
      <c r="P3849" s="2"/>
      <c r="Q3849" s="2"/>
      <c r="R3849" s="2"/>
      <c r="S3849" s="2"/>
      <c r="T3849" s="19"/>
      <c r="U3849" s="2"/>
      <c r="V3849" s="2"/>
      <c r="W3849" s="2"/>
      <c r="X3849" s="19"/>
      <c r="Y3849" s="2"/>
      <c r="Z3849" s="5"/>
    </row>
    <row r="3850" spans="7:26" ht="75.75" customHeight="1" x14ac:dyDescent="0.25">
      <c r="G3850" s="5"/>
      <c r="H3850" s="2"/>
      <c r="I3850" s="2"/>
      <c r="K3850" s="2"/>
      <c r="L3850" s="2"/>
      <c r="M3850" s="2"/>
      <c r="N3850" s="2"/>
      <c r="O3850" s="2"/>
      <c r="P3850" s="2"/>
      <c r="Q3850" s="2"/>
      <c r="R3850" s="2"/>
      <c r="S3850" s="2"/>
      <c r="T3850" s="19"/>
      <c r="U3850" s="2"/>
      <c r="V3850" s="2"/>
      <c r="W3850" s="2"/>
      <c r="X3850" s="19"/>
      <c r="Y3850" s="2"/>
      <c r="Z3850" s="5"/>
    </row>
    <row r="3851" spans="7:26" ht="75.75" customHeight="1" x14ac:dyDescent="0.25">
      <c r="G3851" s="5"/>
      <c r="H3851" s="2"/>
      <c r="I3851" s="2"/>
      <c r="K3851" s="2"/>
      <c r="L3851" s="2"/>
      <c r="M3851" s="2"/>
      <c r="N3851" s="2"/>
      <c r="O3851" s="2"/>
      <c r="P3851" s="2"/>
      <c r="Q3851" s="2"/>
      <c r="R3851" s="2"/>
      <c r="S3851" s="2"/>
      <c r="T3851" s="19"/>
      <c r="U3851" s="2"/>
      <c r="V3851" s="2"/>
      <c r="W3851" s="2"/>
      <c r="X3851" s="19"/>
      <c r="Y3851" s="2"/>
      <c r="Z3851" s="5"/>
    </row>
    <row r="3852" spans="7:26" ht="75.75" customHeight="1" x14ac:dyDescent="0.25">
      <c r="G3852" s="5"/>
      <c r="H3852" s="2"/>
      <c r="I3852" s="2"/>
      <c r="K3852" s="2"/>
      <c r="L3852" s="2"/>
      <c r="M3852" s="2"/>
      <c r="N3852" s="2"/>
      <c r="O3852" s="2"/>
      <c r="P3852" s="2"/>
      <c r="Q3852" s="2"/>
      <c r="R3852" s="2"/>
      <c r="S3852" s="2"/>
      <c r="T3852" s="19"/>
      <c r="U3852" s="2"/>
      <c r="V3852" s="2"/>
      <c r="W3852" s="2"/>
      <c r="X3852" s="19"/>
      <c r="Y3852" s="2"/>
      <c r="Z3852" s="5"/>
    </row>
    <row r="3853" spans="7:26" ht="75.75" customHeight="1" x14ac:dyDescent="0.25">
      <c r="G3853" s="5"/>
      <c r="H3853" s="2"/>
      <c r="I3853" s="2"/>
      <c r="K3853" s="2"/>
      <c r="L3853" s="2"/>
      <c r="M3853" s="2"/>
      <c r="N3853" s="2"/>
      <c r="O3853" s="2"/>
      <c r="P3853" s="2"/>
      <c r="Q3853" s="2"/>
      <c r="R3853" s="2"/>
      <c r="S3853" s="2"/>
      <c r="T3853" s="19"/>
      <c r="U3853" s="2"/>
      <c r="V3853" s="2"/>
      <c r="W3853" s="2"/>
      <c r="X3853" s="19"/>
      <c r="Y3853" s="2"/>
      <c r="Z3853" s="5"/>
    </row>
    <row r="3854" spans="7:26" ht="75.75" customHeight="1" x14ac:dyDescent="0.25">
      <c r="G3854" s="5"/>
      <c r="H3854" s="2"/>
      <c r="I3854" s="2"/>
      <c r="K3854" s="2"/>
      <c r="L3854" s="2"/>
      <c r="M3854" s="2"/>
      <c r="N3854" s="2"/>
      <c r="O3854" s="2"/>
      <c r="P3854" s="2"/>
      <c r="Q3854" s="2"/>
      <c r="R3854" s="2"/>
      <c r="S3854" s="2"/>
      <c r="T3854" s="19"/>
      <c r="U3854" s="2"/>
      <c r="V3854" s="2"/>
      <c r="W3854" s="2"/>
      <c r="X3854" s="19"/>
      <c r="Y3854" s="2"/>
      <c r="Z3854" s="5"/>
    </row>
    <row r="3855" spans="7:26" ht="75.75" customHeight="1" x14ac:dyDescent="0.25">
      <c r="G3855" s="5"/>
      <c r="H3855" s="2"/>
      <c r="I3855" s="2"/>
      <c r="K3855" s="2"/>
      <c r="L3855" s="2"/>
      <c r="M3855" s="2"/>
      <c r="N3855" s="2"/>
      <c r="O3855" s="2"/>
      <c r="P3855" s="2"/>
      <c r="Q3855" s="2"/>
      <c r="R3855" s="2"/>
      <c r="S3855" s="2"/>
      <c r="T3855" s="19"/>
      <c r="U3855" s="2"/>
      <c r="V3855" s="2"/>
      <c r="W3855" s="2"/>
      <c r="X3855" s="19"/>
      <c r="Y3855" s="2"/>
      <c r="Z3855" s="5"/>
    </row>
    <row r="3856" spans="7:26" ht="75.75" customHeight="1" x14ac:dyDescent="0.25">
      <c r="G3856" s="5"/>
      <c r="H3856" s="2"/>
      <c r="I3856" s="2"/>
      <c r="K3856" s="2"/>
      <c r="L3856" s="2"/>
      <c r="M3856" s="2"/>
      <c r="N3856" s="2"/>
      <c r="O3856" s="2"/>
      <c r="P3856" s="2"/>
      <c r="Q3856" s="2"/>
      <c r="R3856" s="2"/>
      <c r="S3856" s="2"/>
      <c r="T3856" s="19"/>
      <c r="U3856" s="2"/>
      <c r="V3856" s="2"/>
      <c r="W3856" s="2"/>
      <c r="X3856" s="19"/>
      <c r="Y3856" s="2"/>
      <c r="Z3856" s="5"/>
    </row>
    <row r="3857" spans="7:26" ht="75.75" customHeight="1" x14ac:dyDescent="0.25">
      <c r="G3857" s="5"/>
      <c r="H3857" s="2"/>
      <c r="I3857" s="2"/>
      <c r="K3857" s="2"/>
      <c r="L3857" s="2"/>
      <c r="M3857" s="2"/>
      <c r="N3857" s="2"/>
      <c r="O3857" s="2"/>
      <c r="P3857" s="2"/>
      <c r="Q3857" s="2"/>
      <c r="R3857" s="2"/>
      <c r="S3857" s="2"/>
      <c r="T3857" s="19"/>
      <c r="U3857" s="2"/>
      <c r="V3857" s="2"/>
      <c r="W3857" s="2"/>
      <c r="X3857" s="19"/>
      <c r="Y3857" s="2"/>
      <c r="Z3857" s="5"/>
    </row>
    <row r="3858" spans="7:26" ht="75.75" customHeight="1" x14ac:dyDescent="0.25">
      <c r="G3858" s="5"/>
      <c r="H3858" s="2"/>
      <c r="I3858" s="2"/>
      <c r="K3858" s="2"/>
      <c r="L3858" s="2"/>
      <c r="M3858" s="2"/>
      <c r="N3858" s="2"/>
      <c r="O3858" s="2"/>
      <c r="P3858" s="2"/>
      <c r="Q3858" s="2"/>
      <c r="R3858" s="2"/>
      <c r="S3858" s="2"/>
      <c r="T3858" s="19"/>
      <c r="U3858" s="2"/>
      <c r="V3858" s="2"/>
      <c r="W3858" s="2"/>
      <c r="X3858" s="19"/>
      <c r="Y3858" s="2"/>
      <c r="Z3858" s="5"/>
    </row>
    <row r="3859" spans="7:26" ht="75.75" customHeight="1" x14ac:dyDescent="0.25">
      <c r="G3859" s="5"/>
      <c r="H3859" s="2"/>
      <c r="I3859" s="2"/>
      <c r="K3859" s="2"/>
      <c r="L3859" s="2"/>
      <c r="M3859" s="2"/>
      <c r="N3859" s="2"/>
      <c r="O3859" s="2"/>
      <c r="P3859" s="2"/>
      <c r="Q3859" s="2"/>
      <c r="R3859" s="2"/>
      <c r="S3859" s="2"/>
      <c r="T3859" s="19"/>
      <c r="U3859" s="2"/>
      <c r="V3859" s="2"/>
      <c r="W3859" s="2"/>
      <c r="X3859" s="19"/>
      <c r="Y3859" s="2"/>
      <c r="Z3859" s="5"/>
    </row>
    <row r="3860" spans="7:26" ht="75.75" customHeight="1" x14ac:dyDescent="0.25">
      <c r="G3860" s="5"/>
      <c r="H3860" s="2"/>
      <c r="I3860" s="2"/>
      <c r="K3860" s="2"/>
      <c r="L3860" s="2"/>
      <c r="M3860" s="2"/>
      <c r="N3860" s="2"/>
      <c r="O3860" s="2"/>
      <c r="P3860" s="2"/>
      <c r="Q3860" s="2"/>
      <c r="R3860" s="2"/>
      <c r="S3860" s="2"/>
      <c r="T3860" s="19"/>
      <c r="U3860" s="2"/>
      <c r="V3860" s="2"/>
      <c r="W3860" s="2"/>
      <c r="X3860" s="19"/>
      <c r="Y3860" s="2"/>
      <c r="Z3860" s="5"/>
    </row>
    <row r="3861" spans="7:26" ht="75.75" customHeight="1" x14ac:dyDescent="0.25">
      <c r="G3861" s="5"/>
      <c r="H3861" s="2"/>
      <c r="I3861" s="2"/>
      <c r="K3861" s="2"/>
      <c r="L3861" s="2"/>
      <c r="M3861" s="2"/>
      <c r="N3861" s="2"/>
      <c r="O3861" s="2"/>
      <c r="P3861" s="2"/>
      <c r="Q3861" s="2"/>
      <c r="R3861" s="2"/>
      <c r="S3861" s="2"/>
      <c r="T3861" s="19"/>
      <c r="U3861" s="2"/>
      <c r="V3861" s="2"/>
      <c r="W3861" s="2"/>
      <c r="X3861" s="19"/>
      <c r="Y3861" s="2"/>
      <c r="Z3861" s="5"/>
    </row>
    <row r="3862" spans="7:26" ht="75.75" customHeight="1" x14ac:dyDescent="0.25">
      <c r="G3862" s="5"/>
      <c r="H3862" s="2"/>
      <c r="I3862" s="2"/>
      <c r="K3862" s="2"/>
      <c r="L3862" s="2"/>
      <c r="M3862" s="2"/>
      <c r="N3862" s="2"/>
      <c r="O3862" s="2"/>
      <c r="P3862" s="2"/>
      <c r="Q3862" s="2"/>
      <c r="R3862" s="2"/>
      <c r="S3862" s="2"/>
      <c r="T3862" s="19"/>
      <c r="U3862" s="2"/>
      <c r="V3862" s="2"/>
      <c r="W3862" s="2"/>
      <c r="X3862" s="19"/>
      <c r="Y3862" s="2"/>
      <c r="Z3862" s="5"/>
    </row>
    <row r="3863" spans="7:26" ht="75.75" customHeight="1" x14ac:dyDescent="0.25">
      <c r="G3863" s="5"/>
      <c r="H3863" s="2"/>
      <c r="I3863" s="2"/>
      <c r="K3863" s="2"/>
      <c r="L3863" s="2"/>
      <c r="M3863" s="2"/>
      <c r="N3863" s="2"/>
      <c r="O3863" s="2"/>
      <c r="P3863" s="2"/>
      <c r="Q3863" s="2"/>
      <c r="R3863" s="2"/>
      <c r="S3863" s="2"/>
      <c r="T3863" s="19"/>
      <c r="U3863" s="2"/>
      <c r="V3863" s="2"/>
      <c r="W3863" s="2"/>
      <c r="X3863" s="19"/>
      <c r="Y3863" s="2"/>
      <c r="Z3863" s="5"/>
    </row>
    <row r="3864" spans="7:26" ht="75.75" customHeight="1" x14ac:dyDescent="0.25">
      <c r="G3864" s="5"/>
      <c r="H3864" s="2"/>
      <c r="I3864" s="2"/>
      <c r="K3864" s="2"/>
      <c r="L3864" s="2"/>
      <c r="M3864" s="2"/>
      <c r="N3864" s="2"/>
      <c r="O3864" s="2"/>
      <c r="P3864" s="2"/>
      <c r="Q3864" s="2"/>
      <c r="R3864" s="2"/>
      <c r="S3864" s="2"/>
      <c r="T3864" s="19"/>
      <c r="U3864" s="2"/>
      <c r="V3864" s="2"/>
      <c r="W3864" s="2"/>
      <c r="X3864" s="19"/>
      <c r="Y3864" s="2"/>
      <c r="Z3864" s="5"/>
    </row>
    <row r="3865" spans="7:26" ht="75.75" customHeight="1" x14ac:dyDescent="0.25">
      <c r="G3865" s="5"/>
      <c r="H3865" s="2"/>
      <c r="I3865" s="2"/>
      <c r="K3865" s="2"/>
      <c r="L3865" s="2"/>
      <c r="M3865" s="2"/>
      <c r="N3865" s="2"/>
      <c r="O3865" s="2"/>
      <c r="P3865" s="2"/>
      <c r="Q3865" s="2"/>
      <c r="R3865" s="2"/>
      <c r="S3865" s="2"/>
      <c r="T3865" s="19"/>
      <c r="U3865" s="2"/>
      <c r="V3865" s="2"/>
      <c r="W3865" s="2"/>
      <c r="X3865" s="19"/>
      <c r="Y3865" s="2"/>
      <c r="Z3865" s="5"/>
    </row>
    <row r="3866" spans="7:26" ht="75.75" customHeight="1" x14ac:dyDescent="0.25">
      <c r="G3866" s="5"/>
      <c r="H3866" s="2"/>
      <c r="I3866" s="2"/>
      <c r="K3866" s="2"/>
      <c r="L3866" s="2"/>
      <c r="M3866" s="2"/>
      <c r="N3866" s="2"/>
      <c r="O3866" s="2"/>
      <c r="P3866" s="2"/>
      <c r="Q3866" s="2"/>
      <c r="R3866" s="2"/>
      <c r="S3866" s="2"/>
      <c r="T3866" s="19"/>
      <c r="U3866" s="2"/>
      <c r="V3866" s="2"/>
      <c r="W3866" s="2"/>
      <c r="X3866" s="19"/>
      <c r="Y3866" s="2"/>
      <c r="Z3866" s="5"/>
    </row>
    <row r="3867" spans="7:26" ht="75.75" customHeight="1" x14ac:dyDescent="0.25">
      <c r="G3867" s="5"/>
      <c r="H3867" s="2"/>
      <c r="I3867" s="2"/>
      <c r="K3867" s="2"/>
      <c r="L3867" s="2"/>
      <c r="M3867" s="2"/>
      <c r="N3867" s="2"/>
      <c r="O3867" s="2"/>
      <c r="P3867" s="2"/>
      <c r="Q3867" s="2"/>
      <c r="R3867" s="2"/>
      <c r="S3867" s="2"/>
      <c r="T3867" s="19"/>
      <c r="U3867" s="2"/>
      <c r="V3867" s="2"/>
      <c r="W3867" s="2"/>
      <c r="X3867" s="19"/>
      <c r="Y3867" s="2"/>
      <c r="Z3867" s="5"/>
    </row>
    <row r="3868" spans="7:26" ht="75.75" customHeight="1" x14ac:dyDescent="0.25">
      <c r="G3868" s="5"/>
      <c r="H3868" s="2"/>
      <c r="I3868" s="2"/>
      <c r="K3868" s="2"/>
      <c r="L3868" s="2"/>
      <c r="M3868" s="2"/>
      <c r="N3868" s="2"/>
      <c r="O3868" s="2"/>
      <c r="P3868" s="2"/>
      <c r="Q3868" s="2"/>
      <c r="R3868" s="2"/>
      <c r="S3868" s="2"/>
      <c r="T3868" s="19"/>
      <c r="U3868" s="2"/>
      <c r="V3868" s="2"/>
      <c r="W3868" s="2"/>
      <c r="X3868" s="19"/>
      <c r="Y3868" s="2"/>
      <c r="Z3868" s="5"/>
    </row>
    <row r="3869" spans="7:26" ht="75.75" customHeight="1" x14ac:dyDescent="0.25">
      <c r="G3869" s="5"/>
      <c r="H3869" s="2"/>
      <c r="I3869" s="2"/>
      <c r="K3869" s="2"/>
      <c r="L3869" s="2"/>
      <c r="M3869" s="2"/>
      <c r="N3869" s="2"/>
      <c r="O3869" s="2"/>
      <c r="P3869" s="2"/>
      <c r="Q3869" s="2"/>
      <c r="R3869" s="2"/>
      <c r="S3869" s="2"/>
      <c r="T3869" s="19"/>
      <c r="U3869" s="2"/>
      <c r="V3869" s="2"/>
      <c r="W3869" s="2"/>
      <c r="X3869" s="19"/>
      <c r="Y3869" s="2"/>
      <c r="Z3869" s="5"/>
    </row>
    <row r="3870" spans="7:26" ht="75.75" customHeight="1" x14ac:dyDescent="0.25">
      <c r="G3870" s="5"/>
      <c r="H3870" s="2"/>
      <c r="I3870" s="2"/>
      <c r="K3870" s="2"/>
      <c r="L3870" s="2"/>
      <c r="M3870" s="2"/>
      <c r="N3870" s="2"/>
      <c r="O3870" s="2"/>
      <c r="P3870" s="2"/>
      <c r="Q3870" s="2"/>
      <c r="R3870" s="2"/>
      <c r="S3870" s="2"/>
      <c r="T3870" s="19"/>
      <c r="U3870" s="2"/>
      <c r="V3870" s="2"/>
      <c r="W3870" s="2"/>
      <c r="X3870" s="19"/>
      <c r="Y3870" s="2"/>
      <c r="Z3870" s="5"/>
    </row>
    <row r="3871" spans="7:26" ht="75.75" customHeight="1" x14ac:dyDescent="0.25">
      <c r="G3871" s="5"/>
      <c r="H3871" s="2"/>
      <c r="I3871" s="2"/>
      <c r="K3871" s="2"/>
      <c r="L3871" s="2"/>
      <c r="M3871" s="2"/>
      <c r="N3871" s="2"/>
      <c r="O3871" s="2"/>
      <c r="P3871" s="2"/>
      <c r="Q3871" s="2"/>
      <c r="R3871" s="2"/>
      <c r="S3871" s="2"/>
      <c r="T3871" s="19"/>
      <c r="U3871" s="2"/>
      <c r="V3871" s="2"/>
      <c r="W3871" s="2"/>
      <c r="X3871" s="19"/>
      <c r="Y3871" s="2"/>
      <c r="Z3871" s="5"/>
    </row>
    <row r="3872" spans="7:26" ht="75.75" customHeight="1" x14ac:dyDescent="0.25">
      <c r="G3872" s="5"/>
      <c r="H3872" s="2"/>
      <c r="I3872" s="2"/>
      <c r="K3872" s="2"/>
      <c r="L3872" s="2"/>
      <c r="M3872" s="2"/>
      <c r="N3872" s="2"/>
      <c r="O3872" s="2"/>
      <c r="P3872" s="2"/>
      <c r="Q3872" s="2"/>
      <c r="R3872" s="2"/>
      <c r="S3872" s="2"/>
      <c r="T3872" s="19"/>
      <c r="U3872" s="2"/>
      <c r="V3872" s="2"/>
      <c r="W3872" s="2"/>
      <c r="X3872" s="19"/>
      <c r="Y3872" s="2"/>
      <c r="Z3872" s="5"/>
    </row>
    <row r="3873" spans="7:26" ht="75.75" customHeight="1" x14ac:dyDescent="0.25">
      <c r="G3873" s="5"/>
      <c r="H3873" s="2"/>
      <c r="I3873" s="2"/>
      <c r="K3873" s="2"/>
      <c r="L3873" s="2"/>
      <c r="M3873" s="2"/>
      <c r="N3873" s="2"/>
      <c r="O3873" s="2"/>
      <c r="P3873" s="2"/>
      <c r="Q3873" s="2"/>
      <c r="R3873" s="2"/>
      <c r="S3873" s="2"/>
      <c r="T3873" s="19"/>
      <c r="U3873" s="2"/>
      <c r="V3873" s="2"/>
      <c r="W3873" s="2"/>
      <c r="X3873" s="19"/>
      <c r="Y3873" s="2"/>
      <c r="Z3873" s="5"/>
    </row>
    <row r="3874" spans="7:26" ht="75.75" customHeight="1" x14ac:dyDescent="0.25">
      <c r="G3874" s="5"/>
      <c r="H3874" s="2"/>
      <c r="I3874" s="2"/>
      <c r="K3874" s="2"/>
      <c r="L3874" s="2"/>
      <c r="M3874" s="2"/>
      <c r="N3874" s="2"/>
      <c r="O3874" s="2"/>
      <c r="P3874" s="2"/>
      <c r="Q3874" s="2"/>
      <c r="R3874" s="2"/>
      <c r="S3874" s="2"/>
      <c r="T3874" s="19"/>
      <c r="U3874" s="2"/>
      <c r="V3874" s="2"/>
      <c r="W3874" s="2"/>
      <c r="X3874" s="19"/>
      <c r="Y3874" s="2"/>
      <c r="Z3874" s="5"/>
    </row>
    <row r="3875" spans="7:26" ht="75.75" customHeight="1" x14ac:dyDescent="0.25">
      <c r="G3875" s="5"/>
      <c r="H3875" s="2"/>
      <c r="I3875" s="2"/>
      <c r="K3875" s="2"/>
      <c r="L3875" s="2"/>
      <c r="M3875" s="2"/>
      <c r="N3875" s="2"/>
      <c r="O3875" s="2"/>
      <c r="P3875" s="2"/>
      <c r="Q3875" s="2"/>
      <c r="R3875" s="2"/>
      <c r="S3875" s="2"/>
      <c r="T3875" s="19"/>
      <c r="U3875" s="2"/>
      <c r="V3875" s="2"/>
      <c r="W3875" s="2"/>
      <c r="X3875" s="19"/>
      <c r="Y3875" s="2"/>
      <c r="Z3875" s="5"/>
    </row>
    <row r="3876" spans="7:26" ht="75.75" customHeight="1" x14ac:dyDescent="0.25">
      <c r="G3876" s="5"/>
      <c r="H3876" s="2"/>
      <c r="I3876" s="2"/>
      <c r="K3876" s="2"/>
      <c r="L3876" s="2"/>
      <c r="M3876" s="2"/>
      <c r="N3876" s="2"/>
      <c r="O3876" s="2"/>
      <c r="P3876" s="2"/>
      <c r="Q3876" s="2"/>
      <c r="R3876" s="2"/>
      <c r="S3876" s="2"/>
      <c r="T3876" s="19"/>
      <c r="U3876" s="2"/>
      <c r="V3876" s="2"/>
      <c r="W3876" s="2"/>
      <c r="X3876" s="19"/>
      <c r="Y3876" s="2"/>
      <c r="Z3876" s="5"/>
    </row>
    <row r="3877" spans="7:26" ht="75.75" customHeight="1" x14ac:dyDescent="0.25">
      <c r="G3877" s="5"/>
      <c r="H3877" s="2"/>
      <c r="I3877" s="2"/>
      <c r="K3877" s="2"/>
      <c r="L3877" s="2"/>
      <c r="M3877" s="2"/>
      <c r="N3877" s="2"/>
      <c r="O3877" s="2"/>
      <c r="P3877" s="2"/>
      <c r="Q3877" s="2"/>
      <c r="R3877" s="2"/>
      <c r="S3877" s="2"/>
      <c r="T3877" s="19"/>
      <c r="U3877" s="2"/>
      <c r="V3877" s="2"/>
      <c r="W3877" s="2"/>
      <c r="X3877" s="19"/>
      <c r="Y3877" s="2"/>
      <c r="Z3877" s="5"/>
    </row>
    <row r="3878" spans="7:26" ht="75.75" customHeight="1" x14ac:dyDescent="0.25">
      <c r="G3878" s="5"/>
      <c r="H3878" s="2"/>
      <c r="I3878" s="2"/>
      <c r="K3878" s="2"/>
      <c r="L3878" s="2"/>
      <c r="M3878" s="2"/>
      <c r="N3878" s="2"/>
      <c r="O3878" s="2"/>
      <c r="P3878" s="2"/>
      <c r="Q3878" s="2"/>
      <c r="R3878" s="2"/>
      <c r="S3878" s="2"/>
      <c r="T3878" s="19"/>
      <c r="U3878" s="2"/>
      <c r="V3878" s="2"/>
      <c r="W3878" s="2"/>
      <c r="X3878" s="19"/>
      <c r="Y3878" s="2"/>
      <c r="Z3878" s="5"/>
    </row>
    <row r="3879" spans="7:26" ht="75.75" customHeight="1" x14ac:dyDescent="0.25">
      <c r="G3879" s="5"/>
      <c r="H3879" s="2"/>
      <c r="I3879" s="2"/>
      <c r="K3879" s="2"/>
      <c r="L3879" s="2"/>
      <c r="M3879" s="2"/>
      <c r="N3879" s="2"/>
      <c r="O3879" s="2"/>
      <c r="P3879" s="2"/>
      <c r="Q3879" s="2"/>
      <c r="R3879" s="2"/>
      <c r="S3879" s="2"/>
      <c r="T3879" s="19"/>
      <c r="U3879" s="2"/>
      <c r="V3879" s="2"/>
      <c r="W3879" s="2"/>
      <c r="X3879" s="19"/>
      <c r="Y3879" s="2"/>
      <c r="Z3879" s="5"/>
    </row>
    <row r="3880" spans="7:26" ht="75.75" customHeight="1" x14ac:dyDescent="0.25">
      <c r="G3880" s="5"/>
      <c r="H3880" s="2"/>
      <c r="I3880" s="2"/>
      <c r="K3880" s="2"/>
      <c r="L3880" s="2"/>
      <c r="M3880" s="2"/>
      <c r="N3880" s="2"/>
      <c r="O3880" s="2"/>
      <c r="P3880" s="2"/>
      <c r="Q3880" s="2"/>
      <c r="R3880" s="2"/>
      <c r="S3880" s="2"/>
      <c r="T3880" s="19"/>
      <c r="U3880" s="2"/>
      <c r="V3880" s="2"/>
      <c r="W3880" s="2"/>
      <c r="X3880" s="19"/>
      <c r="Y3880" s="2"/>
      <c r="Z3880" s="5"/>
    </row>
    <row r="3881" spans="7:26" ht="75.75" customHeight="1" x14ac:dyDescent="0.25">
      <c r="G3881" s="5"/>
      <c r="H3881" s="2"/>
      <c r="I3881" s="2"/>
      <c r="K3881" s="2"/>
      <c r="L3881" s="2"/>
      <c r="M3881" s="2"/>
      <c r="N3881" s="2"/>
      <c r="O3881" s="2"/>
      <c r="P3881" s="2"/>
      <c r="Q3881" s="2"/>
      <c r="R3881" s="2"/>
      <c r="S3881" s="2"/>
      <c r="T3881" s="19"/>
      <c r="U3881" s="2"/>
      <c r="V3881" s="2"/>
      <c r="W3881" s="2"/>
      <c r="X3881" s="19"/>
      <c r="Y3881" s="2"/>
      <c r="Z3881" s="5"/>
    </row>
    <row r="3882" spans="7:26" ht="75.75" customHeight="1" x14ac:dyDescent="0.25">
      <c r="G3882" s="5"/>
      <c r="H3882" s="2"/>
      <c r="I3882" s="2"/>
      <c r="K3882" s="2"/>
      <c r="L3882" s="2"/>
      <c r="M3882" s="2"/>
      <c r="N3882" s="2"/>
      <c r="O3882" s="2"/>
      <c r="P3882" s="2"/>
      <c r="Q3882" s="2"/>
      <c r="R3882" s="2"/>
      <c r="S3882" s="2"/>
      <c r="T3882" s="19"/>
      <c r="U3882" s="2"/>
      <c r="V3882" s="2"/>
      <c r="W3882" s="2"/>
      <c r="X3882" s="19"/>
      <c r="Y3882" s="2"/>
      <c r="Z3882" s="5"/>
    </row>
    <row r="3883" spans="7:26" ht="75.75" customHeight="1" x14ac:dyDescent="0.25">
      <c r="G3883" s="5"/>
      <c r="H3883" s="2"/>
      <c r="I3883" s="2"/>
      <c r="K3883" s="2"/>
      <c r="L3883" s="2"/>
      <c r="M3883" s="2"/>
      <c r="N3883" s="2"/>
      <c r="O3883" s="2"/>
      <c r="P3883" s="2"/>
      <c r="Q3883" s="2"/>
      <c r="R3883" s="2"/>
      <c r="S3883" s="2"/>
      <c r="T3883" s="19"/>
      <c r="U3883" s="2"/>
      <c r="V3883" s="2"/>
      <c r="W3883" s="2"/>
      <c r="X3883" s="19"/>
      <c r="Y3883" s="2"/>
      <c r="Z3883" s="5"/>
    </row>
    <row r="3884" spans="7:26" ht="75.75" customHeight="1" x14ac:dyDescent="0.25">
      <c r="G3884" s="5"/>
      <c r="H3884" s="2"/>
      <c r="I3884" s="2"/>
      <c r="K3884" s="2"/>
      <c r="L3884" s="2"/>
      <c r="M3884" s="2"/>
      <c r="N3884" s="2"/>
      <c r="O3884" s="2"/>
      <c r="P3884" s="2"/>
      <c r="Q3884" s="2"/>
      <c r="R3884" s="2"/>
      <c r="S3884" s="2"/>
      <c r="T3884" s="19"/>
      <c r="U3884" s="2"/>
      <c r="V3884" s="2"/>
      <c r="W3884" s="2"/>
      <c r="X3884" s="19"/>
      <c r="Y3884" s="2"/>
      <c r="Z3884" s="5"/>
    </row>
    <row r="3885" spans="7:26" ht="75.75" customHeight="1" x14ac:dyDescent="0.25">
      <c r="G3885" s="5"/>
      <c r="H3885" s="2"/>
      <c r="I3885" s="2"/>
      <c r="K3885" s="2"/>
      <c r="L3885" s="2"/>
      <c r="M3885" s="2"/>
      <c r="N3885" s="2"/>
      <c r="O3885" s="2"/>
      <c r="P3885" s="2"/>
      <c r="Q3885" s="2"/>
      <c r="R3885" s="2"/>
      <c r="S3885" s="2"/>
      <c r="T3885" s="19"/>
      <c r="U3885" s="2"/>
      <c r="V3885" s="2"/>
      <c r="W3885" s="2"/>
      <c r="X3885" s="19"/>
      <c r="Y3885" s="2"/>
      <c r="Z3885" s="5"/>
    </row>
    <row r="3886" spans="7:26" ht="75.75" customHeight="1" x14ac:dyDescent="0.25">
      <c r="G3886" s="5"/>
      <c r="H3886" s="2"/>
      <c r="I3886" s="2"/>
      <c r="K3886" s="2"/>
      <c r="L3886" s="2"/>
      <c r="M3886" s="2"/>
      <c r="N3886" s="2"/>
      <c r="O3886" s="2"/>
      <c r="P3886" s="2"/>
      <c r="Q3886" s="2"/>
      <c r="R3886" s="2"/>
      <c r="S3886" s="2"/>
      <c r="T3886" s="19"/>
      <c r="U3886" s="2"/>
      <c r="V3886" s="2"/>
      <c r="W3886" s="2"/>
      <c r="X3886" s="19"/>
      <c r="Y3886" s="2"/>
      <c r="Z3886" s="5"/>
    </row>
    <row r="3887" spans="7:26" ht="75.75" customHeight="1" x14ac:dyDescent="0.25">
      <c r="G3887" s="5"/>
      <c r="H3887" s="2"/>
      <c r="I3887" s="2"/>
      <c r="K3887" s="2"/>
      <c r="L3887" s="2"/>
      <c r="M3887" s="2"/>
      <c r="N3887" s="2"/>
      <c r="O3887" s="2"/>
      <c r="P3887" s="2"/>
      <c r="Q3887" s="2"/>
      <c r="R3887" s="2"/>
      <c r="S3887" s="2"/>
      <c r="T3887" s="19"/>
      <c r="U3887" s="2"/>
      <c r="V3887" s="2"/>
      <c r="W3887" s="2"/>
      <c r="X3887" s="19"/>
      <c r="Y3887" s="2"/>
      <c r="Z3887" s="5"/>
    </row>
    <row r="3888" spans="7:26" ht="75.75" customHeight="1" x14ac:dyDescent="0.25">
      <c r="G3888" s="5"/>
      <c r="H3888" s="2"/>
      <c r="I3888" s="2"/>
      <c r="K3888" s="2"/>
      <c r="L3888" s="2"/>
      <c r="M3888" s="2"/>
      <c r="N3888" s="2"/>
      <c r="O3888" s="2"/>
      <c r="P3888" s="2"/>
      <c r="Q3888" s="2"/>
      <c r="R3888" s="2"/>
      <c r="S3888" s="2"/>
      <c r="T3888" s="19"/>
      <c r="U3888" s="2"/>
      <c r="V3888" s="2"/>
      <c r="W3888" s="2"/>
      <c r="X3888" s="19"/>
      <c r="Y3888" s="2"/>
      <c r="Z3888" s="5"/>
    </row>
    <row r="3889" spans="7:26" ht="75.75" customHeight="1" x14ac:dyDescent="0.25">
      <c r="G3889" s="5"/>
      <c r="H3889" s="2"/>
      <c r="I3889" s="2"/>
      <c r="K3889" s="2"/>
      <c r="L3889" s="2"/>
      <c r="M3889" s="2"/>
      <c r="N3889" s="2"/>
      <c r="O3889" s="2"/>
      <c r="P3889" s="2"/>
      <c r="Q3889" s="2"/>
      <c r="R3889" s="2"/>
      <c r="S3889" s="2"/>
      <c r="T3889" s="19"/>
      <c r="U3889" s="2"/>
      <c r="V3889" s="2"/>
      <c r="W3889" s="2"/>
      <c r="X3889" s="19"/>
      <c r="Y3889" s="2"/>
      <c r="Z3889" s="5"/>
    </row>
    <row r="3890" spans="7:26" ht="75.75" customHeight="1" x14ac:dyDescent="0.25">
      <c r="G3890" s="5"/>
      <c r="H3890" s="2"/>
      <c r="I3890" s="2"/>
      <c r="K3890" s="2"/>
      <c r="L3890" s="2"/>
      <c r="M3890" s="2"/>
      <c r="N3890" s="2"/>
      <c r="O3890" s="2"/>
      <c r="P3890" s="2"/>
      <c r="Q3890" s="2"/>
      <c r="R3890" s="2"/>
      <c r="S3890" s="2"/>
      <c r="T3890" s="19"/>
      <c r="U3890" s="2"/>
      <c r="V3890" s="2"/>
      <c r="W3890" s="2"/>
      <c r="X3890" s="19"/>
      <c r="Y3890" s="2"/>
      <c r="Z3890" s="5"/>
    </row>
    <row r="3891" spans="7:26" ht="75.75" customHeight="1" x14ac:dyDescent="0.25">
      <c r="G3891" s="5"/>
      <c r="H3891" s="2"/>
      <c r="I3891" s="2"/>
      <c r="K3891" s="2"/>
      <c r="L3891" s="2"/>
      <c r="M3891" s="2"/>
      <c r="N3891" s="2"/>
      <c r="O3891" s="2"/>
      <c r="P3891" s="2"/>
      <c r="Q3891" s="2"/>
      <c r="R3891" s="2"/>
      <c r="S3891" s="2"/>
      <c r="T3891" s="19"/>
      <c r="U3891" s="2"/>
      <c r="V3891" s="2"/>
      <c r="W3891" s="2"/>
      <c r="X3891" s="19"/>
      <c r="Y3891" s="2"/>
      <c r="Z3891" s="5"/>
    </row>
    <row r="3892" spans="7:26" ht="75.75" customHeight="1" x14ac:dyDescent="0.25">
      <c r="G3892" s="5"/>
      <c r="H3892" s="2"/>
      <c r="I3892" s="2"/>
      <c r="K3892" s="2"/>
      <c r="L3892" s="2"/>
      <c r="M3892" s="2"/>
      <c r="N3892" s="2"/>
      <c r="O3892" s="2"/>
      <c r="P3892" s="2"/>
      <c r="Q3892" s="2"/>
      <c r="R3892" s="2"/>
      <c r="S3892" s="2"/>
      <c r="T3892" s="19"/>
      <c r="U3892" s="2"/>
      <c r="V3892" s="2"/>
      <c r="W3892" s="2"/>
      <c r="X3892" s="19"/>
      <c r="Y3892" s="2"/>
      <c r="Z3892" s="5"/>
    </row>
    <row r="3893" spans="7:26" ht="75.75" customHeight="1" x14ac:dyDescent="0.25">
      <c r="G3893" s="5"/>
      <c r="H3893" s="2"/>
      <c r="I3893" s="2"/>
      <c r="K3893" s="2"/>
      <c r="L3893" s="2"/>
      <c r="M3893" s="2"/>
      <c r="N3893" s="2"/>
      <c r="O3893" s="2"/>
      <c r="P3893" s="2"/>
      <c r="Q3893" s="2"/>
      <c r="R3893" s="2"/>
      <c r="S3893" s="2"/>
      <c r="T3893" s="19"/>
      <c r="U3893" s="2"/>
      <c r="V3893" s="2"/>
      <c r="W3893" s="2"/>
      <c r="X3893" s="19"/>
      <c r="Y3893" s="2"/>
      <c r="Z3893" s="5"/>
    </row>
    <row r="3894" spans="7:26" ht="75.75" customHeight="1" x14ac:dyDescent="0.25">
      <c r="G3894" s="5"/>
      <c r="H3894" s="2"/>
      <c r="I3894" s="2"/>
      <c r="K3894" s="2"/>
      <c r="L3894" s="2"/>
      <c r="M3894" s="2"/>
      <c r="N3894" s="2"/>
      <c r="O3894" s="2"/>
      <c r="P3894" s="2"/>
      <c r="Q3894" s="2"/>
      <c r="R3894" s="2"/>
      <c r="S3894" s="2"/>
      <c r="T3894" s="19"/>
      <c r="U3894" s="2"/>
      <c r="V3894" s="2"/>
      <c r="W3894" s="2"/>
      <c r="X3894" s="19"/>
      <c r="Y3894" s="2"/>
      <c r="Z3894" s="5"/>
    </row>
    <row r="3895" spans="7:26" ht="75.75" customHeight="1" x14ac:dyDescent="0.25">
      <c r="G3895" s="5"/>
      <c r="H3895" s="2"/>
      <c r="I3895" s="2"/>
      <c r="K3895" s="2"/>
      <c r="L3895" s="2"/>
      <c r="M3895" s="2"/>
      <c r="N3895" s="2"/>
      <c r="O3895" s="2"/>
      <c r="P3895" s="2"/>
      <c r="Q3895" s="2"/>
      <c r="R3895" s="2"/>
      <c r="S3895" s="2"/>
      <c r="T3895" s="19"/>
      <c r="U3895" s="2"/>
      <c r="V3895" s="2"/>
      <c r="W3895" s="2"/>
      <c r="X3895" s="19"/>
      <c r="Y3895" s="2"/>
      <c r="Z3895" s="5"/>
    </row>
    <row r="3896" spans="7:26" ht="75.75" customHeight="1" x14ac:dyDescent="0.25">
      <c r="G3896" s="5"/>
      <c r="H3896" s="2"/>
      <c r="I3896" s="2"/>
      <c r="K3896" s="2"/>
      <c r="L3896" s="2"/>
      <c r="M3896" s="2"/>
      <c r="N3896" s="2"/>
      <c r="O3896" s="2"/>
      <c r="P3896" s="2"/>
      <c r="Q3896" s="2"/>
      <c r="R3896" s="2"/>
      <c r="S3896" s="2"/>
      <c r="T3896" s="19"/>
      <c r="U3896" s="2"/>
      <c r="V3896" s="2"/>
      <c r="W3896" s="2"/>
      <c r="X3896" s="19"/>
      <c r="Y3896" s="2"/>
      <c r="Z3896" s="5"/>
    </row>
    <row r="3897" spans="7:26" ht="75.75" customHeight="1" x14ac:dyDescent="0.25">
      <c r="G3897" s="5"/>
      <c r="H3897" s="2"/>
      <c r="I3897" s="2"/>
      <c r="K3897" s="2"/>
      <c r="L3897" s="2"/>
      <c r="M3897" s="2"/>
      <c r="N3897" s="2"/>
      <c r="O3897" s="2"/>
      <c r="P3897" s="2"/>
      <c r="Q3897" s="2"/>
      <c r="R3897" s="2"/>
      <c r="S3897" s="2"/>
      <c r="T3897" s="19"/>
      <c r="U3897" s="2"/>
      <c r="V3897" s="2"/>
      <c r="W3897" s="2"/>
      <c r="X3897" s="19"/>
      <c r="Y3897" s="2"/>
      <c r="Z3897" s="5"/>
    </row>
    <row r="3898" spans="7:26" ht="75.75" customHeight="1" x14ac:dyDescent="0.25">
      <c r="G3898" s="5"/>
      <c r="H3898" s="2"/>
      <c r="I3898" s="2"/>
      <c r="K3898" s="2"/>
      <c r="L3898" s="2"/>
      <c r="M3898" s="2"/>
      <c r="N3898" s="2"/>
      <c r="O3898" s="2"/>
      <c r="P3898" s="2"/>
      <c r="Q3898" s="2"/>
      <c r="R3898" s="2"/>
      <c r="S3898" s="2"/>
      <c r="T3898" s="19"/>
      <c r="U3898" s="2"/>
      <c r="V3898" s="2"/>
      <c r="W3898" s="2"/>
      <c r="X3898" s="19"/>
      <c r="Y3898" s="2"/>
      <c r="Z3898" s="5"/>
    </row>
    <row r="3899" spans="7:26" ht="75.75" customHeight="1" x14ac:dyDescent="0.25">
      <c r="G3899" s="5"/>
      <c r="H3899" s="2"/>
      <c r="I3899" s="2"/>
      <c r="K3899" s="2"/>
      <c r="L3899" s="2"/>
      <c r="M3899" s="2"/>
      <c r="N3899" s="2"/>
      <c r="O3899" s="2"/>
      <c r="P3899" s="2"/>
      <c r="Q3899" s="2"/>
      <c r="R3899" s="2"/>
      <c r="S3899" s="2"/>
      <c r="T3899" s="19"/>
      <c r="U3899" s="2"/>
      <c r="V3899" s="2"/>
      <c r="W3899" s="2"/>
      <c r="X3899" s="19"/>
      <c r="Y3899" s="2"/>
      <c r="Z3899" s="5"/>
    </row>
    <row r="3900" spans="7:26" ht="75.75" customHeight="1" x14ac:dyDescent="0.25">
      <c r="G3900" s="5"/>
      <c r="H3900" s="2"/>
      <c r="I3900" s="2"/>
      <c r="K3900" s="2"/>
      <c r="L3900" s="2"/>
      <c r="M3900" s="2"/>
      <c r="N3900" s="2"/>
      <c r="O3900" s="2"/>
      <c r="P3900" s="2"/>
      <c r="Q3900" s="2"/>
      <c r="R3900" s="2"/>
      <c r="S3900" s="2"/>
      <c r="T3900" s="19"/>
      <c r="U3900" s="2"/>
      <c r="V3900" s="2"/>
      <c r="W3900" s="2"/>
      <c r="X3900" s="19"/>
      <c r="Y3900" s="2"/>
      <c r="Z3900" s="5"/>
    </row>
    <row r="3901" spans="7:26" ht="75.75" customHeight="1" x14ac:dyDescent="0.25">
      <c r="G3901" s="5"/>
      <c r="H3901" s="2"/>
      <c r="I3901" s="2"/>
      <c r="K3901" s="2"/>
      <c r="L3901" s="2"/>
      <c r="M3901" s="2"/>
      <c r="N3901" s="2"/>
      <c r="O3901" s="2"/>
      <c r="P3901" s="2"/>
      <c r="Q3901" s="2"/>
      <c r="R3901" s="2"/>
      <c r="S3901" s="2"/>
      <c r="T3901" s="19"/>
      <c r="U3901" s="2"/>
      <c r="V3901" s="2"/>
      <c r="W3901" s="2"/>
      <c r="X3901" s="19"/>
      <c r="Y3901" s="2"/>
      <c r="Z3901" s="5"/>
    </row>
    <row r="3902" spans="7:26" ht="75.75" customHeight="1" x14ac:dyDescent="0.25">
      <c r="G3902" s="5"/>
      <c r="H3902" s="2"/>
      <c r="I3902" s="2"/>
      <c r="K3902" s="2"/>
      <c r="L3902" s="2"/>
      <c r="M3902" s="2"/>
      <c r="N3902" s="2"/>
      <c r="O3902" s="2"/>
      <c r="P3902" s="2"/>
      <c r="Q3902" s="2"/>
      <c r="R3902" s="2"/>
      <c r="S3902" s="2"/>
      <c r="T3902" s="19"/>
      <c r="U3902" s="2"/>
      <c r="V3902" s="2"/>
      <c r="W3902" s="2"/>
      <c r="X3902" s="19"/>
      <c r="Y3902" s="2"/>
      <c r="Z3902" s="5"/>
    </row>
    <row r="3903" spans="7:26" ht="75.75" customHeight="1" x14ac:dyDescent="0.25">
      <c r="G3903" s="5"/>
      <c r="H3903" s="2"/>
      <c r="I3903" s="2"/>
      <c r="K3903" s="2"/>
      <c r="L3903" s="2"/>
      <c r="M3903" s="2"/>
      <c r="N3903" s="2"/>
      <c r="O3903" s="2"/>
      <c r="P3903" s="2"/>
      <c r="Q3903" s="2"/>
      <c r="R3903" s="2"/>
      <c r="S3903" s="2"/>
      <c r="T3903" s="19"/>
      <c r="U3903" s="2"/>
      <c r="V3903" s="2"/>
      <c r="W3903" s="2"/>
      <c r="X3903" s="19"/>
      <c r="Y3903" s="2"/>
      <c r="Z3903" s="5"/>
    </row>
    <row r="3904" spans="7:26" ht="75.75" customHeight="1" x14ac:dyDescent="0.25">
      <c r="G3904" s="5"/>
      <c r="H3904" s="2"/>
      <c r="I3904" s="2"/>
      <c r="K3904" s="2"/>
      <c r="L3904" s="2"/>
      <c r="M3904" s="2"/>
      <c r="N3904" s="2"/>
      <c r="O3904" s="2"/>
      <c r="P3904" s="2"/>
      <c r="Q3904" s="2"/>
      <c r="R3904" s="2"/>
      <c r="S3904" s="2"/>
      <c r="T3904" s="19"/>
      <c r="U3904" s="2"/>
      <c r="V3904" s="2"/>
      <c r="W3904" s="2"/>
      <c r="X3904" s="19"/>
      <c r="Y3904" s="2"/>
      <c r="Z3904" s="5"/>
    </row>
    <row r="3905" spans="7:26" ht="75.75" customHeight="1" x14ac:dyDescent="0.25">
      <c r="G3905" s="5"/>
      <c r="H3905" s="2"/>
      <c r="I3905" s="2"/>
      <c r="K3905" s="2"/>
      <c r="L3905" s="2"/>
      <c r="M3905" s="2"/>
      <c r="N3905" s="2"/>
      <c r="O3905" s="2"/>
      <c r="P3905" s="2"/>
      <c r="Q3905" s="2"/>
      <c r="R3905" s="2"/>
      <c r="S3905" s="2"/>
      <c r="T3905" s="19"/>
      <c r="U3905" s="2"/>
      <c r="V3905" s="2"/>
      <c r="W3905" s="2"/>
      <c r="X3905" s="19"/>
      <c r="Y3905" s="2"/>
      <c r="Z3905" s="5"/>
    </row>
    <row r="3906" spans="7:26" ht="75.75" customHeight="1" x14ac:dyDescent="0.25">
      <c r="G3906" s="5"/>
      <c r="H3906" s="2"/>
      <c r="I3906" s="2"/>
      <c r="K3906" s="2"/>
      <c r="L3906" s="2"/>
      <c r="M3906" s="2"/>
      <c r="N3906" s="2"/>
      <c r="O3906" s="2"/>
      <c r="P3906" s="2"/>
      <c r="Q3906" s="2"/>
      <c r="R3906" s="2"/>
      <c r="S3906" s="2"/>
      <c r="T3906" s="19"/>
      <c r="U3906" s="2"/>
      <c r="V3906" s="2"/>
      <c r="W3906" s="2"/>
      <c r="X3906" s="19"/>
      <c r="Y3906" s="2"/>
      <c r="Z3906" s="5"/>
    </row>
    <row r="3907" spans="7:26" ht="75.75" customHeight="1" x14ac:dyDescent="0.25">
      <c r="G3907" s="5"/>
      <c r="H3907" s="2"/>
      <c r="I3907" s="2"/>
      <c r="K3907" s="2"/>
      <c r="L3907" s="2"/>
      <c r="M3907" s="2"/>
      <c r="N3907" s="2"/>
      <c r="O3907" s="2"/>
      <c r="P3907" s="2"/>
      <c r="Q3907" s="2"/>
      <c r="R3907" s="2"/>
      <c r="S3907" s="2"/>
      <c r="T3907" s="19"/>
      <c r="U3907" s="2"/>
      <c r="V3907" s="2"/>
      <c r="W3907" s="2"/>
      <c r="X3907" s="19"/>
      <c r="Y3907" s="2"/>
      <c r="Z3907" s="5"/>
    </row>
    <row r="3908" spans="7:26" ht="75.75" customHeight="1" x14ac:dyDescent="0.25">
      <c r="G3908" s="5"/>
      <c r="H3908" s="2"/>
      <c r="I3908" s="2"/>
      <c r="K3908" s="2"/>
      <c r="L3908" s="2"/>
      <c r="M3908" s="2"/>
      <c r="N3908" s="2"/>
      <c r="O3908" s="2"/>
      <c r="P3908" s="2"/>
      <c r="Q3908" s="2"/>
      <c r="R3908" s="2"/>
      <c r="S3908" s="2"/>
      <c r="T3908" s="19"/>
      <c r="U3908" s="2"/>
      <c r="V3908" s="2"/>
      <c r="W3908" s="2"/>
      <c r="X3908" s="19"/>
      <c r="Y3908" s="2"/>
      <c r="Z3908" s="5"/>
    </row>
    <row r="3909" spans="7:26" ht="75.75" customHeight="1" x14ac:dyDescent="0.25">
      <c r="G3909" s="5"/>
      <c r="H3909" s="2"/>
      <c r="I3909" s="2"/>
      <c r="K3909" s="2"/>
      <c r="L3909" s="2"/>
      <c r="M3909" s="2"/>
      <c r="N3909" s="2"/>
      <c r="O3909" s="2"/>
      <c r="P3909" s="2"/>
      <c r="Q3909" s="2"/>
      <c r="R3909" s="2"/>
      <c r="S3909" s="2"/>
      <c r="T3909" s="19"/>
      <c r="U3909" s="2"/>
      <c r="V3909" s="2"/>
      <c r="W3909" s="2"/>
      <c r="X3909" s="19"/>
      <c r="Y3909" s="2"/>
      <c r="Z3909" s="5"/>
    </row>
    <row r="3910" spans="7:26" ht="75.75" customHeight="1" x14ac:dyDescent="0.25">
      <c r="G3910" s="5"/>
      <c r="H3910" s="2"/>
      <c r="I3910" s="2"/>
      <c r="K3910" s="2"/>
      <c r="L3910" s="2"/>
      <c r="M3910" s="2"/>
      <c r="N3910" s="2"/>
      <c r="O3910" s="2"/>
      <c r="P3910" s="2"/>
      <c r="Q3910" s="2"/>
      <c r="R3910" s="2"/>
      <c r="S3910" s="2"/>
      <c r="T3910" s="19"/>
      <c r="U3910" s="2"/>
      <c r="V3910" s="2"/>
      <c r="W3910" s="2"/>
      <c r="X3910" s="19"/>
      <c r="Y3910" s="2"/>
      <c r="Z3910" s="5"/>
    </row>
    <row r="3911" spans="7:26" ht="75.75" customHeight="1" x14ac:dyDescent="0.25">
      <c r="G3911" s="5"/>
      <c r="H3911" s="2"/>
      <c r="I3911" s="2"/>
      <c r="K3911" s="2"/>
      <c r="L3911" s="2"/>
      <c r="M3911" s="2"/>
      <c r="N3911" s="2"/>
      <c r="O3911" s="2"/>
      <c r="P3911" s="2"/>
      <c r="Q3911" s="2"/>
      <c r="R3911" s="2"/>
      <c r="S3911" s="2"/>
      <c r="T3911" s="19"/>
      <c r="U3911" s="2"/>
      <c r="V3911" s="2"/>
      <c r="W3911" s="2"/>
      <c r="X3911" s="19"/>
      <c r="Y3911" s="2"/>
      <c r="Z3911" s="5"/>
    </row>
    <row r="3912" spans="7:26" ht="75.75" customHeight="1" x14ac:dyDescent="0.25">
      <c r="G3912" s="5"/>
      <c r="H3912" s="2"/>
      <c r="I3912" s="2"/>
      <c r="K3912" s="2"/>
      <c r="L3912" s="2"/>
      <c r="M3912" s="2"/>
      <c r="N3912" s="2"/>
      <c r="O3912" s="2"/>
      <c r="P3912" s="2"/>
      <c r="Q3912" s="2"/>
      <c r="R3912" s="2"/>
      <c r="S3912" s="2"/>
      <c r="T3912" s="19"/>
      <c r="U3912" s="2"/>
      <c r="V3912" s="2"/>
      <c r="W3912" s="2"/>
      <c r="X3912" s="19"/>
      <c r="Y3912" s="2"/>
      <c r="Z3912" s="5"/>
    </row>
    <row r="3913" spans="7:26" ht="75.75" customHeight="1" x14ac:dyDescent="0.25">
      <c r="G3913" s="5"/>
      <c r="H3913" s="2"/>
      <c r="I3913" s="2"/>
      <c r="K3913" s="2"/>
      <c r="L3913" s="2"/>
      <c r="M3913" s="2"/>
      <c r="N3913" s="2"/>
      <c r="O3913" s="2"/>
      <c r="P3913" s="2"/>
      <c r="Q3913" s="2"/>
      <c r="R3913" s="2"/>
      <c r="S3913" s="2"/>
      <c r="T3913" s="19"/>
      <c r="U3913" s="2"/>
      <c r="V3913" s="2"/>
      <c r="W3913" s="2"/>
      <c r="X3913" s="19"/>
      <c r="Y3913" s="2"/>
      <c r="Z3913" s="5"/>
    </row>
    <row r="3914" spans="7:26" ht="75.75" customHeight="1" x14ac:dyDescent="0.25">
      <c r="G3914" s="5"/>
      <c r="H3914" s="2"/>
      <c r="I3914" s="2"/>
      <c r="K3914" s="2"/>
      <c r="L3914" s="2"/>
      <c r="M3914" s="2"/>
      <c r="N3914" s="2"/>
      <c r="O3914" s="2"/>
      <c r="P3914" s="2"/>
      <c r="Q3914" s="2"/>
      <c r="R3914" s="2"/>
      <c r="S3914" s="2"/>
      <c r="T3914" s="19"/>
      <c r="U3914" s="2"/>
      <c r="V3914" s="2"/>
      <c r="W3914" s="2"/>
      <c r="X3914" s="19"/>
      <c r="Y3914" s="2"/>
      <c r="Z3914" s="5"/>
    </row>
    <row r="3915" spans="7:26" ht="75.75" customHeight="1" x14ac:dyDescent="0.25">
      <c r="G3915" s="5"/>
      <c r="H3915" s="2"/>
      <c r="I3915" s="2"/>
      <c r="K3915" s="2"/>
      <c r="L3915" s="2"/>
      <c r="M3915" s="2"/>
      <c r="N3915" s="2"/>
      <c r="O3915" s="2"/>
      <c r="P3915" s="2"/>
      <c r="Q3915" s="2"/>
      <c r="R3915" s="2"/>
      <c r="S3915" s="2"/>
      <c r="T3915" s="19"/>
      <c r="U3915" s="2"/>
      <c r="V3915" s="2"/>
      <c r="W3915" s="2"/>
      <c r="X3915" s="19"/>
      <c r="Y3915" s="2"/>
      <c r="Z3915" s="5"/>
    </row>
    <row r="3916" spans="7:26" ht="75.75" customHeight="1" x14ac:dyDescent="0.25">
      <c r="G3916" s="5"/>
      <c r="H3916" s="2"/>
      <c r="I3916" s="2"/>
      <c r="K3916" s="2"/>
      <c r="L3916" s="2"/>
      <c r="M3916" s="2"/>
      <c r="N3916" s="2"/>
      <c r="O3916" s="2"/>
      <c r="P3916" s="2"/>
      <c r="Q3916" s="2"/>
      <c r="R3916" s="2"/>
      <c r="S3916" s="2"/>
      <c r="T3916" s="19"/>
      <c r="U3916" s="2"/>
      <c r="V3916" s="2"/>
      <c r="W3916" s="2"/>
      <c r="X3916" s="19"/>
      <c r="Y3916" s="2"/>
      <c r="Z3916" s="5"/>
    </row>
    <row r="3917" spans="7:26" ht="75.75" customHeight="1" x14ac:dyDescent="0.25">
      <c r="G3917" s="5"/>
      <c r="H3917" s="2"/>
      <c r="I3917" s="2"/>
      <c r="K3917" s="2"/>
      <c r="L3917" s="2"/>
      <c r="M3917" s="2"/>
      <c r="N3917" s="2"/>
      <c r="O3917" s="2"/>
      <c r="P3917" s="2"/>
      <c r="Q3917" s="2"/>
      <c r="R3917" s="2"/>
      <c r="S3917" s="2"/>
      <c r="T3917" s="19"/>
      <c r="U3917" s="2"/>
      <c r="V3917" s="2"/>
      <c r="W3917" s="2"/>
      <c r="X3917" s="19"/>
      <c r="Y3917" s="2"/>
      <c r="Z3917" s="5"/>
    </row>
    <row r="3918" spans="7:26" ht="75.75" customHeight="1" x14ac:dyDescent="0.25">
      <c r="G3918" s="5"/>
      <c r="H3918" s="2"/>
      <c r="I3918" s="2"/>
      <c r="K3918" s="2"/>
      <c r="L3918" s="2"/>
      <c r="M3918" s="2"/>
      <c r="N3918" s="2"/>
      <c r="O3918" s="2"/>
      <c r="P3918" s="2"/>
      <c r="Q3918" s="2"/>
      <c r="R3918" s="2"/>
      <c r="S3918" s="2"/>
      <c r="T3918" s="19"/>
      <c r="U3918" s="2"/>
      <c r="V3918" s="2"/>
      <c r="W3918" s="2"/>
      <c r="X3918" s="19"/>
      <c r="Y3918" s="2"/>
      <c r="Z3918" s="5"/>
    </row>
    <row r="3919" spans="7:26" ht="75.75" customHeight="1" x14ac:dyDescent="0.25">
      <c r="G3919" s="5"/>
      <c r="H3919" s="2"/>
      <c r="I3919" s="2"/>
      <c r="K3919" s="2"/>
      <c r="L3919" s="2"/>
      <c r="M3919" s="2"/>
      <c r="N3919" s="2"/>
      <c r="O3919" s="2"/>
      <c r="P3919" s="2"/>
      <c r="Q3919" s="2"/>
      <c r="R3919" s="2"/>
      <c r="S3919" s="2"/>
      <c r="T3919" s="19"/>
      <c r="U3919" s="2"/>
      <c r="V3919" s="2"/>
      <c r="W3919" s="2"/>
      <c r="X3919" s="19"/>
      <c r="Y3919" s="2"/>
      <c r="Z3919" s="5"/>
    </row>
    <row r="3920" spans="7:26" ht="75.75" customHeight="1" x14ac:dyDescent="0.25">
      <c r="G3920" s="5"/>
      <c r="H3920" s="2"/>
      <c r="I3920" s="2"/>
      <c r="K3920" s="2"/>
      <c r="L3920" s="2"/>
      <c r="M3920" s="2"/>
      <c r="N3920" s="2"/>
      <c r="O3920" s="2"/>
      <c r="P3920" s="2"/>
      <c r="Q3920" s="2"/>
      <c r="R3920" s="2"/>
      <c r="S3920" s="2"/>
      <c r="T3920" s="19"/>
      <c r="U3920" s="2"/>
      <c r="V3920" s="2"/>
      <c r="W3920" s="2"/>
      <c r="X3920" s="19"/>
      <c r="Y3920" s="2"/>
      <c r="Z3920" s="5"/>
    </row>
    <row r="3921" spans="7:26" ht="75.75" customHeight="1" x14ac:dyDescent="0.25">
      <c r="G3921" s="5"/>
      <c r="H3921" s="2"/>
      <c r="I3921" s="2"/>
      <c r="K3921" s="2"/>
      <c r="L3921" s="2"/>
      <c r="M3921" s="2"/>
      <c r="N3921" s="2"/>
      <c r="O3921" s="2"/>
      <c r="P3921" s="2"/>
      <c r="Q3921" s="2"/>
      <c r="R3921" s="2"/>
      <c r="S3921" s="2"/>
      <c r="T3921" s="19"/>
      <c r="U3921" s="2"/>
      <c r="V3921" s="2"/>
      <c r="W3921" s="2"/>
      <c r="X3921" s="19"/>
      <c r="Y3921" s="2"/>
      <c r="Z3921" s="5"/>
    </row>
    <row r="3922" spans="7:26" ht="75.75" customHeight="1" x14ac:dyDescent="0.25">
      <c r="G3922" s="5"/>
      <c r="H3922" s="2"/>
      <c r="I3922" s="2"/>
      <c r="K3922" s="2"/>
      <c r="L3922" s="2"/>
      <c r="M3922" s="2"/>
      <c r="N3922" s="2"/>
      <c r="O3922" s="2"/>
      <c r="P3922" s="2"/>
      <c r="Q3922" s="2"/>
      <c r="R3922" s="2"/>
      <c r="S3922" s="2"/>
      <c r="T3922" s="19"/>
      <c r="U3922" s="2"/>
      <c r="V3922" s="2"/>
      <c r="W3922" s="2"/>
      <c r="X3922" s="19"/>
      <c r="Y3922" s="2"/>
      <c r="Z3922" s="5"/>
    </row>
    <row r="3923" spans="7:26" ht="75.75" customHeight="1" x14ac:dyDescent="0.25">
      <c r="G3923" s="5"/>
      <c r="H3923" s="2"/>
      <c r="I3923" s="2"/>
      <c r="K3923" s="2"/>
      <c r="L3923" s="2"/>
      <c r="M3923" s="2"/>
      <c r="N3923" s="2"/>
      <c r="O3923" s="2"/>
      <c r="P3923" s="2"/>
      <c r="Q3923" s="2"/>
      <c r="R3923" s="2"/>
      <c r="S3923" s="2"/>
      <c r="T3923" s="19"/>
      <c r="U3923" s="2"/>
      <c r="V3923" s="2"/>
      <c r="W3923" s="2"/>
      <c r="X3923" s="19"/>
      <c r="Y3923" s="2"/>
      <c r="Z3923" s="5"/>
    </row>
    <row r="3924" spans="7:26" ht="75.75" customHeight="1" x14ac:dyDescent="0.25">
      <c r="G3924" s="5"/>
      <c r="H3924" s="2"/>
      <c r="I3924" s="2"/>
      <c r="K3924" s="2"/>
      <c r="L3924" s="2"/>
      <c r="M3924" s="2"/>
      <c r="N3924" s="2"/>
      <c r="O3924" s="2"/>
      <c r="P3924" s="2"/>
      <c r="Q3924" s="2"/>
      <c r="R3924" s="2"/>
      <c r="S3924" s="2"/>
      <c r="T3924" s="19"/>
      <c r="U3924" s="2"/>
      <c r="V3924" s="2"/>
      <c r="W3924" s="2"/>
      <c r="X3924" s="19"/>
      <c r="Y3924" s="2"/>
      <c r="Z3924" s="5"/>
    </row>
    <row r="3925" spans="7:26" ht="75.75" customHeight="1" x14ac:dyDescent="0.25">
      <c r="G3925" s="5"/>
      <c r="H3925" s="2"/>
      <c r="I3925" s="2"/>
      <c r="K3925" s="2"/>
      <c r="L3925" s="2"/>
      <c r="M3925" s="2"/>
      <c r="N3925" s="2"/>
      <c r="O3925" s="2"/>
      <c r="P3925" s="2"/>
      <c r="Q3925" s="2"/>
      <c r="R3925" s="2"/>
      <c r="S3925" s="2"/>
      <c r="T3925" s="19"/>
      <c r="U3925" s="2"/>
      <c r="V3925" s="2"/>
      <c r="W3925" s="2"/>
      <c r="X3925" s="19"/>
      <c r="Y3925" s="2"/>
      <c r="Z3925" s="5"/>
    </row>
    <row r="3926" spans="7:26" ht="75.75" customHeight="1" x14ac:dyDescent="0.25">
      <c r="G3926" s="5"/>
      <c r="H3926" s="2"/>
      <c r="I3926" s="2"/>
      <c r="K3926" s="2"/>
      <c r="L3926" s="2"/>
      <c r="M3926" s="2"/>
      <c r="N3926" s="2"/>
      <c r="O3926" s="2"/>
      <c r="P3926" s="2"/>
      <c r="Q3926" s="2"/>
      <c r="R3926" s="2"/>
      <c r="S3926" s="2"/>
      <c r="T3926" s="19"/>
      <c r="U3926" s="2"/>
      <c r="V3926" s="2"/>
      <c r="W3926" s="2"/>
      <c r="X3926" s="19"/>
      <c r="Y3926" s="2"/>
      <c r="Z3926" s="5"/>
    </row>
    <row r="3927" spans="7:26" ht="75.75" customHeight="1" x14ac:dyDescent="0.25">
      <c r="G3927" s="5"/>
      <c r="H3927" s="2"/>
      <c r="I3927" s="2"/>
      <c r="K3927" s="2"/>
      <c r="L3927" s="2"/>
      <c r="M3927" s="2"/>
      <c r="N3927" s="2"/>
      <c r="O3927" s="2"/>
      <c r="P3927" s="2"/>
      <c r="Q3927" s="2"/>
      <c r="R3927" s="2"/>
      <c r="S3927" s="2"/>
      <c r="T3927" s="19"/>
      <c r="U3927" s="2"/>
      <c r="V3927" s="2"/>
      <c r="W3927" s="2"/>
      <c r="X3927" s="19"/>
      <c r="Y3927" s="2"/>
      <c r="Z3927" s="5"/>
    </row>
    <row r="3928" spans="7:26" ht="75.75" customHeight="1" x14ac:dyDescent="0.25">
      <c r="G3928" s="5"/>
      <c r="H3928" s="2"/>
      <c r="I3928" s="2"/>
      <c r="K3928" s="2"/>
      <c r="L3928" s="2"/>
      <c r="M3928" s="2"/>
      <c r="N3928" s="2"/>
      <c r="O3928" s="2"/>
      <c r="P3928" s="2"/>
      <c r="Q3928" s="2"/>
      <c r="R3928" s="2"/>
      <c r="S3928" s="2"/>
      <c r="T3928" s="19"/>
      <c r="U3928" s="2"/>
      <c r="V3928" s="2"/>
      <c r="W3928" s="2"/>
      <c r="X3928" s="19"/>
      <c r="Y3928" s="2"/>
      <c r="Z3928" s="5"/>
    </row>
    <row r="3929" spans="7:26" ht="75.75" customHeight="1" x14ac:dyDescent="0.25">
      <c r="G3929" s="5"/>
      <c r="H3929" s="2"/>
      <c r="I3929" s="2"/>
      <c r="K3929" s="2"/>
      <c r="L3929" s="2"/>
      <c r="M3929" s="2"/>
      <c r="N3929" s="2"/>
      <c r="O3929" s="2"/>
      <c r="P3929" s="2"/>
      <c r="Q3929" s="2"/>
      <c r="R3929" s="2"/>
      <c r="S3929" s="2"/>
      <c r="T3929" s="19"/>
      <c r="U3929" s="2"/>
      <c r="V3929" s="2"/>
      <c r="W3929" s="2"/>
      <c r="X3929" s="19"/>
      <c r="Y3929" s="2"/>
      <c r="Z3929" s="5"/>
    </row>
    <row r="3930" spans="7:26" ht="75.75" customHeight="1" x14ac:dyDescent="0.25">
      <c r="G3930" s="5"/>
      <c r="H3930" s="2"/>
      <c r="I3930" s="2"/>
      <c r="K3930" s="2"/>
      <c r="L3930" s="2"/>
      <c r="M3930" s="2"/>
      <c r="N3930" s="2"/>
      <c r="O3930" s="2"/>
      <c r="P3930" s="2"/>
      <c r="Q3930" s="2"/>
      <c r="R3930" s="2"/>
      <c r="S3930" s="2"/>
      <c r="T3930" s="19"/>
      <c r="U3930" s="2"/>
      <c r="V3930" s="2"/>
      <c r="W3930" s="2"/>
      <c r="X3930" s="19"/>
      <c r="Y3930" s="2"/>
      <c r="Z3930" s="5"/>
    </row>
    <row r="3931" spans="7:26" ht="75.75" customHeight="1" x14ac:dyDescent="0.25">
      <c r="G3931" s="5"/>
      <c r="H3931" s="2"/>
      <c r="I3931" s="2"/>
      <c r="K3931" s="2"/>
      <c r="L3931" s="2"/>
      <c r="M3931" s="2"/>
      <c r="N3931" s="2"/>
      <c r="O3931" s="2"/>
      <c r="P3931" s="2"/>
      <c r="Q3931" s="2"/>
      <c r="R3931" s="2"/>
      <c r="S3931" s="2"/>
      <c r="T3931" s="19"/>
      <c r="U3931" s="2"/>
      <c r="V3931" s="2"/>
      <c r="W3931" s="2"/>
      <c r="X3931" s="19"/>
      <c r="Y3931" s="2"/>
      <c r="Z3931" s="5"/>
    </row>
    <row r="3932" spans="7:26" ht="75.75" customHeight="1" x14ac:dyDescent="0.25">
      <c r="G3932" s="5"/>
      <c r="H3932" s="2"/>
      <c r="I3932" s="2"/>
      <c r="K3932" s="2"/>
      <c r="L3932" s="2"/>
      <c r="M3932" s="2"/>
      <c r="N3932" s="2"/>
      <c r="O3932" s="2"/>
      <c r="P3932" s="2"/>
      <c r="Q3932" s="2"/>
      <c r="R3932" s="2"/>
      <c r="S3932" s="2"/>
      <c r="T3932" s="19"/>
      <c r="U3932" s="2"/>
      <c r="V3932" s="2"/>
      <c r="W3932" s="2"/>
      <c r="X3932" s="19"/>
      <c r="Y3932" s="2"/>
      <c r="Z3932" s="5"/>
    </row>
    <row r="3933" spans="7:26" ht="75.75" customHeight="1" x14ac:dyDescent="0.25">
      <c r="G3933" s="5"/>
      <c r="H3933" s="2"/>
      <c r="I3933" s="2"/>
      <c r="K3933" s="2"/>
      <c r="L3933" s="2"/>
      <c r="M3933" s="2"/>
      <c r="N3933" s="2"/>
      <c r="O3933" s="2"/>
      <c r="P3933" s="2"/>
      <c r="Q3933" s="2"/>
      <c r="R3933" s="2"/>
      <c r="S3933" s="2"/>
      <c r="T3933" s="19"/>
      <c r="U3933" s="2"/>
      <c r="V3933" s="2"/>
      <c r="W3933" s="2"/>
      <c r="X3933" s="19"/>
      <c r="Y3933" s="2"/>
      <c r="Z3933" s="5"/>
    </row>
    <row r="3934" spans="7:26" ht="75.75" customHeight="1" x14ac:dyDescent="0.25">
      <c r="G3934" s="5"/>
      <c r="H3934" s="2"/>
      <c r="I3934" s="2"/>
      <c r="K3934" s="2"/>
      <c r="L3934" s="2"/>
      <c r="M3934" s="2"/>
      <c r="N3934" s="2"/>
      <c r="O3934" s="2"/>
      <c r="P3934" s="2"/>
      <c r="Q3934" s="2"/>
      <c r="R3934" s="2"/>
      <c r="S3934" s="2"/>
      <c r="T3934" s="19"/>
      <c r="U3934" s="2"/>
      <c r="V3934" s="2"/>
      <c r="W3934" s="2"/>
      <c r="X3934" s="19"/>
      <c r="Y3934" s="2"/>
      <c r="Z3934" s="5"/>
    </row>
    <row r="3935" spans="7:26" ht="75.75" customHeight="1" x14ac:dyDescent="0.25">
      <c r="G3935" s="5"/>
      <c r="H3935" s="2"/>
      <c r="I3935" s="2"/>
      <c r="K3935" s="2"/>
      <c r="L3935" s="2"/>
      <c r="M3935" s="2"/>
      <c r="N3935" s="2"/>
      <c r="O3935" s="2"/>
      <c r="P3935" s="2"/>
      <c r="Q3935" s="2"/>
      <c r="R3935" s="2"/>
      <c r="S3935" s="2"/>
      <c r="T3935" s="19"/>
      <c r="U3935" s="2"/>
      <c r="V3935" s="2"/>
      <c r="W3935" s="2"/>
      <c r="X3935" s="19"/>
      <c r="Y3935" s="2"/>
      <c r="Z3935" s="5"/>
    </row>
    <row r="3936" spans="7:26" ht="75.75" customHeight="1" x14ac:dyDescent="0.25">
      <c r="G3936" s="5"/>
      <c r="H3936" s="2"/>
      <c r="I3936" s="2"/>
      <c r="K3936" s="2"/>
      <c r="L3936" s="2"/>
      <c r="M3936" s="2"/>
      <c r="N3936" s="2"/>
      <c r="O3936" s="2"/>
      <c r="P3936" s="2"/>
      <c r="Q3936" s="2"/>
      <c r="R3936" s="2"/>
      <c r="S3936" s="2"/>
      <c r="T3936" s="19"/>
      <c r="U3936" s="2"/>
      <c r="V3936" s="2"/>
      <c r="W3936" s="2"/>
      <c r="X3936" s="19"/>
      <c r="Y3936" s="2"/>
      <c r="Z3936" s="5"/>
    </row>
    <row r="3937" spans="7:26" ht="75.75" customHeight="1" x14ac:dyDescent="0.25">
      <c r="G3937" s="5"/>
      <c r="H3937" s="2"/>
      <c r="I3937" s="2"/>
      <c r="K3937" s="2"/>
      <c r="L3937" s="2"/>
      <c r="M3937" s="2"/>
      <c r="N3937" s="2"/>
      <c r="O3937" s="2"/>
      <c r="P3937" s="2"/>
      <c r="Q3937" s="2"/>
      <c r="R3937" s="2"/>
      <c r="S3937" s="2"/>
      <c r="T3937" s="19"/>
      <c r="U3937" s="2"/>
      <c r="V3937" s="2"/>
      <c r="W3937" s="2"/>
      <c r="X3937" s="19"/>
      <c r="Y3937" s="2"/>
      <c r="Z3937" s="5"/>
    </row>
    <row r="3938" spans="7:26" ht="75.75" customHeight="1" x14ac:dyDescent="0.25">
      <c r="G3938" s="5"/>
      <c r="H3938" s="2"/>
      <c r="I3938" s="2"/>
      <c r="K3938" s="2"/>
      <c r="L3938" s="2"/>
      <c r="M3938" s="2"/>
      <c r="N3938" s="2"/>
      <c r="O3938" s="2"/>
      <c r="P3938" s="2"/>
      <c r="Q3938" s="2"/>
      <c r="R3938" s="2"/>
      <c r="S3938" s="2"/>
      <c r="T3938" s="19"/>
      <c r="U3938" s="2"/>
      <c r="V3938" s="2"/>
      <c r="W3938" s="2"/>
      <c r="X3938" s="19"/>
      <c r="Y3938" s="2"/>
      <c r="Z3938" s="5"/>
    </row>
    <row r="3939" spans="7:26" ht="75.75" customHeight="1" x14ac:dyDescent="0.25">
      <c r="G3939" s="5"/>
      <c r="H3939" s="2"/>
      <c r="I3939" s="2"/>
      <c r="K3939" s="2"/>
      <c r="L3939" s="2"/>
      <c r="M3939" s="2"/>
      <c r="N3939" s="2"/>
      <c r="O3939" s="2"/>
      <c r="P3939" s="2"/>
      <c r="Q3939" s="2"/>
      <c r="R3939" s="2"/>
      <c r="S3939" s="2"/>
      <c r="T3939" s="19"/>
      <c r="U3939" s="2"/>
      <c r="V3939" s="2"/>
      <c r="W3939" s="2"/>
      <c r="X3939" s="19"/>
      <c r="Y3939" s="2"/>
      <c r="Z3939" s="5"/>
    </row>
    <row r="3940" spans="7:26" ht="75.75" customHeight="1" x14ac:dyDescent="0.25">
      <c r="G3940" s="5"/>
      <c r="H3940" s="2"/>
      <c r="I3940" s="2"/>
      <c r="K3940" s="2"/>
      <c r="L3940" s="2"/>
      <c r="M3940" s="2"/>
      <c r="N3940" s="2"/>
      <c r="O3940" s="2"/>
      <c r="P3940" s="2"/>
      <c r="Q3940" s="2"/>
      <c r="R3940" s="2"/>
      <c r="S3940" s="2"/>
      <c r="T3940" s="19"/>
      <c r="U3940" s="2"/>
      <c r="V3940" s="2"/>
      <c r="W3940" s="2"/>
      <c r="X3940" s="19"/>
      <c r="Y3940" s="2"/>
      <c r="Z3940" s="5"/>
    </row>
    <row r="3941" spans="7:26" ht="75.75" customHeight="1" x14ac:dyDescent="0.25">
      <c r="G3941" s="5"/>
      <c r="H3941" s="2"/>
      <c r="I3941" s="2"/>
      <c r="K3941" s="2"/>
      <c r="L3941" s="2"/>
      <c r="M3941" s="2"/>
      <c r="N3941" s="2"/>
      <c r="O3941" s="2"/>
      <c r="P3941" s="2"/>
      <c r="Q3941" s="2"/>
      <c r="R3941" s="2"/>
      <c r="S3941" s="2"/>
      <c r="T3941" s="19"/>
      <c r="U3941" s="2"/>
      <c r="V3941" s="2"/>
      <c r="W3941" s="2"/>
      <c r="X3941" s="19"/>
      <c r="Y3941" s="2"/>
      <c r="Z3941" s="5"/>
    </row>
    <row r="3942" spans="7:26" ht="75.75" customHeight="1" x14ac:dyDescent="0.25">
      <c r="G3942" s="5"/>
      <c r="H3942" s="2"/>
      <c r="I3942" s="2"/>
      <c r="K3942" s="2"/>
      <c r="L3942" s="2"/>
      <c r="M3942" s="2"/>
      <c r="N3942" s="2"/>
      <c r="O3942" s="2"/>
      <c r="P3942" s="2"/>
      <c r="Q3942" s="2"/>
      <c r="R3942" s="2"/>
      <c r="S3942" s="2"/>
      <c r="T3942" s="19"/>
      <c r="U3942" s="2"/>
      <c r="V3942" s="2"/>
      <c r="W3942" s="2"/>
      <c r="X3942" s="19"/>
      <c r="Y3942" s="2"/>
      <c r="Z3942" s="5"/>
    </row>
    <row r="3943" spans="7:26" ht="75.75" customHeight="1" x14ac:dyDescent="0.25">
      <c r="G3943" s="5"/>
      <c r="H3943" s="2"/>
      <c r="I3943" s="2"/>
      <c r="K3943" s="2"/>
      <c r="L3943" s="2"/>
      <c r="M3943" s="2"/>
      <c r="N3943" s="2"/>
      <c r="O3943" s="2"/>
      <c r="P3943" s="2"/>
      <c r="Q3943" s="2"/>
      <c r="R3943" s="2"/>
      <c r="S3943" s="2"/>
      <c r="T3943" s="19"/>
      <c r="U3943" s="2"/>
      <c r="V3943" s="2"/>
      <c r="W3943" s="2"/>
      <c r="X3943" s="19"/>
      <c r="Y3943" s="2"/>
      <c r="Z3943" s="5"/>
    </row>
    <row r="3944" spans="7:26" ht="75.75" customHeight="1" x14ac:dyDescent="0.25">
      <c r="G3944" s="5"/>
      <c r="H3944" s="2"/>
      <c r="I3944" s="2"/>
      <c r="K3944" s="2"/>
      <c r="L3944" s="2"/>
      <c r="M3944" s="2"/>
      <c r="N3944" s="2"/>
      <c r="O3944" s="2"/>
      <c r="P3944" s="2"/>
      <c r="Q3944" s="2"/>
      <c r="R3944" s="2"/>
      <c r="S3944" s="2"/>
      <c r="T3944" s="19"/>
      <c r="U3944" s="2"/>
      <c r="V3944" s="2"/>
      <c r="W3944" s="2"/>
      <c r="X3944" s="19"/>
      <c r="Y3944" s="2"/>
      <c r="Z3944" s="5"/>
    </row>
    <row r="3945" spans="7:26" ht="75.75" customHeight="1" x14ac:dyDescent="0.25">
      <c r="G3945" s="5"/>
      <c r="H3945" s="2"/>
      <c r="I3945" s="2"/>
      <c r="K3945" s="2"/>
      <c r="L3945" s="2"/>
      <c r="M3945" s="2"/>
      <c r="N3945" s="2"/>
      <c r="O3945" s="2"/>
      <c r="P3945" s="2"/>
      <c r="Q3945" s="2"/>
      <c r="R3945" s="2"/>
      <c r="S3945" s="2"/>
      <c r="T3945" s="19"/>
      <c r="U3945" s="2"/>
      <c r="V3945" s="2"/>
      <c r="W3945" s="2"/>
      <c r="X3945" s="19"/>
      <c r="Y3945" s="2"/>
      <c r="Z3945" s="5"/>
    </row>
    <row r="3946" spans="7:26" ht="75.75" customHeight="1" x14ac:dyDescent="0.25">
      <c r="G3946" s="5"/>
      <c r="H3946" s="2"/>
      <c r="I3946" s="2"/>
      <c r="K3946" s="2"/>
      <c r="L3946" s="2"/>
      <c r="M3946" s="2"/>
      <c r="N3946" s="2"/>
      <c r="O3946" s="2"/>
      <c r="P3946" s="2"/>
      <c r="Q3946" s="2"/>
      <c r="R3946" s="2"/>
      <c r="S3946" s="2"/>
      <c r="T3946" s="19"/>
      <c r="U3946" s="2"/>
      <c r="V3946" s="2"/>
      <c r="W3946" s="2"/>
      <c r="X3946" s="19"/>
      <c r="Y3946" s="2"/>
      <c r="Z3946" s="5"/>
    </row>
    <row r="3947" spans="7:26" ht="75.75" customHeight="1" x14ac:dyDescent="0.25">
      <c r="G3947" s="5"/>
      <c r="H3947" s="2"/>
      <c r="I3947" s="2"/>
      <c r="K3947" s="2"/>
      <c r="L3947" s="2"/>
      <c r="M3947" s="2"/>
      <c r="N3947" s="2"/>
      <c r="O3947" s="2"/>
      <c r="P3947" s="2"/>
      <c r="Q3947" s="2"/>
      <c r="R3947" s="2"/>
      <c r="S3947" s="2"/>
      <c r="T3947" s="19"/>
      <c r="U3947" s="2"/>
      <c r="V3947" s="2"/>
      <c r="W3947" s="2"/>
      <c r="X3947" s="19"/>
      <c r="Y3947" s="2"/>
      <c r="Z3947" s="5"/>
    </row>
    <row r="3948" spans="7:26" ht="75.75" customHeight="1" x14ac:dyDescent="0.25">
      <c r="G3948" s="5"/>
      <c r="H3948" s="2"/>
      <c r="I3948" s="2"/>
      <c r="K3948" s="2"/>
      <c r="L3948" s="2"/>
      <c r="M3948" s="2"/>
      <c r="N3948" s="2"/>
      <c r="O3948" s="2"/>
      <c r="P3948" s="2"/>
      <c r="Q3948" s="2"/>
      <c r="R3948" s="2"/>
      <c r="S3948" s="2"/>
      <c r="T3948" s="19"/>
      <c r="U3948" s="2"/>
      <c r="V3948" s="2"/>
      <c r="W3948" s="2"/>
      <c r="X3948" s="19"/>
      <c r="Y3948" s="2"/>
      <c r="Z3948" s="5"/>
    </row>
    <row r="3949" spans="7:26" ht="75.75" customHeight="1" x14ac:dyDescent="0.25">
      <c r="G3949" s="5"/>
      <c r="H3949" s="2"/>
      <c r="I3949" s="2"/>
      <c r="K3949" s="2"/>
      <c r="L3949" s="2"/>
      <c r="M3949" s="2"/>
      <c r="N3949" s="2"/>
      <c r="O3949" s="2"/>
      <c r="P3949" s="2"/>
      <c r="Q3949" s="2"/>
      <c r="R3949" s="2"/>
      <c r="S3949" s="2"/>
      <c r="T3949" s="19"/>
      <c r="U3949" s="2"/>
      <c r="V3949" s="2"/>
      <c r="W3949" s="2"/>
      <c r="X3949" s="19"/>
      <c r="Y3949" s="2"/>
      <c r="Z3949" s="5"/>
    </row>
    <row r="3950" spans="7:26" ht="75.75" customHeight="1" x14ac:dyDescent="0.25">
      <c r="G3950" s="5"/>
      <c r="H3950" s="2"/>
      <c r="I3950" s="2"/>
      <c r="K3950" s="2"/>
      <c r="L3950" s="2"/>
      <c r="M3950" s="2"/>
      <c r="N3950" s="2"/>
      <c r="O3950" s="2"/>
      <c r="P3950" s="2"/>
      <c r="Q3950" s="2"/>
      <c r="R3950" s="2"/>
      <c r="S3950" s="2"/>
      <c r="T3950" s="19"/>
      <c r="U3950" s="2"/>
      <c r="V3950" s="2"/>
      <c r="W3950" s="2"/>
      <c r="X3950" s="19"/>
      <c r="Y3950" s="2"/>
      <c r="Z3950" s="5"/>
    </row>
    <row r="3951" spans="7:26" ht="75.75" customHeight="1" x14ac:dyDescent="0.25">
      <c r="G3951" s="5"/>
      <c r="H3951" s="2"/>
      <c r="I3951" s="2"/>
      <c r="K3951" s="2"/>
      <c r="L3951" s="2"/>
      <c r="M3951" s="2"/>
      <c r="N3951" s="2"/>
      <c r="O3951" s="2"/>
      <c r="P3951" s="2"/>
      <c r="Q3951" s="2"/>
      <c r="R3951" s="2"/>
      <c r="S3951" s="2"/>
      <c r="T3951" s="19"/>
      <c r="U3951" s="2"/>
      <c r="V3951" s="2"/>
      <c r="W3951" s="2"/>
      <c r="X3951" s="19"/>
      <c r="Y3951" s="2"/>
      <c r="Z3951" s="5"/>
    </row>
    <row r="3952" spans="7:26" ht="75.75" customHeight="1" x14ac:dyDescent="0.25">
      <c r="G3952" s="5"/>
      <c r="H3952" s="2"/>
      <c r="I3952" s="2"/>
      <c r="K3952" s="2"/>
      <c r="L3952" s="2"/>
      <c r="M3952" s="2"/>
      <c r="N3952" s="2"/>
      <c r="O3952" s="2"/>
      <c r="P3952" s="2"/>
      <c r="Q3952" s="2"/>
      <c r="R3952" s="2"/>
      <c r="S3952" s="2"/>
      <c r="T3952" s="19"/>
      <c r="U3952" s="2"/>
      <c r="V3952" s="2"/>
      <c r="W3952" s="2"/>
      <c r="X3952" s="19"/>
      <c r="Y3952" s="2"/>
      <c r="Z3952" s="5"/>
    </row>
    <row r="3953" spans="7:26" ht="75.75" customHeight="1" x14ac:dyDescent="0.25">
      <c r="G3953" s="5"/>
      <c r="H3953" s="2"/>
      <c r="I3953" s="2"/>
      <c r="K3953" s="2"/>
      <c r="L3953" s="2"/>
      <c r="M3953" s="2"/>
      <c r="N3953" s="2"/>
      <c r="O3953" s="2"/>
      <c r="P3953" s="2"/>
      <c r="Q3953" s="2"/>
      <c r="R3953" s="2"/>
      <c r="S3953" s="2"/>
      <c r="T3953" s="19"/>
      <c r="U3953" s="2"/>
      <c r="V3953" s="2"/>
      <c r="W3953" s="2"/>
      <c r="X3953" s="19"/>
      <c r="Y3953" s="2"/>
      <c r="Z3953" s="5"/>
    </row>
    <row r="3954" spans="7:26" ht="75.75" customHeight="1" x14ac:dyDescent="0.25">
      <c r="G3954" s="5"/>
      <c r="H3954" s="2"/>
      <c r="I3954" s="2"/>
      <c r="K3954" s="2"/>
      <c r="L3954" s="2"/>
      <c r="M3954" s="2"/>
      <c r="N3954" s="2"/>
      <c r="O3954" s="2"/>
      <c r="P3954" s="2"/>
      <c r="Q3954" s="2"/>
      <c r="R3954" s="2"/>
      <c r="S3954" s="2"/>
      <c r="T3954" s="19"/>
      <c r="U3954" s="2"/>
      <c r="V3954" s="2"/>
      <c r="W3954" s="2"/>
      <c r="X3954" s="19"/>
      <c r="Y3954" s="2"/>
      <c r="Z3954" s="5"/>
    </row>
    <row r="3955" spans="7:26" ht="75.75" customHeight="1" x14ac:dyDescent="0.25">
      <c r="G3955" s="5"/>
      <c r="H3955" s="2"/>
      <c r="I3955" s="2"/>
      <c r="K3955" s="2"/>
      <c r="L3955" s="2"/>
      <c r="M3955" s="2"/>
      <c r="N3955" s="2"/>
      <c r="O3955" s="2"/>
      <c r="P3955" s="2"/>
      <c r="Q3955" s="2"/>
      <c r="R3955" s="2"/>
      <c r="S3955" s="2"/>
      <c r="T3955" s="19"/>
      <c r="U3955" s="2"/>
      <c r="V3955" s="2"/>
      <c r="W3955" s="2"/>
      <c r="X3955" s="19"/>
      <c r="Y3955" s="2"/>
      <c r="Z3955" s="5"/>
    </row>
    <row r="3956" spans="7:26" ht="75.75" customHeight="1" x14ac:dyDescent="0.25">
      <c r="G3956" s="5"/>
      <c r="H3956" s="2"/>
      <c r="I3956" s="2"/>
      <c r="K3956" s="2"/>
      <c r="L3956" s="2"/>
      <c r="M3956" s="2"/>
      <c r="N3956" s="2"/>
      <c r="O3956" s="2"/>
      <c r="P3956" s="2"/>
      <c r="Q3956" s="2"/>
      <c r="R3956" s="2"/>
      <c r="S3956" s="2"/>
      <c r="T3956" s="19"/>
      <c r="U3956" s="2"/>
      <c r="V3956" s="2"/>
      <c r="W3956" s="2"/>
      <c r="X3956" s="19"/>
      <c r="Y3956" s="2"/>
      <c r="Z3956" s="5"/>
    </row>
    <row r="3957" spans="7:26" ht="75.75" customHeight="1" x14ac:dyDescent="0.25">
      <c r="G3957" s="5"/>
      <c r="H3957" s="2"/>
      <c r="I3957" s="2"/>
      <c r="K3957" s="2"/>
      <c r="L3957" s="2"/>
      <c r="M3957" s="2"/>
      <c r="N3957" s="2"/>
      <c r="O3957" s="2"/>
      <c r="P3957" s="2"/>
      <c r="Q3957" s="2"/>
      <c r="R3957" s="2"/>
      <c r="S3957" s="2"/>
      <c r="T3957" s="19"/>
      <c r="U3957" s="2"/>
      <c r="V3957" s="2"/>
      <c r="W3957" s="2"/>
      <c r="X3957" s="19"/>
      <c r="Y3957" s="2"/>
      <c r="Z3957" s="5"/>
    </row>
    <row r="3958" spans="7:26" ht="75.75" customHeight="1" x14ac:dyDescent="0.25">
      <c r="G3958" s="5"/>
      <c r="H3958" s="2"/>
      <c r="I3958" s="2"/>
      <c r="K3958" s="2"/>
      <c r="L3958" s="2"/>
      <c r="M3958" s="2"/>
      <c r="N3958" s="2"/>
      <c r="O3958" s="2"/>
      <c r="P3958" s="2"/>
      <c r="Q3958" s="2"/>
      <c r="R3958" s="2"/>
      <c r="S3958" s="2"/>
      <c r="T3958" s="19"/>
      <c r="U3958" s="2"/>
      <c r="V3958" s="2"/>
      <c r="W3958" s="2"/>
      <c r="X3958" s="19"/>
      <c r="Y3958" s="2"/>
      <c r="Z3958" s="5"/>
    </row>
    <row r="3959" spans="7:26" ht="75.75" customHeight="1" x14ac:dyDescent="0.25">
      <c r="G3959" s="5"/>
      <c r="H3959" s="2"/>
      <c r="I3959" s="2"/>
      <c r="K3959" s="2"/>
      <c r="L3959" s="2"/>
      <c r="M3959" s="2"/>
      <c r="N3959" s="2"/>
      <c r="O3959" s="2"/>
      <c r="P3959" s="2"/>
      <c r="Q3959" s="2"/>
      <c r="R3959" s="2"/>
      <c r="S3959" s="2"/>
      <c r="T3959" s="19"/>
      <c r="U3959" s="2"/>
      <c r="V3959" s="2"/>
      <c r="W3959" s="2"/>
      <c r="X3959" s="19"/>
      <c r="Y3959" s="2"/>
      <c r="Z3959" s="5"/>
    </row>
    <row r="3960" spans="7:26" ht="75.75" customHeight="1" x14ac:dyDescent="0.25">
      <c r="G3960" s="5"/>
      <c r="H3960" s="2"/>
      <c r="I3960" s="2"/>
      <c r="K3960" s="2"/>
      <c r="L3960" s="2"/>
      <c r="M3960" s="2"/>
      <c r="N3960" s="2"/>
      <c r="O3960" s="2"/>
      <c r="P3960" s="2"/>
      <c r="Q3960" s="2"/>
      <c r="R3960" s="2"/>
      <c r="S3960" s="2"/>
      <c r="T3960" s="19"/>
      <c r="U3960" s="2"/>
      <c r="V3960" s="2"/>
      <c r="W3960" s="2"/>
      <c r="X3960" s="19"/>
      <c r="Y3960" s="2"/>
      <c r="Z3960" s="5"/>
    </row>
    <row r="3961" spans="7:26" ht="75.75" customHeight="1" x14ac:dyDescent="0.25">
      <c r="G3961" s="5"/>
      <c r="H3961" s="2"/>
      <c r="I3961" s="2"/>
      <c r="K3961" s="2"/>
      <c r="L3961" s="2"/>
      <c r="M3961" s="2"/>
      <c r="N3961" s="2"/>
      <c r="O3961" s="2"/>
      <c r="P3961" s="2"/>
      <c r="Q3961" s="2"/>
      <c r="R3961" s="2"/>
      <c r="S3961" s="2"/>
      <c r="T3961" s="19"/>
      <c r="U3961" s="2"/>
      <c r="V3961" s="2"/>
      <c r="W3961" s="2"/>
      <c r="X3961" s="19"/>
      <c r="Y3961" s="2"/>
      <c r="Z3961" s="5"/>
    </row>
    <row r="3962" spans="7:26" ht="75.75" customHeight="1" x14ac:dyDescent="0.25">
      <c r="G3962" s="5"/>
      <c r="H3962" s="2"/>
      <c r="I3962" s="2"/>
      <c r="K3962" s="2"/>
      <c r="L3962" s="2"/>
      <c r="M3962" s="2"/>
      <c r="N3962" s="2"/>
      <c r="O3962" s="2"/>
      <c r="P3962" s="2"/>
      <c r="Q3962" s="2"/>
      <c r="R3962" s="2"/>
      <c r="S3962" s="2"/>
      <c r="T3962" s="19"/>
      <c r="U3962" s="2"/>
      <c r="V3962" s="2"/>
      <c r="W3962" s="2"/>
      <c r="X3962" s="19"/>
      <c r="Y3962" s="2"/>
      <c r="Z3962" s="5"/>
    </row>
    <row r="3963" spans="7:26" ht="75.75" customHeight="1" x14ac:dyDescent="0.25">
      <c r="G3963" s="5"/>
      <c r="H3963" s="2"/>
      <c r="I3963" s="2"/>
      <c r="K3963" s="2"/>
      <c r="L3963" s="2"/>
      <c r="M3963" s="2"/>
      <c r="N3963" s="2"/>
      <c r="O3963" s="2"/>
      <c r="P3963" s="2"/>
      <c r="Q3963" s="2"/>
      <c r="R3963" s="2"/>
      <c r="S3963" s="2"/>
      <c r="T3963" s="19"/>
      <c r="U3963" s="2"/>
      <c r="V3963" s="2"/>
      <c r="W3963" s="2"/>
      <c r="X3963" s="19"/>
      <c r="Y3963" s="2"/>
      <c r="Z3963" s="5"/>
    </row>
    <row r="3964" spans="7:26" ht="75.75" customHeight="1" x14ac:dyDescent="0.25">
      <c r="G3964" s="5"/>
      <c r="H3964" s="2"/>
      <c r="I3964" s="2"/>
      <c r="K3964" s="2"/>
      <c r="L3964" s="2"/>
      <c r="M3964" s="2"/>
      <c r="N3964" s="2"/>
      <c r="O3964" s="2"/>
      <c r="P3964" s="2"/>
      <c r="Q3964" s="2"/>
      <c r="R3964" s="2"/>
      <c r="S3964" s="2"/>
      <c r="T3964" s="19"/>
      <c r="U3964" s="2"/>
      <c r="V3964" s="2"/>
      <c r="W3964" s="2"/>
      <c r="X3964" s="19"/>
      <c r="Y3964" s="2"/>
      <c r="Z3964" s="5"/>
    </row>
    <row r="3965" spans="7:26" ht="75.75" customHeight="1" x14ac:dyDescent="0.25">
      <c r="G3965" s="5"/>
      <c r="H3965" s="2"/>
      <c r="I3965" s="2"/>
      <c r="K3965" s="2"/>
      <c r="L3965" s="2"/>
      <c r="M3965" s="2"/>
      <c r="N3965" s="2"/>
      <c r="O3965" s="2"/>
      <c r="P3965" s="2"/>
      <c r="Q3965" s="2"/>
      <c r="R3965" s="2"/>
      <c r="S3965" s="2"/>
      <c r="T3965" s="19"/>
      <c r="U3965" s="2"/>
      <c r="V3965" s="2"/>
      <c r="W3965" s="2"/>
      <c r="X3965" s="19"/>
      <c r="Y3965" s="2"/>
      <c r="Z3965" s="5"/>
    </row>
    <row r="3966" spans="7:26" ht="75.75" customHeight="1" x14ac:dyDescent="0.25">
      <c r="G3966" s="5"/>
      <c r="H3966" s="2"/>
      <c r="I3966" s="2"/>
      <c r="K3966" s="2"/>
      <c r="L3966" s="2"/>
      <c r="M3966" s="2"/>
      <c r="N3966" s="2"/>
      <c r="O3966" s="2"/>
      <c r="P3966" s="2"/>
      <c r="Q3966" s="2"/>
      <c r="R3966" s="2"/>
      <c r="S3966" s="2"/>
      <c r="T3966" s="19"/>
      <c r="U3966" s="2"/>
      <c r="V3966" s="2"/>
      <c r="W3966" s="2"/>
      <c r="X3966" s="19"/>
      <c r="Y3966" s="2"/>
      <c r="Z3966" s="5"/>
    </row>
    <row r="3967" spans="7:26" ht="75.75" customHeight="1" x14ac:dyDescent="0.25">
      <c r="G3967" s="5"/>
      <c r="H3967" s="2"/>
      <c r="I3967" s="2"/>
      <c r="K3967" s="2"/>
      <c r="L3967" s="2"/>
      <c r="M3967" s="2"/>
      <c r="N3967" s="2"/>
      <c r="O3967" s="2"/>
      <c r="P3967" s="2"/>
      <c r="Q3967" s="2"/>
      <c r="R3967" s="2"/>
      <c r="S3967" s="2"/>
      <c r="T3967" s="19"/>
      <c r="U3967" s="2"/>
      <c r="V3967" s="2"/>
      <c r="W3967" s="2"/>
      <c r="X3967" s="19"/>
      <c r="Y3967" s="2"/>
      <c r="Z3967" s="5"/>
    </row>
    <row r="3968" spans="7:26" ht="75.75" customHeight="1" x14ac:dyDescent="0.25">
      <c r="G3968" s="5"/>
      <c r="H3968" s="2"/>
      <c r="I3968" s="2"/>
      <c r="K3968" s="2"/>
      <c r="L3968" s="2"/>
      <c r="M3968" s="2"/>
      <c r="N3968" s="2"/>
      <c r="O3968" s="2"/>
      <c r="P3968" s="2"/>
      <c r="Q3968" s="2"/>
      <c r="R3968" s="2"/>
      <c r="S3968" s="2"/>
      <c r="T3968" s="19"/>
      <c r="U3968" s="2"/>
      <c r="V3968" s="2"/>
      <c r="W3968" s="2"/>
      <c r="X3968" s="19"/>
      <c r="Y3968" s="2"/>
      <c r="Z3968" s="5"/>
    </row>
    <row r="3969" spans="7:26" ht="75.75" customHeight="1" x14ac:dyDescent="0.25">
      <c r="G3969" s="5"/>
      <c r="H3969" s="2"/>
      <c r="I3969" s="2"/>
      <c r="K3969" s="2"/>
      <c r="L3969" s="2"/>
      <c r="M3969" s="2"/>
      <c r="N3969" s="2"/>
      <c r="O3969" s="2"/>
      <c r="P3969" s="2"/>
      <c r="Q3969" s="2"/>
      <c r="R3969" s="2"/>
      <c r="S3969" s="2"/>
      <c r="T3969" s="19"/>
      <c r="U3969" s="2"/>
      <c r="V3969" s="2"/>
      <c r="W3969" s="2"/>
      <c r="X3969" s="19"/>
      <c r="Y3969" s="2"/>
      <c r="Z3969" s="5"/>
    </row>
    <row r="3970" spans="7:26" ht="75.75" customHeight="1" x14ac:dyDescent="0.25">
      <c r="G3970" s="5"/>
      <c r="H3970" s="2"/>
      <c r="I3970" s="2"/>
      <c r="K3970" s="2"/>
      <c r="L3970" s="2"/>
      <c r="M3970" s="2"/>
      <c r="N3970" s="2"/>
      <c r="O3970" s="2"/>
      <c r="P3970" s="2"/>
      <c r="Q3970" s="2"/>
      <c r="R3970" s="2"/>
      <c r="S3970" s="2"/>
      <c r="T3970" s="19"/>
      <c r="U3970" s="2"/>
      <c r="V3970" s="2"/>
      <c r="W3970" s="2"/>
      <c r="X3970" s="19"/>
      <c r="Y3970" s="2"/>
      <c r="Z3970" s="5"/>
    </row>
    <row r="3971" spans="7:26" ht="75.75" customHeight="1" x14ac:dyDescent="0.25">
      <c r="G3971" s="5"/>
      <c r="H3971" s="2"/>
      <c r="I3971" s="2"/>
      <c r="K3971" s="2"/>
      <c r="L3971" s="2"/>
      <c r="M3971" s="2"/>
      <c r="N3971" s="2"/>
      <c r="O3971" s="2"/>
      <c r="P3971" s="2"/>
      <c r="Q3971" s="2"/>
      <c r="R3971" s="2"/>
      <c r="S3971" s="2"/>
      <c r="T3971" s="19"/>
      <c r="U3971" s="2"/>
      <c r="V3971" s="2"/>
      <c r="W3971" s="2"/>
      <c r="X3971" s="19"/>
      <c r="Y3971" s="2"/>
      <c r="Z3971" s="5"/>
    </row>
    <row r="3972" spans="7:26" ht="75.75" customHeight="1" x14ac:dyDescent="0.25">
      <c r="G3972" s="5"/>
      <c r="H3972" s="2"/>
      <c r="I3972" s="2"/>
      <c r="K3972" s="2"/>
      <c r="L3972" s="2"/>
      <c r="M3972" s="2"/>
      <c r="N3972" s="2"/>
      <c r="O3972" s="2"/>
      <c r="P3972" s="2"/>
      <c r="Q3972" s="2"/>
      <c r="R3972" s="2"/>
      <c r="S3972" s="2"/>
      <c r="T3972" s="19"/>
      <c r="U3972" s="2"/>
      <c r="V3972" s="2"/>
      <c r="W3972" s="2"/>
      <c r="X3972" s="19"/>
      <c r="Y3972" s="2"/>
      <c r="Z3972" s="5"/>
    </row>
    <row r="3973" spans="7:26" ht="75.75" customHeight="1" x14ac:dyDescent="0.25">
      <c r="G3973" s="5"/>
      <c r="H3973" s="2"/>
      <c r="I3973" s="2"/>
      <c r="K3973" s="2"/>
      <c r="L3973" s="2"/>
      <c r="M3973" s="2"/>
      <c r="N3973" s="2"/>
      <c r="O3973" s="2"/>
      <c r="P3973" s="2"/>
      <c r="Q3973" s="2"/>
      <c r="R3973" s="2"/>
      <c r="S3973" s="2"/>
      <c r="T3973" s="19"/>
      <c r="U3973" s="2"/>
      <c r="V3973" s="2"/>
      <c r="W3973" s="2"/>
      <c r="X3973" s="19"/>
      <c r="Y3973" s="2"/>
      <c r="Z3973" s="5"/>
    </row>
    <row r="3974" spans="7:26" ht="75.75" customHeight="1" x14ac:dyDescent="0.25">
      <c r="G3974" s="5"/>
      <c r="H3974" s="2"/>
      <c r="I3974" s="2"/>
      <c r="K3974" s="2"/>
      <c r="L3974" s="2"/>
      <c r="M3974" s="2"/>
      <c r="N3974" s="2"/>
      <c r="O3974" s="2"/>
      <c r="P3974" s="2"/>
      <c r="Q3974" s="2"/>
      <c r="R3974" s="2"/>
      <c r="S3974" s="2"/>
      <c r="T3974" s="19"/>
      <c r="U3974" s="2"/>
      <c r="V3974" s="2"/>
      <c r="W3974" s="2"/>
      <c r="X3974" s="19"/>
      <c r="Y3974" s="2"/>
      <c r="Z3974" s="5"/>
    </row>
    <row r="3975" spans="7:26" ht="75.75" customHeight="1" x14ac:dyDescent="0.25">
      <c r="G3975" s="5"/>
      <c r="H3975" s="2"/>
      <c r="I3975" s="2"/>
      <c r="K3975" s="2"/>
      <c r="L3975" s="2"/>
      <c r="M3975" s="2"/>
      <c r="N3975" s="2"/>
      <c r="O3975" s="2"/>
      <c r="P3975" s="2"/>
      <c r="Q3975" s="2"/>
      <c r="R3975" s="2"/>
      <c r="S3975" s="2"/>
      <c r="T3975" s="19"/>
      <c r="U3975" s="2"/>
      <c r="V3975" s="2"/>
      <c r="W3975" s="2"/>
      <c r="X3975" s="19"/>
      <c r="Y3975" s="2"/>
      <c r="Z3975" s="5"/>
    </row>
    <row r="3976" spans="7:26" ht="75.75" customHeight="1" x14ac:dyDescent="0.25">
      <c r="G3976" s="5"/>
      <c r="H3976" s="2"/>
      <c r="I3976" s="2"/>
      <c r="K3976" s="2"/>
      <c r="L3976" s="2"/>
      <c r="M3976" s="2"/>
      <c r="N3976" s="2"/>
      <c r="O3976" s="2"/>
      <c r="P3976" s="2"/>
      <c r="Q3976" s="2"/>
      <c r="R3976" s="2"/>
      <c r="S3976" s="2"/>
      <c r="T3976" s="19"/>
      <c r="U3976" s="2"/>
      <c r="V3976" s="2"/>
      <c r="W3976" s="2"/>
      <c r="X3976" s="19"/>
      <c r="Y3976" s="2"/>
      <c r="Z3976" s="5"/>
    </row>
    <row r="3977" spans="7:26" ht="75.75" customHeight="1" x14ac:dyDescent="0.25">
      <c r="G3977" s="5"/>
      <c r="H3977" s="2"/>
      <c r="I3977" s="2"/>
      <c r="K3977" s="2"/>
      <c r="L3977" s="2"/>
      <c r="M3977" s="2"/>
      <c r="N3977" s="2"/>
      <c r="O3977" s="2"/>
      <c r="P3977" s="2"/>
      <c r="Q3977" s="2"/>
      <c r="R3977" s="2"/>
      <c r="S3977" s="2"/>
      <c r="T3977" s="19"/>
      <c r="U3977" s="2"/>
      <c r="V3977" s="2"/>
      <c r="W3977" s="2"/>
      <c r="X3977" s="19"/>
      <c r="Y3977" s="2"/>
      <c r="Z3977" s="5"/>
    </row>
    <row r="3978" spans="7:26" ht="75.75" customHeight="1" x14ac:dyDescent="0.25">
      <c r="G3978" s="5"/>
      <c r="H3978" s="2"/>
      <c r="I3978" s="2"/>
      <c r="K3978" s="2"/>
      <c r="L3978" s="2"/>
      <c r="M3978" s="2"/>
      <c r="N3978" s="2"/>
      <c r="O3978" s="2"/>
      <c r="P3978" s="2"/>
      <c r="Q3978" s="2"/>
      <c r="R3978" s="2"/>
      <c r="S3978" s="2"/>
      <c r="T3978" s="19"/>
      <c r="U3978" s="2"/>
      <c r="V3978" s="2"/>
      <c r="W3978" s="2"/>
      <c r="X3978" s="19"/>
      <c r="Y3978" s="2"/>
      <c r="Z3978" s="5"/>
    </row>
    <row r="3979" spans="7:26" ht="75.75" customHeight="1" x14ac:dyDescent="0.25">
      <c r="G3979" s="5"/>
      <c r="H3979" s="2"/>
      <c r="I3979" s="2"/>
      <c r="K3979" s="2"/>
      <c r="L3979" s="2"/>
      <c r="M3979" s="2"/>
      <c r="N3979" s="2"/>
      <c r="O3979" s="2"/>
      <c r="P3979" s="2"/>
      <c r="Q3979" s="2"/>
      <c r="R3979" s="2"/>
      <c r="S3979" s="2"/>
      <c r="T3979" s="19"/>
      <c r="U3979" s="2"/>
      <c r="V3979" s="2"/>
      <c r="W3979" s="2"/>
      <c r="X3979" s="19"/>
      <c r="Y3979" s="2"/>
      <c r="Z3979" s="5"/>
    </row>
    <row r="3980" spans="7:26" ht="75.75" customHeight="1" x14ac:dyDescent="0.25">
      <c r="G3980" s="5"/>
      <c r="H3980" s="2"/>
      <c r="I3980" s="2"/>
      <c r="K3980" s="2"/>
      <c r="L3980" s="2"/>
      <c r="M3980" s="2"/>
      <c r="N3980" s="2"/>
      <c r="O3980" s="2"/>
      <c r="P3980" s="2"/>
      <c r="Q3980" s="2"/>
      <c r="R3980" s="2"/>
      <c r="S3980" s="2"/>
      <c r="T3980" s="19"/>
      <c r="U3980" s="2"/>
      <c r="V3980" s="2"/>
      <c r="W3980" s="2"/>
      <c r="X3980" s="19"/>
      <c r="Y3980" s="2"/>
      <c r="Z3980" s="5"/>
    </row>
    <row r="3981" spans="7:26" ht="75.75" customHeight="1" x14ac:dyDescent="0.25">
      <c r="G3981" s="5"/>
      <c r="H3981" s="2"/>
      <c r="I3981" s="2"/>
      <c r="K3981" s="2"/>
      <c r="L3981" s="2"/>
      <c r="M3981" s="2"/>
      <c r="N3981" s="2"/>
      <c r="O3981" s="2"/>
      <c r="P3981" s="2"/>
      <c r="Q3981" s="2"/>
      <c r="R3981" s="2"/>
      <c r="S3981" s="2"/>
      <c r="T3981" s="19"/>
      <c r="U3981" s="2"/>
      <c r="V3981" s="2"/>
      <c r="W3981" s="2"/>
      <c r="X3981" s="19"/>
      <c r="Y3981" s="2"/>
      <c r="Z3981" s="5"/>
    </row>
    <row r="3982" spans="7:26" ht="75.75" customHeight="1" x14ac:dyDescent="0.25">
      <c r="G3982" s="5"/>
      <c r="H3982" s="2"/>
      <c r="I3982" s="2"/>
      <c r="K3982" s="2"/>
      <c r="L3982" s="2"/>
      <c r="M3982" s="2"/>
      <c r="N3982" s="2"/>
      <c r="O3982" s="2"/>
      <c r="P3982" s="2"/>
      <c r="Q3982" s="2"/>
      <c r="R3982" s="2"/>
      <c r="S3982" s="2"/>
      <c r="T3982" s="19"/>
      <c r="U3982" s="2"/>
      <c r="V3982" s="2"/>
      <c r="W3982" s="2"/>
      <c r="X3982" s="19"/>
      <c r="Y3982" s="2"/>
      <c r="Z3982" s="5"/>
    </row>
    <row r="3983" spans="7:26" ht="75.75" customHeight="1" x14ac:dyDescent="0.25">
      <c r="G3983" s="5"/>
      <c r="H3983" s="2"/>
      <c r="I3983" s="2"/>
      <c r="K3983" s="2"/>
      <c r="L3983" s="2"/>
      <c r="M3983" s="2"/>
      <c r="N3983" s="2"/>
      <c r="O3983" s="2"/>
      <c r="P3983" s="2"/>
      <c r="Q3983" s="2"/>
      <c r="R3983" s="2"/>
      <c r="S3983" s="2"/>
      <c r="T3983" s="19"/>
      <c r="U3983" s="2"/>
      <c r="V3983" s="2"/>
      <c r="W3983" s="2"/>
      <c r="X3983" s="19"/>
      <c r="Y3983" s="2"/>
      <c r="Z3983" s="5"/>
    </row>
    <row r="3984" spans="7:26" ht="75.75" customHeight="1" x14ac:dyDescent="0.25">
      <c r="G3984" s="5"/>
      <c r="H3984" s="2"/>
      <c r="I3984" s="2"/>
      <c r="K3984" s="2"/>
      <c r="L3984" s="2"/>
      <c r="M3984" s="2"/>
      <c r="N3984" s="2"/>
      <c r="O3984" s="2"/>
      <c r="P3984" s="2"/>
      <c r="Q3984" s="2"/>
      <c r="R3984" s="2"/>
      <c r="S3984" s="2"/>
      <c r="T3984" s="19"/>
      <c r="U3984" s="2"/>
      <c r="V3984" s="2"/>
      <c r="W3984" s="2"/>
      <c r="X3984" s="19"/>
      <c r="Y3984" s="2"/>
      <c r="Z3984" s="5"/>
    </row>
    <row r="3985" spans="7:26" ht="75.75" customHeight="1" x14ac:dyDescent="0.25">
      <c r="G3985" s="5"/>
      <c r="H3985" s="2"/>
      <c r="I3985" s="2"/>
      <c r="K3985" s="2"/>
      <c r="L3985" s="2"/>
      <c r="M3985" s="2"/>
      <c r="N3985" s="2"/>
      <c r="O3985" s="2"/>
      <c r="P3985" s="2"/>
      <c r="Q3985" s="2"/>
      <c r="R3985" s="2"/>
      <c r="S3985" s="2"/>
      <c r="T3985" s="19"/>
      <c r="U3985" s="2"/>
      <c r="V3985" s="2"/>
      <c r="W3985" s="2"/>
      <c r="X3985" s="19"/>
      <c r="Y3985" s="2"/>
      <c r="Z3985" s="5"/>
    </row>
    <row r="3986" spans="7:26" ht="75.75" customHeight="1" x14ac:dyDescent="0.25">
      <c r="G3986" s="5"/>
      <c r="H3986" s="2"/>
      <c r="I3986" s="2"/>
      <c r="K3986" s="2"/>
      <c r="L3986" s="2"/>
      <c r="M3986" s="2"/>
      <c r="N3986" s="2"/>
      <c r="O3986" s="2"/>
      <c r="P3986" s="2"/>
      <c r="Q3986" s="2"/>
      <c r="R3986" s="2"/>
      <c r="S3986" s="2"/>
      <c r="T3986" s="19"/>
      <c r="U3986" s="2"/>
      <c r="V3986" s="2"/>
      <c r="W3986" s="2"/>
      <c r="X3986" s="19"/>
      <c r="Y3986" s="2"/>
      <c r="Z3986" s="5"/>
    </row>
    <row r="3987" spans="7:26" ht="75.75" customHeight="1" x14ac:dyDescent="0.25">
      <c r="G3987" s="5"/>
      <c r="H3987" s="2"/>
      <c r="I3987" s="2"/>
      <c r="K3987" s="2"/>
      <c r="L3987" s="2"/>
      <c r="M3987" s="2"/>
      <c r="N3987" s="2"/>
      <c r="O3987" s="2"/>
      <c r="P3987" s="2"/>
      <c r="Q3987" s="2"/>
      <c r="R3987" s="2"/>
      <c r="S3987" s="2"/>
      <c r="T3987" s="19"/>
      <c r="U3987" s="2"/>
      <c r="V3987" s="2"/>
      <c r="W3987" s="2"/>
      <c r="X3987" s="19"/>
      <c r="Y3987" s="2"/>
      <c r="Z3987" s="5"/>
    </row>
    <row r="3988" spans="7:26" ht="75.75" customHeight="1" x14ac:dyDescent="0.25">
      <c r="G3988" s="5"/>
      <c r="H3988" s="2"/>
      <c r="I3988" s="2"/>
      <c r="K3988" s="2"/>
      <c r="L3988" s="2"/>
      <c r="M3988" s="2"/>
      <c r="N3988" s="2"/>
      <c r="O3988" s="2"/>
      <c r="P3988" s="2"/>
      <c r="Q3988" s="2"/>
      <c r="R3988" s="2"/>
      <c r="S3988" s="2"/>
      <c r="T3988" s="19"/>
      <c r="U3988" s="2"/>
      <c r="V3988" s="2"/>
      <c r="W3988" s="2"/>
      <c r="X3988" s="19"/>
      <c r="Y3988" s="2"/>
      <c r="Z3988" s="5"/>
    </row>
    <row r="3989" spans="7:26" ht="75.75" customHeight="1" x14ac:dyDescent="0.25">
      <c r="G3989" s="5"/>
      <c r="H3989" s="2"/>
      <c r="I3989" s="2"/>
      <c r="K3989" s="2"/>
      <c r="L3989" s="2"/>
      <c r="M3989" s="2"/>
      <c r="N3989" s="2"/>
      <c r="O3989" s="2"/>
      <c r="P3989" s="2"/>
      <c r="Q3989" s="2"/>
      <c r="R3989" s="2"/>
      <c r="S3989" s="2"/>
      <c r="T3989" s="19"/>
      <c r="U3989" s="2"/>
      <c r="V3989" s="2"/>
      <c r="W3989" s="2"/>
      <c r="X3989" s="19"/>
      <c r="Y3989" s="2"/>
      <c r="Z3989" s="5"/>
    </row>
    <row r="3990" spans="7:26" ht="75.75" customHeight="1" x14ac:dyDescent="0.25">
      <c r="G3990" s="5"/>
      <c r="H3990" s="2"/>
      <c r="I3990" s="2"/>
      <c r="K3990" s="2"/>
      <c r="L3990" s="2"/>
      <c r="M3990" s="2"/>
      <c r="N3990" s="2"/>
      <c r="O3990" s="2"/>
      <c r="P3990" s="2"/>
      <c r="Q3990" s="2"/>
      <c r="R3990" s="2"/>
      <c r="S3990" s="2"/>
      <c r="T3990" s="19"/>
      <c r="U3990" s="2"/>
      <c r="V3990" s="2"/>
      <c r="W3990" s="2"/>
      <c r="X3990" s="19"/>
      <c r="Y3990" s="2"/>
      <c r="Z3990" s="5"/>
    </row>
    <row r="3991" spans="7:26" ht="75.75" customHeight="1" x14ac:dyDescent="0.25">
      <c r="G3991" s="5"/>
      <c r="H3991" s="2"/>
      <c r="I3991" s="2"/>
      <c r="K3991" s="2"/>
      <c r="L3991" s="2"/>
      <c r="M3991" s="2"/>
      <c r="N3991" s="2"/>
      <c r="O3991" s="2"/>
      <c r="P3991" s="2"/>
      <c r="Q3991" s="2"/>
      <c r="R3991" s="2"/>
      <c r="S3991" s="2"/>
      <c r="T3991" s="19"/>
      <c r="U3991" s="2"/>
      <c r="V3991" s="2"/>
      <c r="W3991" s="2"/>
      <c r="X3991" s="19"/>
      <c r="Y3991" s="2"/>
      <c r="Z3991" s="5"/>
    </row>
    <row r="3992" spans="7:26" ht="75.75" customHeight="1" x14ac:dyDescent="0.25">
      <c r="G3992" s="5"/>
      <c r="H3992" s="2"/>
      <c r="I3992" s="2"/>
      <c r="K3992" s="2"/>
      <c r="L3992" s="2"/>
      <c r="M3992" s="2"/>
      <c r="N3992" s="2"/>
      <c r="O3992" s="2"/>
      <c r="P3992" s="2"/>
      <c r="Q3992" s="2"/>
      <c r="R3992" s="2"/>
      <c r="S3992" s="2"/>
      <c r="T3992" s="19"/>
      <c r="U3992" s="2"/>
      <c r="V3992" s="2"/>
      <c r="W3992" s="2"/>
      <c r="X3992" s="19"/>
      <c r="Y3992" s="2"/>
      <c r="Z3992" s="5"/>
    </row>
    <row r="3993" spans="7:26" ht="75.75" customHeight="1" x14ac:dyDescent="0.25">
      <c r="G3993" s="5"/>
      <c r="H3993" s="2"/>
      <c r="I3993" s="2"/>
      <c r="K3993" s="2"/>
      <c r="L3993" s="2"/>
      <c r="M3993" s="2"/>
      <c r="N3993" s="2"/>
      <c r="O3993" s="2"/>
      <c r="P3993" s="2"/>
      <c r="Q3993" s="2"/>
      <c r="R3993" s="2"/>
      <c r="S3993" s="2"/>
      <c r="T3993" s="19"/>
      <c r="U3993" s="2"/>
      <c r="V3993" s="2"/>
      <c r="W3993" s="2"/>
      <c r="X3993" s="19"/>
      <c r="Y3993" s="2"/>
      <c r="Z3993" s="5"/>
    </row>
    <row r="3994" spans="7:26" ht="75.75" customHeight="1" x14ac:dyDescent="0.25">
      <c r="G3994" s="5"/>
      <c r="H3994" s="2"/>
      <c r="I3994" s="2"/>
      <c r="K3994" s="2"/>
      <c r="L3994" s="2"/>
      <c r="M3994" s="2"/>
      <c r="N3994" s="2"/>
      <c r="O3994" s="2"/>
      <c r="P3994" s="2"/>
      <c r="Q3994" s="2"/>
      <c r="R3994" s="2"/>
      <c r="S3994" s="2"/>
      <c r="T3994" s="19"/>
      <c r="U3994" s="2"/>
      <c r="V3994" s="2"/>
      <c r="W3994" s="2"/>
      <c r="X3994" s="19"/>
      <c r="Y3994" s="2"/>
      <c r="Z3994" s="5"/>
    </row>
    <row r="3995" spans="7:26" ht="75.75" customHeight="1" x14ac:dyDescent="0.25">
      <c r="G3995" s="5"/>
      <c r="H3995" s="2"/>
      <c r="I3995" s="2"/>
      <c r="K3995" s="2"/>
      <c r="L3995" s="2"/>
      <c r="M3995" s="2"/>
      <c r="N3995" s="2"/>
      <c r="O3995" s="2"/>
      <c r="P3995" s="2"/>
      <c r="Q3995" s="2"/>
      <c r="R3995" s="2"/>
      <c r="S3995" s="2"/>
      <c r="T3995" s="19"/>
      <c r="U3995" s="2"/>
      <c r="V3995" s="2"/>
      <c r="W3995" s="2"/>
      <c r="X3995" s="19"/>
      <c r="Y3995" s="2"/>
      <c r="Z3995" s="5"/>
    </row>
    <row r="3996" spans="7:26" ht="75.75" customHeight="1" x14ac:dyDescent="0.25">
      <c r="G3996" s="5"/>
      <c r="H3996" s="2"/>
      <c r="I3996" s="2"/>
      <c r="K3996" s="2"/>
      <c r="L3996" s="2"/>
      <c r="M3996" s="2"/>
      <c r="N3996" s="2"/>
      <c r="O3996" s="2"/>
      <c r="P3996" s="2"/>
      <c r="Q3996" s="2"/>
      <c r="R3996" s="2"/>
      <c r="S3996" s="2"/>
      <c r="T3996" s="19"/>
      <c r="U3996" s="2"/>
      <c r="V3996" s="2"/>
      <c r="W3996" s="2"/>
      <c r="X3996" s="19"/>
      <c r="Y3996" s="2"/>
      <c r="Z3996" s="5"/>
    </row>
    <row r="3997" spans="7:26" ht="75.75" customHeight="1" x14ac:dyDescent="0.25">
      <c r="G3997" s="5"/>
      <c r="H3997" s="2"/>
      <c r="I3997" s="2"/>
      <c r="K3997" s="2"/>
      <c r="L3997" s="2"/>
      <c r="M3997" s="2"/>
      <c r="N3997" s="2"/>
      <c r="O3997" s="2"/>
      <c r="P3997" s="2"/>
      <c r="Q3997" s="2"/>
      <c r="R3997" s="2"/>
      <c r="S3997" s="2"/>
      <c r="T3997" s="19"/>
      <c r="U3997" s="2"/>
      <c r="V3997" s="2"/>
      <c r="W3997" s="2"/>
      <c r="X3997" s="19"/>
      <c r="Y3997" s="2"/>
      <c r="Z3997" s="5"/>
    </row>
    <row r="3998" spans="7:26" ht="75.75" customHeight="1" x14ac:dyDescent="0.25">
      <c r="G3998" s="5"/>
      <c r="H3998" s="2"/>
      <c r="I3998" s="2"/>
      <c r="K3998" s="2"/>
      <c r="L3998" s="2"/>
      <c r="M3998" s="2"/>
      <c r="N3998" s="2"/>
      <c r="O3998" s="2"/>
      <c r="P3998" s="2"/>
      <c r="Q3998" s="2"/>
      <c r="R3998" s="2"/>
      <c r="S3998" s="2"/>
      <c r="T3998" s="19"/>
      <c r="U3998" s="2"/>
      <c r="V3998" s="2"/>
      <c r="W3998" s="2"/>
      <c r="X3998" s="19"/>
      <c r="Y3998" s="2"/>
      <c r="Z3998" s="5"/>
    </row>
    <row r="3999" spans="7:26" ht="75.75" customHeight="1" x14ac:dyDescent="0.25">
      <c r="G3999" s="5"/>
      <c r="H3999" s="2"/>
      <c r="I3999" s="2"/>
      <c r="K3999" s="2"/>
      <c r="L3999" s="2"/>
      <c r="M3999" s="2"/>
      <c r="N3999" s="2"/>
      <c r="O3999" s="2"/>
      <c r="P3999" s="2"/>
      <c r="Q3999" s="2"/>
      <c r="R3999" s="2"/>
      <c r="S3999" s="2"/>
      <c r="T3999" s="19"/>
      <c r="U3999" s="2"/>
      <c r="V3999" s="2"/>
      <c r="W3999" s="2"/>
      <c r="X3999" s="19"/>
      <c r="Y3999" s="2"/>
      <c r="Z3999" s="5"/>
    </row>
    <row r="4000" spans="7:26" ht="75.75" customHeight="1" x14ac:dyDescent="0.25">
      <c r="G4000" s="5"/>
      <c r="H4000" s="2"/>
      <c r="I4000" s="2"/>
      <c r="K4000" s="2"/>
      <c r="L4000" s="2"/>
      <c r="M4000" s="2"/>
      <c r="N4000" s="2"/>
      <c r="O4000" s="2"/>
      <c r="P4000" s="2"/>
      <c r="Q4000" s="2"/>
      <c r="R4000" s="2"/>
      <c r="S4000" s="2"/>
      <c r="T4000" s="19"/>
      <c r="U4000" s="2"/>
      <c r="V4000" s="2"/>
      <c r="W4000" s="2"/>
      <c r="X4000" s="19"/>
      <c r="Y4000" s="2"/>
      <c r="Z4000" s="5"/>
    </row>
    <row r="4001" spans="7:26" ht="75.75" customHeight="1" x14ac:dyDescent="0.25">
      <c r="G4001" s="5"/>
      <c r="H4001" s="2"/>
      <c r="I4001" s="2"/>
      <c r="K4001" s="2"/>
      <c r="L4001" s="2"/>
      <c r="M4001" s="2"/>
      <c r="N4001" s="2"/>
      <c r="O4001" s="2"/>
      <c r="P4001" s="2"/>
      <c r="Q4001" s="2"/>
      <c r="R4001" s="2"/>
      <c r="S4001" s="2"/>
      <c r="T4001" s="19"/>
      <c r="U4001" s="2"/>
      <c r="V4001" s="2"/>
      <c r="W4001" s="2"/>
      <c r="X4001" s="19"/>
      <c r="Y4001" s="2"/>
      <c r="Z4001" s="5"/>
    </row>
    <row r="4002" spans="7:26" ht="75.75" customHeight="1" x14ac:dyDescent="0.25">
      <c r="G4002" s="5"/>
      <c r="H4002" s="2"/>
      <c r="I4002" s="2"/>
      <c r="K4002" s="2"/>
      <c r="L4002" s="2"/>
      <c r="M4002" s="2"/>
      <c r="N4002" s="2"/>
      <c r="O4002" s="2"/>
      <c r="P4002" s="2"/>
      <c r="Q4002" s="2"/>
      <c r="R4002" s="2"/>
      <c r="S4002" s="2"/>
      <c r="T4002" s="19"/>
      <c r="U4002" s="2"/>
      <c r="V4002" s="2"/>
      <c r="W4002" s="2"/>
      <c r="X4002" s="19"/>
      <c r="Y4002" s="2"/>
      <c r="Z4002" s="5"/>
    </row>
    <row r="4003" spans="7:26" ht="75.75" customHeight="1" x14ac:dyDescent="0.25">
      <c r="G4003" s="5"/>
      <c r="H4003" s="2"/>
      <c r="I4003" s="2"/>
      <c r="K4003" s="2"/>
      <c r="L4003" s="2"/>
      <c r="M4003" s="2"/>
      <c r="N4003" s="2"/>
      <c r="O4003" s="2"/>
      <c r="P4003" s="2"/>
      <c r="Q4003" s="2"/>
      <c r="R4003" s="2"/>
      <c r="S4003" s="2"/>
      <c r="T4003" s="19"/>
      <c r="U4003" s="2"/>
      <c r="V4003" s="2"/>
      <c r="W4003" s="2"/>
      <c r="X4003" s="19"/>
      <c r="Y4003" s="2"/>
      <c r="Z4003" s="5"/>
    </row>
    <row r="4004" spans="7:26" ht="75.75" customHeight="1" x14ac:dyDescent="0.25">
      <c r="G4004" s="5"/>
      <c r="H4004" s="2"/>
      <c r="I4004" s="2"/>
      <c r="K4004" s="2"/>
      <c r="L4004" s="2"/>
      <c r="M4004" s="2"/>
      <c r="N4004" s="2"/>
      <c r="O4004" s="2"/>
      <c r="P4004" s="2"/>
      <c r="Q4004" s="2"/>
      <c r="R4004" s="2"/>
      <c r="S4004" s="2"/>
      <c r="T4004" s="19"/>
      <c r="U4004" s="2"/>
      <c r="V4004" s="2"/>
      <c r="W4004" s="2"/>
      <c r="X4004" s="19"/>
      <c r="Y4004" s="2"/>
      <c r="Z4004" s="5"/>
    </row>
    <row r="4005" spans="7:26" ht="75.75" customHeight="1" x14ac:dyDescent="0.25">
      <c r="G4005" s="5"/>
      <c r="H4005" s="2"/>
      <c r="I4005" s="2"/>
      <c r="K4005" s="2"/>
      <c r="L4005" s="2"/>
      <c r="M4005" s="2"/>
      <c r="N4005" s="2"/>
      <c r="O4005" s="2"/>
      <c r="P4005" s="2"/>
      <c r="Q4005" s="2"/>
      <c r="R4005" s="2"/>
      <c r="S4005" s="2"/>
      <c r="T4005" s="19"/>
      <c r="U4005" s="2"/>
      <c r="V4005" s="2"/>
      <c r="W4005" s="2"/>
      <c r="X4005" s="19"/>
      <c r="Y4005" s="2"/>
      <c r="Z4005" s="5"/>
    </row>
    <row r="4006" spans="7:26" ht="75.75" customHeight="1" x14ac:dyDescent="0.25">
      <c r="G4006" s="5"/>
      <c r="H4006" s="2"/>
      <c r="I4006" s="2"/>
      <c r="K4006" s="2"/>
      <c r="L4006" s="2"/>
      <c r="M4006" s="2"/>
      <c r="N4006" s="2"/>
      <c r="O4006" s="2"/>
      <c r="P4006" s="2"/>
      <c r="Q4006" s="2"/>
      <c r="R4006" s="2"/>
      <c r="S4006" s="2"/>
      <c r="T4006" s="19"/>
      <c r="U4006" s="2"/>
      <c r="V4006" s="2"/>
      <c r="W4006" s="2"/>
      <c r="X4006" s="19"/>
      <c r="Y4006" s="2"/>
      <c r="Z4006" s="5"/>
    </row>
    <row r="4007" spans="7:26" ht="75.75" customHeight="1" x14ac:dyDescent="0.25">
      <c r="G4007" s="5"/>
      <c r="H4007" s="2"/>
      <c r="I4007" s="2"/>
      <c r="K4007" s="2"/>
      <c r="L4007" s="2"/>
      <c r="M4007" s="2"/>
      <c r="N4007" s="2"/>
      <c r="O4007" s="2"/>
      <c r="P4007" s="2"/>
      <c r="Q4007" s="2"/>
      <c r="R4007" s="2"/>
      <c r="S4007" s="2"/>
      <c r="T4007" s="19"/>
      <c r="U4007" s="2"/>
      <c r="V4007" s="2"/>
      <c r="W4007" s="2"/>
      <c r="X4007" s="19"/>
      <c r="Y4007" s="2"/>
      <c r="Z4007" s="5"/>
    </row>
    <row r="4008" spans="7:26" ht="75.75" customHeight="1" x14ac:dyDescent="0.25">
      <c r="G4008" s="5"/>
      <c r="H4008" s="2"/>
      <c r="I4008" s="2"/>
      <c r="K4008" s="2"/>
      <c r="L4008" s="2"/>
      <c r="M4008" s="2"/>
      <c r="N4008" s="2"/>
      <c r="O4008" s="2"/>
      <c r="P4008" s="2"/>
      <c r="Q4008" s="2"/>
      <c r="R4008" s="2"/>
      <c r="S4008" s="2"/>
      <c r="T4008" s="19"/>
      <c r="U4008" s="2"/>
      <c r="V4008" s="2"/>
      <c r="W4008" s="2"/>
      <c r="X4008" s="19"/>
      <c r="Y4008" s="2"/>
      <c r="Z4008" s="5"/>
    </row>
    <row r="4009" spans="7:26" ht="75.75" customHeight="1" x14ac:dyDescent="0.25">
      <c r="G4009" s="5"/>
      <c r="H4009" s="2"/>
      <c r="I4009" s="2"/>
      <c r="K4009" s="2"/>
      <c r="L4009" s="2"/>
      <c r="M4009" s="2"/>
      <c r="N4009" s="2"/>
      <c r="O4009" s="2"/>
      <c r="P4009" s="2"/>
      <c r="Q4009" s="2"/>
      <c r="R4009" s="2"/>
      <c r="S4009" s="2"/>
      <c r="T4009" s="19"/>
      <c r="U4009" s="2"/>
      <c r="V4009" s="2"/>
      <c r="W4009" s="2"/>
      <c r="X4009" s="19"/>
      <c r="Y4009" s="2"/>
      <c r="Z4009" s="5"/>
    </row>
    <row r="4010" spans="7:26" ht="75.75" customHeight="1" x14ac:dyDescent="0.25">
      <c r="G4010" s="5"/>
      <c r="H4010" s="2"/>
      <c r="I4010" s="2"/>
      <c r="K4010" s="2"/>
      <c r="L4010" s="2"/>
      <c r="M4010" s="2"/>
      <c r="N4010" s="2"/>
      <c r="O4010" s="2"/>
      <c r="P4010" s="2"/>
      <c r="Q4010" s="2"/>
      <c r="R4010" s="2"/>
      <c r="S4010" s="2"/>
      <c r="T4010" s="19"/>
      <c r="U4010" s="2"/>
      <c r="V4010" s="2"/>
      <c r="W4010" s="2"/>
      <c r="X4010" s="19"/>
      <c r="Y4010" s="2"/>
      <c r="Z4010" s="5"/>
    </row>
    <row r="4011" spans="7:26" ht="75.75" customHeight="1" x14ac:dyDescent="0.25">
      <c r="G4011" s="5"/>
      <c r="H4011" s="2"/>
      <c r="I4011" s="2"/>
      <c r="K4011" s="2"/>
      <c r="L4011" s="2"/>
      <c r="M4011" s="2"/>
      <c r="N4011" s="2"/>
      <c r="O4011" s="2"/>
      <c r="P4011" s="2"/>
      <c r="Q4011" s="2"/>
      <c r="R4011" s="2"/>
      <c r="S4011" s="2"/>
      <c r="T4011" s="19"/>
      <c r="U4011" s="2"/>
      <c r="V4011" s="2"/>
      <c r="W4011" s="2"/>
      <c r="X4011" s="19"/>
      <c r="Y4011" s="2"/>
      <c r="Z4011" s="5"/>
    </row>
    <row r="4012" spans="7:26" ht="75.75" customHeight="1" x14ac:dyDescent="0.25">
      <c r="G4012" s="5"/>
      <c r="H4012" s="2"/>
      <c r="I4012" s="2"/>
      <c r="K4012" s="2"/>
      <c r="L4012" s="2"/>
      <c r="M4012" s="2"/>
      <c r="N4012" s="2"/>
      <c r="O4012" s="2"/>
      <c r="P4012" s="2"/>
      <c r="Q4012" s="2"/>
      <c r="R4012" s="2"/>
      <c r="S4012" s="2"/>
      <c r="T4012" s="19"/>
      <c r="U4012" s="2"/>
      <c r="V4012" s="2"/>
      <c r="W4012" s="2"/>
      <c r="X4012" s="19"/>
      <c r="Y4012" s="2"/>
      <c r="Z4012" s="5"/>
    </row>
    <row r="4013" spans="7:26" ht="75.75" customHeight="1" x14ac:dyDescent="0.25">
      <c r="G4013" s="5"/>
      <c r="H4013" s="2"/>
      <c r="I4013" s="2"/>
      <c r="K4013" s="2"/>
      <c r="L4013" s="2"/>
      <c r="M4013" s="2"/>
      <c r="N4013" s="2"/>
      <c r="O4013" s="2"/>
      <c r="P4013" s="2"/>
      <c r="Q4013" s="2"/>
      <c r="R4013" s="2"/>
      <c r="S4013" s="2"/>
      <c r="T4013" s="19"/>
      <c r="U4013" s="2"/>
      <c r="V4013" s="2"/>
      <c r="W4013" s="2"/>
      <c r="X4013" s="19"/>
      <c r="Y4013" s="2"/>
      <c r="Z4013" s="5"/>
    </row>
    <row r="4014" spans="7:26" ht="75.75" customHeight="1" x14ac:dyDescent="0.25">
      <c r="G4014" s="5"/>
      <c r="H4014" s="2"/>
      <c r="I4014" s="2"/>
      <c r="K4014" s="2"/>
      <c r="L4014" s="2"/>
      <c r="M4014" s="2"/>
      <c r="N4014" s="2"/>
      <c r="O4014" s="2"/>
      <c r="P4014" s="2"/>
      <c r="Q4014" s="2"/>
      <c r="R4014" s="2"/>
      <c r="S4014" s="2"/>
      <c r="T4014" s="19"/>
      <c r="U4014" s="2"/>
      <c r="V4014" s="2"/>
      <c r="W4014" s="2"/>
      <c r="X4014" s="19"/>
      <c r="Y4014" s="2"/>
      <c r="Z4014" s="5"/>
    </row>
    <row r="4015" spans="7:26" ht="75.75" customHeight="1" x14ac:dyDescent="0.25">
      <c r="G4015" s="5"/>
      <c r="H4015" s="2"/>
      <c r="I4015" s="2"/>
      <c r="K4015" s="2"/>
      <c r="L4015" s="2"/>
      <c r="M4015" s="2"/>
      <c r="N4015" s="2"/>
      <c r="O4015" s="2"/>
      <c r="P4015" s="2"/>
      <c r="Q4015" s="2"/>
      <c r="R4015" s="2"/>
      <c r="S4015" s="2"/>
      <c r="T4015" s="19"/>
      <c r="U4015" s="2"/>
      <c r="V4015" s="2"/>
      <c r="W4015" s="2"/>
      <c r="X4015" s="19"/>
      <c r="Y4015" s="2"/>
      <c r="Z4015" s="5"/>
    </row>
    <row r="4016" spans="7:26" ht="75.75" customHeight="1" x14ac:dyDescent="0.25">
      <c r="G4016" s="5"/>
      <c r="H4016" s="2"/>
      <c r="I4016" s="2"/>
      <c r="K4016" s="2"/>
      <c r="L4016" s="2"/>
      <c r="M4016" s="2"/>
      <c r="N4016" s="2"/>
      <c r="O4016" s="2"/>
      <c r="P4016" s="2"/>
      <c r="Q4016" s="2"/>
      <c r="R4016" s="2"/>
      <c r="S4016" s="2"/>
      <c r="T4016" s="19"/>
      <c r="U4016" s="2"/>
      <c r="V4016" s="2"/>
      <c r="W4016" s="2"/>
      <c r="X4016" s="19"/>
      <c r="Y4016" s="2"/>
      <c r="Z4016" s="5"/>
    </row>
    <row r="4017" spans="7:26" ht="75.75" customHeight="1" x14ac:dyDescent="0.25">
      <c r="G4017" s="5"/>
      <c r="H4017" s="2"/>
      <c r="I4017" s="2"/>
      <c r="K4017" s="2"/>
      <c r="L4017" s="2"/>
      <c r="M4017" s="2"/>
      <c r="N4017" s="2"/>
      <c r="O4017" s="2"/>
      <c r="P4017" s="2"/>
      <c r="Q4017" s="2"/>
      <c r="R4017" s="2"/>
      <c r="S4017" s="2"/>
      <c r="T4017" s="19"/>
      <c r="U4017" s="2"/>
      <c r="V4017" s="2"/>
      <c r="W4017" s="2"/>
      <c r="X4017" s="19"/>
      <c r="Y4017" s="2"/>
      <c r="Z4017" s="5"/>
    </row>
    <row r="4018" spans="7:26" ht="75.75" customHeight="1" x14ac:dyDescent="0.25">
      <c r="G4018" s="5"/>
      <c r="H4018" s="2"/>
      <c r="I4018" s="2"/>
      <c r="K4018" s="2"/>
      <c r="L4018" s="2"/>
      <c r="M4018" s="2"/>
      <c r="N4018" s="2"/>
      <c r="O4018" s="2"/>
      <c r="P4018" s="2"/>
      <c r="Q4018" s="2"/>
      <c r="R4018" s="2"/>
      <c r="S4018" s="2"/>
      <c r="T4018" s="19"/>
      <c r="U4018" s="2"/>
      <c r="V4018" s="2"/>
      <c r="W4018" s="2"/>
      <c r="X4018" s="19"/>
      <c r="Y4018" s="2"/>
      <c r="Z4018" s="5"/>
    </row>
    <row r="4019" spans="7:26" ht="75.75" customHeight="1" x14ac:dyDescent="0.25">
      <c r="G4019" s="5"/>
      <c r="H4019" s="2"/>
      <c r="I4019" s="2"/>
      <c r="K4019" s="2"/>
      <c r="L4019" s="2"/>
      <c r="M4019" s="2"/>
      <c r="N4019" s="2"/>
      <c r="O4019" s="2"/>
      <c r="P4019" s="2"/>
      <c r="Q4019" s="2"/>
      <c r="R4019" s="2"/>
      <c r="S4019" s="2"/>
      <c r="T4019" s="19"/>
      <c r="U4019" s="2"/>
      <c r="V4019" s="2"/>
      <c r="W4019" s="2"/>
      <c r="X4019" s="19"/>
      <c r="Y4019" s="2"/>
      <c r="Z4019" s="5"/>
    </row>
    <row r="4020" spans="7:26" ht="75.75" customHeight="1" x14ac:dyDescent="0.25">
      <c r="G4020" s="5"/>
      <c r="H4020" s="2"/>
      <c r="I4020" s="2"/>
      <c r="K4020" s="2"/>
      <c r="L4020" s="2"/>
      <c r="M4020" s="2"/>
      <c r="N4020" s="2"/>
      <c r="O4020" s="2"/>
      <c r="P4020" s="2"/>
      <c r="Q4020" s="2"/>
      <c r="R4020" s="2"/>
      <c r="S4020" s="2"/>
      <c r="T4020" s="19"/>
      <c r="U4020" s="2"/>
      <c r="V4020" s="2"/>
      <c r="W4020" s="2"/>
      <c r="X4020" s="19"/>
      <c r="Y4020" s="2"/>
      <c r="Z4020" s="5"/>
    </row>
    <row r="4021" spans="7:26" ht="75.75" customHeight="1" x14ac:dyDescent="0.25">
      <c r="G4021" s="5"/>
      <c r="H4021" s="2"/>
      <c r="I4021" s="2"/>
      <c r="K4021" s="2"/>
      <c r="L4021" s="2"/>
      <c r="M4021" s="2"/>
      <c r="N4021" s="2"/>
      <c r="O4021" s="2"/>
      <c r="P4021" s="2"/>
      <c r="Q4021" s="2"/>
      <c r="R4021" s="2"/>
      <c r="S4021" s="2"/>
      <c r="T4021" s="19"/>
      <c r="U4021" s="2"/>
      <c r="V4021" s="2"/>
      <c r="W4021" s="2"/>
      <c r="X4021" s="19"/>
      <c r="Y4021" s="2"/>
      <c r="Z4021" s="5"/>
    </row>
    <row r="4022" spans="7:26" ht="75.75" customHeight="1" x14ac:dyDescent="0.25">
      <c r="G4022" s="5"/>
      <c r="H4022" s="2"/>
      <c r="I4022" s="2"/>
      <c r="K4022" s="2"/>
      <c r="L4022" s="2"/>
      <c r="M4022" s="2"/>
      <c r="N4022" s="2"/>
      <c r="O4022" s="2"/>
      <c r="P4022" s="2"/>
      <c r="Q4022" s="2"/>
      <c r="R4022" s="2"/>
      <c r="S4022" s="2"/>
      <c r="T4022" s="19"/>
      <c r="U4022" s="2"/>
      <c r="V4022" s="2"/>
      <c r="W4022" s="2"/>
      <c r="X4022" s="19"/>
      <c r="Y4022" s="2"/>
      <c r="Z4022" s="5"/>
    </row>
    <row r="4023" spans="7:26" ht="75.75" customHeight="1" x14ac:dyDescent="0.25">
      <c r="G4023" s="5"/>
      <c r="H4023" s="2"/>
      <c r="I4023" s="2"/>
      <c r="K4023" s="2"/>
      <c r="L4023" s="2"/>
      <c r="M4023" s="2"/>
      <c r="N4023" s="2"/>
      <c r="O4023" s="2"/>
      <c r="P4023" s="2"/>
      <c r="Q4023" s="2"/>
      <c r="R4023" s="2"/>
      <c r="S4023" s="2"/>
      <c r="T4023" s="19"/>
      <c r="U4023" s="2"/>
      <c r="V4023" s="2"/>
      <c r="W4023" s="2"/>
      <c r="X4023" s="19"/>
      <c r="Y4023" s="2"/>
      <c r="Z4023" s="5"/>
    </row>
    <row r="4024" spans="7:26" ht="75.75" customHeight="1" x14ac:dyDescent="0.25">
      <c r="G4024" s="5"/>
      <c r="H4024" s="2"/>
      <c r="I4024" s="2"/>
      <c r="K4024" s="2"/>
      <c r="L4024" s="2"/>
      <c r="M4024" s="2"/>
      <c r="N4024" s="2"/>
      <c r="O4024" s="2"/>
      <c r="P4024" s="2"/>
      <c r="Q4024" s="2"/>
      <c r="R4024" s="2"/>
      <c r="S4024" s="2"/>
      <c r="T4024" s="19"/>
      <c r="U4024" s="2"/>
      <c r="V4024" s="2"/>
      <c r="W4024" s="2"/>
      <c r="X4024" s="19"/>
      <c r="Y4024" s="2"/>
      <c r="Z4024" s="5"/>
    </row>
    <row r="4025" spans="7:26" ht="75.75" customHeight="1" x14ac:dyDescent="0.25">
      <c r="G4025" s="5"/>
      <c r="H4025" s="2"/>
      <c r="I4025" s="2"/>
      <c r="K4025" s="2"/>
      <c r="L4025" s="2"/>
      <c r="M4025" s="2"/>
      <c r="N4025" s="2"/>
      <c r="O4025" s="2"/>
      <c r="P4025" s="2"/>
      <c r="Q4025" s="2"/>
      <c r="R4025" s="2"/>
      <c r="S4025" s="2"/>
      <c r="T4025" s="19"/>
      <c r="U4025" s="2"/>
      <c r="V4025" s="2"/>
      <c r="W4025" s="2"/>
      <c r="X4025" s="19"/>
      <c r="Y4025" s="2"/>
      <c r="Z4025" s="5"/>
    </row>
    <row r="4026" spans="7:26" ht="75.75" customHeight="1" x14ac:dyDescent="0.25">
      <c r="G4026" s="5"/>
      <c r="H4026" s="2"/>
      <c r="I4026" s="2"/>
      <c r="K4026" s="2"/>
      <c r="L4026" s="2"/>
      <c r="M4026" s="2"/>
      <c r="N4026" s="2"/>
      <c r="O4026" s="2"/>
      <c r="P4026" s="2"/>
      <c r="Q4026" s="2"/>
      <c r="R4026" s="2"/>
      <c r="S4026" s="2"/>
      <c r="T4026" s="19"/>
      <c r="U4026" s="2"/>
      <c r="V4026" s="2"/>
      <c r="W4026" s="2"/>
      <c r="X4026" s="19"/>
      <c r="Y4026" s="2"/>
      <c r="Z4026" s="5"/>
    </row>
    <row r="4027" spans="7:26" ht="75.75" customHeight="1" x14ac:dyDescent="0.25">
      <c r="G4027" s="5"/>
      <c r="H4027" s="2"/>
      <c r="I4027" s="2"/>
      <c r="K4027" s="2"/>
      <c r="L4027" s="2"/>
      <c r="M4027" s="2"/>
      <c r="N4027" s="2"/>
      <c r="O4027" s="2"/>
      <c r="P4027" s="2"/>
      <c r="Q4027" s="2"/>
      <c r="R4027" s="2"/>
      <c r="S4027" s="2"/>
      <c r="T4027" s="19"/>
      <c r="U4027" s="2"/>
      <c r="V4027" s="2"/>
      <c r="W4027" s="2"/>
      <c r="X4027" s="19"/>
      <c r="Y4027" s="2"/>
      <c r="Z4027" s="5"/>
    </row>
    <row r="4028" spans="7:26" ht="75.75" customHeight="1" x14ac:dyDescent="0.25">
      <c r="G4028" s="5"/>
      <c r="H4028" s="2"/>
      <c r="I4028" s="2"/>
      <c r="K4028" s="2"/>
      <c r="L4028" s="2"/>
      <c r="M4028" s="2"/>
      <c r="N4028" s="2"/>
      <c r="O4028" s="2"/>
      <c r="P4028" s="2"/>
      <c r="Q4028" s="2"/>
      <c r="R4028" s="2"/>
      <c r="S4028" s="2"/>
      <c r="T4028" s="19"/>
      <c r="U4028" s="2"/>
      <c r="V4028" s="2"/>
      <c r="W4028" s="2"/>
      <c r="X4028" s="19"/>
      <c r="Y4028" s="2"/>
      <c r="Z4028" s="5"/>
    </row>
    <row r="4029" spans="7:26" ht="75.75" customHeight="1" x14ac:dyDescent="0.25">
      <c r="G4029" s="5"/>
      <c r="H4029" s="2"/>
      <c r="I4029" s="2"/>
      <c r="K4029" s="2"/>
      <c r="L4029" s="2"/>
      <c r="M4029" s="2"/>
      <c r="N4029" s="2"/>
      <c r="O4029" s="2"/>
      <c r="P4029" s="2"/>
      <c r="Q4029" s="2"/>
      <c r="R4029" s="2"/>
      <c r="S4029" s="2"/>
      <c r="T4029" s="19"/>
      <c r="U4029" s="2"/>
      <c r="V4029" s="2"/>
      <c r="W4029" s="2"/>
      <c r="X4029" s="19"/>
      <c r="Y4029" s="2"/>
      <c r="Z4029" s="5"/>
    </row>
    <row r="4030" spans="7:26" ht="75.75" customHeight="1" x14ac:dyDescent="0.25">
      <c r="G4030" s="5"/>
      <c r="H4030" s="2"/>
      <c r="I4030" s="2"/>
      <c r="K4030" s="2"/>
      <c r="L4030" s="2"/>
      <c r="M4030" s="2"/>
      <c r="N4030" s="2"/>
      <c r="O4030" s="2"/>
      <c r="P4030" s="2"/>
      <c r="Q4030" s="2"/>
      <c r="R4030" s="2"/>
      <c r="S4030" s="2"/>
      <c r="T4030" s="19"/>
      <c r="U4030" s="2"/>
      <c r="V4030" s="2"/>
      <c r="W4030" s="2"/>
      <c r="X4030" s="19"/>
      <c r="Y4030" s="2"/>
      <c r="Z4030" s="5"/>
    </row>
    <row r="4031" spans="7:26" ht="75.75" customHeight="1" x14ac:dyDescent="0.25">
      <c r="G4031" s="5"/>
      <c r="H4031" s="2"/>
      <c r="I4031" s="2"/>
      <c r="K4031" s="2"/>
      <c r="L4031" s="2"/>
      <c r="M4031" s="2"/>
      <c r="N4031" s="2"/>
      <c r="O4031" s="2"/>
      <c r="P4031" s="2"/>
      <c r="Q4031" s="2"/>
      <c r="R4031" s="2"/>
      <c r="S4031" s="2"/>
      <c r="T4031" s="19"/>
      <c r="U4031" s="2"/>
      <c r="V4031" s="2"/>
      <c r="W4031" s="2"/>
      <c r="X4031" s="19"/>
      <c r="Y4031" s="2"/>
      <c r="Z4031" s="5"/>
    </row>
    <row r="4032" spans="7:26" ht="75.75" customHeight="1" x14ac:dyDescent="0.25">
      <c r="G4032" s="5"/>
      <c r="H4032" s="2"/>
      <c r="I4032" s="2"/>
      <c r="K4032" s="2"/>
      <c r="L4032" s="2"/>
      <c r="M4032" s="2"/>
      <c r="N4032" s="2"/>
      <c r="O4032" s="2"/>
      <c r="P4032" s="2"/>
      <c r="Q4032" s="2"/>
      <c r="R4032" s="2"/>
      <c r="S4032" s="2"/>
      <c r="T4032" s="19"/>
      <c r="U4032" s="2"/>
      <c r="V4032" s="2"/>
      <c r="W4032" s="2"/>
      <c r="X4032" s="19"/>
      <c r="Y4032" s="2"/>
      <c r="Z4032" s="5"/>
    </row>
    <row r="4033" spans="7:26" ht="75.75" customHeight="1" x14ac:dyDescent="0.25">
      <c r="G4033" s="5"/>
      <c r="H4033" s="2"/>
      <c r="I4033" s="2"/>
      <c r="K4033" s="2"/>
      <c r="L4033" s="2"/>
      <c r="M4033" s="2"/>
      <c r="N4033" s="2"/>
      <c r="O4033" s="2"/>
      <c r="P4033" s="2"/>
      <c r="Q4033" s="2"/>
      <c r="R4033" s="2"/>
      <c r="S4033" s="2"/>
      <c r="T4033" s="19"/>
      <c r="U4033" s="2"/>
      <c r="V4033" s="2"/>
      <c r="W4033" s="2"/>
      <c r="X4033" s="19"/>
      <c r="Y4033" s="2"/>
      <c r="Z4033" s="5"/>
    </row>
    <row r="4034" spans="7:26" ht="75.75" customHeight="1" x14ac:dyDescent="0.25">
      <c r="G4034" s="5"/>
      <c r="H4034" s="2"/>
      <c r="I4034" s="2"/>
      <c r="K4034" s="2"/>
      <c r="L4034" s="2"/>
      <c r="M4034" s="2"/>
      <c r="N4034" s="2"/>
      <c r="O4034" s="2"/>
      <c r="P4034" s="2"/>
      <c r="Q4034" s="2"/>
      <c r="R4034" s="2"/>
      <c r="S4034" s="2"/>
      <c r="T4034" s="19"/>
      <c r="U4034" s="2"/>
      <c r="V4034" s="2"/>
      <c r="W4034" s="2"/>
      <c r="X4034" s="19"/>
      <c r="Y4034" s="2"/>
      <c r="Z4034" s="5"/>
    </row>
    <row r="4035" spans="7:26" ht="75.75" customHeight="1" x14ac:dyDescent="0.25">
      <c r="G4035" s="5"/>
      <c r="H4035" s="2"/>
      <c r="I4035" s="2"/>
      <c r="K4035" s="2"/>
      <c r="L4035" s="2"/>
      <c r="M4035" s="2"/>
      <c r="N4035" s="2"/>
      <c r="O4035" s="2"/>
      <c r="P4035" s="2"/>
      <c r="Q4035" s="2"/>
      <c r="R4035" s="2"/>
      <c r="S4035" s="2"/>
      <c r="T4035" s="19"/>
      <c r="U4035" s="2"/>
      <c r="V4035" s="2"/>
      <c r="W4035" s="2"/>
      <c r="X4035" s="19"/>
      <c r="Y4035" s="2"/>
      <c r="Z4035" s="5"/>
    </row>
    <row r="4036" spans="7:26" ht="75.75" customHeight="1" x14ac:dyDescent="0.25">
      <c r="G4036" s="5"/>
      <c r="H4036" s="2"/>
      <c r="I4036" s="2"/>
      <c r="K4036" s="2"/>
      <c r="L4036" s="2"/>
      <c r="M4036" s="2"/>
      <c r="N4036" s="2"/>
      <c r="O4036" s="2"/>
      <c r="P4036" s="2"/>
      <c r="Q4036" s="2"/>
      <c r="R4036" s="2"/>
      <c r="S4036" s="2"/>
      <c r="T4036" s="19"/>
      <c r="U4036" s="2"/>
      <c r="V4036" s="2"/>
      <c r="W4036" s="2"/>
      <c r="X4036" s="19"/>
      <c r="Y4036" s="2"/>
      <c r="Z4036" s="5"/>
    </row>
    <row r="4037" spans="7:26" ht="75.75" customHeight="1" x14ac:dyDescent="0.25">
      <c r="G4037" s="5"/>
      <c r="H4037" s="2"/>
      <c r="I4037" s="2"/>
      <c r="K4037" s="2"/>
      <c r="L4037" s="2"/>
      <c r="M4037" s="2"/>
      <c r="N4037" s="2"/>
      <c r="O4037" s="2"/>
      <c r="P4037" s="2"/>
      <c r="Q4037" s="2"/>
      <c r="R4037" s="2"/>
      <c r="S4037" s="2"/>
      <c r="T4037" s="19"/>
      <c r="U4037" s="2"/>
      <c r="V4037" s="2"/>
      <c r="W4037" s="2"/>
      <c r="X4037" s="19"/>
      <c r="Y4037" s="2"/>
      <c r="Z4037" s="5"/>
    </row>
    <row r="4038" spans="7:26" ht="75.75" customHeight="1" x14ac:dyDescent="0.25">
      <c r="G4038" s="5"/>
      <c r="H4038" s="2"/>
      <c r="I4038" s="2"/>
      <c r="K4038" s="2"/>
      <c r="L4038" s="2"/>
      <c r="M4038" s="2"/>
      <c r="N4038" s="2"/>
      <c r="O4038" s="2"/>
      <c r="P4038" s="2"/>
      <c r="Q4038" s="2"/>
      <c r="R4038" s="2"/>
      <c r="S4038" s="2"/>
      <c r="T4038" s="19"/>
      <c r="U4038" s="2"/>
      <c r="V4038" s="2"/>
      <c r="W4038" s="2"/>
      <c r="X4038" s="19"/>
      <c r="Y4038" s="2"/>
      <c r="Z4038" s="5"/>
    </row>
    <row r="4039" spans="7:26" ht="75.75" customHeight="1" x14ac:dyDescent="0.25">
      <c r="G4039" s="5"/>
      <c r="H4039" s="2"/>
      <c r="I4039" s="2"/>
      <c r="K4039" s="2"/>
      <c r="L4039" s="2"/>
      <c r="M4039" s="2"/>
      <c r="N4039" s="2"/>
      <c r="O4039" s="2"/>
      <c r="P4039" s="2"/>
      <c r="Q4039" s="2"/>
      <c r="R4039" s="2"/>
      <c r="S4039" s="2"/>
      <c r="T4039" s="19"/>
      <c r="U4039" s="2"/>
      <c r="V4039" s="2"/>
      <c r="W4039" s="2"/>
      <c r="X4039" s="19"/>
      <c r="Y4039" s="2"/>
      <c r="Z4039" s="5"/>
    </row>
    <row r="4040" spans="7:26" ht="75.75" customHeight="1" x14ac:dyDescent="0.25">
      <c r="G4040" s="5"/>
      <c r="H4040" s="2"/>
      <c r="I4040" s="2"/>
      <c r="K4040" s="2"/>
      <c r="L4040" s="2"/>
      <c r="M4040" s="2"/>
      <c r="N4040" s="2"/>
      <c r="O4040" s="2"/>
      <c r="P4040" s="2"/>
      <c r="Q4040" s="2"/>
      <c r="R4040" s="2"/>
      <c r="S4040" s="2"/>
      <c r="T4040" s="19"/>
      <c r="U4040" s="2"/>
      <c r="V4040" s="2"/>
      <c r="W4040" s="2"/>
      <c r="X4040" s="19"/>
      <c r="Y4040" s="2"/>
      <c r="Z4040" s="5"/>
    </row>
    <row r="4041" spans="7:26" ht="75.75" customHeight="1" x14ac:dyDescent="0.25">
      <c r="G4041" s="5"/>
      <c r="H4041" s="2"/>
      <c r="I4041" s="2"/>
      <c r="K4041" s="2"/>
      <c r="L4041" s="2"/>
      <c r="M4041" s="2"/>
      <c r="N4041" s="2"/>
      <c r="O4041" s="2"/>
      <c r="P4041" s="2"/>
      <c r="Q4041" s="2"/>
      <c r="R4041" s="2"/>
      <c r="S4041" s="2"/>
      <c r="T4041" s="19"/>
      <c r="U4041" s="2"/>
      <c r="V4041" s="2"/>
      <c r="W4041" s="2"/>
      <c r="X4041" s="19"/>
      <c r="Y4041" s="2"/>
      <c r="Z4041" s="5"/>
    </row>
    <row r="4042" spans="7:26" ht="75.75" customHeight="1" x14ac:dyDescent="0.25">
      <c r="G4042" s="5"/>
      <c r="H4042" s="2"/>
      <c r="I4042" s="2"/>
      <c r="K4042" s="2"/>
      <c r="L4042" s="2"/>
      <c r="M4042" s="2"/>
      <c r="N4042" s="2"/>
      <c r="O4042" s="2"/>
      <c r="P4042" s="2"/>
      <c r="Q4042" s="2"/>
      <c r="R4042" s="2"/>
      <c r="S4042" s="2"/>
      <c r="T4042" s="19"/>
      <c r="U4042" s="2"/>
      <c r="V4042" s="2"/>
      <c r="W4042" s="2"/>
      <c r="X4042" s="19"/>
      <c r="Y4042" s="2"/>
      <c r="Z4042" s="5"/>
    </row>
    <row r="4043" spans="7:26" ht="75.75" customHeight="1" x14ac:dyDescent="0.25">
      <c r="G4043" s="5"/>
      <c r="H4043" s="2"/>
      <c r="I4043" s="2"/>
      <c r="K4043" s="2"/>
      <c r="L4043" s="2"/>
      <c r="M4043" s="2"/>
      <c r="N4043" s="2"/>
      <c r="O4043" s="2"/>
      <c r="P4043" s="2"/>
      <c r="Q4043" s="2"/>
      <c r="R4043" s="2"/>
      <c r="S4043" s="2"/>
      <c r="T4043" s="19"/>
      <c r="U4043" s="2"/>
      <c r="V4043" s="2"/>
      <c r="W4043" s="2"/>
      <c r="X4043" s="19"/>
      <c r="Y4043" s="2"/>
      <c r="Z4043" s="5"/>
    </row>
    <row r="4044" spans="7:26" ht="75.75" customHeight="1" x14ac:dyDescent="0.25">
      <c r="G4044" s="5"/>
      <c r="H4044" s="2"/>
      <c r="I4044" s="2"/>
      <c r="K4044" s="2"/>
      <c r="L4044" s="2"/>
      <c r="M4044" s="2"/>
      <c r="N4044" s="2"/>
      <c r="O4044" s="2"/>
      <c r="P4044" s="2"/>
      <c r="Q4044" s="2"/>
      <c r="R4044" s="2"/>
      <c r="S4044" s="2"/>
      <c r="T4044" s="19"/>
      <c r="U4044" s="2"/>
      <c r="V4044" s="2"/>
      <c r="W4044" s="2"/>
      <c r="X4044" s="19"/>
      <c r="Y4044" s="2"/>
      <c r="Z4044" s="5"/>
    </row>
    <row r="4045" spans="7:26" ht="75.75" customHeight="1" x14ac:dyDescent="0.25">
      <c r="G4045" s="5"/>
      <c r="H4045" s="2"/>
      <c r="I4045" s="2"/>
      <c r="K4045" s="2"/>
      <c r="L4045" s="2"/>
      <c r="M4045" s="2"/>
      <c r="N4045" s="2"/>
      <c r="O4045" s="2"/>
      <c r="P4045" s="2"/>
      <c r="Q4045" s="2"/>
      <c r="R4045" s="2"/>
      <c r="S4045" s="2"/>
      <c r="T4045" s="19"/>
      <c r="U4045" s="2"/>
      <c r="V4045" s="2"/>
      <c r="W4045" s="2"/>
      <c r="X4045" s="19"/>
      <c r="Y4045" s="2"/>
      <c r="Z4045" s="5"/>
    </row>
    <row r="4046" spans="7:26" ht="75.75" customHeight="1" x14ac:dyDescent="0.25">
      <c r="G4046" s="5"/>
      <c r="H4046" s="2"/>
      <c r="I4046" s="2"/>
      <c r="K4046" s="2"/>
      <c r="L4046" s="2"/>
      <c r="M4046" s="2"/>
      <c r="N4046" s="2"/>
      <c r="O4046" s="2"/>
      <c r="P4046" s="2"/>
      <c r="Q4046" s="2"/>
      <c r="R4046" s="2"/>
      <c r="S4046" s="2"/>
      <c r="T4046" s="19"/>
      <c r="U4046" s="2"/>
      <c r="V4046" s="2"/>
      <c r="W4046" s="2"/>
      <c r="X4046" s="19"/>
      <c r="Y4046" s="2"/>
      <c r="Z4046" s="5"/>
    </row>
    <row r="4047" spans="7:26" ht="75.75" customHeight="1" x14ac:dyDescent="0.25">
      <c r="G4047" s="5"/>
      <c r="H4047" s="2"/>
      <c r="I4047" s="2"/>
      <c r="K4047" s="2"/>
      <c r="L4047" s="2"/>
      <c r="M4047" s="2"/>
      <c r="N4047" s="2"/>
      <c r="O4047" s="2"/>
      <c r="P4047" s="2"/>
      <c r="Q4047" s="2"/>
      <c r="R4047" s="2"/>
      <c r="S4047" s="2"/>
      <c r="T4047" s="19"/>
      <c r="U4047" s="2"/>
      <c r="V4047" s="2"/>
      <c r="W4047" s="2"/>
      <c r="X4047" s="19"/>
      <c r="Y4047" s="2"/>
      <c r="Z4047" s="5"/>
    </row>
    <row r="4048" spans="7:26" ht="75.75" customHeight="1" x14ac:dyDescent="0.25">
      <c r="G4048" s="5"/>
      <c r="H4048" s="2"/>
      <c r="I4048" s="2"/>
      <c r="K4048" s="2"/>
      <c r="L4048" s="2"/>
      <c r="M4048" s="2"/>
      <c r="N4048" s="2"/>
      <c r="O4048" s="2"/>
      <c r="P4048" s="2"/>
      <c r="Q4048" s="2"/>
      <c r="R4048" s="2"/>
      <c r="S4048" s="2"/>
      <c r="T4048" s="19"/>
      <c r="U4048" s="2"/>
      <c r="V4048" s="2"/>
      <c r="W4048" s="2"/>
      <c r="X4048" s="19"/>
      <c r="Y4048" s="2"/>
      <c r="Z4048" s="5"/>
    </row>
    <row r="4049" spans="7:26" ht="75.75" customHeight="1" x14ac:dyDescent="0.25">
      <c r="G4049" s="5"/>
      <c r="H4049" s="2"/>
      <c r="I4049" s="2"/>
      <c r="K4049" s="2"/>
      <c r="L4049" s="2"/>
      <c r="M4049" s="2"/>
      <c r="N4049" s="2"/>
      <c r="O4049" s="2"/>
      <c r="P4049" s="2"/>
      <c r="Q4049" s="2"/>
      <c r="R4049" s="2"/>
      <c r="S4049" s="2"/>
      <c r="T4049" s="19"/>
      <c r="U4049" s="2"/>
      <c r="V4049" s="2"/>
      <c r="W4049" s="2"/>
      <c r="X4049" s="19"/>
      <c r="Y4049" s="2"/>
      <c r="Z4049" s="5"/>
    </row>
    <row r="4050" spans="7:26" ht="75.75" customHeight="1" x14ac:dyDescent="0.25">
      <c r="G4050" s="5"/>
      <c r="H4050" s="2"/>
      <c r="I4050" s="2"/>
      <c r="K4050" s="2"/>
      <c r="L4050" s="2"/>
      <c r="M4050" s="2"/>
      <c r="N4050" s="2"/>
      <c r="O4050" s="2"/>
      <c r="P4050" s="2"/>
      <c r="Q4050" s="2"/>
      <c r="R4050" s="2"/>
      <c r="S4050" s="2"/>
      <c r="T4050" s="19"/>
      <c r="U4050" s="2"/>
      <c r="V4050" s="2"/>
      <c r="W4050" s="2"/>
      <c r="X4050" s="19"/>
      <c r="Y4050" s="2"/>
      <c r="Z4050" s="5"/>
    </row>
    <row r="4051" spans="7:26" ht="75.75" customHeight="1" x14ac:dyDescent="0.25">
      <c r="G4051" s="5"/>
      <c r="H4051" s="2"/>
      <c r="I4051" s="2"/>
      <c r="K4051" s="2"/>
      <c r="L4051" s="2"/>
      <c r="M4051" s="2"/>
      <c r="N4051" s="2"/>
      <c r="O4051" s="2"/>
      <c r="P4051" s="2"/>
      <c r="Q4051" s="2"/>
      <c r="R4051" s="2"/>
      <c r="S4051" s="2"/>
      <c r="T4051" s="19"/>
      <c r="U4051" s="2"/>
      <c r="V4051" s="2"/>
      <c r="W4051" s="2"/>
      <c r="X4051" s="19"/>
      <c r="Y4051" s="2"/>
      <c r="Z4051" s="5"/>
    </row>
    <row r="4052" spans="7:26" ht="75.75" customHeight="1" x14ac:dyDescent="0.25">
      <c r="G4052" s="5"/>
      <c r="H4052" s="2"/>
      <c r="I4052" s="2"/>
      <c r="K4052" s="2"/>
      <c r="L4052" s="2"/>
      <c r="M4052" s="2"/>
      <c r="N4052" s="2"/>
      <c r="O4052" s="2"/>
      <c r="P4052" s="2"/>
      <c r="Q4052" s="2"/>
      <c r="R4052" s="2"/>
      <c r="S4052" s="2"/>
      <c r="T4052" s="19"/>
      <c r="U4052" s="2"/>
      <c r="V4052" s="2"/>
      <c r="W4052" s="2"/>
      <c r="X4052" s="19"/>
      <c r="Y4052" s="2"/>
      <c r="Z4052" s="5"/>
    </row>
    <row r="4053" spans="7:26" ht="75.75" customHeight="1" x14ac:dyDescent="0.25">
      <c r="G4053" s="5"/>
      <c r="H4053" s="2"/>
      <c r="I4053" s="2"/>
      <c r="K4053" s="2"/>
      <c r="L4053" s="2"/>
      <c r="M4053" s="2"/>
      <c r="N4053" s="2"/>
      <c r="O4053" s="2"/>
      <c r="P4053" s="2"/>
      <c r="Q4053" s="2"/>
      <c r="R4053" s="2"/>
      <c r="S4053" s="2"/>
      <c r="T4053" s="19"/>
      <c r="U4053" s="2"/>
      <c r="V4053" s="2"/>
      <c r="W4053" s="2"/>
      <c r="X4053" s="19"/>
      <c r="Y4053" s="2"/>
      <c r="Z4053" s="5"/>
    </row>
    <row r="4054" spans="7:26" ht="75.75" customHeight="1" x14ac:dyDescent="0.25">
      <c r="G4054" s="5"/>
      <c r="H4054" s="2"/>
      <c r="I4054" s="2"/>
      <c r="K4054" s="2"/>
      <c r="L4054" s="2"/>
      <c r="M4054" s="2"/>
      <c r="N4054" s="2"/>
      <c r="O4054" s="2"/>
      <c r="P4054" s="2"/>
      <c r="Q4054" s="2"/>
      <c r="R4054" s="2"/>
      <c r="S4054" s="2"/>
      <c r="T4054" s="19"/>
      <c r="U4054" s="2"/>
      <c r="V4054" s="2"/>
      <c r="W4054" s="2"/>
      <c r="X4054" s="19"/>
      <c r="Y4054" s="2"/>
      <c r="Z4054" s="5"/>
    </row>
    <row r="4055" spans="7:26" ht="75.75" customHeight="1" x14ac:dyDescent="0.25">
      <c r="G4055" s="5"/>
      <c r="H4055" s="2"/>
      <c r="I4055" s="2"/>
      <c r="K4055" s="2"/>
      <c r="L4055" s="2"/>
      <c r="M4055" s="2"/>
      <c r="N4055" s="2"/>
      <c r="O4055" s="2"/>
      <c r="P4055" s="2"/>
      <c r="Q4055" s="2"/>
      <c r="R4055" s="2"/>
      <c r="S4055" s="2"/>
      <c r="T4055" s="19"/>
      <c r="U4055" s="2"/>
      <c r="V4055" s="2"/>
      <c r="W4055" s="2"/>
      <c r="X4055" s="19"/>
      <c r="Y4055" s="2"/>
      <c r="Z4055" s="5"/>
    </row>
    <row r="4056" spans="7:26" ht="75.75" customHeight="1" x14ac:dyDescent="0.25">
      <c r="G4056" s="5"/>
      <c r="H4056" s="2"/>
      <c r="I4056" s="2"/>
      <c r="K4056" s="2"/>
      <c r="L4056" s="2"/>
      <c r="M4056" s="2"/>
      <c r="N4056" s="2"/>
      <c r="O4056" s="2"/>
      <c r="P4056" s="2"/>
      <c r="Q4056" s="2"/>
      <c r="R4056" s="2"/>
      <c r="S4056" s="2"/>
      <c r="T4056" s="19"/>
      <c r="U4056" s="2"/>
      <c r="V4056" s="2"/>
      <c r="W4056" s="2"/>
      <c r="X4056" s="19"/>
      <c r="Y4056" s="2"/>
      <c r="Z4056" s="5"/>
    </row>
    <row r="4057" spans="7:26" ht="75.75" customHeight="1" x14ac:dyDescent="0.25">
      <c r="G4057" s="5"/>
      <c r="H4057" s="2"/>
      <c r="I4057" s="2"/>
      <c r="K4057" s="2"/>
      <c r="L4057" s="2"/>
      <c r="M4057" s="2"/>
      <c r="N4057" s="2"/>
      <c r="O4057" s="2"/>
      <c r="P4057" s="2"/>
      <c r="Q4057" s="2"/>
      <c r="R4057" s="2"/>
      <c r="S4057" s="2"/>
      <c r="T4057" s="19"/>
      <c r="U4057" s="2"/>
      <c r="V4057" s="2"/>
      <c r="W4057" s="2"/>
      <c r="X4057" s="19"/>
      <c r="Y4057" s="2"/>
      <c r="Z4057" s="5"/>
    </row>
    <row r="4058" spans="7:26" ht="75.75" customHeight="1" x14ac:dyDescent="0.25">
      <c r="G4058" s="5"/>
      <c r="H4058" s="2"/>
      <c r="I4058" s="2"/>
      <c r="K4058" s="2"/>
      <c r="L4058" s="2"/>
      <c r="M4058" s="2"/>
      <c r="N4058" s="2"/>
      <c r="O4058" s="2"/>
      <c r="P4058" s="2"/>
      <c r="Q4058" s="2"/>
      <c r="R4058" s="2"/>
      <c r="S4058" s="2"/>
      <c r="T4058" s="19"/>
      <c r="U4058" s="2"/>
      <c r="V4058" s="2"/>
      <c r="W4058" s="2"/>
      <c r="X4058" s="19"/>
      <c r="Y4058" s="2"/>
      <c r="Z4058" s="5"/>
    </row>
    <row r="4059" spans="7:26" ht="75.75" customHeight="1" x14ac:dyDescent="0.25">
      <c r="G4059" s="5"/>
      <c r="H4059" s="2"/>
      <c r="I4059" s="2"/>
      <c r="K4059" s="2"/>
      <c r="L4059" s="2"/>
      <c r="M4059" s="2"/>
      <c r="N4059" s="2"/>
      <c r="O4059" s="2"/>
      <c r="P4059" s="2"/>
      <c r="Q4059" s="2"/>
      <c r="R4059" s="2"/>
      <c r="S4059" s="2"/>
      <c r="T4059" s="19"/>
      <c r="U4059" s="2"/>
      <c r="V4059" s="2"/>
      <c r="W4059" s="2"/>
      <c r="X4059" s="19"/>
      <c r="Y4059" s="2"/>
      <c r="Z4059" s="5"/>
    </row>
    <row r="4060" spans="7:26" ht="75.75" customHeight="1" x14ac:dyDescent="0.25">
      <c r="G4060" s="5"/>
      <c r="H4060" s="2"/>
      <c r="I4060" s="2"/>
      <c r="K4060" s="2"/>
      <c r="L4060" s="2"/>
      <c r="M4060" s="2"/>
      <c r="N4060" s="2"/>
      <c r="O4060" s="2"/>
      <c r="P4060" s="2"/>
      <c r="Q4060" s="2"/>
      <c r="R4060" s="2"/>
      <c r="S4060" s="2"/>
      <c r="T4060" s="19"/>
      <c r="U4060" s="2"/>
      <c r="V4060" s="2"/>
      <c r="W4060" s="2"/>
      <c r="X4060" s="19"/>
      <c r="Y4060" s="2"/>
      <c r="Z4060" s="5"/>
    </row>
    <row r="4061" spans="7:26" ht="75.75" customHeight="1" x14ac:dyDescent="0.25">
      <c r="G4061" s="5"/>
      <c r="H4061" s="2"/>
      <c r="I4061" s="2"/>
      <c r="K4061" s="2"/>
      <c r="L4061" s="2"/>
      <c r="M4061" s="2"/>
      <c r="N4061" s="2"/>
      <c r="O4061" s="2"/>
      <c r="P4061" s="2"/>
      <c r="Q4061" s="2"/>
      <c r="R4061" s="2"/>
      <c r="S4061" s="2"/>
      <c r="T4061" s="19"/>
      <c r="U4061" s="2"/>
      <c r="V4061" s="2"/>
      <c r="W4061" s="2"/>
      <c r="X4061" s="19"/>
      <c r="Y4061" s="2"/>
      <c r="Z4061" s="5"/>
    </row>
    <row r="4062" spans="7:26" ht="75.75" customHeight="1" x14ac:dyDescent="0.25">
      <c r="G4062" s="5"/>
      <c r="H4062" s="2"/>
      <c r="I4062" s="2"/>
      <c r="K4062" s="2"/>
      <c r="L4062" s="2"/>
      <c r="M4062" s="2"/>
      <c r="N4062" s="2"/>
      <c r="O4062" s="2"/>
      <c r="P4062" s="2"/>
      <c r="Q4062" s="2"/>
      <c r="R4062" s="2"/>
      <c r="S4062" s="2"/>
      <c r="T4062" s="19"/>
      <c r="U4062" s="2"/>
      <c r="V4062" s="2"/>
      <c r="W4062" s="2"/>
      <c r="X4062" s="19"/>
      <c r="Y4062" s="2"/>
      <c r="Z4062" s="5"/>
    </row>
    <row r="4063" spans="7:26" ht="75.75" customHeight="1" x14ac:dyDescent="0.25">
      <c r="G4063" s="5"/>
      <c r="H4063" s="2"/>
      <c r="I4063" s="2"/>
      <c r="K4063" s="2"/>
      <c r="L4063" s="2"/>
      <c r="M4063" s="2"/>
      <c r="N4063" s="2"/>
      <c r="O4063" s="2"/>
      <c r="P4063" s="2"/>
      <c r="Q4063" s="2"/>
      <c r="R4063" s="2"/>
      <c r="S4063" s="2"/>
      <c r="T4063" s="19"/>
      <c r="U4063" s="2"/>
      <c r="V4063" s="2"/>
      <c r="W4063" s="2"/>
      <c r="X4063" s="19"/>
      <c r="Y4063" s="2"/>
      <c r="Z4063" s="5"/>
    </row>
    <row r="4064" spans="7:26" ht="75.75" customHeight="1" x14ac:dyDescent="0.25">
      <c r="G4064" s="5"/>
      <c r="H4064" s="2"/>
      <c r="I4064" s="2"/>
      <c r="K4064" s="2"/>
      <c r="L4064" s="2"/>
      <c r="M4064" s="2"/>
      <c r="N4064" s="2"/>
      <c r="O4064" s="2"/>
      <c r="P4064" s="2"/>
      <c r="Q4064" s="2"/>
      <c r="R4064" s="2"/>
      <c r="S4064" s="2"/>
      <c r="T4064" s="19"/>
      <c r="U4064" s="2"/>
      <c r="V4064" s="2"/>
      <c r="W4064" s="2"/>
      <c r="X4064" s="19"/>
      <c r="Y4064" s="2"/>
      <c r="Z4064" s="5"/>
    </row>
    <row r="4065" spans="7:26" ht="75.75" customHeight="1" x14ac:dyDescent="0.25">
      <c r="G4065" s="5"/>
      <c r="H4065" s="2"/>
      <c r="I4065" s="2"/>
      <c r="K4065" s="2"/>
      <c r="L4065" s="2"/>
      <c r="M4065" s="2"/>
      <c r="N4065" s="2"/>
      <c r="O4065" s="2"/>
      <c r="P4065" s="2"/>
      <c r="Q4065" s="2"/>
      <c r="R4065" s="2"/>
      <c r="S4065" s="2"/>
      <c r="T4065" s="19"/>
      <c r="U4065" s="2"/>
      <c r="V4065" s="2"/>
      <c r="W4065" s="2"/>
      <c r="X4065" s="19"/>
      <c r="Y4065" s="2"/>
      <c r="Z4065" s="5"/>
    </row>
    <row r="4066" spans="7:26" ht="75.75" customHeight="1" x14ac:dyDescent="0.25">
      <c r="G4066" s="5"/>
      <c r="H4066" s="2"/>
      <c r="I4066" s="2"/>
      <c r="K4066" s="2"/>
      <c r="L4066" s="2"/>
      <c r="M4066" s="2"/>
      <c r="N4066" s="2"/>
      <c r="O4066" s="2"/>
      <c r="P4066" s="2"/>
      <c r="Q4066" s="2"/>
      <c r="R4066" s="2"/>
      <c r="S4066" s="2"/>
      <c r="T4066" s="19"/>
      <c r="U4066" s="2"/>
      <c r="V4066" s="2"/>
      <c r="W4066" s="2"/>
      <c r="X4066" s="19"/>
      <c r="Y4066" s="2"/>
      <c r="Z4066" s="5"/>
    </row>
    <row r="4067" spans="7:26" ht="75.75" customHeight="1" x14ac:dyDescent="0.25">
      <c r="G4067" s="5"/>
      <c r="H4067" s="2"/>
      <c r="I4067" s="2"/>
      <c r="K4067" s="2"/>
      <c r="L4067" s="2"/>
      <c r="M4067" s="2"/>
      <c r="N4067" s="2"/>
      <c r="O4067" s="2"/>
      <c r="P4067" s="2"/>
      <c r="Q4067" s="2"/>
      <c r="R4067" s="2"/>
      <c r="S4067" s="2"/>
      <c r="T4067" s="19"/>
      <c r="U4067" s="2"/>
      <c r="V4067" s="2"/>
      <c r="W4067" s="2"/>
      <c r="X4067" s="19"/>
      <c r="Y4067" s="2"/>
      <c r="Z4067" s="5"/>
    </row>
    <row r="4068" spans="7:26" ht="75.75" customHeight="1" x14ac:dyDescent="0.25">
      <c r="G4068" s="5"/>
      <c r="H4068" s="2"/>
      <c r="I4068" s="2"/>
      <c r="K4068" s="2"/>
      <c r="L4068" s="2"/>
      <c r="M4068" s="2"/>
      <c r="N4068" s="2"/>
      <c r="O4068" s="2"/>
      <c r="P4068" s="2"/>
      <c r="Q4068" s="2"/>
      <c r="R4068" s="2"/>
      <c r="S4068" s="2"/>
      <c r="T4068" s="19"/>
      <c r="U4068" s="2"/>
      <c r="V4068" s="2"/>
      <c r="W4068" s="2"/>
      <c r="X4068" s="19"/>
      <c r="Y4068" s="2"/>
      <c r="Z4068" s="5"/>
    </row>
    <row r="4069" spans="7:26" ht="75.75" customHeight="1" x14ac:dyDescent="0.25">
      <c r="G4069" s="5"/>
      <c r="H4069" s="2"/>
      <c r="I4069" s="2"/>
      <c r="K4069" s="2"/>
      <c r="L4069" s="2"/>
      <c r="M4069" s="2"/>
      <c r="N4069" s="2"/>
      <c r="O4069" s="2"/>
      <c r="P4069" s="2"/>
      <c r="Q4069" s="2"/>
      <c r="R4069" s="2"/>
      <c r="S4069" s="2"/>
      <c r="T4069" s="19"/>
      <c r="U4069" s="2"/>
      <c r="V4069" s="2"/>
      <c r="W4069" s="2"/>
      <c r="X4069" s="19"/>
      <c r="Y4069" s="2"/>
      <c r="Z4069" s="5"/>
    </row>
    <row r="4070" spans="7:26" ht="75.75" customHeight="1" x14ac:dyDescent="0.25">
      <c r="G4070" s="5"/>
      <c r="H4070" s="2"/>
      <c r="I4070" s="2"/>
      <c r="K4070" s="2"/>
      <c r="L4070" s="2"/>
      <c r="M4070" s="2"/>
      <c r="N4070" s="2"/>
      <c r="O4070" s="2"/>
      <c r="P4070" s="2"/>
      <c r="Q4070" s="2"/>
      <c r="R4070" s="2"/>
      <c r="S4070" s="2"/>
      <c r="T4070" s="19"/>
      <c r="U4070" s="2"/>
      <c r="V4070" s="2"/>
      <c r="W4070" s="2"/>
      <c r="X4070" s="19"/>
      <c r="Y4070" s="2"/>
      <c r="Z4070" s="5"/>
    </row>
    <row r="4071" spans="7:26" ht="75.75" customHeight="1" x14ac:dyDescent="0.25">
      <c r="G4071" s="5"/>
      <c r="H4071" s="2"/>
      <c r="I4071" s="2"/>
      <c r="K4071" s="2"/>
      <c r="L4071" s="2"/>
      <c r="M4071" s="2"/>
      <c r="N4071" s="2"/>
      <c r="O4071" s="2"/>
      <c r="P4071" s="2"/>
      <c r="Q4071" s="2"/>
      <c r="R4071" s="2"/>
      <c r="S4071" s="2"/>
      <c r="T4071" s="19"/>
      <c r="U4071" s="2"/>
      <c r="V4071" s="2"/>
      <c r="W4071" s="2"/>
      <c r="X4071" s="19"/>
      <c r="Y4071" s="2"/>
      <c r="Z4071" s="5"/>
    </row>
    <row r="4072" spans="7:26" ht="75.75" customHeight="1" x14ac:dyDescent="0.25">
      <c r="G4072" s="5"/>
      <c r="H4072" s="2"/>
      <c r="I4072" s="2"/>
      <c r="K4072" s="2"/>
      <c r="L4072" s="2"/>
      <c r="M4072" s="2"/>
      <c r="N4072" s="2"/>
      <c r="O4072" s="2"/>
      <c r="P4072" s="2"/>
      <c r="Q4072" s="2"/>
      <c r="R4072" s="2"/>
      <c r="S4072" s="2"/>
      <c r="T4072" s="19"/>
      <c r="U4072" s="2"/>
      <c r="V4072" s="2"/>
      <c r="W4072" s="2"/>
      <c r="X4072" s="19"/>
      <c r="Y4072" s="2"/>
      <c r="Z4072" s="5"/>
    </row>
    <row r="4073" spans="7:26" ht="75.75" customHeight="1" x14ac:dyDescent="0.25">
      <c r="G4073" s="5"/>
      <c r="H4073" s="2"/>
      <c r="I4073" s="2"/>
      <c r="K4073" s="2"/>
      <c r="L4073" s="2"/>
      <c r="M4073" s="2"/>
      <c r="N4073" s="2"/>
      <c r="O4073" s="2"/>
      <c r="P4073" s="2"/>
      <c r="Q4073" s="2"/>
      <c r="R4073" s="2"/>
      <c r="S4073" s="2"/>
      <c r="T4073" s="19"/>
      <c r="U4073" s="2"/>
      <c r="V4073" s="2"/>
      <c r="W4073" s="2"/>
      <c r="X4073" s="19"/>
      <c r="Y4073" s="2"/>
      <c r="Z4073" s="5"/>
    </row>
    <row r="4074" spans="7:26" ht="75.75" customHeight="1" x14ac:dyDescent="0.25">
      <c r="G4074" s="5"/>
      <c r="H4074" s="2"/>
      <c r="I4074" s="2"/>
      <c r="K4074" s="2"/>
      <c r="L4074" s="2"/>
      <c r="M4074" s="2"/>
      <c r="N4074" s="2"/>
      <c r="O4074" s="2"/>
      <c r="P4074" s="2"/>
      <c r="Q4074" s="2"/>
      <c r="R4074" s="2"/>
      <c r="S4074" s="2"/>
      <c r="T4074" s="19"/>
      <c r="U4074" s="2"/>
      <c r="V4074" s="2"/>
      <c r="W4074" s="2"/>
      <c r="X4074" s="19"/>
      <c r="Y4074" s="2"/>
      <c r="Z4074" s="5"/>
    </row>
    <row r="4075" spans="7:26" ht="75.75" customHeight="1" x14ac:dyDescent="0.25">
      <c r="G4075" s="5"/>
      <c r="H4075" s="2"/>
      <c r="I4075" s="2"/>
      <c r="K4075" s="2"/>
      <c r="L4075" s="2"/>
      <c r="M4075" s="2"/>
      <c r="N4075" s="2"/>
      <c r="O4075" s="2"/>
      <c r="P4075" s="2"/>
      <c r="Q4075" s="2"/>
      <c r="R4075" s="2"/>
      <c r="S4075" s="2"/>
      <c r="T4075" s="19"/>
      <c r="U4075" s="2"/>
      <c r="V4075" s="2"/>
      <c r="W4075" s="2"/>
      <c r="X4075" s="19"/>
      <c r="Y4075" s="2"/>
      <c r="Z4075" s="5"/>
    </row>
    <row r="4076" spans="7:26" ht="75.75" customHeight="1" x14ac:dyDescent="0.25">
      <c r="G4076" s="5"/>
      <c r="H4076" s="2"/>
      <c r="I4076" s="2"/>
      <c r="K4076" s="2"/>
      <c r="L4076" s="2"/>
      <c r="M4076" s="2"/>
      <c r="N4076" s="2"/>
      <c r="O4076" s="2"/>
      <c r="P4076" s="2"/>
      <c r="Q4076" s="2"/>
      <c r="R4076" s="2"/>
      <c r="S4076" s="2"/>
      <c r="T4076" s="19"/>
      <c r="U4076" s="2"/>
      <c r="V4076" s="2"/>
      <c r="W4076" s="2"/>
      <c r="X4076" s="19"/>
      <c r="Y4076" s="2"/>
      <c r="Z4076" s="5"/>
    </row>
    <row r="4077" spans="7:26" ht="75.75" customHeight="1" x14ac:dyDescent="0.25">
      <c r="G4077" s="5"/>
      <c r="H4077" s="2"/>
      <c r="I4077" s="2"/>
      <c r="K4077" s="2"/>
      <c r="L4077" s="2"/>
      <c r="M4077" s="2"/>
      <c r="N4077" s="2"/>
      <c r="O4077" s="2"/>
      <c r="P4077" s="2"/>
      <c r="Q4077" s="2"/>
      <c r="R4077" s="2"/>
      <c r="S4077" s="2"/>
      <c r="T4077" s="19"/>
      <c r="U4077" s="2"/>
      <c r="V4077" s="2"/>
      <c r="W4077" s="2"/>
      <c r="X4077" s="19"/>
      <c r="Y4077" s="2"/>
      <c r="Z4077" s="5"/>
    </row>
    <row r="4078" spans="7:26" ht="75.75" customHeight="1" x14ac:dyDescent="0.25">
      <c r="G4078" s="5"/>
      <c r="H4078" s="2"/>
      <c r="I4078" s="2"/>
      <c r="K4078" s="2"/>
      <c r="L4078" s="2"/>
      <c r="M4078" s="2"/>
      <c r="N4078" s="2"/>
      <c r="O4078" s="2"/>
      <c r="P4078" s="2"/>
      <c r="Q4078" s="2"/>
      <c r="R4078" s="2"/>
      <c r="S4078" s="2"/>
      <c r="T4078" s="19"/>
      <c r="U4078" s="2"/>
      <c r="V4078" s="2"/>
      <c r="W4078" s="2"/>
      <c r="X4078" s="19"/>
      <c r="Y4078" s="2"/>
      <c r="Z4078" s="5"/>
    </row>
    <row r="4079" spans="7:26" ht="75.75" customHeight="1" x14ac:dyDescent="0.25">
      <c r="G4079" s="5"/>
      <c r="H4079" s="2"/>
      <c r="I4079" s="2"/>
      <c r="K4079" s="2"/>
      <c r="L4079" s="2"/>
      <c r="M4079" s="2"/>
      <c r="N4079" s="2"/>
      <c r="O4079" s="2"/>
      <c r="P4079" s="2"/>
      <c r="Q4079" s="2"/>
      <c r="R4079" s="2"/>
      <c r="S4079" s="2"/>
      <c r="T4079" s="19"/>
      <c r="U4079" s="2"/>
      <c r="V4079" s="2"/>
      <c r="W4079" s="2"/>
      <c r="X4079" s="19"/>
      <c r="Y4079" s="2"/>
      <c r="Z4079" s="5"/>
    </row>
    <row r="4080" spans="7:26" ht="75.75" customHeight="1" x14ac:dyDescent="0.25">
      <c r="G4080" s="5"/>
      <c r="H4080" s="2"/>
      <c r="I4080" s="2"/>
      <c r="K4080" s="2"/>
      <c r="L4080" s="2"/>
      <c r="M4080" s="2"/>
      <c r="N4080" s="2"/>
      <c r="O4080" s="2"/>
      <c r="P4080" s="2"/>
      <c r="Q4080" s="2"/>
      <c r="R4080" s="2"/>
      <c r="S4080" s="2"/>
      <c r="T4080" s="19"/>
      <c r="U4080" s="2"/>
      <c r="V4080" s="2"/>
      <c r="W4080" s="2"/>
      <c r="X4080" s="19"/>
      <c r="Y4080" s="2"/>
      <c r="Z4080" s="5"/>
    </row>
    <row r="4081" spans="7:26" ht="75.75" customHeight="1" x14ac:dyDescent="0.25">
      <c r="G4081" s="5"/>
      <c r="H4081" s="2"/>
      <c r="I4081" s="2"/>
      <c r="K4081" s="2"/>
      <c r="L4081" s="2"/>
      <c r="M4081" s="2"/>
      <c r="N4081" s="2"/>
      <c r="O4081" s="2"/>
      <c r="P4081" s="2"/>
      <c r="Q4081" s="2"/>
      <c r="R4081" s="2"/>
      <c r="S4081" s="2"/>
      <c r="T4081" s="19"/>
      <c r="U4081" s="2"/>
      <c r="V4081" s="2"/>
      <c r="W4081" s="2"/>
      <c r="X4081" s="19"/>
      <c r="Y4081" s="2"/>
      <c r="Z4081" s="5"/>
    </row>
    <row r="4082" spans="7:26" ht="75.75" customHeight="1" x14ac:dyDescent="0.25">
      <c r="G4082" s="5"/>
      <c r="H4082" s="2"/>
      <c r="I4082" s="2"/>
      <c r="K4082" s="2"/>
      <c r="L4082" s="2"/>
      <c r="M4082" s="2"/>
      <c r="N4082" s="2"/>
      <c r="O4082" s="2"/>
      <c r="P4082" s="2"/>
      <c r="Q4082" s="2"/>
      <c r="R4082" s="2"/>
      <c r="S4082" s="2"/>
      <c r="T4082" s="19"/>
      <c r="U4082" s="2"/>
      <c r="V4082" s="2"/>
      <c r="W4082" s="2"/>
      <c r="X4082" s="19"/>
      <c r="Y4082" s="2"/>
      <c r="Z4082" s="5"/>
    </row>
    <row r="4083" spans="7:26" ht="75.75" customHeight="1" x14ac:dyDescent="0.25">
      <c r="G4083" s="5"/>
      <c r="H4083" s="2"/>
      <c r="I4083" s="2"/>
      <c r="K4083" s="2"/>
      <c r="L4083" s="2"/>
      <c r="M4083" s="2"/>
      <c r="N4083" s="2"/>
      <c r="O4083" s="2"/>
      <c r="P4083" s="2"/>
      <c r="Q4083" s="2"/>
      <c r="R4083" s="2"/>
      <c r="S4083" s="2"/>
      <c r="T4083" s="19"/>
      <c r="U4083" s="2"/>
      <c r="V4083" s="2"/>
      <c r="W4083" s="2"/>
      <c r="X4083" s="19"/>
      <c r="Y4083" s="2"/>
      <c r="Z4083" s="5"/>
    </row>
    <row r="4084" spans="7:26" ht="75.75" customHeight="1" x14ac:dyDescent="0.25">
      <c r="G4084" s="5"/>
      <c r="H4084" s="2"/>
      <c r="I4084" s="2"/>
      <c r="K4084" s="2"/>
      <c r="L4084" s="2"/>
      <c r="M4084" s="2"/>
      <c r="N4084" s="2"/>
      <c r="O4084" s="2"/>
      <c r="P4084" s="2"/>
      <c r="Q4084" s="2"/>
      <c r="R4084" s="2"/>
      <c r="S4084" s="2"/>
      <c r="T4084" s="19"/>
      <c r="U4084" s="2"/>
      <c r="V4084" s="2"/>
      <c r="W4084" s="2"/>
      <c r="X4084" s="19"/>
      <c r="Y4084" s="2"/>
      <c r="Z4084" s="5"/>
    </row>
    <row r="4085" spans="7:26" ht="75.75" customHeight="1" x14ac:dyDescent="0.25">
      <c r="G4085" s="5"/>
      <c r="H4085" s="2"/>
      <c r="I4085" s="2"/>
      <c r="K4085" s="2"/>
      <c r="L4085" s="2"/>
      <c r="M4085" s="2"/>
      <c r="N4085" s="2"/>
      <c r="O4085" s="2"/>
      <c r="P4085" s="2"/>
      <c r="Q4085" s="2"/>
      <c r="R4085" s="2"/>
      <c r="S4085" s="2"/>
      <c r="T4085" s="19"/>
      <c r="U4085" s="2"/>
      <c r="V4085" s="2"/>
      <c r="W4085" s="2"/>
      <c r="X4085" s="19"/>
      <c r="Y4085" s="2"/>
      <c r="Z4085" s="5"/>
    </row>
    <row r="4086" spans="7:26" ht="75.75" customHeight="1" x14ac:dyDescent="0.25">
      <c r="G4086" s="5"/>
      <c r="H4086" s="2"/>
      <c r="I4086" s="2"/>
      <c r="K4086" s="2"/>
      <c r="L4086" s="2"/>
      <c r="M4086" s="2"/>
      <c r="N4086" s="2"/>
      <c r="O4086" s="2"/>
      <c r="P4086" s="2"/>
      <c r="Q4086" s="2"/>
      <c r="R4086" s="2"/>
      <c r="S4086" s="2"/>
      <c r="T4086" s="19"/>
      <c r="U4086" s="2"/>
      <c r="V4086" s="2"/>
      <c r="W4086" s="2"/>
      <c r="X4086" s="19"/>
      <c r="Y4086" s="2"/>
      <c r="Z4086" s="5"/>
    </row>
    <row r="4087" spans="7:26" ht="75.75" customHeight="1" x14ac:dyDescent="0.25">
      <c r="G4087" s="5"/>
      <c r="H4087" s="2"/>
      <c r="I4087" s="2"/>
      <c r="K4087" s="2"/>
      <c r="L4087" s="2"/>
      <c r="M4087" s="2"/>
      <c r="N4087" s="2"/>
      <c r="O4087" s="2"/>
      <c r="P4087" s="2"/>
      <c r="Q4087" s="2"/>
      <c r="R4087" s="2"/>
      <c r="S4087" s="2"/>
      <c r="T4087" s="19"/>
      <c r="U4087" s="2"/>
      <c r="V4087" s="2"/>
      <c r="W4087" s="2"/>
      <c r="X4087" s="19"/>
      <c r="Y4087" s="2"/>
      <c r="Z4087" s="5"/>
    </row>
    <row r="4088" spans="7:26" ht="75.75" customHeight="1" x14ac:dyDescent="0.25">
      <c r="G4088" s="5"/>
      <c r="H4088" s="2"/>
      <c r="I4088" s="2"/>
      <c r="K4088" s="2"/>
      <c r="L4088" s="2"/>
      <c r="M4088" s="2"/>
      <c r="N4088" s="2"/>
      <c r="O4088" s="2"/>
      <c r="P4088" s="2"/>
      <c r="Q4088" s="2"/>
      <c r="R4088" s="2"/>
      <c r="S4088" s="2"/>
      <c r="T4088" s="19"/>
      <c r="U4088" s="2"/>
      <c r="V4088" s="2"/>
      <c r="W4088" s="2"/>
      <c r="X4088" s="19"/>
      <c r="Y4088" s="2"/>
      <c r="Z4088" s="5"/>
    </row>
    <row r="4089" spans="7:26" ht="75.75" customHeight="1" x14ac:dyDescent="0.25">
      <c r="G4089" s="5"/>
      <c r="H4089" s="2"/>
      <c r="I4089" s="2"/>
      <c r="K4089" s="2"/>
      <c r="L4089" s="2"/>
      <c r="M4089" s="2"/>
      <c r="N4089" s="2"/>
      <c r="O4089" s="2"/>
      <c r="P4089" s="2"/>
      <c r="Q4089" s="2"/>
      <c r="R4089" s="2"/>
      <c r="S4089" s="2"/>
      <c r="T4089" s="19"/>
      <c r="U4089" s="2"/>
      <c r="V4089" s="2"/>
      <c r="W4089" s="2"/>
      <c r="X4089" s="19"/>
      <c r="Y4089" s="2"/>
      <c r="Z4089" s="5"/>
    </row>
    <row r="4090" spans="7:26" ht="75.75" customHeight="1" x14ac:dyDescent="0.25">
      <c r="G4090" s="5"/>
      <c r="H4090" s="2"/>
      <c r="I4090" s="2"/>
      <c r="K4090" s="2"/>
      <c r="L4090" s="2"/>
      <c r="M4090" s="2"/>
      <c r="N4090" s="2"/>
      <c r="O4090" s="2"/>
      <c r="P4090" s="2"/>
      <c r="Q4090" s="2"/>
      <c r="R4090" s="2"/>
      <c r="S4090" s="2"/>
      <c r="T4090" s="19"/>
      <c r="U4090" s="2"/>
      <c r="V4090" s="2"/>
      <c r="W4090" s="2"/>
      <c r="X4090" s="19"/>
      <c r="Y4090" s="2"/>
      <c r="Z4090" s="5"/>
    </row>
    <row r="4091" spans="7:26" ht="75.75" customHeight="1" x14ac:dyDescent="0.25">
      <c r="G4091" s="5"/>
      <c r="H4091" s="2"/>
      <c r="I4091" s="2"/>
      <c r="K4091" s="2"/>
      <c r="L4091" s="2"/>
      <c r="M4091" s="2"/>
      <c r="N4091" s="2"/>
      <c r="O4091" s="2"/>
      <c r="P4091" s="2"/>
      <c r="Q4091" s="2"/>
      <c r="R4091" s="2"/>
      <c r="S4091" s="2"/>
      <c r="T4091" s="19"/>
      <c r="U4091" s="2"/>
      <c r="V4091" s="2"/>
      <c r="W4091" s="2"/>
      <c r="X4091" s="19"/>
      <c r="Y4091" s="2"/>
      <c r="Z4091" s="5"/>
    </row>
    <row r="4092" spans="7:26" ht="75.75" customHeight="1" x14ac:dyDescent="0.25">
      <c r="G4092" s="5"/>
      <c r="H4092" s="2"/>
      <c r="I4092" s="2"/>
      <c r="K4092" s="2"/>
      <c r="L4092" s="2"/>
      <c r="M4092" s="2"/>
      <c r="N4092" s="2"/>
      <c r="O4092" s="2"/>
      <c r="P4092" s="2"/>
      <c r="Q4092" s="2"/>
      <c r="R4092" s="2"/>
      <c r="S4092" s="2"/>
      <c r="T4092" s="19"/>
      <c r="U4092" s="2"/>
      <c r="V4092" s="2"/>
      <c r="W4092" s="2"/>
      <c r="X4092" s="19"/>
      <c r="Y4092" s="2"/>
      <c r="Z4092" s="5"/>
    </row>
    <row r="4093" spans="7:26" ht="75.75" customHeight="1" x14ac:dyDescent="0.25">
      <c r="G4093" s="5"/>
      <c r="H4093" s="2"/>
      <c r="I4093" s="2"/>
      <c r="K4093" s="2"/>
      <c r="L4093" s="2"/>
      <c r="M4093" s="2"/>
      <c r="N4093" s="2"/>
      <c r="O4093" s="2"/>
      <c r="P4093" s="2"/>
      <c r="Q4093" s="2"/>
      <c r="R4093" s="2"/>
      <c r="S4093" s="2"/>
      <c r="T4093" s="19"/>
      <c r="U4093" s="2"/>
      <c r="V4093" s="2"/>
      <c r="W4093" s="2"/>
      <c r="X4093" s="19"/>
      <c r="Y4093" s="2"/>
      <c r="Z4093" s="5"/>
    </row>
    <row r="4094" spans="7:26" ht="75.75" customHeight="1" x14ac:dyDescent="0.25">
      <c r="G4094" s="5"/>
      <c r="H4094" s="2"/>
      <c r="I4094" s="2"/>
      <c r="K4094" s="2"/>
      <c r="L4094" s="2"/>
      <c r="M4094" s="2"/>
      <c r="N4094" s="2"/>
      <c r="O4094" s="2"/>
      <c r="P4094" s="2"/>
      <c r="Q4094" s="2"/>
      <c r="R4094" s="2"/>
      <c r="S4094" s="2"/>
      <c r="T4094" s="19"/>
      <c r="U4094" s="2"/>
      <c r="V4094" s="2"/>
      <c r="W4094" s="2"/>
      <c r="X4094" s="19"/>
      <c r="Y4094" s="2"/>
      <c r="Z4094" s="5"/>
    </row>
    <row r="4095" spans="7:26" ht="75.75" customHeight="1" x14ac:dyDescent="0.25">
      <c r="G4095" s="5"/>
      <c r="H4095" s="2"/>
      <c r="I4095" s="2"/>
      <c r="K4095" s="2"/>
      <c r="L4095" s="2"/>
      <c r="M4095" s="2"/>
      <c r="N4095" s="2"/>
      <c r="O4095" s="2"/>
      <c r="P4095" s="2"/>
      <c r="Q4095" s="2"/>
      <c r="R4095" s="2"/>
      <c r="S4095" s="2"/>
      <c r="T4095" s="19"/>
      <c r="U4095" s="2"/>
      <c r="V4095" s="2"/>
      <c r="W4095" s="2"/>
      <c r="X4095" s="19"/>
      <c r="Y4095" s="2"/>
      <c r="Z4095" s="5"/>
    </row>
    <row r="4096" spans="7:26" ht="75.75" customHeight="1" x14ac:dyDescent="0.25">
      <c r="G4096" s="5"/>
      <c r="H4096" s="2"/>
      <c r="I4096" s="2"/>
      <c r="K4096" s="2"/>
      <c r="L4096" s="2"/>
      <c r="M4096" s="2"/>
      <c r="N4096" s="2"/>
      <c r="O4096" s="2"/>
      <c r="P4096" s="2"/>
      <c r="Q4096" s="2"/>
      <c r="R4096" s="2"/>
      <c r="S4096" s="2"/>
      <c r="T4096" s="19"/>
      <c r="U4096" s="2"/>
      <c r="V4096" s="2"/>
      <c r="W4096" s="2"/>
      <c r="X4096" s="19"/>
      <c r="Y4096" s="2"/>
      <c r="Z4096" s="5"/>
    </row>
    <row r="4097" spans="7:26" ht="75.75" customHeight="1" x14ac:dyDescent="0.25">
      <c r="G4097" s="5"/>
      <c r="H4097" s="2"/>
      <c r="I4097" s="2"/>
      <c r="K4097" s="2"/>
      <c r="L4097" s="2"/>
      <c r="M4097" s="2"/>
      <c r="N4097" s="2"/>
      <c r="O4097" s="2"/>
      <c r="P4097" s="2"/>
      <c r="Q4097" s="2"/>
      <c r="R4097" s="2"/>
      <c r="S4097" s="2"/>
      <c r="T4097" s="19"/>
      <c r="U4097" s="2"/>
      <c r="V4097" s="2"/>
      <c r="W4097" s="2"/>
      <c r="X4097" s="19"/>
      <c r="Y4097" s="2"/>
      <c r="Z4097" s="5"/>
    </row>
    <row r="4098" spans="7:26" ht="75.75" customHeight="1" x14ac:dyDescent="0.25">
      <c r="G4098" s="5"/>
      <c r="H4098" s="2"/>
      <c r="I4098" s="2"/>
      <c r="K4098" s="2"/>
      <c r="L4098" s="2"/>
      <c r="M4098" s="2"/>
      <c r="N4098" s="2"/>
      <c r="O4098" s="2"/>
      <c r="P4098" s="2"/>
      <c r="Q4098" s="2"/>
      <c r="R4098" s="2"/>
      <c r="S4098" s="2"/>
      <c r="T4098" s="19"/>
      <c r="U4098" s="2"/>
      <c r="V4098" s="2"/>
      <c r="W4098" s="2"/>
      <c r="X4098" s="19"/>
      <c r="Y4098" s="2"/>
      <c r="Z4098" s="5"/>
    </row>
    <row r="4099" spans="7:26" ht="75.75" customHeight="1" x14ac:dyDescent="0.25">
      <c r="G4099" s="5"/>
      <c r="H4099" s="2"/>
      <c r="I4099" s="2"/>
      <c r="K4099" s="2"/>
      <c r="L4099" s="2"/>
      <c r="M4099" s="2"/>
      <c r="N4099" s="2"/>
      <c r="O4099" s="2"/>
      <c r="P4099" s="2"/>
      <c r="Q4099" s="2"/>
      <c r="R4099" s="2"/>
      <c r="S4099" s="2"/>
      <c r="T4099" s="19"/>
      <c r="U4099" s="2"/>
      <c r="V4099" s="2"/>
      <c r="W4099" s="2"/>
      <c r="X4099" s="19"/>
      <c r="Y4099" s="2"/>
      <c r="Z4099" s="5"/>
    </row>
    <row r="4100" spans="7:26" ht="75.75" customHeight="1" x14ac:dyDescent="0.25">
      <c r="G4100" s="5"/>
      <c r="H4100" s="2"/>
      <c r="I4100" s="2"/>
      <c r="K4100" s="2"/>
      <c r="L4100" s="2"/>
      <c r="M4100" s="2"/>
      <c r="N4100" s="2"/>
      <c r="O4100" s="2"/>
      <c r="P4100" s="2"/>
      <c r="Q4100" s="2"/>
      <c r="R4100" s="2"/>
      <c r="S4100" s="2"/>
      <c r="T4100" s="19"/>
      <c r="U4100" s="2"/>
      <c r="V4100" s="2"/>
      <c r="W4100" s="2"/>
      <c r="X4100" s="19"/>
      <c r="Y4100" s="2"/>
      <c r="Z4100" s="5"/>
    </row>
    <row r="4101" spans="7:26" ht="75.75" customHeight="1" x14ac:dyDescent="0.25">
      <c r="G4101" s="5"/>
      <c r="H4101" s="2"/>
      <c r="I4101" s="2"/>
      <c r="K4101" s="2"/>
      <c r="L4101" s="2"/>
      <c r="M4101" s="2"/>
      <c r="N4101" s="2"/>
      <c r="O4101" s="2"/>
      <c r="P4101" s="2"/>
      <c r="Q4101" s="2"/>
      <c r="R4101" s="2"/>
      <c r="S4101" s="2"/>
      <c r="T4101" s="19"/>
      <c r="U4101" s="2"/>
      <c r="V4101" s="2"/>
      <c r="W4101" s="2"/>
      <c r="X4101" s="19"/>
      <c r="Y4101" s="2"/>
      <c r="Z4101" s="5"/>
    </row>
    <row r="4102" spans="7:26" ht="75.75" customHeight="1" x14ac:dyDescent="0.25">
      <c r="G4102" s="5"/>
      <c r="H4102" s="2"/>
      <c r="I4102" s="2"/>
      <c r="K4102" s="2"/>
      <c r="L4102" s="2"/>
      <c r="M4102" s="2"/>
      <c r="N4102" s="2"/>
      <c r="O4102" s="2"/>
      <c r="P4102" s="2"/>
      <c r="Q4102" s="2"/>
      <c r="R4102" s="2"/>
      <c r="S4102" s="2"/>
      <c r="T4102" s="19"/>
      <c r="U4102" s="2"/>
      <c r="V4102" s="2"/>
      <c r="W4102" s="2"/>
      <c r="X4102" s="19"/>
      <c r="Y4102" s="2"/>
      <c r="Z4102" s="5"/>
    </row>
    <row r="4103" spans="7:26" ht="75.75" customHeight="1" x14ac:dyDescent="0.25">
      <c r="G4103" s="5"/>
      <c r="H4103" s="2"/>
      <c r="I4103" s="2"/>
      <c r="K4103" s="2"/>
      <c r="L4103" s="2"/>
      <c r="M4103" s="2"/>
      <c r="N4103" s="2"/>
      <c r="O4103" s="2"/>
      <c r="P4103" s="2"/>
      <c r="Q4103" s="2"/>
      <c r="R4103" s="2"/>
      <c r="S4103" s="2"/>
      <c r="T4103" s="19"/>
      <c r="U4103" s="2"/>
      <c r="V4103" s="2"/>
      <c r="W4103" s="2"/>
      <c r="X4103" s="19"/>
      <c r="Y4103" s="2"/>
      <c r="Z4103" s="5"/>
    </row>
    <row r="4104" spans="7:26" ht="75.75" customHeight="1" x14ac:dyDescent="0.25">
      <c r="G4104" s="5"/>
      <c r="H4104" s="2"/>
      <c r="I4104" s="2"/>
      <c r="K4104" s="2"/>
      <c r="L4104" s="2"/>
      <c r="M4104" s="2"/>
      <c r="N4104" s="2"/>
      <c r="O4104" s="2"/>
      <c r="P4104" s="2"/>
      <c r="Q4104" s="2"/>
      <c r="R4104" s="2"/>
      <c r="S4104" s="2"/>
      <c r="T4104" s="19"/>
      <c r="U4104" s="2"/>
      <c r="V4104" s="2"/>
      <c r="W4104" s="2"/>
      <c r="X4104" s="19"/>
      <c r="Y4104" s="2"/>
      <c r="Z4104" s="5"/>
    </row>
    <row r="4105" spans="7:26" ht="75.75" customHeight="1" x14ac:dyDescent="0.25">
      <c r="G4105" s="5"/>
      <c r="H4105" s="2"/>
      <c r="I4105" s="2"/>
      <c r="K4105" s="2"/>
      <c r="L4105" s="2"/>
      <c r="M4105" s="2"/>
      <c r="N4105" s="2"/>
      <c r="O4105" s="2"/>
      <c r="P4105" s="2"/>
      <c r="Q4105" s="2"/>
      <c r="R4105" s="2"/>
      <c r="S4105" s="2"/>
      <c r="T4105" s="19"/>
      <c r="U4105" s="2"/>
      <c r="V4105" s="2"/>
      <c r="W4105" s="2"/>
      <c r="X4105" s="19"/>
      <c r="Y4105" s="2"/>
      <c r="Z4105" s="5"/>
    </row>
    <row r="4106" spans="7:26" ht="75.75" customHeight="1" x14ac:dyDescent="0.25">
      <c r="G4106" s="5"/>
      <c r="H4106" s="2"/>
      <c r="I4106" s="2"/>
      <c r="K4106" s="2"/>
      <c r="L4106" s="2"/>
      <c r="M4106" s="2"/>
      <c r="N4106" s="2"/>
      <c r="O4106" s="2"/>
      <c r="P4106" s="2"/>
      <c r="Q4106" s="2"/>
      <c r="R4106" s="2"/>
      <c r="S4106" s="2"/>
      <c r="T4106" s="19"/>
      <c r="U4106" s="2"/>
      <c r="V4106" s="2"/>
      <c r="W4106" s="2"/>
      <c r="X4106" s="19"/>
      <c r="Y4106" s="2"/>
      <c r="Z4106" s="5"/>
    </row>
    <row r="4107" spans="7:26" ht="75.75" customHeight="1" x14ac:dyDescent="0.25">
      <c r="G4107" s="5"/>
      <c r="H4107" s="2"/>
      <c r="I4107" s="2"/>
      <c r="K4107" s="2"/>
      <c r="L4107" s="2"/>
      <c r="M4107" s="2"/>
      <c r="N4107" s="2"/>
      <c r="O4107" s="2"/>
      <c r="P4107" s="2"/>
      <c r="Q4107" s="2"/>
      <c r="R4107" s="2"/>
      <c r="S4107" s="2"/>
      <c r="T4107" s="19"/>
      <c r="U4107" s="2"/>
      <c r="V4107" s="2"/>
      <c r="W4107" s="2"/>
      <c r="X4107" s="19"/>
      <c r="Y4107" s="2"/>
      <c r="Z4107" s="5"/>
    </row>
    <row r="4108" spans="7:26" ht="75.75" customHeight="1" x14ac:dyDescent="0.25">
      <c r="G4108" s="5"/>
      <c r="H4108" s="2"/>
      <c r="I4108" s="2"/>
      <c r="K4108" s="2"/>
      <c r="L4108" s="2"/>
      <c r="M4108" s="2"/>
      <c r="N4108" s="2"/>
      <c r="O4108" s="2"/>
      <c r="P4108" s="2"/>
      <c r="Q4108" s="2"/>
      <c r="R4108" s="2"/>
      <c r="S4108" s="2"/>
      <c r="T4108" s="19"/>
      <c r="U4108" s="2"/>
      <c r="V4108" s="2"/>
      <c r="W4108" s="2"/>
      <c r="X4108" s="19"/>
      <c r="Y4108" s="2"/>
      <c r="Z4108" s="5"/>
    </row>
    <row r="4109" spans="7:26" ht="75.75" customHeight="1" x14ac:dyDescent="0.25">
      <c r="G4109" s="5"/>
      <c r="H4109" s="2"/>
      <c r="I4109" s="2"/>
      <c r="K4109" s="2"/>
      <c r="L4109" s="2"/>
      <c r="M4109" s="2"/>
      <c r="N4109" s="2"/>
      <c r="O4109" s="2"/>
      <c r="P4109" s="2"/>
      <c r="Q4109" s="2"/>
      <c r="R4109" s="2"/>
      <c r="S4109" s="2"/>
      <c r="T4109" s="19"/>
      <c r="U4109" s="2"/>
      <c r="V4109" s="2"/>
      <c r="W4109" s="2"/>
      <c r="X4109" s="19"/>
      <c r="Y4109" s="2"/>
      <c r="Z4109" s="5"/>
    </row>
    <row r="4110" spans="7:26" ht="75.75" customHeight="1" x14ac:dyDescent="0.25">
      <c r="G4110" s="5"/>
      <c r="H4110" s="2"/>
      <c r="I4110" s="2"/>
      <c r="K4110" s="2"/>
      <c r="L4110" s="2"/>
      <c r="M4110" s="2"/>
      <c r="N4110" s="2"/>
      <c r="O4110" s="2"/>
      <c r="P4110" s="2"/>
      <c r="Q4110" s="2"/>
      <c r="R4110" s="2"/>
      <c r="S4110" s="2"/>
      <c r="T4110" s="19"/>
      <c r="U4110" s="2"/>
      <c r="V4110" s="2"/>
      <c r="W4110" s="2"/>
      <c r="X4110" s="19"/>
      <c r="Y4110" s="2"/>
      <c r="Z4110" s="5"/>
    </row>
    <row r="4111" spans="7:26" ht="75.75" customHeight="1" x14ac:dyDescent="0.25">
      <c r="G4111" s="5"/>
      <c r="H4111" s="2"/>
      <c r="I4111" s="2"/>
      <c r="K4111" s="2"/>
      <c r="L4111" s="2"/>
      <c r="M4111" s="2"/>
      <c r="N4111" s="2"/>
      <c r="O4111" s="2"/>
      <c r="P4111" s="2"/>
      <c r="Q4111" s="2"/>
      <c r="R4111" s="2"/>
      <c r="S4111" s="2"/>
      <c r="T4111" s="19"/>
      <c r="U4111" s="2"/>
      <c r="V4111" s="2"/>
      <c r="W4111" s="2"/>
      <c r="X4111" s="19"/>
      <c r="Y4111" s="2"/>
      <c r="Z4111" s="5"/>
    </row>
    <row r="4112" spans="7:26" ht="75.75" customHeight="1" x14ac:dyDescent="0.25">
      <c r="G4112" s="5"/>
      <c r="H4112" s="2"/>
      <c r="I4112" s="2"/>
      <c r="K4112" s="2"/>
      <c r="L4112" s="2"/>
      <c r="M4112" s="2"/>
      <c r="N4112" s="2"/>
      <c r="O4112" s="2"/>
      <c r="P4112" s="2"/>
      <c r="Q4112" s="2"/>
      <c r="R4112" s="2"/>
      <c r="S4112" s="2"/>
      <c r="T4112" s="19"/>
      <c r="U4112" s="2"/>
      <c r="V4112" s="2"/>
      <c r="W4112" s="2"/>
      <c r="X4112" s="19"/>
      <c r="Y4112" s="2"/>
      <c r="Z4112" s="5"/>
    </row>
    <row r="4113" spans="7:26" ht="75.75" customHeight="1" x14ac:dyDescent="0.25">
      <c r="G4113" s="5"/>
      <c r="H4113" s="2"/>
      <c r="I4113" s="2"/>
      <c r="K4113" s="2"/>
      <c r="L4113" s="2"/>
      <c r="M4113" s="2"/>
      <c r="N4113" s="2"/>
      <c r="O4113" s="2"/>
      <c r="P4113" s="2"/>
      <c r="Q4113" s="2"/>
      <c r="R4113" s="2"/>
      <c r="S4113" s="2"/>
      <c r="T4113" s="19"/>
      <c r="U4113" s="2"/>
      <c r="V4113" s="2"/>
      <c r="W4113" s="2"/>
      <c r="X4113" s="19"/>
      <c r="Y4113" s="2"/>
      <c r="Z4113" s="5"/>
    </row>
    <row r="4114" spans="7:26" ht="75.75" customHeight="1" x14ac:dyDescent="0.25">
      <c r="G4114" s="5"/>
      <c r="H4114" s="2"/>
      <c r="I4114" s="2"/>
      <c r="K4114" s="2"/>
      <c r="L4114" s="2"/>
      <c r="M4114" s="2"/>
      <c r="N4114" s="2"/>
      <c r="O4114" s="2"/>
      <c r="P4114" s="2"/>
      <c r="Q4114" s="2"/>
      <c r="R4114" s="2"/>
      <c r="S4114" s="2"/>
      <c r="T4114" s="19"/>
      <c r="U4114" s="2"/>
      <c r="V4114" s="2"/>
      <c r="W4114" s="2"/>
      <c r="X4114" s="19"/>
      <c r="Y4114" s="2"/>
      <c r="Z4114" s="5"/>
    </row>
    <row r="4115" spans="7:26" ht="75.75" customHeight="1" x14ac:dyDescent="0.25">
      <c r="G4115" s="5"/>
      <c r="H4115" s="2"/>
      <c r="I4115" s="2"/>
      <c r="K4115" s="2"/>
      <c r="L4115" s="2"/>
      <c r="M4115" s="2"/>
      <c r="N4115" s="2"/>
      <c r="O4115" s="2"/>
      <c r="P4115" s="2"/>
      <c r="Q4115" s="2"/>
      <c r="R4115" s="2"/>
      <c r="S4115" s="2"/>
      <c r="T4115" s="19"/>
      <c r="U4115" s="2"/>
      <c r="V4115" s="2"/>
      <c r="W4115" s="2"/>
      <c r="X4115" s="19"/>
      <c r="Y4115" s="2"/>
      <c r="Z4115" s="5"/>
    </row>
    <row r="4116" spans="7:26" ht="75.75" customHeight="1" x14ac:dyDescent="0.25">
      <c r="G4116" s="5"/>
      <c r="H4116" s="2"/>
      <c r="I4116" s="2"/>
      <c r="K4116" s="2"/>
      <c r="L4116" s="2"/>
      <c r="M4116" s="2"/>
      <c r="N4116" s="2"/>
      <c r="O4116" s="2"/>
      <c r="P4116" s="2"/>
      <c r="Q4116" s="2"/>
      <c r="R4116" s="2"/>
      <c r="S4116" s="2"/>
      <c r="T4116" s="19"/>
      <c r="U4116" s="2"/>
      <c r="V4116" s="2"/>
      <c r="W4116" s="2"/>
      <c r="X4116" s="19"/>
      <c r="Y4116" s="2"/>
      <c r="Z4116" s="5"/>
    </row>
    <row r="4117" spans="7:26" ht="75.75" customHeight="1" x14ac:dyDescent="0.25">
      <c r="G4117" s="5"/>
      <c r="H4117" s="2"/>
      <c r="I4117" s="2"/>
      <c r="K4117" s="2"/>
      <c r="L4117" s="2"/>
      <c r="M4117" s="2"/>
      <c r="N4117" s="2"/>
      <c r="O4117" s="2"/>
      <c r="P4117" s="2"/>
      <c r="Q4117" s="2"/>
      <c r="R4117" s="2"/>
      <c r="S4117" s="2"/>
      <c r="T4117" s="19"/>
      <c r="U4117" s="2"/>
      <c r="V4117" s="2"/>
      <c r="W4117" s="2"/>
      <c r="X4117" s="19"/>
      <c r="Y4117" s="2"/>
      <c r="Z4117" s="5"/>
    </row>
    <row r="4118" spans="7:26" ht="75.75" customHeight="1" x14ac:dyDescent="0.25">
      <c r="G4118" s="5"/>
      <c r="H4118" s="2"/>
      <c r="I4118" s="2"/>
      <c r="K4118" s="2"/>
      <c r="L4118" s="2"/>
      <c r="M4118" s="2"/>
      <c r="N4118" s="2"/>
      <c r="O4118" s="2"/>
      <c r="P4118" s="2"/>
      <c r="Q4118" s="2"/>
      <c r="R4118" s="2"/>
      <c r="S4118" s="2"/>
      <c r="T4118" s="19"/>
      <c r="U4118" s="2"/>
      <c r="V4118" s="2"/>
      <c r="W4118" s="2"/>
      <c r="X4118" s="19"/>
      <c r="Y4118" s="2"/>
      <c r="Z4118" s="5"/>
    </row>
    <row r="4119" spans="7:26" ht="75.75" customHeight="1" x14ac:dyDescent="0.25">
      <c r="G4119" s="5"/>
      <c r="H4119" s="2"/>
      <c r="I4119" s="2"/>
      <c r="K4119" s="2"/>
      <c r="L4119" s="2"/>
      <c r="M4119" s="2"/>
      <c r="N4119" s="2"/>
      <c r="O4119" s="2"/>
      <c r="P4119" s="2"/>
      <c r="Q4119" s="2"/>
      <c r="R4119" s="2"/>
      <c r="S4119" s="2"/>
      <c r="T4119" s="19"/>
      <c r="U4119" s="2"/>
      <c r="V4119" s="2"/>
      <c r="W4119" s="2"/>
      <c r="X4119" s="19"/>
      <c r="Y4119" s="2"/>
      <c r="Z4119" s="5"/>
    </row>
    <row r="4120" spans="7:26" ht="75.75" customHeight="1" x14ac:dyDescent="0.25">
      <c r="G4120" s="5"/>
      <c r="H4120" s="2"/>
      <c r="I4120" s="2"/>
      <c r="K4120" s="2"/>
      <c r="L4120" s="2"/>
      <c r="M4120" s="2"/>
      <c r="N4120" s="2"/>
      <c r="O4120" s="2"/>
      <c r="P4120" s="2"/>
      <c r="Q4120" s="2"/>
      <c r="R4120" s="2"/>
      <c r="S4120" s="2"/>
      <c r="T4120" s="19"/>
      <c r="U4120" s="2"/>
      <c r="V4120" s="2"/>
      <c r="W4120" s="2"/>
      <c r="X4120" s="19"/>
      <c r="Y4120" s="2"/>
      <c r="Z4120" s="5"/>
    </row>
    <row r="4121" spans="7:26" ht="75.75" customHeight="1" x14ac:dyDescent="0.25">
      <c r="G4121" s="5"/>
      <c r="H4121" s="2"/>
      <c r="I4121" s="2"/>
      <c r="K4121" s="2"/>
      <c r="L4121" s="2"/>
      <c r="M4121" s="2"/>
      <c r="N4121" s="2"/>
      <c r="O4121" s="2"/>
      <c r="P4121" s="2"/>
      <c r="Q4121" s="2"/>
      <c r="R4121" s="2"/>
      <c r="S4121" s="2"/>
      <c r="T4121" s="19"/>
      <c r="U4121" s="2"/>
      <c r="V4121" s="2"/>
      <c r="W4121" s="2"/>
      <c r="X4121" s="19"/>
      <c r="Y4121" s="2"/>
      <c r="Z4121" s="5"/>
    </row>
    <row r="4122" spans="7:26" ht="75.75" customHeight="1" x14ac:dyDescent="0.25">
      <c r="G4122" s="5"/>
      <c r="H4122" s="2"/>
      <c r="I4122" s="2"/>
      <c r="K4122" s="2"/>
      <c r="L4122" s="2"/>
      <c r="M4122" s="2"/>
      <c r="N4122" s="2"/>
      <c r="O4122" s="2"/>
      <c r="P4122" s="2"/>
      <c r="Q4122" s="2"/>
      <c r="R4122" s="2"/>
      <c r="S4122" s="2"/>
      <c r="T4122" s="19"/>
      <c r="U4122" s="2"/>
      <c r="V4122" s="2"/>
      <c r="W4122" s="2"/>
      <c r="X4122" s="19"/>
      <c r="Y4122" s="2"/>
      <c r="Z4122" s="5"/>
    </row>
    <row r="4123" spans="7:26" ht="75.75" customHeight="1" x14ac:dyDescent="0.25">
      <c r="G4123" s="5"/>
      <c r="H4123" s="2"/>
      <c r="I4123" s="2"/>
      <c r="K4123" s="2"/>
      <c r="L4123" s="2"/>
      <c r="M4123" s="2"/>
      <c r="N4123" s="2"/>
      <c r="O4123" s="2"/>
      <c r="P4123" s="2"/>
      <c r="Q4123" s="2"/>
      <c r="R4123" s="2"/>
      <c r="S4123" s="2"/>
      <c r="T4123" s="19"/>
      <c r="U4123" s="2"/>
      <c r="V4123" s="2"/>
      <c r="W4123" s="2"/>
      <c r="X4123" s="19"/>
      <c r="Y4123" s="2"/>
      <c r="Z4123" s="5"/>
    </row>
    <row r="4124" spans="7:26" ht="75.75" customHeight="1" x14ac:dyDescent="0.25">
      <c r="G4124" s="5"/>
      <c r="H4124" s="2"/>
      <c r="I4124" s="2"/>
      <c r="K4124" s="2"/>
      <c r="L4124" s="2"/>
      <c r="M4124" s="2"/>
      <c r="N4124" s="2"/>
      <c r="O4124" s="2"/>
      <c r="P4124" s="2"/>
      <c r="Q4124" s="2"/>
      <c r="R4124" s="2"/>
      <c r="S4124" s="2"/>
      <c r="T4124" s="19"/>
      <c r="U4124" s="2"/>
      <c r="V4124" s="2"/>
      <c r="W4124" s="2"/>
      <c r="X4124" s="19"/>
      <c r="Y4124" s="2"/>
      <c r="Z4124" s="5"/>
    </row>
    <row r="4125" spans="7:26" ht="75.75" customHeight="1" x14ac:dyDescent="0.25">
      <c r="G4125" s="5"/>
      <c r="H4125" s="2"/>
      <c r="I4125" s="2"/>
      <c r="K4125" s="2"/>
      <c r="L4125" s="2"/>
      <c r="M4125" s="2"/>
      <c r="N4125" s="2"/>
      <c r="O4125" s="2"/>
      <c r="P4125" s="2"/>
      <c r="Q4125" s="2"/>
      <c r="R4125" s="2"/>
      <c r="S4125" s="2"/>
      <c r="T4125" s="19"/>
      <c r="U4125" s="2"/>
      <c r="V4125" s="2"/>
      <c r="W4125" s="2"/>
      <c r="X4125" s="19"/>
      <c r="Y4125" s="2"/>
      <c r="Z4125" s="5"/>
    </row>
    <row r="4126" spans="7:26" ht="75.75" customHeight="1" x14ac:dyDescent="0.25">
      <c r="G4126" s="5"/>
      <c r="H4126" s="2"/>
      <c r="I4126" s="2"/>
      <c r="K4126" s="2"/>
      <c r="L4126" s="2"/>
      <c r="M4126" s="2"/>
      <c r="N4126" s="2"/>
      <c r="O4126" s="2"/>
      <c r="P4126" s="2"/>
      <c r="Q4126" s="2"/>
      <c r="R4126" s="2"/>
      <c r="S4126" s="2"/>
      <c r="T4126" s="19"/>
      <c r="U4126" s="2"/>
      <c r="V4126" s="2"/>
      <c r="W4126" s="2"/>
      <c r="X4126" s="19"/>
      <c r="Y4126" s="2"/>
      <c r="Z4126" s="5"/>
    </row>
    <row r="4127" spans="7:26" ht="75.75" customHeight="1" x14ac:dyDescent="0.25">
      <c r="G4127" s="5"/>
      <c r="H4127" s="2"/>
      <c r="I4127" s="2"/>
      <c r="K4127" s="2"/>
      <c r="L4127" s="2"/>
      <c r="M4127" s="2"/>
      <c r="N4127" s="2"/>
      <c r="O4127" s="2"/>
      <c r="P4127" s="2"/>
      <c r="Q4127" s="2"/>
      <c r="R4127" s="2"/>
      <c r="S4127" s="2"/>
      <c r="T4127" s="19"/>
      <c r="U4127" s="2"/>
      <c r="V4127" s="2"/>
      <c r="W4127" s="2"/>
      <c r="X4127" s="19"/>
      <c r="Y4127" s="2"/>
      <c r="Z4127" s="5"/>
    </row>
    <row r="4128" spans="7:26" ht="75.75" customHeight="1" x14ac:dyDescent="0.25">
      <c r="G4128" s="5"/>
      <c r="H4128" s="2"/>
      <c r="I4128" s="2"/>
      <c r="K4128" s="2"/>
      <c r="L4128" s="2"/>
      <c r="M4128" s="2"/>
      <c r="N4128" s="2"/>
      <c r="O4128" s="2"/>
      <c r="P4128" s="2"/>
      <c r="Q4128" s="2"/>
      <c r="R4128" s="2"/>
      <c r="S4128" s="2"/>
      <c r="T4128" s="19"/>
      <c r="U4128" s="2"/>
      <c r="V4128" s="2"/>
      <c r="W4128" s="2"/>
      <c r="X4128" s="19"/>
      <c r="Y4128" s="2"/>
      <c r="Z4128" s="5"/>
    </row>
    <row r="4129" spans="7:26" ht="75.75" customHeight="1" x14ac:dyDescent="0.25">
      <c r="G4129" s="5"/>
      <c r="H4129" s="2"/>
      <c r="I4129" s="2"/>
      <c r="K4129" s="2"/>
      <c r="L4129" s="2"/>
      <c r="M4129" s="2"/>
      <c r="N4129" s="2"/>
      <c r="O4129" s="2"/>
      <c r="P4129" s="2"/>
      <c r="Q4129" s="2"/>
      <c r="R4129" s="2"/>
      <c r="S4129" s="2"/>
      <c r="T4129" s="19"/>
      <c r="U4129" s="2"/>
      <c r="V4129" s="2"/>
      <c r="W4129" s="2"/>
      <c r="X4129" s="19"/>
      <c r="Y4129" s="2"/>
      <c r="Z4129" s="5"/>
    </row>
    <row r="4130" spans="7:26" ht="75.75" customHeight="1" x14ac:dyDescent="0.25">
      <c r="G4130" s="5"/>
      <c r="H4130" s="2"/>
      <c r="I4130" s="2"/>
      <c r="K4130" s="2"/>
      <c r="L4130" s="2"/>
      <c r="M4130" s="2"/>
      <c r="N4130" s="2"/>
      <c r="O4130" s="2"/>
      <c r="P4130" s="2"/>
      <c r="Q4130" s="2"/>
      <c r="R4130" s="2"/>
      <c r="S4130" s="2"/>
      <c r="T4130" s="19"/>
      <c r="U4130" s="2"/>
      <c r="V4130" s="2"/>
      <c r="W4130" s="2"/>
      <c r="X4130" s="19"/>
      <c r="Y4130" s="2"/>
      <c r="Z4130" s="5"/>
    </row>
    <row r="4131" spans="7:26" ht="75.75" customHeight="1" x14ac:dyDescent="0.25">
      <c r="G4131" s="5"/>
      <c r="H4131" s="2"/>
      <c r="I4131" s="2"/>
      <c r="K4131" s="2"/>
      <c r="L4131" s="2"/>
      <c r="M4131" s="2"/>
      <c r="N4131" s="2"/>
      <c r="O4131" s="2"/>
      <c r="P4131" s="2"/>
      <c r="Q4131" s="2"/>
      <c r="R4131" s="2"/>
      <c r="S4131" s="2"/>
      <c r="T4131" s="19"/>
      <c r="U4131" s="2"/>
      <c r="V4131" s="2"/>
      <c r="W4131" s="2"/>
      <c r="X4131" s="19"/>
      <c r="Y4131" s="2"/>
      <c r="Z4131" s="5"/>
    </row>
    <row r="4132" spans="7:26" ht="75.75" customHeight="1" x14ac:dyDescent="0.25">
      <c r="G4132" s="5"/>
      <c r="H4132" s="2"/>
      <c r="I4132" s="2"/>
      <c r="K4132" s="2"/>
      <c r="L4132" s="2"/>
      <c r="M4132" s="2"/>
      <c r="N4132" s="2"/>
      <c r="O4132" s="2"/>
      <c r="P4132" s="2"/>
      <c r="Q4132" s="2"/>
      <c r="R4132" s="2"/>
      <c r="S4132" s="2"/>
      <c r="T4132" s="19"/>
      <c r="U4132" s="2"/>
      <c r="V4132" s="2"/>
      <c r="W4132" s="2"/>
      <c r="X4132" s="19"/>
      <c r="Y4132" s="2"/>
      <c r="Z4132" s="5"/>
    </row>
    <row r="4133" spans="7:26" ht="75.75" customHeight="1" x14ac:dyDescent="0.25">
      <c r="G4133" s="5"/>
      <c r="H4133" s="2"/>
      <c r="I4133" s="2"/>
      <c r="K4133" s="2"/>
      <c r="L4133" s="2"/>
      <c r="M4133" s="2"/>
      <c r="N4133" s="2"/>
      <c r="O4133" s="2"/>
      <c r="P4133" s="2"/>
      <c r="Q4133" s="2"/>
      <c r="R4133" s="2"/>
      <c r="S4133" s="2"/>
      <c r="T4133" s="19"/>
      <c r="U4133" s="2"/>
      <c r="V4133" s="2"/>
      <c r="W4133" s="2"/>
      <c r="X4133" s="19"/>
      <c r="Y4133" s="2"/>
      <c r="Z4133" s="5"/>
    </row>
    <row r="4134" spans="7:26" ht="75.75" customHeight="1" x14ac:dyDescent="0.25">
      <c r="G4134" s="5"/>
      <c r="H4134" s="2"/>
      <c r="I4134" s="2"/>
      <c r="K4134" s="2"/>
      <c r="L4134" s="2"/>
      <c r="M4134" s="2"/>
      <c r="N4134" s="2"/>
      <c r="O4134" s="2"/>
      <c r="P4134" s="2"/>
      <c r="Q4134" s="2"/>
      <c r="R4134" s="2"/>
      <c r="S4134" s="2"/>
      <c r="T4134" s="19"/>
      <c r="U4134" s="2"/>
      <c r="V4134" s="2"/>
      <c r="W4134" s="2"/>
      <c r="X4134" s="19"/>
      <c r="Y4134" s="2"/>
      <c r="Z4134" s="5"/>
    </row>
    <row r="4135" spans="7:26" ht="75.75" customHeight="1" x14ac:dyDescent="0.25">
      <c r="G4135" s="5"/>
      <c r="H4135" s="2"/>
      <c r="I4135" s="2"/>
      <c r="K4135" s="2"/>
      <c r="L4135" s="2"/>
      <c r="M4135" s="2"/>
      <c r="N4135" s="2"/>
      <c r="O4135" s="2"/>
      <c r="P4135" s="2"/>
      <c r="Q4135" s="2"/>
      <c r="R4135" s="2"/>
      <c r="S4135" s="2"/>
      <c r="T4135" s="19"/>
      <c r="U4135" s="2"/>
      <c r="V4135" s="2"/>
      <c r="W4135" s="2"/>
      <c r="X4135" s="19"/>
      <c r="Y4135" s="2"/>
      <c r="Z4135" s="5"/>
    </row>
    <row r="4136" spans="7:26" ht="75.75" customHeight="1" x14ac:dyDescent="0.25">
      <c r="G4136" s="5"/>
      <c r="H4136" s="2"/>
      <c r="I4136" s="2"/>
      <c r="K4136" s="2"/>
      <c r="L4136" s="2"/>
      <c r="M4136" s="2"/>
      <c r="N4136" s="2"/>
      <c r="O4136" s="2"/>
      <c r="P4136" s="2"/>
      <c r="Q4136" s="2"/>
      <c r="R4136" s="2"/>
      <c r="S4136" s="2"/>
      <c r="T4136" s="19"/>
      <c r="U4136" s="2"/>
      <c r="V4136" s="2"/>
      <c r="W4136" s="2"/>
      <c r="X4136" s="19"/>
      <c r="Y4136" s="2"/>
      <c r="Z4136" s="5"/>
    </row>
    <row r="4137" spans="7:26" ht="75.75" customHeight="1" x14ac:dyDescent="0.25">
      <c r="G4137" s="5"/>
      <c r="H4137" s="2"/>
      <c r="I4137" s="2"/>
      <c r="K4137" s="2"/>
      <c r="L4137" s="2"/>
      <c r="M4137" s="2"/>
      <c r="N4137" s="2"/>
      <c r="O4137" s="2"/>
      <c r="P4137" s="2"/>
      <c r="Q4137" s="2"/>
      <c r="R4137" s="2"/>
      <c r="S4137" s="2"/>
      <c r="T4137" s="19"/>
      <c r="U4137" s="2"/>
      <c r="V4137" s="2"/>
      <c r="W4137" s="2"/>
      <c r="X4137" s="19"/>
      <c r="Y4137" s="2"/>
      <c r="Z4137" s="5"/>
    </row>
    <row r="4138" spans="7:26" ht="75.75" customHeight="1" x14ac:dyDescent="0.25">
      <c r="G4138" s="5"/>
      <c r="H4138" s="2"/>
      <c r="I4138" s="2"/>
      <c r="K4138" s="2"/>
      <c r="L4138" s="2"/>
      <c r="M4138" s="2"/>
      <c r="N4138" s="2"/>
      <c r="O4138" s="2"/>
      <c r="P4138" s="2"/>
      <c r="Q4138" s="2"/>
      <c r="R4138" s="2"/>
      <c r="S4138" s="2"/>
      <c r="T4138" s="19"/>
      <c r="U4138" s="2"/>
      <c r="V4138" s="2"/>
      <c r="W4138" s="2"/>
      <c r="X4138" s="19"/>
      <c r="Y4138" s="2"/>
      <c r="Z4138" s="5"/>
    </row>
    <row r="4139" spans="7:26" ht="75.75" customHeight="1" x14ac:dyDescent="0.25">
      <c r="G4139" s="5"/>
      <c r="H4139" s="2"/>
      <c r="I4139" s="2"/>
      <c r="K4139" s="2"/>
      <c r="L4139" s="2"/>
      <c r="M4139" s="2"/>
      <c r="N4139" s="2"/>
      <c r="O4139" s="2"/>
      <c r="P4139" s="2"/>
      <c r="Q4139" s="2"/>
      <c r="R4139" s="2"/>
      <c r="S4139" s="2"/>
      <c r="T4139" s="19"/>
      <c r="U4139" s="2"/>
      <c r="V4139" s="2"/>
      <c r="W4139" s="2"/>
      <c r="X4139" s="19"/>
      <c r="Y4139" s="2"/>
      <c r="Z4139" s="5"/>
    </row>
    <row r="4140" spans="7:26" ht="75.75" customHeight="1" x14ac:dyDescent="0.25">
      <c r="G4140" s="5"/>
      <c r="H4140" s="2"/>
      <c r="I4140" s="2"/>
      <c r="K4140" s="2"/>
      <c r="L4140" s="2"/>
      <c r="M4140" s="2"/>
      <c r="N4140" s="2"/>
      <c r="O4140" s="2"/>
      <c r="P4140" s="2"/>
      <c r="Q4140" s="2"/>
      <c r="R4140" s="2"/>
      <c r="S4140" s="2"/>
      <c r="T4140" s="19"/>
      <c r="U4140" s="2"/>
      <c r="V4140" s="2"/>
      <c r="W4140" s="2"/>
      <c r="X4140" s="19"/>
      <c r="Y4140" s="2"/>
      <c r="Z4140" s="5"/>
    </row>
    <row r="4141" spans="7:26" ht="75.75" customHeight="1" x14ac:dyDescent="0.25">
      <c r="G4141" s="5"/>
      <c r="H4141" s="2"/>
      <c r="I4141" s="2"/>
      <c r="K4141" s="2"/>
      <c r="L4141" s="2"/>
      <c r="M4141" s="2"/>
      <c r="N4141" s="2"/>
      <c r="O4141" s="2"/>
      <c r="P4141" s="2"/>
      <c r="Q4141" s="2"/>
      <c r="R4141" s="2"/>
      <c r="S4141" s="2"/>
      <c r="T4141" s="19"/>
      <c r="U4141" s="2"/>
      <c r="V4141" s="2"/>
      <c r="W4141" s="2"/>
      <c r="X4141" s="19"/>
      <c r="Y4141" s="2"/>
      <c r="Z4141" s="5"/>
    </row>
    <row r="4142" spans="7:26" ht="75.75" customHeight="1" x14ac:dyDescent="0.25">
      <c r="G4142" s="5"/>
      <c r="H4142" s="2"/>
      <c r="I4142" s="2"/>
      <c r="K4142" s="2"/>
      <c r="L4142" s="2"/>
      <c r="M4142" s="2"/>
      <c r="N4142" s="2"/>
      <c r="O4142" s="2"/>
      <c r="P4142" s="2"/>
      <c r="Q4142" s="2"/>
      <c r="R4142" s="2"/>
      <c r="S4142" s="2"/>
      <c r="T4142" s="19"/>
      <c r="U4142" s="2"/>
      <c r="V4142" s="2"/>
      <c r="W4142" s="2"/>
      <c r="X4142" s="19"/>
      <c r="Y4142" s="2"/>
      <c r="Z4142" s="5"/>
    </row>
    <row r="4143" spans="7:26" ht="75.75" customHeight="1" x14ac:dyDescent="0.25">
      <c r="G4143" s="5"/>
      <c r="H4143" s="2"/>
      <c r="I4143" s="2"/>
      <c r="K4143" s="2"/>
      <c r="L4143" s="2"/>
      <c r="M4143" s="2"/>
      <c r="N4143" s="2"/>
      <c r="O4143" s="2"/>
      <c r="P4143" s="2"/>
      <c r="Q4143" s="2"/>
      <c r="R4143" s="2"/>
      <c r="S4143" s="2"/>
      <c r="T4143" s="19"/>
      <c r="U4143" s="2"/>
      <c r="V4143" s="2"/>
      <c r="W4143" s="2"/>
      <c r="X4143" s="19"/>
      <c r="Y4143" s="2"/>
      <c r="Z4143" s="5"/>
    </row>
    <row r="4144" spans="7:26" ht="75.75" customHeight="1" x14ac:dyDescent="0.25">
      <c r="G4144" s="5"/>
      <c r="H4144" s="2"/>
      <c r="I4144" s="2"/>
      <c r="K4144" s="2"/>
      <c r="L4144" s="2"/>
      <c r="M4144" s="2"/>
      <c r="N4144" s="2"/>
      <c r="O4144" s="2"/>
      <c r="P4144" s="2"/>
      <c r="Q4144" s="2"/>
      <c r="R4144" s="2"/>
      <c r="S4144" s="2"/>
      <c r="T4144" s="19"/>
      <c r="U4144" s="2"/>
      <c r="V4144" s="2"/>
      <c r="W4144" s="2"/>
      <c r="X4144" s="19"/>
      <c r="Y4144" s="2"/>
      <c r="Z4144" s="5"/>
    </row>
    <row r="4145" spans="7:26" ht="75.75" customHeight="1" x14ac:dyDescent="0.25">
      <c r="G4145" s="5"/>
      <c r="H4145" s="2"/>
      <c r="I4145" s="2"/>
      <c r="K4145" s="2"/>
      <c r="L4145" s="2"/>
      <c r="M4145" s="2"/>
      <c r="N4145" s="2"/>
      <c r="O4145" s="2"/>
      <c r="P4145" s="2"/>
      <c r="Q4145" s="2"/>
      <c r="R4145" s="2"/>
      <c r="S4145" s="2"/>
      <c r="T4145" s="19"/>
      <c r="U4145" s="2"/>
      <c r="V4145" s="2"/>
      <c r="W4145" s="2"/>
      <c r="X4145" s="19"/>
      <c r="Y4145" s="2"/>
      <c r="Z4145" s="5"/>
    </row>
    <row r="4146" spans="7:26" ht="75.75" customHeight="1" x14ac:dyDescent="0.25">
      <c r="G4146" s="5"/>
      <c r="H4146" s="2"/>
      <c r="I4146" s="2"/>
      <c r="K4146" s="2"/>
      <c r="L4146" s="2"/>
      <c r="M4146" s="2"/>
      <c r="N4146" s="2"/>
      <c r="O4146" s="2"/>
      <c r="P4146" s="2"/>
      <c r="Q4146" s="2"/>
      <c r="R4146" s="2"/>
      <c r="S4146" s="2"/>
      <c r="T4146" s="19"/>
      <c r="U4146" s="2"/>
      <c r="V4146" s="2"/>
      <c r="W4146" s="2"/>
      <c r="X4146" s="19"/>
      <c r="Y4146" s="2"/>
      <c r="Z4146" s="5"/>
    </row>
    <row r="4147" spans="7:26" ht="75.75" customHeight="1" x14ac:dyDescent="0.25">
      <c r="G4147" s="5"/>
      <c r="H4147" s="2"/>
      <c r="I4147" s="2"/>
      <c r="K4147" s="2"/>
      <c r="L4147" s="2"/>
      <c r="M4147" s="2"/>
      <c r="N4147" s="2"/>
      <c r="O4147" s="2"/>
      <c r="P4147" s="2"/>
      <c r="Q4147" s="2"/>
      <c r="R4147" s="2"/>
      <c r="S4147" s="2"/>
      <c r="T4147" s="19"/>
      <c r="U4147" s="2"/>
      <c r="V4147" s="2"/>
      <c r="W4147" s="2"/>
      <c r="X4147" s="19"/>
      <c r="Y4147" s="2"/>
      <c r="Z4147" s="5"/>
    </row>
    <row r="4148" spans="7:26" ht="75.75" customHeight="1" x14ac:dyDescent="0.25">
      <c r="G4148" s="5"/>
      <c r="H4148" s="2"/>
      <c r="I4148" s="2"/>
      <c r="K4148" s="2"/>
      <c r="L4148" s="2"/>
      <c r="M4148" s="2"/>
      <c r="N4148" s="2"/>
      <c r="O4148" s="2"/>
      <c r="P4148" s="2"/>
      <c r="Q4148" s="2"/>
      <c r="R4148" s="2"/>
      <c r="S4148" s="2"/>
      <c r="T4148" s="19"/>
      <c r="U4148" s="2"/>
      <c r="V4148" s="2"/>
      <c r="W4148" s="2"/>
      <c r="X4148" s="19"/>
      <c r="Y4148" s="2"/>
      <c r="Z4148" s="5"/>
    </row>
    <row r="4149" spans="7:26" ht="75.75" customHeight="1" x14ac:dyDescent="0.25">
      <c r="G4149" s="5"/>
      <c r="H4149" s="2"/>
      <c r="I4149" s="2"/>
      <c r="K4149" s="2"/>
      <c r="L4149" s="2"/>
      <c r="M4149" s="2"/>
      <c r="N4149" s="2"/>
      <c r="O4149" s="2"/>
      <c r="P4149" s="2"/>
      <c r="Q4149" s="2"/>
      <c r="R4149" s="2"/>
      <c r="S4149" s="2"/>
      <c r="T4149" s="19"/>
      <c r="U4149" s="2"/>
      <c r="V4149" s="2"/>
      <c r="W4149" s="2"/>
      <c r="X4149" s="19"/>
      <c r="Y4149" s="2"/>
      <c r="Z4149" s="5"/>
    </row>
    <row r="4150" spans="7:26" ht="75.75" customHeight="1" x14ac:dyDescent="0.25">
      <c r="G4150" s="5"/>
      <c r="H4150" s="2"/>
      <c r="I4150" s="2"/>
      <c r="K4150" s="2"/>
      <c r="L4150" s="2"/>
      <c r="M4150" s="2"/>
      <c r="N4150" s="2"/>
      <c r="O4150" s="2"/>
      <c r="P4150" s="2"/>
      <c r="Q4150" s="2"/>
      <c r="R4150" s="2"/>
      <c r="S4150" s="2"/>
      <c r="T4150" s="19"/>
      <c r="U4150" s="2"/>
      <c r="V4150" s="2"/>
      <c r="W4150" s="2"/>
      <c r="X4150" s="19"/>
      <c r="Y4150" s="2"/>
      <c r="Z4150" s="5"/>
    </row>
    <row r="4151" spans="7:26" ht="75.75" customHeight="1" x14ac:dyDescent="0.25">
      <c r="G4151" s="5"/>
      <c r="H4151" s="2"/>
      <c r="I4151" s="2"/>
      <c r="K4151" s="2"/>
      <c r="L4151" s="2"/>
      <c r="M4151" s="2"/>
      <c r="N4151" s="2"/>
      <c r="O4151" s="2"/>
      <c r="P4151" s="2"/>
      <c r="Q4151" s="2"/>
      <c r="R4151" s="2"/>
      <c r="S4151" s="2"/>
      <c r="T4151" s="19"/>
      <c r="U4151" s="2"/>
      <c r="V4151" s="2"/>
      <c r="W4151" s="2"/>
      <c r="X4151" s="19"/>
      <c r="Y4151" s="2"/>
      <c r="Z4151" s="5"/>
    </row>
    <row r="4152" spans="7:26" ht="75.75" customHeight="1" x14ac:dyDescent="0.25">
      <c r="G4152" s="5"/>
      <c r="H4152" s="2"/>
      <c r="I4152" s="2"/>
      <c r="K4152" s="2"/>
      <c r="L4152" s="2"/>
      <c r="M4152" s="2"/>
      <c r="N4152" s="2"/>
      <c r="O4152" s="2"/>
      <c r="P4152" s="2"/>
      <c r="Q4152" s="2"/>
      <c r="R4152" s="2"/>
      <c r="S4152" s="2"/>
      <c r="T4152" s="19"/>
      <c r="U4152" s="2"/>
      <c r="V4152" s="2"/>
      <c r="W4152" s="2"/>
      <c r="X4152" s="19"/>
      <c r="Y4152" s="2"/>
      <c r="Z4152" s="5"/>
    </row>
    <row r="4153" spans="7:26" ht="75.75" customHeight="1" x14ac:dyDescent="0.25">
      <c r="G4153" s="5"/>
      <c r="H4153" s="2"/>
      <c r="I4153" s="2"/>
      <c r="K4153" s="2"/>
      <c r="L4153" s="2"/>
      <c r="M4153" s="2"/>
      <c r="N4153" s="2"/>
      <c r="O4153" s="2"/>
      <c r="P4153" s="2"/>
      <c r="Q4153" s="2"/>
      <c r="R4153" s="2"/>
      <c r="S4153" s="2"/>
      <c r="T4153" s="19"/>
      <c r="U4153" s="2"/>
      <c r="V4153" s="2"/>
      <c r="W4153" s="2"/>
      <c r="X4153" s="19"/>
      <c r="Y4153" s="2"/>
      <c r="Z4153" s="5"/>
    </row>
    <row r="4154" spans="7:26" ht="75.75" customHeight="1" x14ac:dyDescent="0.25">
      <c r="G4154" s="5"/>
      <c r="H4154" s="2"/>
      <c r="I4154" s="2"/>
      <c r="K4154" s="2"/>
      <c r="L4154" s="2"/>
      <c r="M4154" s="2"/>
      <c r="N4154" s="2"/>
      <c r="O4154" s="2"/>
      <c r="P4154" s="2"/>
      <c r="Q4154" s="2"/>
      <c r="R4154" s="2"/>
      <c r="S4154" s="2"/>
      <c r="T4154" s="19"/>
      <c r="U4154" s="2"/>
      <c r="V4154" s="2"/>
      <c r="W4154" s="2"/>
      <c r="X4154" s="19"/>
      <c r="Y4154" s="2"/>
      <c r="Z4154" s="5"/>
    </row>
    <row r="4155" spans="7:26" ht="75.75" customHeight="1" x14ac:dyDescent="0.25">
      <c r="G4155" s="5"/>
      <c r="H4155" s="2"/>
      <c r="I4155" s="2"/>
      <c r="K4155" s="2"/>
      <c r="L4155" s="2"/>
      <c r="M4155" s="2"/>
      <c r="N4155" s="2"/>
      <c r="O4155" s="2"/>
      <c r="P4155" s="2"/>
      <c r="Q4155" s="2"/>
      <c r="R4155" s="2"/>
      <c r="S4155" s="2"/>
      <c r="T4155" s="19"/>
      <c r="U4155" s="2"/>
      <c r="V4155" s="2"/>
      <c r="W4155" s="2"/>
      <c r="X4155" s="19"/>
      <c r="Y4155" s="2"/>
      <c r="Z4155" s="5"/>
    </row>
    <row r="4156" spans="7:26" ht="75.75" customHeight="1" x14ac:dyDescent="0.25">
      <c r="G4156" s="5"/>
      <c r="H4156" s="2"/>
      <c r="I4156" s="2"/>
      <c r="K4156" s="2"/>
      <c r="L4156" s="2"/>
      <c r="M4156" s="2"/>
      <c r="N4156" s="2"/>
      <c r="O4156" s="2"/>
      <c r="P4156" s="2"/>
      <c r="Q4156" s="2"/>
      <c r="R4156" s="2"/>
      <c r="S4156" s="2"/>
      <c r="T4156" s="19"/>
      <c r="U4156" s="2"/>
      <c r="V4156" s="2"/>
      <c r="W4156" s="2"/>
      <c r="X4156" s="19"/>
      <c r="Y4156" s="2"/>
      <c r="Z4156" s="5"/>
    </row>
    <row r="4157" spans="7:26" ht="75.75" customHeight="1" x14ac:dyDescent="0.25">
      <c r="G4157" s="5"/>
      <c r="H4157" s="2"/>
      <c r="I4157" s="2"/>
      <c r="K4157" s="2"/>
      <c r="L4157" s="2"/>
      <c r="M4157" s="2"/>
      <c r="N4157" s="2"/>
      <c r="O4157" s="2"/>
      <c r="P4157" s="2"/>
      <c r="Q4157" s="2"/>
      <c r="R4157" s="2"/>
      <c r="S4157" s="2"/>
      <c r="T4157" s="19"/>
      <c r="U4157" s="2"/>
      <c r="V4157" s="2"/>
      <c r="W4157" s="2"/>
      <c r="X4157" s="19"/>
      <c r="Y4157" s="2"/>
      <c r="Z4157" s="5"/>
    </row>
    <row r="4158" spans="7:26" ht="75.75" customHeight="1" x14ac:dyDescent="0.25">
      <c r="G4158" s="5"/>
      <c r="H4158" s="2"/>
      <c r="I4158" s="2"/>
      <c r="K4158" s="2"/>
      <c r="L4158" s="2"/>
      <c r="M4158" s="2"/>
      <c r="N4158" s="2"/>
      <c r="O4158" s="2"/>
      <c r="P4158" s="2"/>
      <c r="Q4158" s="2"/>
      <c r="R4158" s="2"/>
      <c r="S4158" s="2"/>
      <c r="T4158" s="19"/>
      <c r="U4158" s="2"/>
      <c r="V4158" s="2"/>
      <c r="W4158" s="2"/>
      <c r="X4158" s="19"/>
      <c r="Y4158" s="2"/>
      <c r="Z4158" s="5"/>
    </row>
    <row r="4159" spans="7:26" ht="75.75" customHeight="1" x14ac:dyDescent="0.25">
      <c r="G4159" s="5"/>
      <c r="H4159" s="2"/>
      <c r="I4159" s="2"/>
      <c r="K4159" s="2"/>
      <c r="L4159" s="2"/>
      <c r="M4159" s="2"/>
      <c r="N4159" s="2"/>
      <c r="O4159" s="2"/>
      <c r="P4159" s="2"/>
      <c r="Q4159" s="2"/>
      <c r="R4159" s="2"/>
      <c r="S4159" s="2"/>
      <c r="T4159" s="19"/>
      <c r="U4159" s="2"/>
      <c r="V4159" s="2"/>
      <c r="W4159" s="2"/>
      <c r="X4159" s="19"/>
      <c r="Y4159" s="2"/>
      <c r="Z4159" s="5"/>
    </row>
    <row r="4160" spans="7:26" ht="75.75" customHeight="1" x14ac:dyDescent="0.25">
      <c r="G4160" s="5"/>
      <c r="H4160" s="2"/>
      <c r="I4160" s="2"/>
      <c r="K4160" s="2"/>
      <c r="L4160" s="2"/>
      <c r="M4160" s="2"/>
      <c r="N4160" s="2"/>
      <c r="O4160" s="2"/>
      <c r="P4160" s="2"/>
      <c r="Q4160" s="2"/>
      <c r="R4160" s="2"/>
      <c r="S4160" s="2"/>
      <c r="T4160" s="19"/>
      <c r="U4160" s="2"/>
      <c r="V4160" s="2"/>
      <c r="W4160" s="2"/>
      <c r="X4160" s="19"/>
      <c r="Y4160" s="2"/>
      <c r="Z4160" s="5"/>
    </row>
    <row r="4161" spans="7:26" ht="75.75" customHeight="1" x14ac:dyDescent="0.25">
      <c r="G4161" s="5"/>
      <c r="H4161" s="2"/>
      <c r="I4161" s="2"/>
      <c r="K4161" s="2"/>
      <c r="L4161" s="2"/>
      <c r="M4161" s="2"/>
      <c r="N4161" s="2"/>
      <c r="O4161" s="2"/>
      <c r="P4161" s="2"/>
      <c r="Q4161" s="2"/>
      <c r="R4161" s="2"/>
      <c r="S4161" s="2"/>
      <c r="T4161" s="19"/>
      <c r="U4161" s="2"/>
      <c r="V4161" s="2"/>
      <c r="W4161" s="2"/>
      <c r="X4161" s="19"/>
      <c r="Y4161" s="2"/>
      <c r="Z4161" s="5"/>
    </row>
    <row r="4162" spans="7:26" ht="75.75" customHeight="1" x14ac:dyDescent="0.25">
      <c r="G4162" s="5"/>
      <c r="H4162" s="2"/>
      <c r="I4162" s="2"/>
      <c r="K4162" s="2"/>
      <c r="L4162" s="2"/>
      <c r="M4162" s="2"/>
      <c r="N4162" s="2"/>
      <c r="O4162" s="2"/>
      <c r="P4162" s="2"/>
      <c r="Q4162" s="2"/>
      <c r="R4162" s="2"/>
      <c r="S4162" s="2"/>
      <c r="T4162" s="19"/>
      <c r="U4162" s="2"/>
      <c r="V4162" s="2"/>
      <c r="W4162" s="2"/>
      <c r="X4162" s="19"/>
      <c r="Y4162" s="2"/>
      <c r="Z4162" s="5"/>
    </row>
    <row r="4163" spans="7:26" ht="75.75" customHeight="1" x14ac:dyDescent="0.25">
      <c r="G4163" s="5"/>
      <c r="H4163" s="2"/>
      <c r="I4163" s="2"/>
      <c r="K4163" s="2"/>
      <c r="L4163" s="2"/>
      <c r="M4163" s="2"/>
      <c r="N4163" s="2"/>
      <c r="O4163" s="2"/>
      <c r="P4163" s="2"/>
      <c r="Q4163" s="2"/>
      <c r="R4163" s="2"/>
      <c r="S4163" s="2"/>
      <c r="T4163" s="19"/>
      <c r="U4163" s="2"/>
      <c r="V4163" s="2"/>
      <c r="W4163" s="2"/>
      <c r="X4163" s="19"/>
      <c r="Y4163" s="2"/>
      <c r="Z4163" s="5"/>
    </row>
    <row r="4164" spans="7:26" ht="75.75" customHeight="1" x14ac:dyDescent="0.25">
      <c r="G4164" s="5"/>
      <c r="H4164" s="2"/>
      <c r="I4164" s="2"/>
      <c r="K4164" s="2"/>
      <c r="L4164" s="2"/>
      <c r="M4164" s="2"/>
      <c r="N4164" s="2"/>
      <c r="O4164" s="2"/>
      <c r="P4164" s="2"/>
      <c r="Q4164" s="2"/>
      <c r="R4164" s="2"/>
      <c r="S4164" s="2"/>
      <c r="T4164" s="19"/>
      <c r="U4164" s="2"/>
      <c r="V4164" s="2"/>
      <c r="W4164" s="2"/>
      <c r="X4164" s="19"/>
      <c r="Y4164" s="2"/>
      <c r="Z4164" s="5"/>
    </row>
    <row r="4165" spans="7:26" ht="75.75" customHeight="1" x14ac:dyDescent="0.25">
      <c r="G4165" s="5"/>
      <c r="H4165" s="2"/>
      <c r="I4165" s="2"/>
      <c r="K4165" s="2"/>
      <c r="L4165" s="2"/>
      <c r="M4165" s="2"/>
      <c r="N4165" s="2"/>
      <c r="O4165" s="2"/>
      <c r="P4165" s="2"/>
      <c r="Q4165" s="2"/>
      <c r="R4165" s="2"/>
      <c r="S4165" s="2"/>
      <c r="T4165" s="19"/>
      <c r="U4165" s="2"/>
      <c r="V4165" s="2"/>
      <c r="W4165" s="2"/>
      <c r="X4165" s="19"/>
      <c r="Y4165" s="2"/>
      <c r="Z4165" s="5"/>
    </row>
    <row r="4166" spans="7:26" ht="75.75" customHeight="1" x14ac:dyDescent="0.25">
      <c r="G4166" s="5"/>
      <c r="H4166" s="2"/>
      <c r="I4166" s="2"/>
      <c r="K4166" s="2"/>
      <c r="L4166" s="2"/>
      <c r="M4166" s="2"/>
      <c r="N4166" s="2"/>
      <c r="O4166" s="2"/>
      <c r="P4166" s="2"/>
      <c r="Q4166" s="2"/>
      <c r="R4166" s="2"/>
      <c r="S4166" s="2"/>
      <c r="T4166" s="19"/>
      <c r="U4166" s="2"/>
      <c r="V4166" s="2"/>
      <c r="W4166" s="2"/>
      <c r="X4166" s="19"/>
      <c r="Y4166" s="2"/>
      <c r="Z4166" s="5"/>
    </row>
    <row r="4167" spans="7:26" ht="75.75" customHeight="1" x14ac:dyDescent="0.25">
      <c r="G4167" s="5"/>
      <c r="H4167" s="2"/>
      <c r="I4167" s="2"/>
      <c r="K4167" s="2"/>
      <c r="L4167" s="2"/>
      <c r="M4167" s="2"/>
      <c r="N4167" s="2"/>
      <c r="O4167" s="2"/>
      <c r="P4167" s="2"/>
      <c r="Q4167" s="2"/>
      <c r="R4167" s="2"/>
      <c r="S4167" s="2"/>
      <c r="T4167" s="19"/>
      <c r="U4167" s="2"/>
      <c r="V4167" s="2"/>
      <c r="W4167" s="2"/>
      <c r="X4167" s="19"/>
      <c r="Y4167" s="2"/>
      <c r="Z4167" s="5"/>
    </row>
    <row r="4168" spans="7:26" ht="75.75" customHeight="1" x14ac:dyDescent="0.25">
      <c r="G4168" s="5"/>
      <c r="H4168" s="2"/>
      <c r="I4168" s="2"/>
      <c r="K4168" s="2"/>
      <c r="L4168" s="2"/>
      <c r="M4168" s="2"/>
      <c r="N4168" s="2"/>
      <c r="O4168" s="2"/>
      <c r="P4168" s="2"/>
      <c r="Q4168" s="2"/>
      <c r="R4168" s="2"/>
      <c r="S4168" s="2"/>
      <c r="T4168" s="19"/>
      <c r="U4168" s="2"/>
      <c r="V4168" s="2"/>
      <c r="W4168" s="2"/>
      <c r="X4168" s="19"/>
      <c r="Y4168" s="2"/>
      <c r="Z4168" s="5"/>
    </row>
    <row r="4169" spans="7:26" ht="75.75" customHeight="1" x14ac:dyDescent="0.25">
      <c r="G4169" s="5"/>
      <c r="H4169" s="2"/>
      <c r="I4169" s="2"/>
      <c r="K4169" s="2"/>
      <c r="L4169" s="2"/>
      <c r="M4169" s="2"/>
      <c r="N4169" s="2"/>
      <c r="O4169" s="2"/>
      <c r="P4169" s="2"/>
      <c r="Q4169" s="2"/>
      <c r="R4169" s="2"/>
      <c r="S4169" s="2"/>
      <c r="T4169" s="19"/>
      <c r="U4169" s="2"/>
      <c r="V4169" s="2"/>
      <c r="W4169" s="2"/>
      <c r="X4169" s="19"/>
      <c r="Y4169" s="2"/>
      <c r="Z4169" s="5"/>
    </row>
    <row r="4170" spans="7:26" ht="75.75" customHeight="1" x14ac:dyDescent="0.25">
      <c r="G4170" s="5"/>
      <c r="H4170" s="2"/>
      <c r="I4170" s="2"/>
      <c r="K4170" s="2"/>
      <c r="L4170" s="2"/>
      <c r="M4170" s="2"/>
      <c r="N4170" s="2"/>
      <c r="O4170" s="2"/>
      <c r="P4170" s="2"/>
      <c r="Q4170" s="2"/>
      <c r="R4170" s="2"/>
      <c r="S4170" s="2"/>
      <c r="T4170" s="19"/>
      <c r="U4170" s="2"/>
      <c r="V4170" s="2"/>
      <c r="W4170" s="2"/>
      <c r="X4170" s="19"/>
      <c r="Y4170" s="2"/>
      <c r="Z4170" s="5"/>
    </row>
    <row r="4171" spans="7:26" ht="75.75" customHeight="1" x14ac:dyDescent="0.25">
      <c r="G4171" s="5"/>
      <c r="H4171" s="2"/>
      <c r="I4171" s="2"/>
      <c r="K4171" s="2"/>
      <c r="L4171" s="2"/>
      <c r="M4171" s="2"/>
      <c r="N4171" s="2"/>
      <c r="O4171" s="2"/>
      <c r="P4171" s="2"/>
      <c r="Q4171" s="2"/>
      <c r="R4171" s="2"/>
      <c r="S4171" s="2"/>
      <c r="T4171" s="19"/>
      <c r="U4171" s="2"/>
      <c r="V4171" s="2"/>
      <c r="W4171" s="2"/>
      <c r="X4171" s="19"/>
      <c r="Y4171" s="2"/>
      <c r="Z4171" s="5"/>
    </row>
    <row r="4172" spans="7:26" ht="75.75" customHeight="1" x14ac:dyDescent="0.25">
      <c r="G4172" s="5"/>
      <c r="H4172" s="2"/>
      <c r="I4172" s="2"/>
      <c r="K4172" s="2"/>
      <c r="L4172" s="2"/>
      <c r="M4172" s="2"/>
      <c r="N4172" s="2"/>
      <c r="O4172" s="2"/>
      <c r="P4172" s="2"/>
      <c r="Q4172" s="2"/>
      <c r="R4172" s="2"/>
      <c r="S4172" s="2"/>
      <c r="T4172" s="19"/>
      <c r="U4172" s="2"/>
      <c r="V4172" s="2"/>
      <c r="W4172" s="2"/>
      <c r="X4172" s="19"/>
      <c r="Y4172" s="2"/>
      <c r="Z4172" s="5"/>
    </row>
    <row r="4173" spans="7:26" ht="75.75" customHeight="1" x14ac:dyDescent="0.25">
      <c r="G4173" s="5"/>
      <c r="H4173" s="2"/>
      <c r="I4173" s="2"/>
      <c r="K4173" s="2"/>
      <c r="L4173" s="2"/>
      <c r="M4173" s="2"/>
      <c r="N4173" s="2"/>
      <c r="O4173" s="2"/>
      <c r="P4173" s="2"/>
      <c r="Q4173" s="2"/>
      <c r="R4173" s="2"/>
      <c r="S4173" s="2"/>
      <c r="T4173" s="19"/>
      <c r="U4173" s="2"/>
      <c r="V4173" s="2"/>
      <c r="W4173" s="2"/>
      <c r="X4173" s="19"/>
      <c r="Y4173" s="2"/>
      <c r="Z4173" s="5"/>
    </row>
    <row r="4174" spans="7:26" ht="75.75" customHeight="1" x14ac:dyDescent="0.25">
      <c r="G4174" s="5"/>
      <c r="H4174" s="2"/>
      <c r="I4174" s="2"/>
      <c r="K4174" s="2"/>
      <c r="L4174" s="2"/>
      <c r="M4174" s="2"/>
      <c r="N4174" s="2"/>
      <c r="O4174" s="2"/>
      <c r="P4174" s="2"/>
      <c r="Q4174" s="2"/>
      <c r="R4174" s="2"/>
      <c r="S4174" s="2"/>
      <c r="T4174" s="19"/>
      <c r="U4174" s="2"/>
      <c r="V4174" s="2"/>
      <c r="W4174" s="2"/>
      <c r="X4174" s="19"/>
      <c r="Y4174" s="2"/>
      <c r="Z4174" s="5"/>
    </row>
    <row r="4175" spans="7:26" ht="75.75" customHeight="1" x14ac:dyDescent="0.25">
      <c r="G4175" s="5"/>
      <c r="H4175" s="2"/>
      <c r="I4175" s="2"/>
      <c r="K4175" s="2"/>
      <c r="L4175" s="2"/>
      <c r="M4175" s="2"/>
      <c r="N4175" s="2"/>
      <c r="O4175" s="2"/>
      <c r="P4175" s="2"/>
      <c r="Q4175" s="2"/>
      <c r="R4175" s="2"/>
      <c r="S4175" s="2"/>
      <c r="T4175" s="19"/>
      <c r="U4175" s="2"/>
      <c r="V4175" s="2"/>
      <c r="W4175" s="2"/>
      <c r="X4175" s="19"/>
      <c r="Y4175" s="2"/>
      <c r="Z4175" s="5"/>
    </row>
    <row r="4176" spans="7:26" ht="75.75" customHeight="1" x14ac:dyDescent="0.25">
      <c r="G4176" s="5"/>
      <c r="H4176" s="2"/>
      <c r="I4176" s="2"/>
      <c r="K4176" s="2"/>
      <c r="L4176" s="2"/>
      <c r="M4176" s="2"/>
      <c r="N4176" s="2"/>
      <c r="O4176" s="2"/>
      <c r="P4176" s="2"/>
      <c r="Q4176" s="2"/>
      <c r="R4176" s="2"/>
      <c r="S4176" s="2"/>
      <c r="T4176" s="19"/>
      <c r="U4176" s="2"/>
      <c r="V4176" s="2"/>
      <c r="W4176" s="2"/>
      <c r="X4176" s="19"/>
      <c r="Y4176" s="2"/>
      <c r="Z4176" s="5"/>
    </row>
    <row r="4177" spans="7:26" ht="75.75" customHeight="1" x14ac:dyDescent="0.25">
      <c r="G4177" s="5"/>
      <c r="H4177" s="2"/>
      <c r="I4177" s="2"/>
      <c r="K4177" s="2"/>
      <c r="L4177" s="2"/>
      <c r="M4177" s="2"/>
      <c r="N4177" s="2"/>
      <c r="O4177" s="2"/>
      <c r="P4177" s="2"/>
      <c r="Q4177" s="2"/>
      <c r="R4177" s="2"/>
      <c r="S4177" s="2"/>
      <c r="T4177" s="19"/>
      <c r="U4177" s="2"/>
      <c r="V4177" s="2"/>
      <c r="W4177" s="2"/>
      <c r="X4177" s="19"/>
      <c r="Y4177" s="2"/>
      <c r="Z4177" s="5"/>
    </row>
    <row r="4178" spans="7:26" ht="75.75" customHeight="1" x14ac:dyDescent="0.25">
      <c r="G4178" s="5"/>
      <c r="H4178" s="2"/>
      <c r="I4178" s="2"/>
      <c r="K4178" s="2"/>
      <c r="L4178" s="2"/>
      <c r="M4178" s="2"/>
      <c r="N4178" s="2"/>
      <c r="O4178" s="2"/>
      <c r="P4178" s="2"/>
      <c r="Q4178" s="2"/>
      <c r="R4178" s="2"/>
      <c r="S4178" s="2"/>
      <c r="T4178" s="19"/>
      <c r="U4178" s="2"/>
      <c r="V4178" s="2"/>
      <c r="W4178" s="2"/>
      <c r="X4178" s="19"/>
      <c r="Y4178" s="2"/>
      <c r="Z4178" s="5"/>
    </row>
    <row r="4179" spans="7:26" ht="75.75" customHeight="1" x14ac:dyDescent="0.25">
      <c r="G4179" s="5"/>
      <c r="H4179" s="2"/>
      <c r="I4179" s="2"/>
      <c r="K4179" s="2"/>
      <c r="L4179" s="2"/>
      <c r="M4179" s="2"/>
      <c r="N4179" s="2"/>
      <c r="O4179" s="2"/>
      <c r="P4179" s="2"/>
      <c r="Q4179" s="2"/>
      <c r="R4179" s="2"/>
      <c r="S4179" s="2"/>
      <c r="T4179" s="19"/>
      <c r="U4179" s="2"/>
      <c r="V4179" s="2"/>
      <c r="W4179" s="2"/>
      <c r="X4179" s="19"/>
      <c r="Y4179" s="2"/>
      <c r="Z4179" s="5"/>
    </row>
    <row r="4180" spans="7:26" ht="75.75" customHeight="1" x14ac:dyDescent="0.25">
      <c r="G4180" s="5"/>
      <c r="H4180" s="2"/>
      <c r="I4180" s="2"/>
      <c r="K4180" s="2"/>
      <c r="L4180" s="2"/>
      <c r="M4180" s="2"/>
      <c r="N4180" s="2"/>
      <c r="O4180" s="2"/>
      <c r="P4180" s="2"/>
      <c r="Q4180" s="2"/>
      <c r="R4180" s="2"/>
      <c r="S4180" s="2"/>
      <c r="T4180" s="19"/>
      <c r="U4180" s="2"/>
      <c r="V4180" s="2"/>
      <c r="W4180" s="2"/>
      <c r="X4180" s="19"/>
      <c r="Y4180" s="2"/>
      <c r="Z4180" s="5"/>
    </row>
    <row r="4181" spans="7:26" ht="75.75" customHeight="1" x14ac:dyDescent="0.25">
      <c r="G4181" s="5"/>
      <c r="H4181" s="2"/>
      <c r="I4181" s="2"/>
      <c r="K4181" s="2"/>
      <c r="L4181" s="2"/>
      <c r="M4181" s="2"/>
      <c r="N4181" s="2"/>
      <c r="O4181" s="2"/>
      <c r="P4181" s="2"/>
      <c r="Q4181" s="2"/>
      <c r="R4181" s="2"/>
      <c r="S4181" s="2"/>
      <c r="T4181" s="19"/>
      <c r="U4181" s="2"/>
      <c r="V4181" s="2"/>
      <c r="W4181" s="2"/>
      <c r="X4181" s="19"/>
      <c r="Y4181" s="2"/>
      <c r="Z4181" s="5"/>
    </row>
    <row r="4182" spans="7:26" ht="75.75" customHeight="1" x14ac:dyDescent="0.25">
      <c r="G4182" s="5"/>
      <c r="H4182" s="2"/>
      <c r="I4182" s="2"/>
      <c r="K4182" s="2"/>
      <c r="L4182" s="2"/>
      <c r="M4182" s="2"/>
      <c r="N4182" s="2"/>
      <c r="O4182" s="2"/>
      <c r="P4182" s="2"/>
      <c r="Q4182" s="2"/>
      <c r="R4182" s="2"/>
      <c r="S4182" s="2"/>
      <c r="T4182" s="19"/>
      <c r="U4182" s="2"/>
      <c r="V4182" s="2"/>
      <c r="W4182" s="2"/>
      <c r="X4182" s="19"/>
      <c r="Y4182" s="2"/>
      <c r="Z4182" s="5"/>
    </row>
    <row r="4183" spans="7:26" ht="75.75" customHeight="1" x14ac:dyDescent="0.25">
      <c r="G4183" s="5"/>
      <c r="H4183" s="2"/>
      <c r="I4183" s="2"/>
      <c r="K4183" s="2"/>
      <c r="L4183" s="2"/>
      <c r="M4183" s="2"/>
      <c r="N4183" s="2"/>
      <c r="O4183" s="2"/>
      <c r="P4183" s="2"/>
      <c r="Q4183" s="2"/>
      <c r="R4183" s="2"/>
      <c r="S4183" s="2"/>
      <c r="T4183" s="19"/>
      <c r="U4183" s="2"/>
      <c r="V4183" s="2"/>
      <c r="W4183" s="2"/>
      <c r="X4183" s="19"/>
      <c r="Y4183" s="2"/>
      <c r="Z4183" s="5"/>
    </row>
    <row r="4184" spans="7:26" ht="75.75" customHeight="1" x14ac:dyDescent="0.25">
      <c r="G4184" s="5"/>
      <c r="H4184" s="2"/>
      <c r="I4184" s="2"/>
      <c r="K4184" s="2"/>
      <c r="L4184" s="2"/>
      <c r="M4184" s="2"/>
      <c r="N4184" s="2"/>
      <c r="O4184" s="2"/>
      <c r="P4184" s="2"/>
      <c r="Q4184" s="2"/>
      <c r="R4184" s="2"/>
      <c r="S4184" s="2"/>
      <c r="T4184" s="19"/>
      <c r="U4184" s="2"/>
      <c r="V4184" s="2"/>
      <c r="W4184" s="2"/>
      <c r="X4184" s="19"/>
      <c r="Y4184" s="2"/>
      <c r="Z4184" s="5"/>
    </row>
    <row r="4185" spans="7:26" ht="75.75" customHeight="1" x14ac:dyDescent="0.25">
      <c r="G4185" s="5"/>
      <c r="H4185" s="2"/>
      <c r="I4185" s="2"/>
      <c r="K4185" s="2"/>
      <c r="L4185" s="2"/>
      <c r="M4185" s="2"/>
      <c r="N4185" s="2"/>
      <c r="O4185" s="2"/>
      <c r="P4185" s="2"/>
      <c r="Q4185" s="2"/>
      <c r="R4185" s="2"/>
      <c r="S4185" s="2"/>
      <c r="T4185" s="19"/>
      <c r="U4185" s="2"/>
      <c r="V4185" s="2"/>
      <c r="W4185" s="2"/>
      <c r="X4185" s="19"/>
      <c r="Y4185" s="2"/>
      <c r="Z4185" s="5"/>
    </row>
    <row r="4186" spans="7:26" ht="75.75" customHeight="1" x14ac:dyDescent="0.25">
      <c r="G4186" s="5"/>
      <c r="H4186" s="2"/>
      <c r="I4186" s="2"/>
      <c r="K4186" s="2"/>
      <c r="L4186" s="2"/>
      <c r="M4186" s="2"/>
      <c r="N4186" s="2"/>
      <c r="O4186" s="2"/>
      <c r="P4186" s="2"/>
      <c r="Q4186" s="2"/>
      <c r="R4186" s="2"/>
      <c r="S4186" s="2"/>
      <c r="T4186" s="19"/>
      <c r="U4186" s="2"/>
      <c r="V4186" s="2"/>
      <c r="W4186" s="2"/>
      <c r="X4186" s="19"/>
      <c r="Y4186" s="2"/>
      <c r="Z4186" s="5"/>
    </row>
    <row r="4187" spans="7:26" ht="75.75" customHeight="1" x14ac:dyDescent="0.25">
      <c r="G4187" s="5"/>
      <c r="H4187" s="2"/>
      <c r="I4187" s="2"/>
      <c r="K4187" s="2"/>
      <c r="L4187" s="2"/>
      <c r="M4187" s="2"/>
      <c r="N4187" s="2"/>
      <c r="O4187" s="2"/>
      <c r="P4187" s="2"/>
      <c r="Q4187" s="2"/>
      <c r="R4187" s="2"/>
      <c r="S4187" s="2"/>
      <c r="T4187" s="19"/>
      <c r="U4187" s="2"/>
      <c r="V4187" s="2"/>
      <c r="W4187" s="2"/>
      <c r="X4187" s="19"/>
      <c r="Y4187" s="2"/>
      <c r="Z4187" s="5"/>
    </row>
    <row r="4188" spans="7:26" ht="75.75" customHeight="1" x14ac:dyDescent="0.25">
      <c r="G4188" s="5"/>
      <c r="H4188" s="2"/>
      <c r="I4188" s="2"/>
      <c r="K4188" s="2"/>
      <c r="L4188" s="2"/>
      <c r="M4188" s="2"/>
      <c r="N4188" s="2"/>
      <c r="O4188" s="2"/>
      <c r="P4188" s="2"/>
      <c r="Q4188" s="2"/>
      <c r="R4188" s="2"/>
      <c r="S4188" s="2"/>
      <c r="T4188" s="19"/>
      <c r="U4188" s="2"/>
      <c r="V4188" s="2"/>
      <c r="W4188" s="2"/>
      <c r="X4188" s="19"/>
      <c r="Y4188" s="2"/>
      <c r="Z4188" s="5"/>
    </row>
    <row r="4189" spans="7:26" ht="75.75" customHeight="1" x14ac:dyDescent="0.25">
      <c r="G4189" s="5"/>
      <c r="H4189" s="2"/>
      <c r="I4189" s="2"/>
      <c r="K4189" s="2"/>
      <c r="L4189" s="2"/>
      <c r="M4189" s="2"/>
      <c r="N4189" s="2"/>
      <c r="O4189" s="2"/>
      <c r="P4189" s="2"/>
      <c r="Q4189" s="2"/>
      <c r="R4189" s="2"/>
      <c r="S4189" s="2"/>
      <c r="T4189" s="19"/>
      <c r="U4189" s="2"/>
      <c r="V4189" s="2"/>
      <c r="W4189" s="2"/>
      <c r="X4189" s="19"/>
      <c r="Y4189" s="2"/>
      <c r="Z4189" s="5"/>
    </row>
    <row r="4190" spans="7:26" ht="75.75" customHeight="1" x14ac:dyDescent="0.25">
      <c r="G4190" s="5"/>
      <c r="H4190" s="2"/>
      <c r="I4190" s="2"/>
      <c r="K4190" s="2"/>
      <c r="L4190" s="2"/>
      <c r="M4190" s="2"/>
      <c r="N4190" s="2"/>
      <c r="O4190" s="2"/>
      <c r="P4190" s="2"/>
      <c r="Q4190" s="2"/>
      <c r="R4190" s="2"/>
      <c r="S4190" s="2"/>
      <c r="T4190" s="19"/>
      <c r="U4190" s="2"/>
      <c r="V4190" s="2"/>
      <c r="W4190" s="2"/>
      <c r="X4190" s="19"/>
      <c r="Y4190" s="2"/>
      <c r="Z4190" s="5"/>
    </row>
    <row r="4191" spans="7:26" ht="75.75" customHeight="1" x14ac:dyDescent="0.25">
      <c r="G4191" s="5"/>
      <c r="H4191" s="2"/>
      <c r="I4191" s="2"/>
      <c r="K4191" s="2"/>
      <c r="L4191" s="2"/>
      <c r="M4191" s="2"/>
      <c r="N4191" s="2"/>
      <c r="O4191" s="2"/>
      <c r="P4191" s="2"/>
      <c r="Q4191" s="2"/>
      <c r="R4191" s="2"/>
      <c r="S4191" s="2"/>
      <c r="T4191" s="19"/>
      <c r="U4191" s="2"/>
      <c r="V4191" s="2"/>
      <c r="W4191" s="2"/>
      <c r="X4191" s="19"/>
      <c r="Y4191" s="2"/>
      <c r="Z4191" s="5"/>
    </row>
    <row r="4192" spans="7:26" ht="75.75" customHeight="1" x14ac:dyDescent="0.25">
      <c r="G4192" s="5"/>
      <c r="H4192" s="2"/>
      <c r="I4192" s="2"/>
      <c r="K4192" s="2"/>
      <c r="L4192" s="2"/>
      <c r="M4192" s="2"/>
      <c r="N4192" s="2"/>
      <c r="O4192" s="2"/>
      <c r="P4192" s="2"/>
      <c r="Q4192" s="2"/>
      <c r="R4192" s="2"/>
      <c r="S4192" s="2"/>
      <c r="T4192" s="19"/>
      <c r="U4192" s="2"/>
      <c r="V4192" s="2"/>
      <c r="W4192" s="2"/>
      <c r="X4192" s="19"/>
      <c r="Y4192" s="2"/>
      <c r="Z4192" s="5"/>
    </row>
    <row r="4193" spans="7:26" ht="75.75" customHeight="1" x14ac:dyDescent="0.25">
      <c r="G4193" s="5"/>
      <c r="H4193" s="2"/>
      <c r="I4193" s="2"/>
      <c r="K4193" s="2"/>
      <c r="L4193" s="2"/>
      <c r="M4193" s="2"/>
      <c r="N4193" s="2"/>
      <c r="O4193" s="2"/>
      <c r="P4193" s="2"/>
      <c r="Q4193" s="2"/>
      <c r="R4193" s="2"/>
      <c r="S4193" s="2"/>
      <c r="T4193" s="19"/>
      <c r="U4193" s="2"/>
      <c r="V4193" s="2"/>
      <c r="W4193" s="2"/>
      <c r="X4193" s="19"/>
      <c r="Y4193" s="2"/>
      <c r="Z4193" s="5"/>
    </row>
    <row r="4194" spans="7:26" ht="75.75" customHeight="1" x14ac:dyDescent="0.25">
      <c r="G4194" s="5"/>
      <c r="H4194" s="2"/>
      <c r="I4194" s="2"/>
      <c r="K4194" s="2"/>
      <c r="L4194" s="2"/>
      <c r="M4194" s="2"/>
      <c r="N4194" s="2"/>
      <c r="O4194" s="2"/>
      <c r="P4194" s="2"/>
      <c r="Q4194" s="2"/>
      <c r="R4194" s="2"/>
      <c r="S4194" s="2"/>
      <c r="T4194" s="19"/>
      <c r="U4194" s="2"/>
      <c r="V4194" s="2"/>
      <c r="W4194" s="2"/>
      <c r="X4194" s="19"/>
      <c r="Y4194" s="2"/>
      <c r="Z4194" s="5"/>
    </row>
    <row r="4195" spans="7:26" ht="75.75" customHeight="1" x14ac:dyDescent="0.25">
      <c r="G4195" s="5"/>
      <c r="H4195" s="2"/>
      <c r="I4195" s="2"/>
      <c r="K4195" s="2"/>
      <c r="L4195" s="2"/>
      <c r="M4195" s="2"/>
      <c r="N4195" s="2"/>
      <c r="O4195" s="2"/>
      <c r="P4195" s="2"/>
      <c r="Q4195" s="2"/>
      <c r="R4195" s="2"/>
      <c r="S4195" s="2"/>
      <c r="T4195" s="19"/>
      <c r="U4195" s="2"/>
      <c r="V4195" s="2"/>
      <c r="W4195" s="2"/>
      <c r="X4195" s="19"/>
      <c r="Y4195" s="2"/>
      <c r="Z4195" s="5"/>
    </row>
    <row r="4196" spans="7:26" ht="75.75" customHeight="1" x14ac:dyDescent="0.25">
      <c r="G4196" s="5"/>
      <c r="H4196" s="2"/>
      <c r="I4196" s="2"/>
      <c r="K4196" s="2"/>
      <c r="L4196" s="2"/>
      <c r="M4196" s="2"/>
      <c r="N4196" s="2"/>
      <c r="O4196" s="2"/>
      <c r="P4196" s="2"/>
      <c r="Q4196" s="2"/>
      <c r="R4196" s="2"/>
      <c r="S4196" s="2"/>
      <c r="T4196" s="19"/>
      <c r="U4196" s="2"/>
      <c r="V4196" s="2"/>
      <c r="W4196" s="2"/>
      <c r="X4196" s="19"/>
      <c r="Y4196" s="2"/>
      <c r="Z4196" s="5"/>
    </row>
    <row r="4197" spans="7:26" ht="75.75" customHeight="1" x14ac:dyDescent="0.25">
      <c r="G4197" s="5"/>
      <c r="H4197" s="2"/>
      <c r="I4197" s="2"/>
      <c r="K4197" s="2"/>
      <c r="L4197" s="2"/>
      <c r="M4197" s="2"/>
      <c r="N4197" s="2"/>
      <c r="O4197" s="2"/>
      <c r="P4197" s="2"/>
      <c r="Q4197" s="2"/>
      <c r="R4197" s="2"/>
      <c r="S4197" s="2"/>
      <c r="T4197" s="19"/>
      <c r="U4197" s="2"/>
      <c r="V4197" s="2"/>
      <c r="W4197" s="2"/>
      <c r="X4197" s="19"/>
      <c r="Y4197" s="2"/>
      <c r="Z4197" s="5"/>
    </row>
    <row r="4198" spans="7:26" ht="75.75" customHeight="1" x14ac:dyDescent="0.25">
      <c r="G4198" s="5"/>
      <c r="H4198" s="2"/>
      <c r="I4198" s="2"/>
      <c r="K4198" s="2"/>
      <c r="L4198" s="2"/>
      <c r="M4198" s="2"/>
      <c r="N4198" s="2"/>
      <c r="O4198" s="2"/>
      <c r="P4198" s="2"/>
      <c r="Q4198" s="2"/>
      <c r="R4198" s="2"/>
      <c r="S4198" s="2"/>
      <c r="T4198" s="19"/>
      <c r="U4198" s="2"/>
      <c r="V4198" s="2"/>
      <c r="W4198" s="2"/>
      <c r="X4198" s="19"/>
      <c r="Y4198" s="2"/>
      <c r="Z4198" s="5"/>
    </row>
    <row r="4199" spans="7:26" ht="75.75" customHeight="1" x14ac:dyDescent="0.25">
      <c r="G4199" s="5"/>
      <c r="H4199" s="2"/>
      <c r="I4199" s="2"/>
      <c r="K4199" s="2"/>
      <c r="L4199" s="2"/>
      <c r="M4199" s="2"/>
      <c r="N4199" s="2"/>
      <c r="O4199" s="2"/>
      <c r="P4199" s="2"/>
      <c r="Q4199" s="2"/>
      <c r="R4199" s="2"/>
      <c r="S4199" s="2"/>
      <c r="T4199" s="19"/>
      <c r="U4199" s="2"/>
      <c r="V4199" s="2"/>
      <c r="W4199" s="2"/>
      <c r="X4199" s="19"/>
      <c r="Y4199" s="2"/>
      <c r="Z4199" s="5"/>
    </row>
    <row r="4200" spans="7:26" ht="75.75" customHeight="1" x14ac:dyDescent="0.25">
      <c r="G4200" s="5"/>
      <c r="H4200" s="2"/>
      <c r="I4200" s="2"/>
      <c r="K4200" s="2"/>
      <c r="L4200" s="2"/>
      <c r="M4200" s="2"/>
      <c r="N4200" s="2"/>
      <c r="O4200" s="2"/>
      <c r="P4200" s="2"/>
      <c r="Q4200" s="2"/>
      <c r="R4200" s="2"/>
      <c r="S4200" s="2"/>
      <c r="T4200" s="19"/>
      <c r="U4200" s="2"/>
      <c r="V4200" s="2"/>
      <c r="W4200" s="2"/>
      <c r="X4200" s="19"/>
      <c r="Y4200" s="2"/>
      <c r="Z4200" s="5"/>
    </row>
    <row r="4201" spans="7:26" ht="75.75" customHeight="1" x14ac:dyDescent="0.25">
      <c r="G4201" s="5"/>
      <c r="H4201" s="2"/>
      <c r="I4201" s="2"/>
      <c r="K4201" s="2"/>
      <c r="L4201" s="2"/>
      <c r="M4201" s="2"/>
      <c r="N4201" s="2"/>
      <c r="O4201" s="2"/>
      <c r="P4201" s="2"/>
      <c r="Q4201" s="2"/>
      <c r="R4201" s="2"/>
      <c r="S4201" s="2"/>
      <c r="T4201" s="19"/>
      <c r="U4201" s="2"/>
      <c r="V4201" s="2"/>
      <c r="W4201" s="2"/>
      <c r="X4201" s="19"/>
      <c r="Y4201" s="2"/>
      <c r="Z4201" s="5"/>
    </row>
    <row r="4202" spans="7:26" ht="75.75" customHeight="1" x14ac:dyDescent="0.25">
      <c r="G4202" s="5"/>
      <c r="H4202" s="2"/>
      <c r="I4202" s="2"/>
      <c r="K4202" s="2"/>
      <c r="L4202" s="2"/>
      <c r="M4202" s="2"/>
      <c r="N4202" s="2"/>
      <c r="O4202" s="2"/>
      <c r="P4202" s="2"/>
      <c r="Q4202" s="2"/>
      <c r="R4202" s="2"/>
      <c r="S4202" s="2"/>
      <c r="T4202" s="19"/>
      <c r="U4202" s="2"/>
      <c r="V4202" s="2"/>
      <c r="W4202" s="2"/>
      <c r="X4202" s="19"/>
      <c r="Y4202" s="2"/>
      <c r="Z4202" s="5"/>
    </row>
    <row r="4203" spans="7:26" ht="75.75" customHeight="1" x14ac:dyDescent="0.25">
      <c r="G4203" s="5"/>
      <c r="H4203" s="2"/>
      <c r="I4203" s="2"/>
      <c r="K4203" s="2"/>
      <c r="L4203" s="2"/>
      <c r="M4203" s="2"/>
      <c r="N4203" s="2"/>
      <c r="O4203" s="2"/>
      <c r="P4203" s="2"/>
      <c r="Q4203" s="2"/>
      <c r="R4203" s="2"/>
      <c r="S4203" s="2"/>
      <c r="T4203" s="19"/>
      <c r="U4203" s="2"/>
      <c r="V4203" s="2"/>
      <c r="W4203" s="2"/>
      <c r="X4203" s="19"/>
      <c r="Y4203" s="2"/>
      <c r="Z4203" s="5"/>
    </row>
    <row r="4204" spans="7:26" ht="75.75" customHeight="1" x14ac:dyDescent="0.25">
      <c r="G4204" s="5"/>
      <c r="H4204" s="2"/>
      <c r="I4204" s="2"/>
      <c r="K4204" s="2"/>
      <c r="L4204" s="2"/>
      <c r="M4204" s="2"/>
      <c r="N4204" s="2"/>
      <c r="O4204" s="2"/>
      <c r="P4204" s="2"/>
      <c r="Q4204" s="2"/>
      <c r="R4204" s="2"/>
      <c r="S4204" s="2"/>
      <c r="T4204" s="19"/>
      <c r="U4204" s="2"/>
      <c r="V4204" s="2"/>
      <c r="W4204" s="2"/>
      <c r="X4204" s="19"/>
      <c r="Y4204" s="2"/>
      <c r="Z4204" s="5"/>
    </row>
    <row r="4205" spans="7:26" ht="75.75" customHeight="1" x14ac:dyDescent="0.25">
      <c r="G4205" s="5"/>
      <c r="H4205" s="2"/>
      <c r="I4205" s="2"/>
      <c r="K4205" s="2"/>
      <c r="L4205" s="2"/>
      <c r="M4205" s="2"/>
      <c r="N4205" s="2"/>
      <c r="O4205" s="2"/>
      <c r="P4205" s="2"/>
      <c r="Q4205" s="2"/>
      <c r="R4205" s="2"/>
      <c r="S4205" s="2"/>
      <c r="T4205" s="19"/>
      <c r="U4205" s="2"/>
      <c r="V4205" s="2"/>
      <c r="W4205" s="2"/>
      <c r="X4205" s="19"/>
      <c r="Y4205" s="2"/>
      <c r="Z4205" s="5"/>
    </row>
    <row r="4206" spans="7:26" ht="75.75" customHeight="1" x14ac:dyDescent="0.25">
      <c r="G4206" s="5"/>
      <c r="H4206" s="2"/>
      <c r="I4206" s="2"/>
      <c r="K4206" s="2"/>
      <c r="L4206" s="2"/>
      <c r="M4206" s="2"/>
      <c r="N4206" s="2"/>
      <c r="O4206" s="2"/>
      <c r="P4206" s="2"/>
      <c r="Q4206" s="2"/>
      <c r="R4206" s="2"/>
      <c r="S4206" s="2"/>
      <c r="T4206" s="19"/>
      <c r="U4206" s="2"/>
      <c r="V4206" s="2"/>
      <c r="W4206" s="2"/>
      <c r="X4206" s="19"/>
      <c r="Y4206" s="2"/>
      <c r="Z4206" s="5"/>
    </row>
    <row r="4207" spans="7:26" ht="75.75" customHeight="1" x14ac:dyDescent="0.25">
      <c r="G4207" s="5"/>
      <c r="H4207" s="2"/>
      <c r="I4207" s="2"/>
      <c r="K4207" s="2"/>
      <c r="L4207" s="2"/>
      <c r="M4207" s="2"/>
      <c r="N4207" s="2"/>
      <c r="O4207" s="2"/>
      <c r="P4207" s="2"/>
      <c r="Q4207" s="2"/>
      <c r="R4207" s="2"/>
      <c r="S4207" s="2"/>
      <c r="T4207" s="19"/>
      <c r="U4207" s="2"/>
      <c r="V4207" s="2"/>
      <c r="W4207" s="2"/>
      <c r="X4207" s="19"/>
      <c r="Y4207" s="2"/>
      <c r="Z4207" s="5"/>
    </row>
    <row r="4208" spans="7:26" ht="75.75" customHeight="1" x14ac:dyDescent="0.25">
      <c r="G4208" s="5"/>
      <c r="H4208" s="2"/>
      <c r="I4208" s="2"/>
      <c r="K4208" s="2"/>
      <c r="L4208" s="2"/>
      <c r="M4208" s="2"/>
      <c r="N4208" s="2"/>
      <c r="O4208" s="2"/>
      <c r="P4208" s="2"/>
      <c r="Q4208" s="2"/>
      <c r="R4208" s="2"/>
      <c r="S4208" s="2"/>
      <c r="T4208" s="19"/>
      <c r="U4208" s="2"/>
      <c r="V4208" s="2"/>
      <c r="W4208" s="2"/>
      <c r="X4208" s="19"/>
      <c r="Y4208" s="2"/>
      <c r="Z4208" s="5"/>
    </row>
    <row r="4209" spans="7:26" ht="75.75" customHeight="1" x14ac:dyDescent="0.25">
      <c r="G4209" s="5"/>
      <c r="H4209" s="2"/>
      <c r="I4209" s="2"/>
      <c r="K4209" s="2"/>
      <c r="L4209" s="2"/>
      <c r="M4209" s="2"/>
      <c r="N4209" s="2"/>
      <c r="O4209" s="2"/>
      <c r="P4209" s="2"/>
      <c r="Q4209" s="2"/>
      <c r="R4209" s="2"/>
      <c r="S4209" s="2"/>
      <c r="T4209" s="19"/>
      <c r="U4209" s="2"/>
      <c r="V4209" s="2"/>
      <c r="W4209" s="2"/>
      <c r="X4209" s="19"/>
      <c r="Y4209" s="2"/>
      <c r="Z4209" s="5"/>
    </row>
    <row r="4210" spans="7:26" ht="75.75" customHeight="1" x14ac:dyDescent="0.25">
      <c r="G4210" s="5"/>
      <c r="H4210" s="2"/>
      <c r="I4210" s="2"/>
      <c r="K4210" s="2"/>
      <c r="L4210" s="2"/>
      <c r="M4210" s="2"/>
      <c r="N4210" s="2"/>
      <c r="O4210" s="2"/>
      <c r="P4210" s="2"/>
      <c r="Q4210" s="2"/>
      <c r="R4210" s="2"/>
      <c r="S4210" s="2"/>
      <c r="T4210" s="19"/>
      <c r="U4210" s="2"/>
      <c r="V4210" s="2"/>
      <c r="W4210" s="2"/>
      <c r="X4210" s="19"/>
      <c r="Y4210" s="2"/>
      <c r="Z4210" s="5"/>
    </row>
    <row r="4211" spans="7:26" ht="75.75" customHeight="1" x14ac:dyDescent="0.25">
      <c r="G4211" s="5"/>
      <c r="H4211" s="2"/>
      <c r="I4211" s="2"/>
      <c r="K4211" s="2"/>
      <c r="L4211" s="2"/>
      <c r="M4211" s="2"/>
      <c r="N4211" s="2"/>
      <c r="O4211" s="2"/>
      <c r="P4211" s="2"/>
      <c r="Q4211" s="2"/>
      <c r="R4211" s="2"/>
      <c r="S4211" s="2"/>
      <c r="T4211" s="19"/>
      <c r="U4211" s="2"/>
      <c r="V4211" s="2"/>
      <c r="W4211" s="2"/>
      <c r="X4211" s="19"/>
      <c r="Y4211" s="2"/>
      <c r="Z4211" s="5"/>
    </row>
    <row r="4212" spans="7:26" ht="75.75" customHeight="1" x14ac:dyDescent="0.25">
      <c r="G4212" s="5"/>
      <c r="H4212" s="2"/>
      <c r="I4212" s="2"/>
      <c r="K4212" s="2"/>
      <c r="L4212" s="2"/>
      <c r="M4212" s="2"/>
      <c r="N4212" s="2"/>
      <c r="O4212" s="2"/>
      <c r="P4212" s="2"/>
      <c r="Q4212" s="2"/>
      <c r="R4212" s="2"/>
      <c r="S4212" s="2"/>
      <c r="T4212" s="19"/>
      <c r="U4212" s="2"/>
      <c r="V4212" s="2"/>
      <c r="W4212" s="2"/>
      <c r="X4212" s="19"/>
      <c r="Y4212" s="2"/>
      <c r="Z4212" s="5"/>
    </row>
    <row r="4213" spans="7:26" ht="75.75" customHeight="1" x14ac:dyDescent="0.25">
      <c r="G4213" s="5"/>
      <c r="H4213" s="2"/>
      <c r="I4213" s="2"/>
      <c r="K4213" s="2"/>
      <c r="L4213" s="2"/>
      <c r="M4213" s="2"/>
      <c r="N4213" s="2"/>
      <c r="O4213" s="2"/>
      <c r="P4213" s="2"/>
      <c r="Q4213" s="2"/>
      <c r="R4213" s="2"/>
      <c r="S4213" s="2"/>
      <c r="T4213" s="19"/>
      <c r="U4213" s="2"/>
      <c r="V4213" s="2"/>
      <c r="W4213" s="2"/>
      <c r="X4213" s="19"/>
      <c r="Y4213" s="2"/>
      <c r="Z4213" s="5"/>
    </row>
    <row r="4214" spans="7:26" ht="75.75" customHeight="1" x14ac:dyDescent="0.25">
      <c r="G4214" s="5"/>
      <c r="H4214" s="2"/>
      <c r="I4214" s="2"/>
      <c r="K4214" s="2"/>
      <c r="L4214" s="2"/>
      <c r="M4214" s="2"/>
      <c r="N4214" s="2"/>
      <c r="O4214" s="2"/>
      <c r="P4214" s="2"/>
      <c r="Q4214" s="2"/>
      <c r="R4214" s="2"/>
      <c r="S4214" s="2"/>
      <c r="T4214" s="19"/>
      <c r="U4214" s="2"/>
      <c r="V4214" s="2"/>
      <c r="W4214" s="2"/>
      <c r="X4214" s="19"/>
      <c r="Y4214" s="2"/>
      <c r="Z4214" s="5"/>
    </row>
    <row r="4215" spans="7:26" ht="75.75" customHeight="1" x14ac:dyDescent="0.25">
      <c r="G4215" s="5"/>
      <c r="H4215" s="2"/>
      <c r="I4215" s="2"/>
      <c r="K4215" s="2"/>
      <c r="L4215" s="2"/>
      <c r="M4215" s="2"/>
      <c r="N4215" s="2"/>
      <c r="O4215" s="2"/>
      <c r="P4215" s="2"/>
      <c r="Q4215" s="2"/>
      <c r="R4215" s="2"/>
      <c r="S4215" s="2"/>
      <c r="T4215" s="19"/>
      <c r="U4215" s="2"/>
      <c r="V4215" s="2"/>
      <c r="W4215" s="2"/>
      <c r="X4215" s="19"/>
      <c r="Y4215" s="2"/>
      <c r="Z4215" s="5"/>
    </row>
    <row r="4216" spans="7:26" ht="75.75" customHeight="1" x14ac:dyDescent="0.25">
      <c r="G4216" s="5"/>
      <c r="H4216" s="2"/>
      <c r="I4216" s="2"/>
      <c r="K4216" s="2"/>
      <c r="L4216" s="2"/>
      <c r="M4216" s="2"/>
      <c r="N4216" s="2"/>
      <c r="O4216" s="2"/>
      <c r="P4216" s="2"/>
      <c r="Q4216" s="2"/>
      <c r="R4216" s="2"/>
      <c r="S4216" s="2"/>
      <c r="T4216" s="19"/>
      <c r="U4216" s="2"/>
      <c r="V4216" s="2"/>
      <c r="W4216" s="2"/>
      <c r="X4216" s="19"/>
      <c r="Y4216" s="2"/>
      <c r="Z4216" s="5"/>
    </row>
    <row r="4217" spans="7:26" ht="75.75" customHeight="1" x14ac:dyDescent="0.25">
      <c r="G4217" s="5"/>
      <c r="H4217" s="2"/>
      <c r="I4217" s="2"/>
      <c r="K4217" s="2"/>
      <c r="L4217" s="2"/>
      <c r="M4217" s="2"/>
      <c r="N4217" s="2"/>
      <c r="O4217" s="2"/>
      <c r="P4217" s="2"/>
      <c r="Q4217" s="2"/>
      <c r="R4217" s="2"/>
      <c r="S4217" s="2"/>
      <c r="T4217" s="19"/>
      <c r="U4217" s="2"/>
      <c r="V4217" s="2"/>
      <c r="W4217" s="2"/>
      <c r="X4217" s="19"/>
      <c r="Y4217" s="2"/>
      <c r="Z4217" s="5"/>
    </row>
    <row r="4218" spans="7:26" ht="75.75" customHeight="1" x14ac:dyDescent="0.25">
      <c r="G4218" s="5"/>
      <c r="H4218" s="2"/>
      <c r="I4218" s="2"/>
      <c r="K4218" s="2"/>
      <c r="L4218" s="2"/>
      <c r="M4218" s="2"/>
      <c r="N4218" s="2"/>
      <c r="O4218" s="2"/>
      <c r="P4218" s="2"/>
      <c r="Q4218" s="2"/>
      <c r="R4218" s="2"/>
      <c r="S4218" s="2"/>
      <c r="T4218" s="19"/>
      <c r="U4218" s="2"/>
      <c r="V4218" s="2"/>
      <c r="W4218" s="2"/>
      <c r="X4218" s="19"/>
      <c r="Y4218" s="2"/>
      <c r="Z4218" s="5"/>
    </row>
    <row r="4219" spans="7:26" ht="75.75" customHeight="1" x14ac:dyDescent="0.25">
      <c r="G4219" s="5"/>
      <c r="H4219" s="2"/>
      <c r="I4219" s="2"/>
      <c r="K4219" s="2"/>
      <c r="L4219" s="2"/>
      <c r="M4219" s="2"/>
      <c r="N4219" s="2"/>
      <c r="O4219" s="2"/>
      <c r="P4219" s="2"/>
      <c r="Q4219" s="2"/>
      <c r="R4219" s="2"/>
      <c r="S4219" s="2"/>
      <c r="T4219" s="19"/>
      <c r="U4219" s="2"/>
      <c r="V4219" s="2"/>
      <c r="W4219" s="2"/>
      <c r="X4219" s="19"/>
      <c r="Y4219" s="2"/>
      <c r="Z4219" s="5"/>
    </row>
    <row r="4220" spans="7:26" ht="75.75" customHeight="1" x14ac:dyDescent="0.25">
      <c r="G4220" s="5"/>
      <c r="H4220" s="2"/>
      <c r="I4220" s="2"/>
      <c r="K4220" s="2"/>
      <c r="L4220" s="2"/>
      <c r="M4220" s="2"/>
      <c r="N4220" s="2"/>
      <c r="O4220" s="2"/>
      <c r="P4220" s="2"/>
      <c r="Q4220" s="2"/>
      <c r="R4220" s="2"/>
      <c r="S4220" s="2"/>
      <c r="T4220" s="19"/>
      <c r="U4220" s="2"/>
      <c r="V4220" s="2"/>
      <c r="W4220" s="2"/>
      <c r="X4220" s="19"/>
      <c r="Y4220" s="2"/>
      <c r="Z4220" s="5"/>
    </row>
    <row r="4221" spans="7:26" ht="75.75" customHeight="1" x14ac:dyDescent="0.25">
      <c r="G4221" s="5"/>
      <c r="H4221" s="2"/>
      <c r="I4221" s="2"/>
      <c r="K4221" s="2"/>
      <c r="L4221" s="2"/>
      <c r="M4221" s="2"/>
      <c r="N4221" s="2"/>
      <c r="O4221" s="2"/>
      <c r="P4221" s="2"/>
      <c r="Q4221" s="2"/>
      <c r="R4221" s="2"/>
      <c r="S4221" s="2"/>
      <c r="T4221" s="19"/>
      <c r="U4221" s="2"/>
      <c r="V4221" s="2"/>
      <c r="W4221" s="2"/>
      <c r="X4221" s="19"/>
      <c r="Y4221" s="2"/>
      <c r="Z4221" s="5"/>
    </row>
    <row r="4222" spans="7:26" ht="75.75" customHeight="1" x14ac:dyDescent="0.25">
      <c r="G4222" s="5"/>
      <c r="H4222" s="2"/>
      <c r="I4222" s="2"/>
      <c r="K4222" s="2"/>
      <c r="L4222" s="2"/>
      <c r="M4222" s="2"/>
      <c r="N4222" s="2"/>
      <c r="O4222" s="2"/>
      <c r="P4222" s="2"/>
      <c r="Q4222" s="2"/>
      <c r="R4222" s="2"/>
      <c r="S4222" s="2"/>
      <c r="T4222" s="19"/>
      <c r="U4222" s="2"/>
      <c r="V4222" s="2"/>
      <c r="W4222" s="2"/>
      <c r="X4222" s="19"/>
      <c r="Y4222" s="2"/>
      <c r="Z4222" s="5"/>
    </row>
    <row r="4223" spans="7:26" ht="75.75" customHeight="1" x14ac:dyDescent="0.25">
      <c r="G4223" s="5"/>
      <c r="H4223" s="2"/>
      <c r="I4223" s="2"/>
      <c r="K4223" s="2"/>
      <c r="L4223" s="2"/>
      <c r="M4223" s="2"/>
      <c r="N4223" s="2"/>
      <c r="O4223" s="2"/>
      <c r="P4223" s="2"/>
      <c r="Q4223" s="2"/>
      <c r="R4223" s="2"/>
      <c r="S4223" s="2"/>
      <c r="T4223" s="19"/>
      <c r="U4223" s="2"/>
      <c r="V4223" s="2"/>
      <c r="W4223" s="2"/>
      <c r="X4223" s="19"/>
      <c r="Y4223" s="2"/>
      <c r="Z4223" s="5"/>
    </row>
    <row r="4224" spans="7:26" ht="75.75" customHeight="1" x14ac:dyDescent="0.25">
      <c r="G4224" s="5"/>
      <c r="H4224" s="2"/>
      <c r="I4224" s="2"/>
      <c r="K4224" s="2"/>
      <c r="L4224" s="2"/>
      <c r="M4224" s="2"/>
      <c r="N4224" s="2"/>
      <c r="O4224" s="2"/>
      <c r="P4224" s="2"/>
      <c r="Q4224" s="2"/>
      <c r="R4224" s="2"/>
      <c r="S4224" s="2"/>
      <c r="T4224" s="19"/>
      <c r="U4224" s="2"/>
      <c r="V4224" s="2"/>
      <c r="W4224" s="2"/>
      <c r="X4224" s="19"/>
      <c r="Y4224" s="2"/>
      <c r="Z4224" s="5"/>
    </row>
    <row r="4225" spans="7:26" ht="75.75" customHeight="1" x14ac:dyDescent="0.25">
      <c r="G4225" s="5"/>
      <c r="H4225" s="2"/>
      <c r="I4225" s="2"/>
      <c r="K4225" s="2"/>
      <c r="L4225" s="2"/>
      <c r="M4225" s="2"/>
      <c r="N4225" s="2"/>
      <c r="O4225" s="2"/>
      <c r="P4225" s="2"/>
      <c r="Q4225" s="2"/>
      <c r="R4225" s="2"/>
      <c r="S4225" s="2"/>
      <c r="T4225" s="19"/>
      <c r="U4225" s="2"/>
      <c r="V4225" s="2"/>
      <c r="W4225" s="2"/>
      <c r="X4225" s="19"/>
      <c r="Y4225" s="2"/>
      <c r="Z4225" s="5"/>
    </row>
    <row r="4226" spans="7:26" ht="75.75" customHeight="1" x14ac:dyDescent="0.25">
      <c r="G4226" s="5"/>
      <c r="H4226" s="2"/>
      <c r="I4226" s="2"/>
      <c r="K4226" s="2"/>
      <c r="L4226" s="2"/>
      <c r="M4226" s="2"/>
      <c r="N4226" s="2"/>
      <c r="O4226" s="2"/>
      <c r="P4226" s="2"/>
      <c r="Q4226" s="2"/>
      <c r="R4226" s="2"/>
      <c r="S4226" s="2"/>
      <c r="T4226" s="19"/>
      <c r="U4226" s="2"/>
      <c r="V4226" s="2"/>
      <c r="W4226" s="2"/>
      <c r="X4226" s="19"/>
      <c r="Y4226" s="2"/>
      <c r="Z4226" s="5"/>
    </row>
    <row r="4227" spans="7:26" ht="75.75" customHeight="1" x14ac:dyDescent="0.25">
      <c r="G4227" s="5"/>
      <c r="H4227" s="2"/>
      <c r="I4227" s="2"/>
      <c r="K4227" s="2"/>
      <c r="L4227" s="2"/>
      <c r="M4227" s="2"/>
      <c r="N4227" s="2"/>
      <c r="O4227" s="2"/>
      <c r="P4227" s="2"/>
      <c r="Q4227" s="2"/>
      <c r="R4227" s="2"/>
      <c r="S4227" s="2"/>
      <c r="T4227" s="19"/>
      <c r="U4227" s="2"/>
      <c r="V4227" s="2"/>
      <c r="W4227" s="2"/>
      <c r="X4227" s="19"/>
      <c r="Y4227" s="2"/>
      <c r="Z4227" s="5"/>
    </row>
    <row r="4228" spans="7:26" ht="75.75" customHeight="1" x14ac:dyDescent="0.25">
      <c r="G4228" s="5"/>
      <c r="H4228" s="2"/>
      <c r="I4228" s="2"/>
      <c r="K4228" s="2"/>
      <c r="L4228" s="2"/>
      <c r="M4228" s="2"/>
      <c r="N4228" s="2"/>
      <c r="O4228" s="2"/>
      <c r="P4228" s="2"/>
      <c r="Q4228" s="2"/>
      <c r="R4228" s="2"/>
      <c r="S4228" s="2"/>
      <c r="T4228" s="19"/>
      <c r="U4228" s="2"/>
      <c r="V4228" s="2"/>
      <c r="W4228" s="2"/>
      <c r="X4228" s="19"/>
      <c r="Y4228" s="2"/>
      <c r="Z4228" s="5"/>
    </row>
    <row r="4229" spans="7:26" ht="75.75" customHeight="1" x14ac:dyDescent="0.25">
      <c r="G4229" s="5"/>
      <c r="H4229" s="2"/>
      <c r="I4229" s="2"/>
      <c r="K4229" s="2"/>
      <c r="L4229" s="2"/>
      <c r="M4229" s="2"/>
      <c r="N4229" s="2"/>
      <c r="O4229" s="2"/>
      <c r="P4229" s="2"/>
      <c r="Q4229" s="2"/>
      <c r="R4229" s="2"/>
      <c r="S4229" s="2"/>
      <c r="T4229" s="19"/>
      <c r="U4229" s="2"/>
      <c r="V4229" s="2"/>
      <c r="W4229" s="2"/>
      <c r="X4229" s="19"/>
      <c r="Y4229" s="2"/>
      <c r="Z4229" s="5"/>
    </row>
    <row r="4230" spans="7:26" ht="75.75" customHeight="1" x14ac:dyDescent="0.25">
      <c r="G4230" s="5"/>
      <c r="H4230" s="2"/>
      <c r="I4230" s="2"/>
      <c r="K4230" s="2"/>
      <c r="L4230" s="2"/>
      <c r="M4230" s="2"/>
      <c r="N4230" s="2"/>
      <c r="O4230" s="2"/>
      <c r="P4230" s="2"/>
      <c r="Q4230" s="2"/>
      <c r="R4230" s="2"/>
      <c r="S4230" s="2"/>
      <c r="T4230" s="19"/>
      <c r="U4230" s="2"/>
      <c r="V4230" s="2"/>
      <c r="W4230" s="2"/>
      <c r="X4230" s="19"/>
      <c r="Y4230" s="2"/>
      <c r="Z4230" s="5"/>
    </row>
    <row r="4231" spans="7:26" ht="75.75" customHeight="1" x14ac:dyDescent="0.25">
      <c r="G4231" s="5"/>
      <c r="H4231" s="2"/>
      <c r="I4231" s="2"/>
      <c r="K4231" s="2"/>
      <c r="L4231" s="2"/>
      <c r="M4231" s="2"/>
      <c r="N4231" s="2"/>
      <c r="O4231" s="2"/>
      <c r="P4231" s="2"/>
      <c r="Q4231" s="2"/>
      <c r="R4231" s="2"/>
      <c r="S4231" s="2"/>
      <c r="T4231" s="19"/>
      <c r="U4231" s="2"/>
      <c r="V4231" s="2"/>
      <c r="W4231" s="2"/>
      <c r="X4231" s="19"/>
      <c r="Y4231" s="2"/>
      <c r="Z4231" s="5"/>
    </row>
    <row r="4232" spans="7:26" ht="75.75" customHeight="1" x14ac:dyDescent="0.25">
      <c r="G4232" s="5"/>
      <c r="H4232" s="2"/>
      <c r="I4232" s="2"/>
      <c r="K4232" s="2"/>
      <c r="L4232" s="2"/>
      <c r="M4232" s="2"/>
      <c r="N4232" s="2"/>
      <c r="O4232" s="2"/>
      <c r="P4232" s="2"/>
      <c r="Q4232" s="2"/>
      <c r="R4232" s="2"/>
      <c r="S4232" s="2"/>
      <c r="T4232" s="19"/>
      <c r="U4232" s="2"/>
      <c r="V4232" s="2"/>
      <c r="W4232" s="2"/>
      <c r="X4232" s="19"/>
      <c r="Y4232" s="2"/>
      <c r="Z4232" s="5"/>
    </row>
    <row r="4233" spans="7:26" ht="75.75" customHeight="1" x14ac:dyDescent="0.25">
      <c r="G4233" s="5"/>
      <c r="H4233" s="2"/>
      <c r="I4233" s="2"/>
      <c r="K4233" s="2"/>
      <c r="L4233" s="2"/>
      <c r="M4233" s="2"/>
      <c r="N4233" s="2"/>
      <c r="O4233" s="2"/>
      <c r="P4233" s="2"/>
      <c r="Q4233" s="2"/>
      <c r="R4233" s="2"/>
      <c r="S4233" s="2"/>
      <c r="T4233" s="19"/>
      <c r="U4233" s="2"/>
      <c r="V4233" s="2"/>
      <c r="W4233" s="2"/>
      <c r="X4233" s="19"/>
      <c r="Y4233" s="2"/>
      <c r="Z4233" s="5"/>
    </row>
    <row r="4234" spans="7:26" ht="75.75" customHeight="1" x14ac:dyDescent="0.25">
      <c r="G4234" s="5"/>
      <c r="H4234" s="2"/>
      <c r="I4234" s="2"/>
      <c r="K4234" s="2"/>
      <c r="L4234" s="2"/>
      <c r="M4234" s="2"/>
      <c r="N4234" s="2"/>
      <c r="O4234" s="2"/>
      <c r="P4234" s="2"/>
      <c r="Q4234" s="2"/>
      <c r="R4234" s="2"/>
      <c r="S4234" s="2"/>
      <c r="T4234" s="19"/>
      <c r="U4234" s="2"/>
      <c r="V4234" s="2"/>
      <c r="W4234" s="2"/>
      <c r="X4234" s="19"/>
      <c r="Y4234" s="2"/>
      <c r="Z4234" s="5"/>
    </row>
    <row r="4235" spans="7:26" ht="75.75" customHeight="1" x14ac:dyDescent="0.25">
      <c r="G4235" s="5"/>
      <c r="H4235" s="2"/>
      <c r="I4235" s="2"/>
      <c r="K4235" s="2"/>
      <c r="L4235" s="2"/>
      <c r="M4235" s="2"/>
      <c r="N4235" s="2"/>
      <c r="O4235" s="2"/>
      <c r="P4235" s="2"/>
      <c r="Q4235" s="2"/>
      <c r="R4235" s="2"/>
      <c r="S4235" s="2"/>
      <c r="T4235" s="19"/>
      <c r="U4235" s="2"/>
      <c r="V4235" s="2"/>
      <c r="W4235" s="2"/>
      <c r="X4235" s="19"/>
      <c r="Y4235" s="2"/>
      <c r="Z4235" s="5"/>
    </row>
    <row r="4236" spans="7:26" ht="75.75" customHeight="1" x14ac:dyDescent="0.25">
      <c r="G4236" s="5"/>
      <c r="H4236" s="2"/>
      <c r="I4236" s="2"/>
      <c r="K4236" s="2"/>
      <c r="L4236" s="2"/>
      <c r="M4236" s="2"/>
      <c r="N4236" s="2"/>
      <c r="O4236" s="2"/>
      <c r="P4236" s="2"/>
      <c r="Q4236" s="2"/>
      <c r="R4236" s="2"/>
      <c r="S4236" s="2"/>
      <c r="T4236" s="19"/>
      <c r="U4236" s="2"/>
      <c r="V4236" s="2"/>
      <c r="W4236" s="2"/>
      <c r="X4236" s="19"/>
      <c r="Y4236" s="2"/>
      <c r="Z4236" s="5"/>
    </row>
    <row r="4237" spans="7:26" ht="75.75" customHeight="1" x14ac:dyDescent="0.25">
      <c r="G4237" s="5"/>
      <c r="H4237" s="2"/>
      <c r="I4237" s="2"/>
      <c r="K4237" s="2"/>
      <c r="L4237" s="2"/>
      <c r="M4237" s="2"/>
      <c r="N4237" s="2"/>
      <c r="O4237" s="2"/>
      <c r="P4237" s="2"/>
      <c r="Q4237" s="2"/>
      <c r="R4237" s="2"/>
      <c r="S4237" s="2"/>
      <c r="T4237" s="19"/>
      <c r="U4237" s="2"/>
      <c r="V4237" s="2"/>
      <c r="W4237" s="2"/>
      <c r="X4237" s="19"/>
      <c r="Y4237" s="2"/>
      <c r="Z4237" s="5"/>
    </row>
    <row r="4238" spans="7:26" ht="75.75" customHeight="1" x14ac:dyDescent="0.25">
      <c r="G4238" s="5"/>
      <c r="H4238" s="2"/>
      <c r="I4238" s="2"/>
      <c r="K4238" s="2"/>
      <c r="L4238" s="2"/>
      <c r="M4238" s="2"/>
      <c r="N4238" s="2"/>
      <c r="O4238" s="2"/>
      <c r="P4238" s="2"/>
      <c r="Q4238" s="2"/>
      <c r="R4238" s="2"/>
      <c r="S4238" s="2"/>
      <c r="T4238" s="19"/>
      <c r="U4238" s="2"/>
      <c r="V4238" s="2"/>
      <c r="W4238" s="2"/>
      <c r="X4238" s="19"/>
      <c r="Y4238" s="2"/>
      <c r="Z4238" s="5"/>
    </row>
    <row r="4239" spans="7:26" ht="75.75" customHeight="1" x14ac:dyDescent="0.25">
      <c r="G4239" s="5"/>
      <c r="H4239" s="2"/>
      <c r="I4239" s="2"/>
      <c r="K4239" s="2"/>
      <c r="L4239" s="2"/>
      <c r="M4239" s="2"/>
      <c r="N4239" s="2"/>
      <c r="O4239" s="2"/>
      <c r="P4239" s="2"/>
      <c r="Q4239" s="2"/>
      <c r="R4239" s="2"/>
      <c r="S4239" s="2"/>
      <c r="T4239" s="19"/>
      <c r="U4239" s="2"/>
      <c r="V4239" s="2"/>
      <c r="W4239" s="2"/>
      <c r="X4239" s="19"/>
      <c r="Y4239" s="2"/>
      <c r="Z4239" s="5"/>
    </row>
    <row r="4240" spans="7:26" ht="75.75" customHeight="1" x14ac:dyDescent="0.25">
      <c r="G4240" s="5"/>
      <c r="H4240" s="2"/>
      <c r="I4240" s="2"/>
      <c r="K4240" s="2"/>
      <c r="L4240" s="2"/>
      <c r="M4240" s="2"/>
      <c r="N4240" s="2"/>
      <c r="O4240" s="2"/>
      <c r="P4240" s="2"/>
      <c r="Q4240" s="2"/>
      <c r="R4240" s="2"/>
      <c r="S4240" s="2"/>
      <c r="T4240" s="19"/>
      <c r="U4240" s="2"/>
      <c r="V4240" s="2"/>
      <c r="W4240" s="2"/>
      <c r="X4240" s="19"/>
      <c r="Y4240" s="2"/>
      <c r="Z4240" s="5"/>
    </row>
    <row r="4241" spans="7:26" ht="75.75" customHeight="1" x14ac:dyDescent="0.25">
      <c r="G4241" s="5"/>
      <c r="H4241" s="2"/>
      <c r="I4241" s="2"/>
      <c r="K4241" s="2"/>
      <c r="L4241" s="2"/>
      <c r="M4241" s="2"/>
      <c r="N4241" s="2"/>
      <c r="O4241" s="2"/>
      <c r="P4241" s="2"/>
      <c r="Q4241" s="2"/>
      <c r="R4241" s="2"/>
      <c r="S4241" s="2"/>
      <c r="T4241" s="19"/>
      <c r="U4241" s="2"/>
      <c r="V4241" s="2"/>
      <c r="W4241" s="2"/>
      <c r="X4241" s="19"/>
      <c r="Y4241" s="2"/>
      <c r="Z4241" s="5"/>
    </row>
    <row r="4242" spans="7:26" ht="75.75" customHeight="1" x14ac:dyDescent="0.25">
      <c r="G4242" s="5"/>
      <c r="H4242" s="2"/>
      <c r="I4242" s="2"/>
      <c r="K4242" s="2"/>
      <c r="L4242" s="2"/>
      <c r="M4242" s="2"/>
      <c r="N4242" s="2"/>
      <c r="O4242" s="2"/>
      <c r="P4242" s="2"/>
      <c r="Q4242" s="2"/>
      <c r="R4242" s="2"/>
      <c r="S4242" s="2"/>
      <c r="T4242" s="19"/>
      <c r="U4242" s="2"/>
      <c r="V4242" s="2"/>
      <c r="W4242" s="2"/>
      <c r="X4242" s="19"/>
      <c r="Y4242" s="2"/>
      <c r="Z4242" s="5"/>
    </row>
    <row r="4243" spans="7:26" ht="75.75" customHeight="1" x14ac:dyDescent="0.25">
      <c r="G4243" s="5"/>
      <c r="H4243" s="2"/>
      <c r="I4243" s="2"/>
      <c r="K4243" s="2"/>
      <c r="L4243" s="2"/>
      <c r="M4243" s="2"/>
      <c r="N4243" s="2"/>
      <c r="O4243" s="2"/>
      <c r="P4243" s="2"/>
      <c r="Q4243" s="2"/>
      <c r="R4243" s="2"/>
      <c r="S4243" s="2"/>
      <c r="T4243" s="19"/>
      <c r="U4243" s="2"/>
      <c r="V4243" s="2"/>
      <c r="W4243" s="2"/>
      <c r="X4243" s="19"/>
      <c r="Y4243" s="2"/>
      <c r="Z4243" s="5"/>
    </row>
    <row r="4244" spans="7:26" ht="75.75" customHeight="1" x14ac:dyDescent="0.25">
      <c r="G4244" s="5"/>
      <c r="H4244" s="2"/>
      <c r="I4244" s="2"/>
      <c r="K4244" s="2"/>
      <c r="L4244" s="2"/>
      <c r="M4244" s="2"/>
      <c r="N4244" s="2"/>
      <c r="O4244" s="2"/>
      <c r="P4244" s="2"/>
      <c r="Q4244" s="2"/>
      <c r="R4244" s="2"/>
      <c r="S4244" s="2"/>
      <c r="T4244" s="19"/>
      <c r="U4244" s="2"/>
      <c r="V4244" s="2"/>
      <c r="W4244" s="2"/>
      <c r="X4244" s="19"/>
      <c r="Y4244" s="2"/>
      <c r="Z4244" s="5"/>
    </row>
    <row r="4245" spans="7:26" ht="75.75" customHeight="1" x14ac:dyDescent="0.25">
      <c r="G4245" s="5"/>
      <c r="H4245" s="2"/>
      <c r="I4245" s="2"/>
      <c r="K4245" s="2"/>
      <c r="L4245" s="2"/>
      <c r="M4245" s="2"/>
      <c r="N4245" s="2"/>
      <c r="O4245" s="2"/>
      <c r="P4245" s="2"/>
      <c r="Q4245" s="2"/>
      <c r="R4245" s="2"/>
      <c r="S4245" s="2"/>
      <c r="T4245" s="19"/>
      <c r="U4245" s="2"/>
      <c r="V4245" s="2"/>
      <c r="W4245" s="2"/>
      <c r="X4245" s="19"/>
      <c r="Y4245" s="2"/>
      <c r="Z4245" s="5"/>
    </row>
    <row r="4246" spans="7:26" ht="75.75" customHeight="1" x14ac:dyDescent="0.25">
      <c r="G4246" s="5"/>
      <c r="H4246" s="2"/>
      <c r="I4246" s="2"/>
      <c r="K4246" s="2"/>
      <c r="L4246" s="2"/>
      <c r="M4246" s="2"/>
      <c r="N4246" s="2"/>
      <c r="O4246" s="2"/>
      <c r="P4246" s="2"/>
      <c r="Q4246" s="2"/>
      <c r="R4246" s="2"/>
      <c r="S4246" s="2"/>
      <c r="T4246" s="19"/>
      <c r="U4246" s="2"/>
      <c r="V4246" s="2"/>
      <c r="W4246" s="2"/>
      <c r="X4246" s="19"/>
      <c r="Y4246" s="2"/>
      <c r="Z4246" s="5"/>
    </row>
    <row r="4247" spans="7:26" ht="75.75" customHeight="1" x14ac:dyDescent="0.25">
      <c r="G4247" s="5"/>
      <c r="H4247" s="2"/>
      <c r="I4247" s="2"/>
      <c r="K4247" s="2"/>
      <c r="L4247" s="2"/>
      <c r="M4247" s="2"/>
      <c r="N4247" s="2"/>
      <c r="O4247" s="2"/>
      <c r="P4247" s="2"/>
      <c r="Q4247" s="2"/>
      <c r="R4247" s="2"/>
      <c r="S4247" s="2"/>
      <c r="T4247" s="19"/>
      <c r="U4247" s="2"/>
      <c r="V4247" s="2"/>
      <c r="W4247" s="2"/>
      <c r="X4247" s="19"/>
      <c r="Y4247" s="2"/>
      <c r="Z4247" s="5"/>
    </row>
    <row r="4248" spans="7:26" ht="75.75" customHeight="1" x14ac:dyDescent="0.25">
      <c r="G4248" s="5"/>
      <c r="H4248" s="2"/>
      <c r="I4248" s="2"/>
      <c r="K4248" s="2"/>
      <c r="L4248" s="2"/>
      <c r="M4248" s="2"/>
      <c r="N4248" s="2"/>
      <c r="O4248" s="2"/>
      <c r="P4248" s="2"/>
      <c r="Q4248" s="2"/>
      <c r="R4248" s="2"/>
      <c r="S4248" s="2"/>
      <c r="T4248" s="19"/>
      <c r="U4248" s="2"/>
      <c r="V4248" s="2"/>
      <c r="W4248" s="2"/>
      <c r="X4248" s="19"/>
      <c r="Y4248" s="2"/>
      <c r="Z4248" s="5"/>
    </row>
    <row r="4249" spans="7:26" ht="75.75" customHeight="1" x14ac:dyDescent="0.25">
      <c r="G4249" s="5"/>
      <c r="H4249" s="2"/>
      <c r="I4249" s="2"/>
      <c r="K4249" s="2"/>
      <c r="L4249" s="2"/>
      <c r="M4249" s="2"/>
      <c r="N4249" s="2"/>
      <c r="O4249" s="2"/>
      <c r="P4249" s="2"/>
      <c r="Q4249" s="2"/>
      <c r="R4249" s="2"/>
      <c r="S4249" s="2"/>
      <c r="T4249" s="19"/>
      <c r="U4249" s="2"/>
      <c r="V4249" s="2"/>
      <c r="W4249" s="2"/>
      <c r="X4249" s="19"/>
      <c r="Y4249" s="2"/>
      <c r="Z4249" s="5"/>
    </row>
    <row r="4250" spans="7:26" ht="75.75" customHeight="1" x14ac:dyDescent="0.25">
      <c r="G4250" s="5"/>
      <c r="H4250" s="2"/>
      <c r="I4250" s="2"/>
      <c r="K4250" s="2"/>
      <c r="L4250" s="2"/>
      <c r="M4250" s="2"/>
      <c r="N4250" s="2"/>
      <c r="O4250" s="2"/>
      <c r="P4250" s="2"/>
      <c r="Q4250" s="2"/>
      <c r="R4250" s="2"/>
      <c r="S4250" s="2"/>
      <c r="T4250" s="19"/>
      <c r="U4250" s="2"/>
      <c r="V4250" s="2"/>
      <c r="W4250" s="2"/>
      <c r="X4250" s="19"/>
      <c r="Y4250" s="2"/>
      <c r="Z4250" s="5"/>
    </row>
    <row r="4251" spans="7:26" ht="75.75" customHeight="1" x14ac:dyDescent="0.25">
      <c r="G4251" s="5"/>
      <c r="H4251" s="2"/>
      <c r="I4251" s="2"/>
      <c r="K4251" s="2"/>
      <c r="L4251" s="2"/>
      <c r="M4251" s="2"/>
      <c r="N4251" s="2"/>
      <c r="O4251" s="2"/>
      <c r="P4251" s="2"/>
      <c r="Q4251" s="2"/>
      <c r="R4251" s="2"/>
      <c r="S4251" s="2"/>
      <c r="T4251" s="19"/>
      <c r="U4251" s="2"/>
      <c r="V4251" s="2"/>
      <c r="W4251" s="2"/>
      <c r="X4251" s="19"/>
      <c r="Y4251" s="2"/>
      <c r="Z4251" s="5"/>
    </row>
    <row r="4252" spans="7:26" ht="75.75" customHeight="1" x14ac:dyDescent="0.25">
      <c r="G4252" s="5"/>
      <c r="H4252" s="2"/>
      <c r="I4252" s="2"/>
      <c r="K4252" s="2"/>
      <c r="L4252" s="2"/>
      <c r="M4252" s="2"/>
      <c r="N4252" s="2"/>
      <c r="O4252" s="2"/>
      <c r="P4252" s="2"/>
      <c r="Q4252" s="2"/>
      <c r="R4252" s="2"/>
      <c r="S4252" s="2"/>
      <c r="T4252" s="19"/>
      <c r="U4252" s="2"/>
      <c r="V4252" s="2"/>
      <c r="W4252" s="2"/>
      <c r="X4252" s="19"/>
      <c r="Y4252" s="2"/>
      <c r="Z4252" s="5"/>
    </row>
    <row r="4253" spans="7:26" ht="75.75" customHeight="1" x14ac:dyDescent="0.25">
      <c r="G4253" s="5"/>
      <c r="H4253" s="2"/>
      <c r="I4253" s="2"/>
      <c r="K4253" s="2"/>
      <c r="L4253" s="2"/>
      <c r="M4253" s="2"/>
      <c r="N4253" s="2"/>
      <c r="O4253" s="2"/>
      <c r="P4253" s="2"/>
      <c r="Q4253" s="2"/>
      <c r="R4253" s="2"/>
      <c r="S4253" s="2"/>
      <c r="T4253" s="19"/>
      <c r="U4253" s="2"/>
      <c r="V4253" s="2"/>
      <c r="W4253" s="2"/>
      <c r="X4253" s="19"/>
      <c r="Y4253" s="2"/>
      <c r="Z4253" s="5"/>
    </row>
    <row r="4254" spans="7:26" ht="75.75" customHeight="1" x14ac:dyDescent="0.25">
      <c r="G4254" s="5"/>
      <c r="H4254" s="2"/>
      <c r="I4254" s="2"/>
      <c r="K4254" s="2"/>
      <c r="L4254" s="2"/>
      <c r="M4254" s="2"/>
      <c r="N4254" s="2"/>
      <c r="O4254" s="2"/>
      <c r="P4254" s="2"/>
      <c r="Q4254" s="2"/>
      <c r="R4254" s="2"/>
      <c r="S4254" s="2"/>
      <c r="T4254" s="19"/>
      <c r="U4254" s="2"/>
      <c r="V4254" s="2"/>
      <c r="W4254" s="2"/>
      <c r="X4254" s="19"/>
      <c r="Y4254" s="2"/>
      <c r="Z4254" s="5"/>
    </row>
    <row r="4255" spans="7:26" ht="75.75" customHeight="1" x14ac:dyDescent="0.25">
      <c r="G4255" s="5"/>
      <c r="H4255" s="2"/>
      <c r="I4255" s="2"/>
      <c r="K4255" s="2"/>
      <c r="L4255" s="2"/>
      <c r="M4255" s="2"/>
      <c r="N4255" s="2"/>
      <c r="O4255" s="2"/>
      <c r="P4255" s="2"/>
      <c r="Q4255" s="2"/>
      <c r="R4255" s="2"/>
      <c r="S4255" s="2"/>
      <c r="T4255" s="19"/>
      <c r="U4255" s="2"/>
      <c r="V4255" s="2"/>
      <c r="W4255" s="2"/>
      <c r="X4255" s="19"/>
      <c r="Y4255" s="2"/>
      <c r="Z4255" s="5"/>
    </row>
    <row r="4256" spans="7:26" ht="75.75" customHeight="1" x14ac:dyDescent="0.25">
      <c r="G4256" s="5"/>
      <c r="H4256" s="2"/>
      <c r="I4256" s="2"/>
      <c r="K4256" s="2"/>
      <c r="L4256" s="2"/>
      <c r="M4256" s="2"/>
      <c r="N4256" s="2"/>
      <c r="O4256" s="2"/>
      <c r="P4256" s="2"/>
      <c r="Q4256" s="2"/>
      <c r="R4256" s="2"/>
      <c r="S4256" s="2"/>
      <c r="T4256" s="19"/>
      <c r="U4256" s="2"/>
      <c r="V4256" s="2"/>
      <c r="W4256" s="2"/>
      <c r="X4256" s="19"/>
      <c r="Y4256" s="2"/>
      <c r="Z4256" s="5"/>
    </row>
    <row r="4257" spans="7:26" ht="75.75" customHeight="1" x14ac:dyDescent="0.25">
      <c r="G4257" s="5"/>
      <c r="H4257" s="2"/>
      <c r="I4257" s="2"/>
      <c r="K4257" s="2"/>
      <c r="L4257" s="2"/>
      <c r="M4257" s="2"/>
      <c r="N4257" s="2"/>
      <c r="O4257" s="2"/>
      <c r="P4257" s="2"/>
      <c r="Q4257" s="2"/>
      <c r="R4257" s="2"/>
      <c r="S4257" s="2"/>
      <c r="T4257" s="19"/>
      <c r="U4257" s="2"/>
      <c r="V4257" s="2"/>
      <c r="W4257" s="2"/>
      <c r="X4257" s="19"/>
      <c r="Y4257" s="2"/>
      <c r="Z4257" s="5"/>
    </row>
    <row r="4258" spans="7:26" ht="75.75" customHeight="1" x14ac:dyDescent="0.25">
      <c r="G4258" s="5"/>
      <c r="H4258" s="2"/>
      <c r="I4258" s="2"/>
      <c r="K4258" s="2"/>
      <c r="L4258" s="2"/>
      <c r="M4258" s="2"/>
      <c r="N4258" s="2"/>
      <c r="O4258" s="2"/>
      <c r="P4258" s="2"/>
      <c r="Q4258" s="2"/>
      <c r="R4258" s="2"/>
      <c r="S4258" s="2"/>
      <c r="T4258" s="19"/>
      <c r="U4258" s="2"/>
      <c r="V4258" s="2"/>
      <c r="W4258" s="2"/>
      <c r="X4258" s="19"/>
      <c r="Y4258" s="2"/>
      <c r="Z4258" s="5"/>
    </row>
    <row r="4259" spans="7:26" ht="75.75" customHeight="1" x14ac:dyDescent="0.25">
      <c r="G4259" s="5"/>
      <c r="H4259" s="2"/>
      <c r="I4259" s="2"/>
      <c r="K4259" s="2"/>
      <c r="L4259" s="2"/>
      <c r="M4259" s="2"/>
      <c r="N4259" s="2"/>
      <c r="O4259" s="2"/>
      <c r="P4259" s="2"/>
      <c r="Q4259" s="2"/>
      <c r="R4259" s="2"/>
      <c r="S4259" s="2"/>
      <c r="T4259" s="19"/>
      <c r="U4259" s="2"/>
      <c r="V4259" s="2"/>
      <c r="W4259" s="2"/>
      <c r="X4259" s="19"/>
      <c r="Y4259" s="2"/>
      <c r="Z4259" s="5"/>
    </row>
    <row r="4260" spans="7:26" ht="75.75" customHeight="1" x14ac:dyDescent="0.25">
      <c r="G4260" s="5"/>
      <c r="H4260" s="2"/>
      <c r="I4260" s="2"/>
      <c r="K4260" s="2"/>
      <c r="L4260" s="2"/>
      <c r="M4260" s="2"/>
      <c r="N4260" s="2"/>
      <c r="O4260" s="2"/>
      <c r="P4260" s="2"/>
      <c r="Q4260" s="2"/>
      <c r="R4260" s="2"/>
      <c r="S4260" s="2"/>
      <c r="T4260" s="19"/>
      <c r="U4260" s="2"/>
      <c r="V4260" s="2"/>
      <c r="W4260" s="2"/>
      <c r="X4260" s="19"/>
      <c r="Y4260" s="2"/>
      <c r="Z4260" s="5"/>
    </row>
    <row r="4261" spans="7:26" ht="75.75" customHeight="1" x14ac:dyDescent="0.25">
      <c r="G4261" s="5"/>
      <c r="H4261" s="2"/>
      <c r="I4261" s="2"/>
      <c r="K4261" s="2"/>
      <c r="L4261" s="2"/>
      <c r="M4261" s="2"/>
      <c r="N4261" s="2"/>
      <c r="O4261" s="2"/>
      <c r="P4261" s="2"/>
      <c r="Q4261" s="2"/>
      <c r="R4261" s="2"/>
      <c r="S4261" s="2"/>
      <c r="T4261" s="19"/>
      <c r="U4261" s="2"/>
      <c r="V4261" s="2"/>
      <c r="W4261" s="2"/>
      <c r="X4261" s="19"/>
      <c r="Y4261" s="2"/>
      <c r="Z4261" s="5"/>
    </row>
    <row r="4262" spans="7:26" ht="75.75" customHeight="1" x14ac:dyDescent="0.25">
      <c r="G4262" s="5"/>
      <c r="H4262" s="2"/>
      <c r="I4262" s="2"/>
      <c r="K4262" s="2"/>
      <c r="L4262" s="2"/>
      <c r="M4262" s="2"/>
      <c r="N4262" s="2"/>
      <c r="O4262" s="2"/>
      <c r="P4262" s="2"/>
      <c r="Q4262" s="2"/>
      <c r="R4262" s="2"/>
      <c r="S4262" s="2"/>
      <c r="T4262" s="19"/>
      <c r="U4262" s="2"/>
      <c r="V4262" s="2"/>
      <c r="W4262" s="2"/>
      <c r="X4262" s="19"/>
      <c r="Y4262" s="2"/>
      <c r="Z4262" s="5"/>
    </row>
    <row r="4263" spans="7:26" ht="75.75" customHeight="1" x14ac:dyDescent="0.25">
      <c r="G4263" s="5"/>
      <c r="H4263" s="2"/>
      <c r="I4263" s="2"/>
      <c r="K4263" s="2"/>
      <c r="L4263" s="2"/>
      <c r="M4263" s="2"/>
      <c r="N4263" s="2"/>
      <c r="O4263" s="2"/>
      <c r="P4263" s="2"/>
      <c r="Q4263" s="2"/>
      <c r="R4263" s="2"/>
      <c r="S4263" s="2"/>
      <c r="T4263" s="19"/>
      <c r="U4263" s="2"/>
      <c r="V4263" s="2"/>
      <c r="W4263" s="2"/>
      <c r="X4263" s="19"/>
      <c r="Y4263" s="2"/>
      <c r="Z4263" s="5"/>
    </row>
    <row r="4264" spans="7:26" ht="75.75" customHeight="1" x14ac:dyDescent="0.25">
      <c r="G4264" s="5"/>
      <c r="H4264" s="2"/>
      <c r="I4264" s="2"/>
      <c r="K4264" s="2"/>
      <c r="L4264" s="2"/>
      <c r="M4264" s="2"/>
      <c r="N4264" s="2"/>
      <c r="O4264" s="2"/>
      <c r="P4264" s="2"/>
      <c r="Q4264" s="2"/>
      <c r="R4264" s="2"/>
      <c r="S4264" s="2"/>
      <c r="T4264" s="19"/>
      <c r="U4264" s="2"/>
      <c r="V4264" s="2"/>
      <c r="W4264" s="2"/>
      <c r="X4264" s="19"/>
      <c r="Y4264" s="2"/>
      <c r="Z4264" s="5"/>
    </row>
    <row r="4265" spans="7:26" ht="75.75" customHeight="1" x14ac:dyDescent="0.25">
      <c r="G4265" s="5"/>
      <c r="H4265" s="2"/>
      <c r="I4265" s="2"/>
      <c r="K4265" s="2"/>
      <c r="L4265" s="2"/>
      <c r="M4265" s="2"/>
      <c r="N4265" s="2"/>
      <c r="O4265" s="2"/>
      <c r="P4265" s="2"/>
      <c r="Q4265" s="2"/>
      <c r="R4265" s="2"/>
      <c r="S4265" s="2"/>
      <c r="T4265" s="19"/>
      <c r="U4265" s="2"/>
      <c r="V4265" s="2"/>
      <c r="W4265" s="2"/>
      <c r="X4265" s="19"/>
      <c r="Y4265" s="2"/>
      <c r="Z4265" s="5"/>
    </row>
    <row r="4266" spans="7:26" ht="75.75" customHeight="1" x14ac:dyDescent="0.25">
      <c r="G4266" s="5"/>
      <c r="H4266" s="2"/>
      <c r="I4266" s="2"/>
      <c r="K4266" s="2"/>
      <c r="L4266" s="2"/>
      <c r="M4266" s="2"/>
      <c r="N4266" s="2"/>
      <c r="O4266" s="2"/>
      <c r="P4266" s="2"/>
      <c r="Q4266" s="2"/>
      <c r="R4266" s="2"/>
      <c r="S4266" s="2"/>
      <c r="T4266" s="19"/>
      <c r="U4266" s="2"/>
      <c r="V4266" s="2"/>
      <c r="W4266" s="2"/>
      <c r="X4266" s="19"/>
      <c r="Y4266" s="2"/>
      <c r="Z4266" s="5"/>
    </row>
    <row r="4267" spans="7:26" ht="75.75" customHeight="1" x14ac:dyDescent="0.25">
      <c r="G4267" s="5"/>
      <c r="H4267" s="2"/>
      <c r="I4267" s="2"/>
      <c r="K4267" s="2"/>
      <c r="L4267" s="2"/>
      <c r="M4267" s="2"/>
      <c r="N4267" s="2"/>
      <c r="O4267" s="2"/>
      <c r="P4267" s="2"/>
      <c r="Q4267" s="2"/>
      <c r="R4267" s="2"/>
      <c r="S4267" s="2"/>
      <c r="T4267" s="19"/>
      <c r="U4267" s="2"/>
      <c r="V4267" s="2"/>
      <c r="W4267" s="2"/>
      <c r="X4267" s="19"/>
      <c r="Y4267" s="2"/>
      <c r="Z4267" s="5"/>
    </row>
    <row r="4268" spans="7:26" ht="75.75" customHeight="1" x14ac:dyDescent="0.25">
      <c r="G4268" s="5"/>
      <c r="H4268" s="2"/>
      <c r="I4268" s="2"/>
      <c r="K4268" s="2"/>
      <c r="L4268" s="2"/>
      <c r="M4268" s="2"/>
      <c r="N4268" s="2"/>
      <c r="O4268" s="2"/>
      <c r="P4268" s="2"/>
      <c r="Q4268" s="2"/>
      <c r="R4268" s="2"/>
      <c r="S4268" s="2"/>
      <c r="T4268" s="19"/>
      <c r="U4268" s="2"/>
      <c r="V4268" s="2"/>
      <c r="W4268" s="2"/>
      <c r="X4268" s="19"/>
      <c r="Y4268" s="2"/>
      <c r="Z4268" s="5"/>
    </row>
    <row r="4269" spans="7:26" ht="75.75" customHeight="1" x14ac:dyDescent="0.25">
      <c r="G4269" s="5"/>
      <c r="H4269" s="2"/>
      <c r="I4269" s="2"/>
      <c r="K4269" s="2"/>
      <c r="L4269" s="2"/>
      <c r="M4269" s="2"/>
      <c r="N4269" s="2"/>
      <c r="O4269" s="2"/>
      <c r="P4269" s="2"/>
      <c r="Q4269" s="2"/>
      <c r="R4269" s="2"/>
      <c r="S4269" s="2"/>
      <c r="T4269" s="19"/>
      <c r="U4269" s="2"/>
      <c r="V4269" s="2"/>
      <c r="W4269" s="2"/>
      <c r="X4269" s="19"/>
      <c r="Y4269" s="2"/>
      <c r="Z4269" s="5"/>
    </row>
    <row r="4270" spans="7:26" ht="75.75" customHeight="1" x14ac:dyDescent="0.25">
      <c r="G4270" s="5"/>
      <c r="H4270" s="2"/>
      <c r="I4270" s="2"/>
      <c r="K4270" s="2"/>
      <c r="L4270" s="2"/>
      <c r="M4270" s="2"/>
      <c r="N4270" s="2"/>
      <c r="O4270" s="2"/>
      <c r="P4270" s="2"/>
      <c r="Q4270" s="2"/>
      <c r="R4270" s="2"/>
      <c r="S4270" s="2"/>
      <c r="T4270" s="19"/>
      <c r="U4270" s="2"/>
      <c r="V4270" s="2"/>
      <c r="W4270" s="2"/>
      <c r="X4270" s="19"/>
      <c r="Y4270" s="2"/>
      <c r="Z4270" s="5"/>
    </row>
    <row r="4271" spans="7:26" ht="75.75" customHeight="1" x14ac:dyDescent="0.25">
      <c r="G4271" s="5"/>
      <c r="H4271" s="2"/>
      <c r="I4271" s="2"/>
      <c r="K4271" s="2"/>
      <c r="L4271" s="2"/>
      <c r="M4271" s="2"/>
      <c r="N4271" s="2"/>
      <c r="O4271" s="2"/>
      <c r="P4271" s="2"/>
      <c r="Q4271" s="2"/>
      <c r="R4271" s="2"/>
      <c r="S4271" s="2"/>
      <c r="T4271" s="19"/>
      <c r="U4271" s="2"/>
      <c r="V4271" s="2"/>
      <c r="W4271" s="2"/>
      <c r="X4271" s="19"/>
      <c r="Y4271" s="2"/>
      <c r="Z4271" s="5"/>
    </row>
    <row r="4272" spans="7:26" ht="75.75" customHeight="1" x14ac:dyDescent="0.25">
      <c r="G4272" s="5"/>
      <c r="H4272" s="2"/>
      <c r="I4272" s="2"/>
      <c r="K4272" s="2"/>
      <c r="L4272" s="2"/>
      <c r="M4272" s="2"/>
      <c r="N4272" s="2"/>
      <c r="O4272" s="2"/>
      <c r="P4272" s="2"/>
      <c r="Q4272" s="2"/>
      <c r="R4272" s="2"/>
      <c r="S4272" s="2"/>
      <c r="T4272" s="19"/>
      <c r="U4272" s="2"/>
      <c r="V4272" s="2"/>
      <c r="W4272" s="2"/>
      <c r="X4272" s="19"/>
      <c r="Y4272" s="2"/>
      <c r="Z4272" s="5"/>
    </row>
    <row r="4273" spans="7:26" ht="75.75" customHeight="1" x14ac:dyDescent="0.25">
      <c r="G4273" s="5"/>
      <c r="H4273" s="2"/>
      <c r="I4273" s="2"/>
      <c r="K4273" s="2"/>
      <c r="L4273" s="2"/>
      <c r="M4273" s="2"/>
      <c r="N4273" s="2"/>
      <c r="O4273" s="2"/>
      <c r="P4273" s="2"/>
      <c r="Q4273" s="2"/>
      <c r="R4273" s="2"/>
      <c r="S4273" s="2"/>
      <c r="T4273" s="19"/>
      <c r="U4273" s="2"/>
      <c r="V4273" s="2"/>
      <c r="W4273" s="2"/>
      <c r="X4273" s="19"/>
      <c r="Y4273" s="2"/>
      <c r="Z4273" s="5"/>
    </row>
    <row r="4274" spans="7:26" ht="75.75" customHeight="1" x14ac:dyDescent="0.25">
      <c r="G4274" s="5"/>
      <c r="H4274" s="2"/>
      <c r="I4274" s="2"/>
      <c r="K4274" s="2"/>
      <c r="L4274" s="2"/>
      <c r="M4274" s="2"/>
      <c r="N4274" s="2"/>
      <c r="O4274" s="2"/>
      <c r="P4274" s="2"/>
      <c r="Q4274" s="2"/>
      <c r="R4274" s="2"/>
      <c r="S4274" s="2"/>
      <c r="T4274" s="19"/>
      <c r="U4274" s="2"/>
      <c r="V4274" s="2"/>
      <c r="W4274" s="2"/>
      <c r="X4274" s="19"/>
      <c r="Y4274" s="2"/>
      <c r="Z4274" s="5"/>
    </row>
    <row r="4275" spans="7:26" ht="75.75" customHeight="1" x14ac:dyDescent="0.25">
      <c r="G4275" s="5"/>
      <c r="H4275" s="2"/>
      <c r="I4275" s="2"/>
      <c r="K4275" s="2"/>
      <c r="L4275" s="2"/>
      <c r="M4275" s="2"/>
      <c r="N4275" s="2"/>
      <c r="O4275" s="2"/>
      <c r="P4275" s="2"/>
      <c r="Q4275" s="2"/>
      <c r="R4275" s="2"/>
      <c r="S4275" s="2"/>
      <c r="T4275" s="19"/>
      <c r="U4275" s="2"/>
      <c r="V4275" s="2"/>
      <c r="W4275" s="2"/>
      <c r="X4275" s="19"/>
      <c r="Y4275" s="2"/>
      <c r="Z4275" s="5"/>
    </row>
    <row r="4276" spans="7:26" ht="75.75" customHeight="1" x14ac:dyDescent="0.25">
      <c r="G4276" s="5"/>
      <c r="H4276" s="2"/>
      <c r="I4276" s="2"/>
      <c r="K4276" s="2"/>
      <c r="L4276" s="2"/>
      <c r="M4276" s="2"/>
      <c r="N4276" s="2"/>
      <c r="O4276" s="2"/>
      <c r="P4276" s="2"/>
      <c r="Q4276" s="2"/>
      <c r="R4276" s="2"/>
      <c r="S4276" s="2"/>
      <c r="T4276" s="19"/>
      <c r="U4276" s="2"/>
      <c r="V4276" s="2"/>
      <c r="W4276" s="2"/>
      <c r="X4276" s="19"/>
      <c r="Y4276" s="2"/>
      <c r="Z4276" s="5"/>
    </row>
    <row r="4277" spans="7:26" ht="75.75" customHeight="1" x14ac:dyDescent="0.25">
      <c r="G4277" s="5"/>
      <c r="H4277" s="2"/>
      <c r="I4277" s="2"/>
      <c r="K4277" s="2"/>
      <c r="L4277" s="2"/>
      <c r="M4277" s="2"/>
      <c r="N4277" s="2"/>
      <c r="O4277" s="2"/>
      <c r="P4277" s="2"/>
      <c r="Q4277" s="2"/>
      <c r="R4277" s="2"/>
      <c r="S4277" s="2"/>
      <c r="T4277" s="19"/>
      <c r="U4277" s="2"/>
      <c r="V4277" s="2"/>
      <c r="W4277" s="2"/>
      <c r="X4277" s="19"/>
      <c r="Y4277" s="2"/>
      <c r="Z4277" s="5"/>
    </row>
    <row r="4278" spans="7:26" ht="75.75" customHeight="1" x14ac:dyDescent="0.25">
      <c r="G4278" s="5"/>
      <c r="H4278" s="2"/>
      <c r="I4278" s="2"/>
      <c r="K4278" s="2"/>
      <c r="L4278" s="2"/>
      <c r="M4278" s="2"/>
      <c r="N4278" s="2"/>
      <c r="O4278" s="2"/>
      <c r="P4278" s="2"/>
      <c r="Q4278" s="2"/>
      <c r="R4278" s="2"/>
      <c r="S4278" s="2"/>
      <c r="T4278" s="19"/>
      <c r="U4278" s="2"/>
      <c r="V4278" s="2"/>
      <c r="W4278" s="2"/>
      <c r="X4278" s="19"/>
      <c r="Y4278" s="2"/>
      <c r="Z4278" s="5"/>
    </row>
    <row r="4279" spans="7:26" ht="75.75" customHeight="1" x14ac:dyDescent="0.25">
      <c r="G4279" s="5"/>
      <c r="H4279" s="2"/>
      <c r="I4279" s="2"/>
      <c r="K4279" s="2"/>
      <c r="L4279" s="2"/>
      <c r="M4279" s="2"/>
      <c r="N4279" s="2"/>
      <c r="O4279" s="2"/>
      <c r="P4279" s="2"/>
      <c r="Q4279" s="2"/>
      <c r="R4279" s="2"/>
      <c r="S4279" s="2"/>
      <c r="T4279" s="19"/>
      <c r="U4279" s="2"/>
      <c r="V4279" s="2"/>
      <c r="W4279" s="2"/>
      <c r="X4279" s="19"/>
      <c r="Y4279" s="2"/>
      <c r="Z4279" s="5"/>
    </row>
    <row r="4280" spans="7:26" ht="75.75" customHeight="1" x14ac:dyDescent="0.25">
      <c r="G4280" s="5"/>
      <c r="H4280" s="2"/>
      <c r="I4280" s="2"/>
      <c r="K4280" s="2"/>
      <c r="L4280" s="2"/>
      <c r="M4280" s="2"/>
      <c r="N4280" s="2"/>
      <c r="O4280" s="2"/>
      <c r="P4280" s="2"/>
      <c r="Q4280" s="2"/>
      <c r="R4280" s="2"/>
      <c r="S4280" s="2"/>
      <c r="T4280" s="19"/>
      <c r="U4280" s="2"/>
      <c r="V4280" s="2"/>
      <c r="W4280" s="2"/>
      <c r="X4280" s="19"/>
      <c r="Y4280" s="2"/>
      <c r="Z4280" s="5"/>
    </row>
    <row r="4281" spans="7:26" ht="75.75" customHeight="1" x14ac:dyDescent="0.25">
      <c r="G4281" s="5"/>
      <c r="H4281" s="2"/>
      <c r="I4281" s="2"/>
      <c r="K4281" s="2"/>
      <c r="L4281" s="2"/>
      <c r="M4281" s="2"/>
      <c r="N4281" s="2"/>
      <c r="O4281" s="2"/>
      <c r="P4281" s="2"/>
      <c r="Q4281" s="2"/>
      <c r="R4281" s="2"/>
      <c r="S4281" s="2"/>
      <c r="T4281" s="19"/>
      <c r="U4281" s="2"/>
      <c r="V4281" s="2"/>
      <c r="W4281" s="2"/>
      <c r="X4281" s="19"/>
      <c r="Y4281" s="2"/>
      <c r="Z4281" s="5"/>
    </row>
    <row r="4282" spans="7:26" ht="75.75" customHeight="1" x14ac:dyDescent="0.25">
      <c r="G4282" s="5"/>
      <c r="H4282" s="2"/>
      <c r="I4282" s="2"/>
      <c r="K4282" s="2"/>
      <c r="L4282" s="2"/>
      <c r="M4282" s="2"/>
      <c r="N4282" s="2"/>
      <c r="O4282" s="2"/>
      <c r="P4282" s="2"/>
      <c r="Q4282" s="2"/>
      <c r="R4282" s="2"/>
      <c r="S4282" s="2"/>
      <c r="T4282" s="19"/>
      <c r="U4282" s="2"/>
      <c r="V4282" s="2"/>
      <c r="W4282" s="2"/>
      <c r="X4282" s="19"/>
      <c r="Y4282" s="2"/>
      <c r="Z4282" s="5"/>
    </row>
    <row r="4283" spans="7:26" ht="75.75" customHeight="1" x14ac:dyDescent="0.25">
      <c r="G4283" s="5"/>
      <c r="H4283" s="2"/>
      <c r="I4283" s="2"/>
      <c r="K4283" s="2"/>
      <c r="L4283" s="2"/>
      <c r="M4283" s="2"/>
      <c r="N4283" s="2"/>
      <c r="O4283" s="2"/>
      <c r="P4283" s="2"/>
      <c r="Q4283" s="2"/>
      <c r="R4283" s="2"/>
      <c r="S4283" s="2"/>
      <c r="T4283" s="19"/>
      <c r="U4283" s="2"/>
      <c r="V4283" s="2"/>
      <c r="W4283" s="2"/>
      <c r="X4283" s="19"/>
      <c r="Y4283" s="2"/>
      <c r="Z4283" s="5"/>
    </row>
    <row r="4284" spans="7:26" ht="75.75" customHeight="1" x14ac:dyDescent="0.25">
      <c r="G4284" s="5"/>
      <c r="H4284" s="2"/>
      <c r="I4284" s="2"/>
      <c r="K4284" s="2"/>
      <c r="L4284" s="2"/>
      <c r="M4284" s="2"/>
      <c r="N4284" s="2"/>
      <c r="O4284" s="2"/>
      <c r="P4284" s="2"/>
      <c r="Q4284" s="2"/>
      <c r="R4284" s="2"/>
      <c r="S4284" s="2"/>
      <c r="T4284" s="19"/>
      <c r="U4284" s="2"/>
      <c r="V4284" s="2"/>
      <c r="W4284" s="2"/>
      <c r="X4284" s="19"/>
      <c r="Y4284" s="2"/>
      <c r="Z4284" s="5"/>
    </row>
    <row r="4285" spans="7:26" ht="75.75" customHeight="1" x14ac:dyDescent="0.25">
      <c r="G4285" s="5"/>
      <c r="H4285" s="2"/>
      <c r="I4285" s="2"/>
      <c r="K4285" s="2"/>
      <c r="L4285" s="2"/>
      <c r="M4285" s="2"/>
      <c r="N4285" s="2"/>
      <c r="O4285" s="2"/>
      <c r="P4285" s="2"/>
      <c r="Q4285" s="2"/>
      <c r="R4285" s="2"/>
      <c r="S4285" s="2"/>
      <c r="T4285" s="19"/>
      <c r="U4285" s="2"/>
      <c r="V4285" s="2"/>
      <c r="W4285" s="2"/>
      <c r="X4285" s="19"/>
      <c r="Y4285" s="2"/>
      <c r="Z4285" s="5"/>
    </row>
    <row r="4286" spans="7:26" ht="75.75" customHeight="1" x14ac:dyDescent="0.25">
      <c r="G4286" s="5"/>
      <c r="H4286" s="2"/>
      <c r="I4286" s="2"/>
      <c r="K4286" s="2"/>
      <c r="L4286" s="2"/>
      <c r="M4286" s="2"/>
      <c r="N4286" s="2"/>
      <c r="O4286" s="2"/>
      <c r="P4286" s="2"/>
      <c r="Q4286" s="2"/>
      <c r="R4286" s="2"/>
      <c r="S4286" s="2"/>
      <c r="T4286" s="19"/>
      <c r="U4286" s="2"/>
      <c r="V4286" s="2"/>
      <c r="W4286" s="2"/>
      <c r="X4286" s="19"/>
      <c r="Y4286" s="2"/>
      <c r="Z4286" s="5"/>
    </row>
    <row r="4287" spans="7:26" ht="75.75" customHeight="1" x14ac:dyDescent="0.25">
      <c r="G4287" s="5"/>
      <c r="H4287" s="2"/>
      <c r="I4287" s="2"/>
      <c r="K4287" s="2"/>
      <c r="L4287" s="2"/>
      <c r="M4287" s="2"/>
      <c r="N4287" s="2"/>
      <c r="O4287" s="2"/>
      <c r="P4287" s="2"/>
      <c r="Q4287" s="2"/>
      <c r="R4287" s="2"/>
      <c r="S4287" s="2"/>
      <c r="T4287" s="19"/>
      <c r="U4287" s="2"/>
      <c r="V4287" s="2"/>
      <c r="W4287" s="2"/>
      <c r="X4287" s="19"/>
      <c r="Y4287" s="2"/>
      <c r="Z4287" s="5"/>
    </row>
    <row r="4288" spans="7:26" ht="75.75" customHeight="1" x14ac:dyDescent="0.25">
      <c r="G4288" s="5"/>
      <c r="H4288" s="2"/>
      <c r="I4288" s="2"/>
      <c r="K4288" s="2"/>
      <c r="L4288" s="2"/>
      <c r="M4288" s="2"/>
      <c r="N4288" s="2"/>
      <c r="O4288" s="2"/>
      <c r="P4288" s="2"/>
      <c r="Q4288" s="2"/>
      <c r="R4288" s="2"/>
      <c r="S4288" s="2"/>
      <c r="T4288" s="19"/>
      <c r="U4288" s="2"/>
      <c r="V4288" s="2"/>
      <c r="W4288" s="2"/>
      <c r="X4288" s="19"/>
      <c r="Y4288" s="2"/>
      <c r="Z4288" s="5"/>
    </row>
    <row r="4289" spans="7:26" ht="75.75" customHeight="1" x14ac:dyDescent="0.25">
      <c r="G4289" s="5"/>
      <c r="H4289" s="2"/>
      <c r="I4289" s="2"/>
      <c r="K4289" s="2"/>
      <c r="L4289" s="2"/>
      <c r="M4289" s="2"/>
      <c r="N4289" s="2"/>
      <c r="O4289" s="2"/>
      <c r="P4289" s="2"/>
      <c r="Q4289" s="2"/>
      <c r="R4289" s="2"/>
      <c r="S4289" s="2"/>
      <c r="T4289" s="19"/>
      <c r="U4289" s="2"/>
      <c r="V4289" s="2"/>
      <c r="W4289" s="2"/>
      <c r="X4289" s="19"/>
      <c r="Y4289" s="2"/>
      <c r="Z4289" s="5"/>
    </row>
    <row r="4290" spans="7:26" ht="75.75" customHeight="1" x14ac:dyDescent="0.25">
      <c r="G4290" s="5"/>
      <c r="H4290" s="2"/>
      <c r="I4290" s="2"/>
      <c r="K4290" s="2"/>
      <c r="L4290" s="2"/>
      <c r="M4290" s="2"/>
      <c r="N4290" s="2"/>
      <c r="O4290" s="2"/>
      <c r="P4290" s="2"/>
      <c r="Q4290" s="2"/>
      <c r="R4290" s="2"/>
      <c r="S4290" s="2"/>
      <c r="T4290" s="19"/>
      <c r="U4290" s="2"/>
      <c r="V4290" s="2"/>
      <c r="W4290" s="2"/>
      <c r="X4290" s="19"/>
      <c r="Y4290" s="2"/>
      <c r="Z4290" s="5"/>
    </row>
    <row r="4291" spans="7:26" ht="75.75" customHeight="1" x14ac:dyDescent="0.25">
      <c r="G4291" s="5"/>
      <c r="H4291" s="2"/>
      <c r="I4291" s="2"/>
      <c r="K4291" s="2"/>
      <c r="L4291" s="2"/>
      <c r="M4291" s="2"/>
      <c r="N4291" s="2"/>
      <c r="O4291" s="2"/>
      <c r="P4291" s="2"/>
      <c r="Q4291" s="2"/>
      <c r="R4291" s="2"/>
      <c r="S4291" s="2"/>
      <c r="T4291" s="19"/>
      <c r="U4291" s="2"/>
      <c r="V4291" s="2"/>
      <c r="W4291" s="2"/>
      <c r="X4291" s="19"/>
      <c r="Y4291" s="2"/>
      <c r="Z4291" s="5"/>
    </row>
    <row r="4292" spans="7:26" ht="75.75" customHeight="1" x14ac:dyDescent="0.25">
      <c r="G4292" s="5"/>
      <c r="H4292" s="2"/>
      <c r="I4292" s="2"/>
      <c r="K4292" s="2"/>
      <c r="L4292" s="2"/>
      <c r="M4292" s="2"/>
      <c r="N4292" s="2"/>
      <c r="O4292" s="2"/>
      <c r="P4292" s="2"/>
      <c r="Q4292" s="2"/>
      <c r="R4292" s="2"/>
      <c r="S4292" s="2"/>
      <c r="T4292" s="19"/>
      <c r="U4292" s="2"/>
      <c r="V4292" s="2"/>
      <c r="W4292" s="2"/>
      <c r="X4292" s="19"/>
      <c r="Y4292" s="2"/>
      <c r="Z4292" s="5"/>
    </row>
    <row r="4293" spans="7:26" ht="75.75" customHeight="1" x14ac:dyDescent="0.25">
      <c r="G4293" s="5"/>
      <c r="H4293" s="2"/>
      <c r="I4293" s="2"/>
      <c r="K4293" s="2"/>
      <c r="L4293" s="2"/>
      <c r="M4293" s="2"/>
      <c r="N4293" s="2"/>
      <c r="O4293" s="2"/>
      <c r="P4293" s="2"/>
      <c r="Q4293" s="2"/>
      <c r="R4293" s="2"/>
      <c r="S4293" s="2"/>
      <c r="T4293" s="19"/>
      <c r="U4293" s="2"/>
      <c r="V4293" s="2"/>
      <c r="W4293" s="2"/>
      <c r="X4293" s="19"/>
      <c r="Y4293" s="2"/>
      <c r="Z4293" s="5"/>
    </row>
    <row r="4294" spans="7:26" ht="75.75" customHeight="1" x14ac:dyDescent="0.25">
      <c r="G4294" s="5"/>
      <c r="H4294" s="2"/>
      <c r="I4294" s="2"/>
      <c r="K4294" s="2"/>
      <c r="L4294" s="2"/>
      <c r="M4294" s="2"/>
      <c r="N4294" s="2"/>
      <c r="O4294" s="2"/>
      <c r="P4294" s="2"/>
      <c r="Q4294" s="2"/>
      <c r="R4294" s="2"/>
      <c r="S4294" s="2"/>
      <c r="T4294" s="19"/>
      <c r="U4294" s="2"/>
      <c r="V4294" s="2"/>
      <c r="W4294" s="2"/>
      <c r="X4294" s="19"/>
      <c r="Y4294" s="2"/>
      <c r="Z4294" s="5"/>
    </row>
    <row r="4295" spans="7:26" ht="75.75" customHeight="1" x14ac:dyDescent="0.25">
      <c r="G4295" s="5"/>
      <c r="H4295" s="2"/>
      <c r="I4295" s="2"/>
      <c r="K4295" s="2"/>
      <c r="L4295" s="2"/>
      <c r="M4295" s="2"/>
      <c r="N4295" s="2"/>
      <c r="O4295" s="2"/>
      <c r="P4295" s="2"/>
      <c r="Q4295" s="2"/>
      <c r="R4295" s="2"/>
      <c r="S4295" s="2"/>
      <c r="T4295" s="19"/>
      <c r="U4295" s="2"/>
      <c r="V4295" s="2"/>
      <c r="W4295" s="2"/>
      <c r="X4295" s="19"/>
      <c r="Y4295" s="2"/>
      <c r="Z4295" s="5"/>
    </row>
    <row r="4296" spans="7:26" ht="75.75" customHeight="1" x14ac:dyDescent="0.25">
      <c r="G4296" s="5"/>
      <c r="H4296" s="2"/>
      <c r="I4296" s="2"/>
      <c r="K4296" s="2"/>
      <c r="L4296" s="2"/>
      <c r="M4296" s="2"/>
      <c r="N4296" s="2"/>
      <c r="O4296" s="2"/>
      <c r="P4296" s="2"/>
      <c r="Q4296" s="2"/>
      <c r="R4296" s="2"/>
      <c r="S4296" s="2"/>
      <c r="T4296" s="19"/>
      <c r="U4296" s="2"/>
      <c r="V4296" s="2"/>
      <c r="W4296" s="2"/>
      <c r="X4296" s="19"/>
      <c r="Y4296" s="2"/>
      <c r="Z4296" s="5"/>
    </row>
    <row r="4297" spans="7:26" ht="75.75" customHeight="1" x14ac:dyDescent="0.25">
      <c r="G4297" s="5"/>
      <c r="H4297" s="2"/>
      <c r="I4297" s="2"/>
      <c r="K4297" s="2"/>
      <c r="L4297" s="2"/>
      <c r="M4297" s="2"/>
      <c r="N4297" s="2"/>
      <c r="O4297" s="2"/>
      <c r="P4297" s="2"/>
      <c r="Q4297" s="2"/>
      <c r="R4297" s="2"/>
      <c r="S4297" s="2"/>
      <c r="T4297" s="19"/>
      <c r="U4297" s="2"/>
      <c r="V4297" s="2"/>
      <c r="W4297" s="2"/>
      <c r="X4297" s="19"/>
      <c r="Y4297" s="2"/>
      <c r="Z4297" s="5"/>
    </row>
    <row r="4298" spans="7:26" ht="75.75" customHeight="1" x14ac:dyDescent="0.25">
      <c r="G4298" s="5"/>
      <c r="H4298" s="2"/>
      <c r="I4298" s="2"/>
      <c r="K4298" s="2"/>
      <c r="L4298" s="2"/>
      <c r="M4298" s="2"/>
      <c r="N4298" s="2"/>
      <c r="O4298" s="2"/>
      <c r="P4298" s="2"/>
      <c r="Q4298" s="2"/>
      <c r="R4298" s="2"/>
      <c r="S4298" s="2"/>
      <c r="T4298" s="19"/>
      <c r="U4298" s="2"/>
      <c r="V4298" s="2"/>
      <c r="W4298" s="2"/>
      <c r="X4298" s="19"/>
      <c r="Y4298" s="2"/>
      <c r="Z4298" s="5"/>
    </row>
    <row r="4299" spans="7:26" ht="75.75" customHeight="1" x14ac:dyDescent="0.25">
      <c r="G4299" s="5"/>
      <c r="H4299" s="2"/>
      <c r="I4299" s="2"/>
      <c r="K4299" s="2"/>
      <c r="L4299" s="2"/>
      <c r="M4299" s="2"/>
      <c r="N4299" s="2"/>
      <c r="O4299" s="2"/>
      <c r="P4299" s="2"/>
      <c r="Q4299" s="2"/>
      <c r="R4299" s="2"/>
      <c r="S4299" s="2"/>
      <c r="T4299" s="19"/>
      <c r="U4299" s="2"/>
      <c r="V4299" s="2"/>
      <c r="W4299" s="2"/>
      <c r="X4299" s="19"/>
      <c r="Y4299" s="2"/>
      <c r="Z4299" s="5"/>
    </row>
    <row r="4300" spans="7:26" ht="75.75" customHeight="1" x14ac:dyDescent="0.25">
      <c r="G4300" s="5"/>
      <c r="H4300" s="2"/>
      <c r="I4300" s="2"/>
      <c r="K4300" s="2"/>
      <c r="L4300" s="2"/>
      <c r="M4300" s="2"/>
      <c r="N4300" s="2"/>
      <c r="O4300" s="2"/>
      <c r="P4300" s="2"/>
      <c r="Q4300" s="2"/>
      <c r="R4300" s="2"/>
      <c r="S4300" s="2"/>
      <c r="T4300" s="19"/>
      <c r="U4300" s="2"/>
      <c r="V4300" s="2"/>
      <c r="W4300" s="2"/>
      <c r="X4300" s="19"/>
      <c r="Y4300" s="2"/>
      <c r="Z4300" s="5"/>
    </row>
    <row r="4301" spans="7:26" ht="75.75" customHeight="1" x14ac:dyDescent="0.25">
      <c r="G4301" s="5"/>
      <c r="H4301" s="2"/>
      <c r="I4301" s="2"/>
      <c r="K4301" s="2"/>
      <c r="L4301" s="2"/>
      <c r="M4301" s="2"/>
      <c r="N4301" s="2"/>
      <c r="O4301" s="2"/>
      <c r="P4301" s="2"/>
      <c r="Q4301" s="2"/>
      <c r="R4301" s="2"/>
      <c r="S4301" s="2"/>
      <c r="T4301" s="19"/>
      <c r="U4301" s="2"/>
      <c r="V4301" s="2"/>
      <c r="W4301" s="2"/>
      <c r="X4301" s="19"/>
      <c r="Y4301" s="2"/>
      <c r="Z4301" s="5"/>
    </row>
    <row r="4302" spans="7:26" ht="75.75" customHeight="1" x14ac:dyDescent="0.25">
      <c r="G4302" s="5"/>
      <c r="H4302" s="2"/>
      <c r="I4302" s="2"/>
      <c r="K4302" s="2"/>
      <c r="L4302" s="2"/>
      <c r="M4302" s="2"/>
      <c r="N4302" s="2"/>
      <c r="O4302" s="2"/>
      <c r="P4302" s="2"/>
      <c r="Q4302" s="2"/>
      <c r="R4302" s="2"/>
      <c r="S4302" s="2"/>
      <c r="T4302" s="19"/>
      <c r="U4302" s="2"/>
      <c r="V4302" s="2"/>
      <c r="W4302" s="2"/>
      <c r="X4302" s="19"/>
      <c r="Y4302" s="2"/>
      <c r="Z4302" s="5"/>
    </row>
    <row r="4303" spans="7:26" ht="75.75" customHeight="1" x14ac:dyDescent="0.25">
      <c r="G4303" s="5"/>
      <c r="H4303" s="2"/>
      <c r="I4303" s="2"/>
      <c r="K4303" s="2"/>
      <c r="L4303" s="2"/>
      <c r="M4303" s="2"/>
      <c r="N4303" s="2"/>
      <c r="O4303" s="2"/>
      <c r="P4303" s="2"/>
      <c r="Q4303" s="2"/>
      <c r="R4303" s="2"/>
      <c r="S4303" s="2"/>
      <c r="T4303" s="19"/>
      <c r="U4303" s="2"/>
      <c r="V4303" s="2"/>
      <c r="W4303" s="2"/>
      <c r="X4303" s="19"/>
      <c r="Y4303" s="2"/>
      <c r="Z4303" s="5"/>
    </row>
    <row r="4304" spans="7:26" ht="75.75" customHeight="1" x14ac:dyDescent="0.25">
      <c r="G4304" s="5"/>
      <c r="H4304" s="2"/>
      <c r="I4304" s="2"/>
      <c r="K4304" s="2"/>
      <c r="L4304" s="2"/>
      <c r="M4304" s="2"/>
      <c r="N4304" s="2"/>
      <c r="O4304" s="2"/>
      <c r="P4304" s="2"/>
      <c r="Q4304" s="2"/>
      <c r="R4304" s="2"/>
      <c r="S4304" s="2"/>
      <c r="T4304" s="19"/>
      <c r="U4304" s="2"/>
      <c r="V4304" s="2"/>
      <c r="W4304" s="2"/>
      <c r="X4304" s="19"/>
      <c r="Y4304" s="2"/>
      <c r="Z4304" s="5"/>
    </row>
    <row r="4305" spans="7:26" ht="75.75" customHeight="1" x14ac:dyDescent="0.25">
      <c r="G4305" s="5"/>
      <c r="H4305" s="2"/>
      <c r="I4305" s="2"/>
      <c r="K4305" s="2"/>
      <c r="L4305" s="2"/>
      <c r="M4305" s="2"/>
      <c r="N4305" s="2"/>
      <c r="O4305" s="2"/>
      <c r="P4305" s="2"/>
      <c r="Q4305" s="2"/>
      <c r="R4305" s="2"/>
      <c r="S4305" s="2"/>
      <c r="T4305" s="19"/>
      <c r="U4305" s="2"/>
      <c r="V4305" s="2"/>
      <c r="W4305" s="2"/>
      <c r="X4305" s="19"/>
      <c r="Y4305" s="2"/>
      <c r="Z4305" s="5"/>
    </row>
    <row r="4306" spans="7:26" ht="75.75" customHeight="1" x14ac:dyDescent="0.25">
      <c r="G4306" s="5"/>
      <c r="H4306" s="2"/>
      <c r="I4306" s="2"/>
      <c r="K4306" s="2"/>
      <c r="L4306" s="2"/>
      <c r="M4306" s="2"/>
      <c r="N4306" s="2"/>
      <c r="O4306" s="2"/>
      <c r="P4306" s="2"/>
      <c r="Q4306" s="2"/>
      <c r="R4306" s="2"/>
      <c r="S4306" s="2"/>
      <c r="T4306" s="19"/>
      <c r="U4306" s="2"/>
      <c r="V4306" s="2"/>
      <c r="W4306" s="2"/>
      <c r="X4306" s="19"/>
      <c r="Y4306" s="2"/>
      <c r="Z4306" s="5"/>
    </row>
    <row r="4307" spans="7:26" ht="75.75" customHeight="1" x14ac:dyDescent="0.25">
      <c r="G4307" s="5"/>
      <c r="H4307" s="2"/>
      <c r="I4307" s="2"/>
      <c r="K4307" s="2"/>
      <c r="L4307" s="2"/>
      <c r="M4307" s="2"/>
      <c r="N4307" s="2"/>
      <c r="O4307" s="2"/>
      <c r="P4307" s="2"/>
      <c r="Q4307" s="2"/>
      <c r="R4307" s="2"/>
      <c r="S4307" s="2"/>
      <c r="T4307" s="19"/>
      <c r="U4307" s="2"/>
      <c r="V4307" s="2"/>
      <c r="W4307" s="2"/>
      <c r="X4307" s="19"/>
      <c r="Y4307" s="2"/>
      <c r="Z4307" s="5"/>
    </row>
    <row r="4308" spans="7:26" ht="75.75" customHeight="1" x14ac:dyDescent="0.25">
      <c r="G4308" s="5"/>
      <c r="H4308" s="2"/>
      <c r="I4308" s="2"/>
      <c r="K4308" s="2"/>
      <c r="L4308" s="2"/>
      <c r="M4308" s="2"/>
      <c r="N4308" s="2"/>
      <c r="O4308" s="2"/>
      <c r="P4308" s="2"/>
      <c r="Q4308" s="2"/>
      <c r="R4308" s="2"/>
      <c r="S4308" s="2"/>
      <c r="T4308" s="19"/>
      <c r="U4308" s="2"/>
      <c r="V4308" s="2"/>
      <c r="W4308" s="2"/>
      <c r="X4308" s="19"/>
      <c r="Y4308" s="2"/>
      <c r="Z4308" s="5"/>
    </row>
    <row r="4309" spans="7:26" ht="75.75" customHeight="1" x14ac:dyDescent="0.25">
      <c r="G4309" s="5"/>
      <c r="H4309" s="2"/>
      <c r="I4309" s="2"/>
      <c r="K4309" s="2"/>
      <c r="L4309" s="2"/>
      <c r="M4309" s="2"/>
      <c r="N4309" s="2"/>
      <c r="O4309" s="2"/>
      <c r="P4309" s="2"/>
      <c r="Q4309" s="2"/>
      <c r="R4309" s="2"/>
      <c r="S4309" s="2"/>
      <c r="T4309" s="19"/>
      <c r="U4309" s="2"/>
      <c r="V4309" s="2"/>
      <c r="W4309" s="2"/>
      <c r="X4309" s="19"/>
      <c r="Y4309" s="2"/>
      <c r="Z4309" s="5"/>
    </row>
    <row r="4310" spans="7:26" ht="75.75" customHeight="1" x14ac:dyDescent="0.25">
      <c r="G4310" s="5"/>
      <c r="H4310" s="2"/>
      <c r="I4310" s="2"/>
      <c r="K4310" s="2"/>
      <c r="L4310" s="2"/>
      <c r="M4310" s="2"/>
      <c r="N4310" s="2"/>
      <c r="O4310" s="2"/>
      <c r="P4310" s="2"/>
      <c r="Q4310" s="2"/>
      <c r="R4310" s="2"/>
      <c r="S4310" s="2"/>
      <c r="T4310" s="19"/>
      <c r="U4310" s="2"/>
      <c r="V4310" s="2"/>
      <c r="W4310" s="2"/>
      <c r="X4310" s="19"/>
      <c r="Y4310" s="2"/>
      <c r="Z4310" s="5"/>
    </row>
    <row r="4311" spans="7:26" ht="75.75" customHeight="1" x14ac:dyDescent="0.25">
      <c r="G4311" s="5"/>
      <c r="H4311" s="2"/>
      <c r="I4311" s="2"/>
      <c r="K4311" s="2"/>
      <c r="L4311" s="2"/>
      <c r="M4311" s="2"/>
      <c r="N4311" s="2"/>
      <c r="O4311" s="2"/>
      <c r="P4311" s="2"/>
      <c r="Q4311" s="2"/>
      <c r="R4311" s="2"/>
      <c r="S4311" s="2"/>
      <c r="T4311" s="19"/>
      <c r="U4311" s="2"/>
      <c r="V4311" s="2"/>
      <c r="W4311" s="2"/>
      <c r="X4311" s="19"/>
      <c r="Y4311" s="2"/>
      <c r="Z4311" s="5"/>
    </row>
    <row r="4312" spans="7:26" ht="75.75" customHeight="1" x14ac:dyDescent="0.25">
      <c r="G4312" s="5"/>
      <c r="H4312" s="2"/>
      <c r="I4312" s="2"/>
      <c r="K4312" s="2"/>
      <c r="L4312" s="2"/>
      <c r="M4312" s="2"/>
      <c r="N4312" s="2"/>
      <c r="O4312" s="2"/>
      <c r="P4312" s="2"/>
      <c r="Q4312" s="2"/>
      <c r="R4312" s="2"/>
      <c r="S4312" s="2"/>
      <c r="T4312" s="19"/>
      <c r="U4312" s="2"/>
      <c r="V4312" s="2"/>
      <c r="W4312" s="2"/>
      <c r="X4312" s="19"/>
      <c r="Y4312" s="2"/>
      <c r="Z4312" s="5"/>
    </row>
    <row r="4313" spans="7:26" ht="75.75" customHeight="1" x14ac:dyDescent="0.25">
      <c r="G4313" s="5"/>
      <c r="H4313" s="2"/>
      <c r="I4313" s="2"/>
      <c r="K4313" s="2"/>
      <c r="L4313" s="2"/>
      <c r="M4313" s="2"/>
      <c r="N4313" s="2"/>
      <c r="O4313" s="2"/>
      <c r="P4313" s="2"/>
      <c r="Q4313" s="2"/>
      <c r="R4313" s="2"/>
      <c r="S4313" s="2"/>
      <c r="T4313" s="19"/>
      <c r="U4313" s="2"/>
      <c r="V4313" s="2"/>
      <c r="W4313" s="2"/>
      <c r="X4313" s="19"/>
      <c r="Y4313" s="2"/>
      <c r="Z4313" s="5"/>
    </row>
    <row r="4314" spans="7:26" ht="75.75" customHeight="1" x14ac:dyDescent="0.25">
      <c r="G4314" s="5"/>
      <c r="H4314" s="2"/>
      <c r="I4314" s="2"/>
      <c r="K4314" s="2"/>
      <c r="L4314" s="2"/>
      <c r="M4314" s="2"/>
      <c r="N4314" s="2"/>
      <c r="O4314" s="2"/>
      <c r="P4314" s="2"/>
      <c r="Q4314" s="2"/>
      <c r="R4314" s="2"/>
      <c r="S4314" s="2"/>
      <c r="T4314" s="19"/>
      <c r="U4314" s="2"/>
      <c r="V4314" s="2"/>
      <c r="W4314" s="2"/>
      <c r="X4314" s="19"/>
      <c r="Y4314" s="2"/>
      <c r="Z4314" s="5"/>
    </row>
    <row r="4315" spans="7:26" ht="75.75" customHeight="1" x14ac:dyDescent="0.25">
      <c r="G4315" s="5"/>
      <c r="H4315" s="2"/>
      <c r="I4315" s="2"/>
      <c r="K4315" s="2"/>
      <c r="L4315" s="2"/>
      <c r="M4315" s="2"/>
      <c r="N4315" s="2"/>
      <c r="O4315" s="2"/>
      <c r="P4315" s="2"/>
      <c r="Q4315" s="2"/>
      <c r="R4315" s="2"/>
      <c r="S4315" s="2"/>
      <c r="T4315" s="19"/>
      <c r="U4315" s="2"/>
      <c r="V4315" s="2"/>
      <c r="W4315" s="2"/>
      <c r="X4315" s="19"/>
      <c r="Y4315" s="2"/>
      <c r="Z4315" s="5"/>
    </row>
    <row r="4316" spans="7:26" ht="75.75" customHeight="1" x14ac:dyDescent="0.25">
      <c r="G4316" s="5"/>
      <c r="H4316" s="2"/>
      <c r="I4316" s="2"/>
      <c r="K4316" s="2"/>
      <c r="L4316" s="2"/>
      <c r="M4316" s="2"/>
      <c r="N4316" s="2"/>
      <c r="O4316" s="2"/>
      <c r="P4316" s="2"/>
      <c r="Q4316" s="2"/>
      <c r="R4316" s="2"/>
      <c r="S4316" s="2"/>
      <c r="T4316" s="19"/>
      <c r="U4316" s="2"/>
      <c r="V4316" s="2"/>
      <c r="W4316" s="2"/>
      <c r="X4316" s="19"/>
      <c r="Y4316" s="2"/>
      <c r="Z4316" s="5"/>
    </row>
    <row r="4317" spans="7:26" ht="75.75" customHeight="1" x14ac:dyDescent="0.25">
      <c r="G4317" s="5"/>
      <c r="H4317" s="2"/>
      <c r="I4317" s="2"/>
      <c r="K4317" s="2"/>
      <c r="L4317" s="2"/>
      <c r="M4317" s="2"/>
      <c r="N4317" s="2"/>
      <c r="O4317" s="2"/>
      <c r="P4317" s="2"/>
      <c r="Q4317" s="2"/>
      <c r="R4317" s="2"/>
      <c r="S4317" s="2"/>
      <c r="T4317" s="19"/>
      <c r="U4317" s="2"/>
      <c r="V4317" s="2"/>
      <c r="W4317" s="2"/>
      <c r="X4317" s="19"/>
      <c r="Y4317" s="2"/>
      <c r="Z4317" s="5"/>
    </row>
    <row r="4318" spans="7:26" ht="75.75" customHeight="1" x14ac:dyDescent="0.25">
      <c r="G4318" s="5"/>
      <c r="H4318" s="2"/>
      <c r="I4318" s="2"/>
      <c r="K4318" s="2"/>
      <c r="L4318" s="2"/>
      <c r="M4318" s="2"/>
      <c r="N4318" s="2"/>
      <c r="O4318" s="2"/>
      <c r="P4318" s="2"/>
      <c r="Q4318" s="2"/>
      <c r="R4318" s="2"/>
      <c r="S4318" s="2"/>
      <c r="T4318" s="19"/>
      <c r="U4318" s="2"/>
      <c r="V4318" s="2"/>
      <c r="W4318" s="2"/>
      <c r="X4318" s="19"/>
      <c r="Y4318" s="2"/>
      <c r="Z4318" s="5"/>
    </row>
    <row r="4319" spans="7:26" ht="75.75" customHeight="1" x14ac:dyDescent="0.25">
      <c r="G4319" s="5"/>
      <c r="H4319" s="2"/>
      <c r="I4319" s="2"/>
      <c r="K4319" s="2"/>
      <c r="L4319" s="2"/>
      <c r="M4319" s="2"/>
      <c r="N4319" s="2"/>
      <c r="O4319" s="2"/>
      <c r="P4319" s="2"/>
      <c r="Q4319" s="2"/>
      <c r="R4319" s="2"/>
      <c r="S4319" s="2"/>
      <c r="T4319" s="19"/>
      <c r="U4319" s="2"/>
      <c r="V4319" s="2"/>
      <c r="W4319" s="2"/>
      <c r="X4319" s="19"/>
      <c r="Y4319" s="2"/>
      <c r="Z4319" s="5"/>
    </row>
    <row r="4320" spans="7:26" ht="75.75" customHeight="1" x14ac:dyDescent="0.25">
      <c r="G4320" s="5"/>
      <c r="H4320" s="2"/>
      <c r="I4320" s="2"/>
      <c r="K4320" s="2"/>
      <c r="L4320" s="2"/>
      <c r="M4320" s="2"/>
      <c r="N4320" s="2"/>
      <c r="O4320" s="2"/>
      <c r="P4320" s="2"/>
      <c r="Q4320" s="2"/>
      <c r="R4320" s="2"/>
      <c r="S4320" s="2"/>
      <c r="T4320" s="19"/>
      <c r="U4320" s="2"/>
      <c r="V4320" s="2"/>
      <c r="W4320" s="2"/>
      <c r="X4320" s="19"/>
      <c r="Y4320" s="2"/>
      <c r="Z4320" s="5"/>
    </row>
    <row r="4321" spans="7:26" ht="75.75" customHeight="1" x14ac:dyDescent="0.25">
      <c r="G4321" s="5"/>
      <c r="H4321" s="2"/>
      <c r="I4321" s="2"/>
      <c r="K4321" s="2"/>
      <c r="L4321" s="2"/>
      <c r="M4321" s="2"/>
      <c r="N4321" s="2"/>
      <c r="O4321" s="2"/>
      <c r="P4321" s="2"/>
      <c r="Q4321" s="2"/>
      <c r="R4321" s="2"/>
      <c r="S4321" s="2"/>
      <c r="T4321" s="19"/>
      <c r="U4321" s="2"/>
      <c r="V4321" s="2"/>
      <c r="W4321" s="2"/>
      <c r="X4321" s="19"/>
      <c r="Y4321" s="2"/>
      <c r="Z4321" s="5"/>
    </row>
    <row r="4322" spans="7:26" ht="75.75" customHeight="1" x14ac:dyDescent="0.25">
      <c r="G4322" s="5"/>
      <c r="H4322" s="2"/>
      <c r="I4322" s="2"/>
      <c r="K4322" s="2"/>
      <c r="L4322" s="2"/>
      <c r="M4322" s="2"/>
      <c r="N4322" s="2"/>
      <c r="O4322" s="2"/>
      <c r="P4322" s="2"/>
      <c r="Q4322" s="2"/>
      <c r="R4322" s="2"/>
      <c r="S4322" s="2"/>
      <c r="T4322" s="19"/>
      <c r="U4322" s="2"/>
      <c r="V4322" s="2"/>
      <c r="W4322" s="2"/>
      <c r="X4322" s="19"/>
      <c r="Y4322" s="2"/>
      <c r="Z4322" s="5"/>
    </row>
    <row r="4323" spans="7:26" ht="75.75" customHeight="1" x14ac:dyDescent="0.25">
      <c r="G4323" s="5"/>
      <c r="H4323" s="2"/>
      <c r="I4323" s="2"/>
      <c r="K4323" s="2"/>
      <c r="L4323" s="2"/>
      <c r="M4323" s="2"/>
      <c r="N4323" s="2"/>
      <c r="O4323" s="2"/>
      <c r="P4323" s="2"/>
      <c r="Q4323" s="2"/>
      <c r="R4323" s="2"/>
      <c r="S4323" s="2"/>
      <c r="T4323" s="19"/>
      <c r="U4323" s="2"/>
      <c r="V4323" s="2"/>
      <c r="W4323" s="2"/>
      <c r="X4323" s="19"/>
      <c r="Y4323" s="2"/>
      <c r="Z4323" s="5"/>
    </row>
    <row r="4324" spans="7:26" ht="75.75" customHeight="1" x14ac:dyDescent="0.25">
      <c r="G4324" s="5"/>
      <c r="H4324" s="2"/>
      <c r="I4324" s="2"/>
      <c r="K4324" s="2"/>
      <c r="L4324" s="2"/>
      <c r="M4324" s="2"/>
      <c r="N4324" s="2"/>
      <c r="O4324" s="2"/>
      <c r="P4324" s="2"/>
      <c r="Q4324" s="2"/>
      <c r="R4324" s="2"/>
      <c r="S4324" s="2"/>
      <c r="T4324" s="19"/>
      <c r="U4324" s="2"/>
      <c r="V4324" s="2"/>
      <c r="W4324" s="2"/>
      <c r="X4324" s="19"/>
      <c r="Y4324" s="2"/>
      <c r="Z4324" s="5"/>
    </row>
    <row r="4325" spans="7:26" ht="75.75" customHeight="1" x14ac:dyDescent="0.25">
      <c r="G4325" s="5"/>
      <c r="H4325" s="2"/>
      <c r="I4325" s="2"/>
      <c r="K4325" s="2"/>
      <c r="L4325" s="2"/>
      <c r="M4325" s="2"/>
      <c r="N4325" s="2"/>
      <c r="O4325" s="2"/>
      <c r="P4325" s="2"/>
      <c r="Q4325" s="2"/>
      <c r="R4325" s="2"/>
      <c r="S4325" s="2"/>
      <c r="T4325" s="19"/>
      <c r="U4325" s="2"/>
      <c r="V4325" s="2"/>
      <c r="W4325" s="2"/>
      <c r="X4325" s="19"/>
      <c r="Y4325" s="2"/>
      <c r="Z4325" s="5"/>
    </row>
    <row r="4326" spans="7:26" ht="75.75" customHeight="1" x14ac:dyDescent="0.25">
      <c r="G4326" s="5"/>
      <c r="H4326" s="2"/>
      <c r="I4326" s="2"/>
      <c r="K4326" s="2"/>
      <c r="L4326" s="2"/>
      <c r="M4326" s="2"/>
      <c r="N4326" s="2"/>
      <c r="O4326" s="2"/>
      <c r="P4326" s="2"/>
      <c r="Q4326" s="2"/>
      <c r="R4326" s="2"/>
      <c r="S4326" s="2"/>
      <c r="T4326" s="19"/>
      <c r="U4326" s="2"/>
      <c r="V4326" s="2"/>
      <c r="W4326" s="2"/>
      <c r="X4326" s="19"/>
      <c r="Y4326" s="2"/>
      <c r="Z4326" s="5"/>
    </row>
    <row r="4327" spans="7:26" ht="75.75" customHeight="1" x14ac:dyDescent="0.25">
      <c r="G4327" s="5"/>
      <c r="H4327" s="2"/>
      <c r="I4327" s="2"/>
      <c r="K4327" s="2"/>
      <c r="L4327" s="2"/>
      <c r="M4327" s="2"/>
      <c r="N4327" s="2"/>
      <c r="O4327" s="2"/>
      <c r="P4327" s="2"/>
      <c r="Q4327" s="2"/>
      <c r="R4327" s="2"/>
      <c r="S4327" s="2"/>
      <c r="T4327" s="19"/>
      <c r="U4327" s="2"/>
      <c r="V4327" s="2"/>
      <c r="W4327" s="2"/>
      <c r="X4327" s="19"/>
      <c r="Y4327" s="2"/>
      <c r="Z4327" s="5"/>
    </row>
    <row r="4328" spans="7:26" ht="75.75" customHeight="1" x14ac:dyDescent="0.25">
      <c r="G4328" s="5"/>
      <c r="H4328" s="2"/>
      <c r="I4328" s="2"/>
      <c r="K4328" s="2"/>
      <c r="L4328" s="2"/>
      <c r="M4328" s="2"/>
      <c r="N4328" s="2"/>
      <c r="O4328" s="2"/>
      <c r="P4328" s="2"/>
      <c r="Q4328" s="2"/>
      <c r="R4328" s="2"/>
      <c r="S4328" s="2"/>
      <c r="T4328" s="19"/>
      <c r="U4328" s="2"/>
      <c r="V4328" s="2"/>
      <c r="W4328" s="2"/>
      <c r="X4328" s="19"/>
      <c r="Y4328" s="2"/>
      <c r="Z4328" s="5"/>
    </row>
    <row r="4329" spans="7:26" ht="75.75" customHeight="1" x14ac:dyDescent="0.25">
      <c r="G4329" s="5"/>
      <c r="H4329" s="2"/>
      <c r="I4329" s="2"/>
      <c r="K4329" s="2"/>
      <c r="L4329" s="2"/>
      <c r="M4329" s="2"/>
      <c r="N4329" s="2"/>
      <c r="O4329" s="2"/>
      <c r="P4329" s="2"/>
      <c r="Q4329" s="2"/>
      <c r="R4329" s="2"/>
      <c r="S4329" s="2"/>
      <c r="T4329" s="19"/>
      <c r="U4329" s="2"/>
      <c r="V4329" s="2"/>
      <c r="W4329" s="2"/>
      <c r="X4329" s="19"/>
      <c r="Y4329" s="2"/>
      <c r="Z4329" s="5"/>
    </row>
    <row r="4330" spans="7:26" ht="75.75" customHeight="1" x14ac:dyDescent="0.25">
      <c r="G4330" s="5"/>
      <c r="H4330" s="2"/>
      <c r="I4330" s="2"/>
      <c r="K4330" s="2"/>
      <c r="L4330" s="2"/>
      <c r="M4330" s="2"/>
      <c r="N4330" s="2"/>
      <c r="O4330" s="2"/>
      <c r="P4330" s="2"/>
      <c r="Q4330" s="2"/>
      <c r="R4330" s="2"/>
      <c r="S4330" s="2"/>
      <c r="T4330" s="19"/>
      <c r="U4330" s="2"/>
      <c r="V4330" s="2"/>
      <c r="W4330" s="2"/>
      <c r="X4330" s="19"/>
      <c r="Y4330" s="2"/>
      <c r="Z4330" s="5"/>
    </row>
    <row r="4331" spans="7:26" ht="75.75" customHeight="1" x14ac:dyDescent="0.25">
      <c r="G4331" s="5"/>
      <c r="H4331" s="2"/>
      <c r="I4331" s="2"/>
      <c r="K4331" s="2"/>
      <c r="L4331" s="2"/>
      <c r="M4331" s="2"/>
      <c r="N4331" s="2"/>
      <c r="O4331" s="2"/>
      <c r="P4331" s="2"/>
      <c r="Q4331" s="2"/>
      <c r="R4331" s="2"/>
      <c r="S4331" s="2"/>
      <c r="T4331" s="19"/>
      <c r="U4331" s="2"/>
      <c r="V4331" s="2"/>
      <c r="W4331" s="2"/>
      <c r="X4331" s="19"/>
      <c r="Y4331" s="2"/>
      <c r="Z4331" s="5"/>
    </row>
    <row r="4332" spans="7:26" ht="75.75" customHeight="1" x14ac:dyDescent="0.25">
      <c r="G4332" s="5"/>
      <c r="H4332" s="2"/>
      <c r="I4332" s="2"/>
      <c r="K4332" s="2"/>
      <c r="L4332" s="2"/>
      <c r="M4332" s="2"/>
      <c r="N4332" s="2"/>
      <c r="O4332" s="2"/>
      <c r="P4332" s="2"/>
      <c r="Q4332" s="2"/>
      <c r="R4332" s="2"/>
      <c r="S4332" s="2"/>
      <c r="T4332" s="19"/>
      <c r="U4332" s="2"/>
      <c r="V4332" s="2"/>
      <c r="W4332" s="2"/>
      <c r="X4332" s="19"/>
      <c r="Y4332" s="2"/>
      <c r="Z4332" s="5"/>
    </row>
    <row r="4333" spans="7:26" ht="75.75" customHeight="1" x14ac:dyDescent="0.25">
      <c r="G4333" s="5"/>
      <c r="H4333" s="2"/>
      <c r="I4333" s="2"/>
      <c r="K4333" s="2"/>
      <c r="L4333" s="2"/>
      <c r="M4333" s="2"/>
      <c r="N4333" s="2"/>
      <c r="O4333" s="2"/>
      <c r="P4333" s="2"/>
      <c r="Q4333" s="2"/>
      <c r="R4333" s="2"/>
      <c r="S4333" s="2"/>
      <c r="T4333" s="19"/>
      <c r="U4333" s="2"/>
      <c r="V4333" s="2"/>
      <c r="W4333" s="2"/>
      <c r="X4333" s="19"/>
      <c r="Y4333" s="2"/>
      <c r="Z4333" s="5"/>
    </row>
    <row r="4334" spans="7:26" ht="75.75" customHeight="1" x14ac:dyDescent="0.25">
      <c r="G4334" s="5"/>
      <c r="H4334" s="2"/>
      <c r="I4334" s="2"/>
      <c r="K4334" s="2"/>
      <c r="L4334" s="2"/>
      <c r="M4334" s="2"/>
      <c r="N4334" s="2"/>
      <c r="O4334" s="2"/>
      <c r="P4334" s="2"/>
      <c r="Q4334" s="2"/>
      <c r="R4334" s="2"/>
      <c r="S4334" s="2"/>
      <c r="T4334" s="19"/>
      <c r="U4334" s="2"/>
      <c r="V4334" s="2"/>
      <c r="W4334" s="2"/>
      <c r="X4334" s="19"/>
      <c r="Y4334" s="2"/>
      <c r="Z4334" s="5"/>
    </row>
    <row r="4335" spans="7:26" ht="75.75" customHeight="1" x14ac:dyDescent="0.25">
      <c r="G4335" s="5"/>
      <c r="H4335" s="2"/>
      <c r="I4335" s="2"/>
      <c r="K4335" s="2"/>
      <c r="L4335" s="2"/>
      <c r="M4335" s="2"/>
      <c r="N4335" s="2"/>
      <c r="O4335" s="2"/>
      <c r="P4335" s="2"/>
      <c r="Q4335" s="2"/>
      <c r="R4335" s="2"/>
      <c r="S4335" s="2"/>
      <c r="T4335" s="19"/>
      <c r="U4335" s="2"/>
      <c r="V4335" s="2"/>
      <c r="W4335" s="2"/>
      <c r="X4335" s="19"/>
      <c r="Y4335" s="2"/>
      <c r="Z4335" s="5"/>
    </row>
    <row r="4336" spans="7:26" ht="75.75" customHeight="1" x14ac:dyDescent="0.25">
      <c r="G4336" s="5"/>
      <c r="H4336" s="2"/>
      <c r="I4336" s="2"/>
      <c r="K4336" s="2"/>
      <c r="L4336" s="2"/>
      <c r="M4336" s="2"/>
      <c r="N4336" s="2"/>
      <c r="O4336" s="2"/>
      <c r="P4336" s="2"/>
      <c r="Q4336" s="2"/>
      <c r="R4336" s="2"/>
      <c r="S4336" s="2"/>
      <c r="T4336" s="19"/>
      <c r="U4336" s="2"/>
      <c r="V4336" s="2"/>
      <c r="W4336" s="2"/>
      <c r="X4336" s="19"/>
      <c r="Y4336" s="2"/>
      <c r="Z4336" s="5"/>
    </row>
    <row r="4337" spans="7:26" ht="75.75" customHeight="1" x14ac:dyDescent="0.25">
      <c r="G4337" s="5"/>
      <c r="H4337" s="2"/>
      <c r="I4337" s="2"/>
      <c r="K4337" s="2"/>
      <c r="L4337" s="2"/>
      <c r="M4337" s="2"/>
      <c r="N4337" s="2"/>
      <c r="O4337" s="2"/>
      <c r="P4337" s="2"/>
      <c r="Q4337" s="2"/>
      <c r="R4337" s="2"/>
      <c r="S4337" s="2"/>
      <c r="T4337" s="19"/>
      <c r="U4337" s="2"/>
      <c r="V4337" s="2"/>
      <c r="W4337" s="2"/>
      <c r="X4337" s="19"/>
      <c r="Y4337" s="2"/>
      <c r="Z4337" s="5"/>
    </row>
    <row r="4338" spans="7:26" ht="75.75" customHeight="1" x14ac:dyDescent="0.25">
      <c r="G4338" s="5"/>
      <c r="H4338" s="2"/>
      <c r="I4338" s="2"/>
      <c r="K4338" s="2"/>
      <c r="L4338" s="2"/>
      <c r="M4338" s="2"/>
      <c r="N4338" s="2"/>
      <c r="O4338" s="2"/>
      <c r="P4338" s="2"/>
      <c r="Q4338" s="2"/>
      <c r="R4338" s="2"/>
      <c r="S4338" s="2"/>
      <c r="T4338" s="19"/>
      <c r="U4338" s="2"/>
      <c r="V4338" s="2"/>
      <c r="W4338" s="2"/>
      <c r="X4338" s="19"/>
      <c r="Y4338" s="2"/>
      <c r="Z4338" s="5"/>
    </row>
    <row r="4339" spans="7:26" ht="75.75" customHeight="1" x14ac:dyDescent="0.25">
      <c r="G4339" s="5"/>
      <c r="H4339" s="2"/>
      <c r="I4339" s="2"/>
      <c r="K4339" s="2"/>
      <c r="L4339" s="2"/>
      <c r="M4339" s="2"/>
      <c r="N4339" s="2"/>
      <c r="O4339" s="2"/>
      <c r="P4339" s="2"/>
      <c r="Q4339" s="2"/>
      <c r="R4339" s="2"/>
      <c r="S4339" s="2"/>
      <c r="T4339" s="19"/>
      <c r="U4339" s="2"/>
      <c r="V4339" s="2"/>
      <c r="W4339" s="2"/>
      <c r="X4339" s="19"/>
      <c r="Y4339" s="2"/>
      <c r="Z4339" s="5"/>
    </row>
    <row r="4340" spans="7:26" ht="75.75" customHeight="1" x14ac:dyDescent="0.25">
      <c r="G4340" s="5"/>
      <c r="H4340" s="2"/>
      <c r="I4340" s="2"/>
      <c r="K4340" s="2"/>
      <c r="L4340" s="2"/>
      <c r="M4340" s="2"/>
      <c r="N4340" s="2"/>
      <c r="O4340" s="2"/>
      <c r="P4340" s="2"/>
      <c r="Q4340" s="2"/>
      <c r="R4340" s="2"/>
      <c r="S4340" s="2"/>
      <c r="T4340" s="19"/>
      <c r="U4340" s="2"/>
      <c r="V4340" s="2"/>
      <c r="W4340" s="2"/>
      <c r="X4340" s="19"/>
      <c r="Y4340" s="2"/>
      <c r="Z4340" s="5"/>
    </row>
    <row r="4341" spans="7:26" ht="75.75" customHeight="1" x14ac:dyDescent="0.25">
      <c r="G4341" s="5"/>
      <c r="H4341" s="2"/>
      <c r="I4341" s="2"/>
      <c r="K4341" s="2"/>
      <c r="L4341" s="2"/>
      <c r="M4341" s="2"/>
      <c r="N4341" s="2"/>
      <c r="O4341" s="2"/>
      <c r="P4341" s="2"/>
      <c r="Q4341" s="2"/>
      <c r="R4341" s="2"/>
      <c r="S4341" s="2"/>
      <c r="T4341" s="19"/>
      <c r="U4341" s="2"/>
      <c r="V4341" s="2"/>
      <c r="W4341" s="2"/>
      <c r="X4341" s="19"/>
      <c r="Y4341" s="2"/>
      <c r="Z4341" s="5"/>
    </row>
    <row r="4342" spans="7:26" ht="75.75" customHeight="1" x14ac:dyDescent="0.25">
      <c r="G4342" s="5"/>
      <c r="H4342" s="2"/>
      <c r="I4342" s="2"/>
      <c r="K4342" s="2"/>
      <c r="L4342" s="2"/>
      <c r="M4342" s="2"/>
      <c r="N4342" s="2"/>
      <c r="O4342" s="2"/>
      <c r="P4342" s="2"/>
      <c r="Q4342" s="2"/>
      <c r="R4342" s="2"/>
      <c r="S4342" s="2"/>
      <c r="T4342" s="19"/>
      <c r="U4342" s="2"/>
      <c r="V4342" s="2"/>
      <c r="W4342" s="2"/>
      <c r="X4342" s="19"/>
      <c r="Y4342" s="2"/>
      <c r="Z4342" s="5"/>
    </row>
    <row r="4343" spans="7:26" ht="75.75" customHeight="1" x14ac:dyDescent="0.25">
      <c r="G4343" s="5"/>
      <c r="H4343" s="2"/>
      <c r="I4343" s="2"/>
      <c r="K4343" s="2"/>
      <c r="L4343" s="2"/>
      <c r="M4343" s="2"/>
      <c r="N4343" s="2"/>
      <c r="O4343" s="2"/>
      <c r="P4343" s="2"/>
      <c r="Q4343" s="2"/>
      <c r="R4343" s="2"/>
      <c r="S4343" s="2"/>
      <c r="T4343" s="19"/>
      <c r="U4343" s="2"/>
      <c r="V4343" s="2"/>
      <c r="W4343" s="2"/>
      <c r="X4343" s="19"/>
      <c r="Y4343" s="2"/>
      <c r="Z4343" s="5"/>
    </row>
    <row r="4344" spans="7:26" ht="75.75" customHeight="1" x14ac:dyDescent="0.25">
      <c r="G4344" s="5"/>
      <c r="H4344" s="2"/>
      <c r="I4344" s="2"/>
      <c r="K4344" s="2"/>
      <c r="L4344" s="2"/>
      <c r="M4344" s="2"/>
      <c r="N4344" s="2"/>
      <c r="O4344" s="2"/>
      <c r="P4344" s="2"/>
      <c r="Q4344" s="2"/>
      <c r="R4344" s="2"/>
      <c r="S4344" s="2"/>
      <c r="T4344" s="19"/>
      <c r="U4344" s="2"/>
      <c r="V4344" s="2"/>
      <c r="W4344" s="2"/>
      <c r="X4344" s="19"/>
      <c r="Y4344" s="2"/>
      <c r="Z4344" s="5"/>
    </row>
    <row r="4345" spans="7:26" ht="75.75" customHeight="1" x14ac:dyDescent="0.25">
      <c r="G4345" s="5"/>
      <c r="H4345" s="2"/>
      <c r="I4345" s="2"/>
      <c r="K4345" s="2"/>
      <c r="L4345" s="2"/>
      <c r="M4345" s="2"/>
      <c r="N4345" s="2"/>
      <c r="O4345" s="2"/>
      <c r="P4345" s="2"/>
      <c r="Q4345" s="2"/>
      <c r="R4345" s="2"/>
      <c r="S4345" s="2"/>
      <c r="T4345" s="19"/>
      <c r="U4345" s="2"/>
      <c r="V4345" s="2"/>
      <c r="W4345" s="2"/>
      <c r="X4345" s="19"/>
      <c r="Y4345" s="2"/>
      <c r="Z4345" s="5"/>
    </row>
    <row r="4346" spans="7:26" ht="75.75" customHeight="1" x14ac:dyDescent="0.25">
      <c r="G4346" s="5"/>
      <c r="H4346" s="2"/>
      <c r="I4346" s="2"/>
      <c r="K4346" s="2"/>
      <c r="L4346" s="2"/>
      <c r="M4346" s="2"/>
      <c r="N4346" s="2"/>
      <c r="O4346" s="2"/>
      <c r="P4346" s="2"/>
      <c r="Q4346" s="2"/>
      <c r="R4346" s="2"/>
      <c r="S4346" s="2"/>
      <c r="T4346" s="19"/>
      <c r="U4346" s="2"/>
      <c r="V4346" s="2"/>
      <c r="W4346" s="2"/>
      <c r="X4346" s="19"/>
      <c r="Y4346" s="2"/>
      <c r="Z4346" s="5"/>
    </row>
    <row r="4347" spans="7:26" ht="75.75" customHeight="1" x14ac:dyDescent="0.25">
      <c r="G4347" s="5"/>
      <c r="H4347" s="2"/>
      <c r="I4347" s="2"/>
      <c r="K4347" s="2"/>
      <c r="L4347" s="2"/>
      <c r="M4347" s="2"/>
      <c r="N4347" s="2"/>
      <c r="O4347" s="2"/>
      <c r="P4347" s="2"/>
      <c r="Q4347" s="2"/>
      <c r="R4347" s="2"/>
      <c r="S4347" s="2"/>
      <c r="T4347" s="19"/>
      <c r="U4347" s="2"/>
      <c r="V4347" s="2"/>
      <c r="W4347" s="2"/>
      <c r="X4347" s="19"/>
      <c r="Y4347" s="2"/>
      <c r="Z4347" s="5"/>
    </row>
    <row r="4348" spans="7:26" ht="75.75" customHeight="1" x14ac:dyDescent="0.25">
      <c r="G4348" s="5"/>
      <c r="H4348" s="2"/>
      <c r="I4348" s="2"/>
      <c r="K4348" s="2"/>
      <c r="L4348" s="2"/>
      <c r="M4348" s="2"/>
      <c r="N4348" s="2"/>
      <c r="O4348" s="2"/>
      <c r="P4348" s="2"/>
      <c r="Q4348" s="2"/>
      <c r="R4348" s="2"/>
      <c r="S4348" s="2"/>
      <c r="T4348" s="19"/>
      <c r="U4348" s="2"/>
      <c r="V4348" s="2"/>
      <c r="W4348" s="2"/>
      <c r="X4348" s="19"/>
      <c r="Y4348" s="2"/>
      <c r="Z4348" s="5"/>
    </row>
    <row r="4349" spans="7:26" ht="75.75" customHeight="1" x14ac:dyDescent="0.25">
      <c r="G4349" s="5"/>
      <c r="H4349" s="2"/>
      <c r="I4349" s="2"/>
      <c r="K4349" s="2"/>
      <c r="L4349" s="2"/>
      <c r="M4349" s="2"/>
      <c r="N4349" s="2"/>
      <c r="O4349" s="2"/>
      <c r="P4349" s="2"/>
      <c r="Q4349" s="2"/>
      <c r="R4349" s="2"/>
      <c r="S4349" s="2"/>
      <c r="T4349" s="19"/>
      <c r="U4349" s="2"/>
      <c r="V4349" s="2"/>
      <c r="W4349" s="2"/>
      <c r="X4349" s="19"/>
      <c r="Y4349" s="2"/>
      <c r="Z4349" s="5"/>
    </row>
    <row r="4350" spans="7:26" ht="75.75" customHeight="1" x14ac:dyDescent="0.25">
      <c r="G4350" s="5"/>
      <c r="H4350" s="2"/>
      <c r="I4350" s="2"/>
      <c r="K4350" s="2"/>
      <c r="L4350" s="2"/>
      <c r="M4350" s="2"/>
      <c r="N4350" s="2"/>
      <c r="O4350" s="2"/>
      <c r="P4350" s="2"/>
      <c r="Q4350" s="2"/>
      <c r="R4350" s="2"/>
      <c r="S4350" s="2"/>
      <c r="T4350" s="19"/>
      <c r="U4350" s="2"/>
      <c r="V4350" s="2"/>
      <c r="W4350" s="2"/>
      <c r="X4350" s="19"/>
      <c r="Y4350" s="2"/>
      <c r="Z4350" s="5"/>
    </row>
    <row r="4351" spans="7:26" ht="75.75" customHeight="1" x14ac:dyDescent="0.25">
      <c r="G4351" s="5"/>
      <c r="H4351" s="2"/>
      <c r="I4351" s="2"/>
      <c r="K4351" s="2"/>
      <c r="L4351" s="2"/>
      <c r="M4351" s="2"/>
      <c r="N4351" s="2"/>
      <c r="O4351" s="2"/>
      <c r="P4351" s="2"/>
      <c r="Q4351" s="2"/>
      <c r="R4351" s="2"/>
      <c r="S4351" s="2"/>
      <c r="T4351" s="19"/>
      <c r="U4351" s="2"/>
      <c r="V4351" s="2"/>
      <c r="W4351" s="2"/>
      <c r="X4351" s="19"/>
      <c r="Y4351" s="2"/>
      <c r="Z4351" s="5"/>
    </row>
    <row r="4352" spans="7:26" ht="75.75" customHeight="1" x14ac:dyDescent="0.25">
      <c r="G4352" s="5"/>
      <c r="H4352" s="2"/>
      <c r="I4352" s="2"/>
      <c r="K4352" s="2"/>
      <c r="L4352" s="2"/>
      <c r="M4352" s="2"/>
      <c r="N4352" s="2"/>
      <c r="O4352" s="2"/>
      <c r="P4352" s="2"/>
      <c r="Q4352" s="2"/>
      <c r="R4352" s="2"/>
      <c r="S4352" s="2"/>
      <c r="T4352" s="19"/>
      <c r="U4352" s="2"/>
      <c r="V4352" s="2"/>
      <c r="W4352" s="2"/>
      <c r="X4352" s="19"/>
      <c r="Y4352" s="2"/>
      <c r="Z4352" s="5"/>
    </row>
    <row r="4353" spans="7:26" ht="75.75" customHeight="1" x14ac:dyDescent="0.25">
      <c r="G4353" s="5"/>
      <c r="H4353" s="2"/>
      <c r="I4353" s="2"/>
      <c r="K4353" s="2"/>
      <c r="L4353" s="2"/>
      <c r="M4353" s="2"/>
      <c r="N4353" s="2"/>
      <c r="O4353" s="2"/>
      <c r="P4353" s="2"/>
      <c r="Q4353" s="2"/>
      <c r="R4353" s="2"/>
      <c r="S4353" s="2"/>
      <c r="T4353" s="19"/>
      <c r="U4353" s="2"/>
      <c r="V4353" s="2"/>
      <c r="W4353" s="2"/>
      <c r="X4353" s="19"/>
      <c r="Y4353" s="2"/>
      <c r="Z4353" s="5"/>
    </row>
    <row r="4354" spans="7:26" ht="75.75" customHeight="1" x14ac:dyDescent="0.25">
      <c r="G4354" s="5"/>
      <c r="H4354" s="2"/>
      <c r="I4354" s="2"/>
      <c r="K4354" s="2"/>
      <c r="L4354" s="2"/>
      <c r="M4354" s="2"/>
      <c r="N4354" s="2"/>
      <c r="O4354" s="2"/>
      <c r="P4354" s="2"/>
      <c r="Q4354" s="2"/>
      <c r="R4354" s="2"/>
      <c r="S4354" s="2"/>
      <c r="T4354" s="19"/>
      <c r="U4354" s="2"/>
      <c r="V4354" s="2"/>
      <c r="W4354" s="2"/>
      <c r="X4354" s="19"/>
      <c r="Y4354" s="2"/>
      <c r="Z4354" s="5"/>
    </row>
    <row r="4355" spans="7:26" ht="75.75" customHeight="1" x14ac:dyDescent="0.25">
      <c r="G4355" s="5"/>
      <c r="H4355" s="2"/>
      <c r="I4355" s="2"/>
      <c r="K4355" s="2"/>
      <c r="L4355" s="2"/>
      <c r="M4355" s="2"/>
      <c r="N4355" s="2"/>
      <c r="O4355" s="2"/>
      <c r="P4355" s="2"/>
      <c r="Q4355" s="2"/>
      <c r="R4355" s="2"/>
      <c r="S4355" s="2"/>
      <c r="T4355" s="19"/>
      <c r="U4355" s="2"/>
      <c r="V4355" s="2"/>
      <c r="W4355" s="2"/>
      <c r="X4355" s="19"/>
      <c r="Y4355" s="2"/>
      <c r="Z4355" s="5"/>
    </row>
    <row r="4356" spans="7:26" ht="75.75" customHeight="1" x14ac:dyDescent="0.25">
      <c r="G4356" s="5"/>
      <c r="H4356" s="2"/>
      <c r="I4356" s="2"/>
      <c r="K4356" s="2"/>
      <c r="L4356" s="2"/>
      <c r="M4356" s="2"/>
      <c r="N4356" s="2"/>
      <c r="O4356" s="2"/>
      <c r="P4356" s="2"/>
      <c r="Q4356" s="2"/>
      <c r="R4356" s="2"/>
      <c r="S4356" s="2"/>
      <c r="T4356" s="19"/>
      <c r="U4356" s="2"/>
      <c r="V4356" s="2"/>
      <c r="W4356" s="2"/>
      <c r="X4356" s="19"/>
      <c r="Y4356" s="2"/>
      <c r="Z4356" s="5"/>
    </row>
    <row r="4357" spans="7:26" ht="75.75" customHeight="1" x14ac:dyDescent="0.25">
      <c r="G4357" s="5"/>
      <c r="H4357" s="2"/>
      <c r="I4357" s="2"/>
      <c r="K4357" s="2"/>
      <c r="L4357" s="2"/>
      <c r="M4357" s="2"/>
      <c r="N4357" s="2"/>
      <c r="O4357" s="2"/>
      <c r="P4357" s="2"/>
      <c r="Q4357" s="2"/>
      <c r="R4357" s="2"/>
      <c r="S4357" s="2"/>
      <c r="T4357" s="19"/>
      <c r="U4357" s="2"/>
      <c r="V4357" s="2"/>
      <c r="W4357" s="2"/>
      <c r="X4357" s="19"/>
      <c r="Y4357" s="2"/>
      <c r="Z4357" s="5"/>
    </row>
    <row r="4358" spans="7:26" ht="75.75" customHeight="1" x14ac:dyDescent="0.25">
      <c r="G4358" s="5"/>
      <c r="H4358" s="2"/>
      <c r="I4358" s="2"/>
      <c r="K4358" s="2"/>
      <c r="L4358" s="2"/>
      <c r="M4358" s="2"/>
      <c r="N4358" s="2"/>
      <c r="O4358" s="2"/>
      <c r="P4358" s="2"/>
      <c r="Q4358" s="2"/>
      <c r="R4358" s="2"/>
      <c r="S4358" s="2"/>
      <c r="T4358" s="19"/>
      <c r="U4358" s="2"/>
      <c r="V4358" s="2"/>
      <c r="W4358" s="2"/>
      <c r="X4358" s="19"/>
      <c r="Y4358" s="2"/>
      <c r="Z4358" s="5"/>
    </row>
    <row r="4359" spans="7:26" ht="75.75" customHeight="1" x14ac:dyDescent="0.25">
      <c r="G4359" s="5"/>
      <c r="H4359" s="2"/>
      <c r="I4359" s="2"/>
      <c r="K4359" s="2"/>
      <c r="L4359" s="2"/>
      <c r="M4359" s="2"/>
      <c r="N4359" s="2"/>
      <c r="O4359" s="2"/>
      <c r="P4359" s="2"/>
      <c r="Q4359" s="2"/>
      <c r="R4359" s="2"/>
      <c r="S4359" s="2"/>
      <c r="T4359" s="19"/>
      <c r="U4359" s="2"/>
      <c r="V4359" s="2"/>
      <c r="W4359" s="2"/>
      <c r="X4359" s="19"/>
      <c r="Y4359" s="2"/>
      <c r="Z4359" s="5"/>
    </row>
    <row r="4360" spans="7:26" ht="75.75" customHeight="1" x14ac:dyDescent="0.25">
      <c r="G4360" s="5"/>
      <c r="H4360" s="2"/>
      <c r="I4360" s="2"/>
      <c r="K4360" s="2"/>
      <c r="L4360" s="2"/>
      <c r="M4360" s="2"/>
      <c r="N4360" s="2"/>
      <c r="O4360" s="2"/>
      <c r="P4360" s="2"/>
      <c r="Q4360" s="2"/>
      <c r="R4360" s="2"/>
      <c r="S4360" s="2"/>
      <c r="T4360" s="19"/>
      <c r="U4360" s="2"/>
      <c r="V4360" s="2"/>
      <c r="W4360" s="2"/>
      <c r="X4360" s="19"/>
      <c r="Y4360" s="2"/>
      <c r="Z4360" s="5"/>
    </row>
    <row r="4361" spans="7:26" ht="75.75" customHeight="1" x14ac:dyDescent="0.25">
      <c r="G4361" s="5"/>
      <c r="H4361" s="2"/>
      <c r="I4361" s="2"/>
      <c r="K4361" s="2"/>
      <c r="L4361" s="2"/>
      <c r="M4361" s="2"/>
      <c r="N4361" s="2"/>
      <c r="O4361" s="2"/>
      <c r="P4361" s="2"/>
      <c r="Q4361" s="2"/>
      <c r="R4361" s="2"/>
      <c r="S4361" s="2"/>
      <c r="T4361" s="19"/>
      <c r="U4361" s="2"/>
      <c r="V4361" s="2"/>
      <c r="W4361" s="2"/>
      <c r="X4361" s="19"/>
      <c r="Y4361" s="2"/>
      <c r="Z4361" s="5"/>
    </row>
    <row r="4362" spans="7:26" ht="75.75" customHeight="1" x14ac:dyDescent="0.25">
      <c r="G4362" s="5"/>
      <c r="H4362" s="2"/>
      <c r="I4362" s="2"/>
      <c r="K4362" s="2"/>
      <c r="L4362" s="2"/>
      <c r="M4362" s="2"/>
      <c r="N4362" s="2"/>
      <c r="O4362" s="2"/>
      <c r="P4362" s="2"/>
      <c r="Q4362" s="2"/>
      <c r="R4362" s="2"/>
      <c r="S4362" s="2"/>
      <c r="T4362" s="19"/>
      <c r="U4362" s="2"/>
      <c r="V4362" s="2"/>
      <c r="W4362" s="2"/>
      <c r="X4362" s="19"/>
      <c r="Y4362" s="2"/>
      <c r="Z4362" s="5"/>
    </row>
    <row r="4363" spans="7:26" ht="75.75" customHeight="1" x14ac:dyDescent="0.25">
      <c r="G4363" s="5"/>
      <c r="H4363" s="2"/>
      <c r="I4363" s="2"/>
      <c r="K4363" s="2"/>
      <c r="L4363" s="2"/>
      <c r="M4363" s="2"/>
      <c r="N4363" s="2"/>
      <c r="O4363" s="2"/>
      <c r="P4363" s="2"/>
      <c r="Q4363" s="2"/>
      <c r="R4363" s="2"/>
      <c r="S4363" s="2"/>
      <c r="T4363" s="19"/>
      <c r="U4363" s="2"/>
      <c r="V4363" s="2"/>
      <c r="W4363" s="2"/>
      <c r="X4363" s="19"/>
      <c r="Y4363" s="2"/>
      <c r="Z4363" s="5"/>
    </row>
    <row r="4364" spans="7:26" ht="75.75" customHeight="1" x14ac:dyDescent="0.25">
      <c r="G4364" s="5"/>
      <c r="H4364" s="2"/>
      <c r="I4364" s="2"/>
      <c r="K4364" s="2"/>
      <c r="L4364" s="2"/>
      <c r="M4364" s="2"/>
      <c r="N4364" s="2"/>
      <c r="O4364" s="2"/>
      <c r="P4364" s="2"/>
      <c r="Q4364" s="2"/>
      <c r="R4364" s="2"/>
      <c r="S4364" s="2"/>
      <c r="T4364" s="19"/>
      <c r="U4364" s="2"/>
      <c r="V4364" s="2"/>
      <c r="W4364" s="2"/>
      <c r="X4364" s="19"/>
      <c r="Y4364" s="2"/>
      <c r="Z4364" s="5"/>
    </row>
    <row r="4365" spans="7:26" ht="75.75" customHeight="1" x14ac:dyDescent="0.25">
      <c r="G4365" s="5"/>
      <c r="H4365" s="2"/>
      <c r="I4365" s="2"/>
      <c r="K4365" s="2"/>
      <c r="L4365" s="2"/>
      <c r="M4365" s="2"/>
      <c r="N4365" s="2"/>
      <c r="O4365" s="2"/>
      <c r="P4365" s="2"/>
      <c r="Q4365" s="2"/>
      <c r="R4365" s="2"/>
      <c r="S4365" s="2"/>
      <c r="T4365" s="19"/>
      <c r="U4365" s="2"/>
      <c r="V4365" s="2"/>
      <c r="W4365" s="2"/>
      <c r="X4365" s="19"/>
      <c r="Y4365" s="2"/>
      <c r="Z4365" s="5"/>
    </row>
    <row r="4366" spans="7:26" ht="75.75" customHeight="1" x14ac:dyDescent="0.25">
      <c r="G4366" s="5"/>
      <c r="H4366" s="2"/>
      <c r="I4366" s="2"/>
      <c r="K4366" s="2"/>
      <c r="L4366" s="2"/>
      <c r="M4366" s="2"/>
      <c r="N4366" s="2"/>
      <c r="O4366" s="2"/>
      <c r="P4366" s="2"/>
      <c r="Q4366" s="2"/>
      <c r="R4366" s="2"/>
      <c r="S4366" s="2"/>
      <c r="T4366" s="19"/>
      <c r="U4366" s="2"/>
      <c r="V4366" s="2"/>
      <c r="W4366" s="2"/>
      <c r="X4366" s="19"/>
      <c r="Y4366" s="2"/>
      <c r="Z4366" s="5"/>
    </row>
    <row r="4367" spans="7:26" ht="75.75" customHeight="1" x14ac:dyDescent="0.25">
      <c r="G4367" s="5"/>
      <c r="H4367" s="2"/>
      <c r="I4367" s="2"/>
      <c r="K4367" s="2"/>
      <c r="L4367" s="2"/>
      <c r="M4367" s="2"/>
      <c r="N4367" s="2"/>
      <c r="O4367" s="2"/>
      <c r="P4367" s="2"/>
      <c r="Q4367" s="2"/>
      <c r="R4367" s="2"/>
      <c r="S4367" s="2"/>
      <c r="T4367" s="19"/>
      <c r="U4367" s="2"/>
      <c r="V4367" s="2"/>
      <c r="W4367" s="2"/>
      <c r="X4367" s="19"/>
      <c r="Y4367" s="2"/>
      <c r="Z4367" s="5"/>
    </row>
    <row r="4368" spans="7:26" ht="75.75" customHeight="1" x14ac:dyDescent="0.25">
      <c r="G4368" s="5"/>
      <c r="H4368" s="2"/>
      <c r="I4368" s="2"/>
      <c r="K4368" s="2"/>
      <c r="L4368" s="2"/>
      <c r="M4368" s="2"/>
      <c r="N4368" s="2"/>
      <c r="O4368" s="2"/>
      <c r="P4368" s="2"/>
      <c r="Q4368" s="2"/>
      <c r="R4368" s="2"/>
      <c r="S4368" s="2"/>
      <c r="T4368" s="19"/>
      <c r="U4368" s="2"/>
      <c r="V4368" s="2"/>
      <c r="W4368" s="2"/>
      <c r="X4368" s="19"/>
      <c r="Y4368" s="2"/>
      <c r="Z4368" s="5"/>
    </row>
    <row r="4369" spans="7:26" ht="75.75" customHeight="1" x14ac:dyDescent="0.25">
      <c r="G4369" s="5"/>
      <c r="H4369" s="2"/>
      <c r="I4369" s="2"/>
      <c r="K4369" s="2"/>
      <c r="L4369" s="2"/>
      <c r="M4369" s="2"/>
      <c r="N4369" s="2"/>
      <c r="O4369" s="2"/>
      <c r="P4369" s="2"/>
      <c r="Q4369" s="2"/>
      <c r="R4369" s="2"/>
      <c r="S4369" s="2"/>
      <c r="T4369" s="19"/>
      <c r="U4369" s="2"/>
      <c r="V4369" s="2"/>
      <c r="W4369" s="2"/>
      <c r="X4369" s="19"/>
      <c r="Y4369" s="2"/>
      <c r="Z4369" s="5"/>
    </row>
    <row r="4370" spans="7:26" ht="75.75" customHeight="1" x14ac:dyDescent="0.25">
      <c r="G4370" s="5"/>
      <c r="H4370" s="2"/>
      <c r="I4370" s="2"/>
      <c r="K4370" s="2"/>
      <c r="L4370" s="2"/>
      <c r="M4370" s="2"/>
      <c r="N4370" s="2"/>
      <c r="O4370" s="2"/>
      <c r="P4370" s="2"/>
      <c r="Q4370" s="2"/>
      <c r="R4370" s="2"/>
      <c r="S4370" s="2"/>
      <c r="T4370" s="19"/>
      <c r="U4370" s="2"/>
      <c r="V4370" s="2"/>
      <c r="W4370" s="2"/>
      <c r="X4370" s="19"/>
      <c r="Y4370" s="2"/>
      <c r="Z4370" s="5"/>
    </row>
    <row r="4371" spans="7:26" ht="75.75" customHeight="1" x14ac:dyDescent="0.25">
      <c r="G4371" s="5"/>
      <c r="H4371" s="2"/>
      <c r="I4371" s="2"/>
      <c r="K4371" s="2"/>
      <c r="L4371" s="2"/>
      <c r="M4371" s="2"/>
      <c r="N4371" s="2"/>
      <c r="O4371" s="2"/>
      <c r="P4371" s="2"/>
      <c r="Q4371" s="2"/>
      <c r="R4371" s="2"/>
      <c r="S4371" s="2"/>
      <c r="T4371" s="19"/>
      <c r="U4371" s="2"/>
      <c r="V4371" s="2"/>
      <c r="W4371" s="2"/>
      <c r="X4371" s="19"/>
      <c r="Y4371" s="2"/>
      <c r="Z4371" s="5"/>
    </row>
    <row r="4372" spans="7:26" ht="75.75" customHeight="1" x14ac:dyDescent="0.25">
      <c r="G4372" s="5"/>
      <c r="H4372" s="2"/>
      <c r="I4372" s="2"/>
      <c r="K4372" s="2"/>
      <c r="L4372" s="2"/>
      <c r="M4372" s="2"/>
      <c r="N4372" s="2"/>
      <c r="O4372" s="2"/>
      <c r="P4372" s="2"/>
      <c r="Q4372" s="2"/>
      <c r="R4372" s="2"/>
      <c r="S4372" s="2"/>
      <c r="T4372" s="19"/>
      <c r="U4372" s="2"/>
      <c r="V4372" s="2"/>
      <c r="W4372" s="2"/>
      <c r="X4372" s="19"/>
      <c r="Y4372" s="2"/>
      <c r="Z4372" s="5"/>
    </row>
    <row r="4373" spans="7:26" ht="75.75" customHeight="1" x14ac:dyDescent="0.25">
      <c r="G4373" s="5"/>
      <c r="H4373" s="2"/>
      <c r="I4373" s="2"/>
      <c r="K4373" s="2"/>
      <c r="L4373" s="2"/>
      <c r="M4373" s="2"/>
      <c r="N4373" s="2"/>
      <c r="O4373" s="2"/>
      <c r="P4373" s="2"/>
      <c r="Q4373" s="2"/>
      <c r="R4373" s="2"/>
      <c r="S4373" s="2"/>
      <c r="T4373" s="19"/>
      <c r="U4373" s="2"/>
      <c r="V4373" s="2"/>
      <c r="W4373" s="2"/>
      <c r="X4373" s="19"/>
      <c r="Y4373" s="2"/>
      <c r="Z4373" s="5"/>
    </row>
    <row r="4374" spans="7:26" ht="75.75" customHeight="1" x14ac:dyDescent="0.25">
      <c r="G4374" s="5"/>
      <c r="H4374" s="2"/>
      <c r="I4374" s="2"/>
      <c r="K4374" s="2"/>
      <c r="L4374" s="2"/>
      <c r="M4374" s="2"/>
      <c r="N4374" s="2"/>
      <c r="O4374" s="2"/>
      <c r="P4374" s="2"/>
      <c r="Q4374" s="2"/>
      <c r="R4374" s="2"/>
      <c r="S4374" s="2"/>
      <c r="T4374" s="19"/>
      <c r="U4374" s="2"/>
      <c r="V4374" s="2"/>
      <c r="W4374" s="2"/>
      <c r="X4374" s="19"/>
      <c r="Y4374" s="2"/>
      <c r="Z4374" s="5"/>
    </row>
    <row r="4375" spans="7:26" ht="75.75" customHeight="1" x14ac:dyDescent="0.25">
      <c r="G4375" s="5"/>
      <c r="H4375" s="2"/>
      <c r="I4375" s="2"/>
      <c r="K4375" s="2"/>
      <c r="L4375" s="2"/>
      <c r="M4375" s="2"/>
      <c r="N4375" s="2"/>
      <c r="O4375" s="2"/>
      <c r="P4375" s="2"/>
      <c r="Q4375" s="2"/>
      <c r="R4375" s="2"/>
      <c r="S4375" s="2"/>
      <c r="T4375" s="19"/>
      <c r="U4375" s="2"/>
      <c r="V4375" s="2"/>
      <c r="W4375" s="2"/>
      <c r="X4375" s="19"/>
      <c r="Y4375" s="2"/>
      <c r="Z4375" s="5"/>
    </row>
    <row r="4376" spans="7:26" ht="75.75" customHeight="1" x14ac:dyDescent="0.25">
      <c r="G4376" s="5"/>
      <c r="H4376" s="2"/>
      <c r="I4376" s="2"/>
      <c r="K4376" s="2"/>
      <c r="L4376" s="2"/>
      <c r="M4376" s="2"/>
      <c r="N4376" s="2"/>
      <c r="O4376" s="2"/>
      <c r="P4376" s="2"/>
      <c r="Q4376" s="2"/>
      <c r="R4376" s="2"/>
      <c r="S4376" s="2"/>
      <c r="T4376" s="19"/>
      <c r="U4376" s="2"/>
      <c r="V4376" s="2"/>
      <c r="W4376" s="2"/>
      <c r="X4376" s="19"/>
      <c r="Y4376" s="2"/>
      <c r="Z4376" s="5"/>
    </row>
    <row r="4377" spans="7:26" ht="75.75" customHeight="1" x14ac:dyDescent="0.25">
      <c r="G4377" s="5"/>
      <c r="H4377" s="2"/>
      <c r="I4377" s="2"/>
      <c r="K4377" s="2"/>
      <c r="L4377" s="2"/>
      <c r="M4377" s="2"/>
      <c r="N4377" s="2"/>
      <c r="O4377" s="2"/>
      <c r="P4377" s="2"/>
      <c r="Q4377" s="2"/>
      <c r="R4377" s="2"/>
      <c r="S4377" s="2"/>
      <c r="T4377" s="19"/>
      <c r="U4377" s="2"/>
      <c r="V4377" s="2"/>
      <c r="W4377" s="2"/>
      <c r="X4377" s="19"/>
      <c r="Y4377" s="2"/>
      <c r="Z4377" s="5"/>
    </row>
    <row r="4378" spans="7:26" ht="75.75" customHeight="1" x14ac:dyDescent="0.25">
      <c r="G4378" s="5"/>
      <c r="H4378" s="2"/>
      <c r="I4378" s="2"/>
      <c r="K4378" s="2"/>
      <c r="L4378" s="2"/>
      <c r="M4378" s="2"/>
      <c r="N4378" s="2"/>
      <c r="O4378" s="2"/>
      <c r="P4378" s="2"/>
      <c r="Q4378" s="2"/>
      <c r="R4378" s="2"/>
      <c r="S4378" s="2"/>
      <c r="T4378" s="19"/>
      <c r="U4378" s="2"/>
      <c r="V4378" s="2"/>
      <c r="W4378" s="2"/>
      <c r="X4378" s="19"/>
      <c r="Y4378" s="2"/>
      <c r="Z4378" s="5"/>
    </row>
    <row r="4379" spans="7:26" ht="75.75" customHeight="1" x14ac:dyDescent="0.25">
      <c r="G4379" s="5"/>
      <c r="H4379" s="2"/>
      <c r="I4379" s="2"/>
      <c r="K4379" s="2"/>
      <c r="L4379" s="2"/>
      <c r="M4379" s="2"/>
      <c r="N4379" s="2"/>
      <c r="O4379" s="2"/>
      <c r="P4379" s="2"/>
      <c r="Q4379" s="2"/>
      <c r="R4379" s="2"/>
      <c r="S4379" s="2"/>
      <c r="T4379" s="19"/>
      <c r="U4379" s="2"/>
      <c r="V4379" s="2"/>
      <c r="W4379" s="2"/>
      <c r="X4379" s="19"/>
      <c r="Y4379" s="2"/>
      <c r="Z4379" s="5"/>
    </row>
    <row r="4380" spans="7:26" ht="75.75" customHeight="1" x14ac:dyDescent="0.25">
      <c r="G4380" s="5"/>
      <c r="H4380" s="2"/>
      <c r="I4380" s="2"/>
      <c r="K4380" s="2"/>
      <c r="L4380" s="2"/>
      <c r="M4380" s="2"/>
      <c r="N4380" s="2"/>
      <c r="O4380" s="2"/>
      <c r="P4380" s="2"/>
      <c r="Q4380" s="2"/>
      <c r="R4380" s="2"/>
      <c r="S4380" s="2"/>
      <c r="T4380" s="19"/>
      <c r="U4380" s="2"/>
      <c r="V4380" s="2"/>
      <c r="W4380" s="2"/>
      <c r="X4380" s="19"/>
      <c r="Y4380" s="2"/>
      <c r="Z4380" s="5"/>
    </row>
    <row r="4381" spans="7:26" ht="75.75" customHeight="1" x14ac:dyDescent="0.25">
      <c r="G4381" s="5"/>
      <c r="H4381" s="2"/>
      <c r="I4381" s="2"/>
      <c r="K4381" s="2"/>
      <c r="L4381" s="2"/>
      <c r="M4381" s="2"/>
      <c r="N4381" s="2"/>
      <c r="O4381" s="2"/>
      <c r="P4381" s="2"/>
      <c r="Q4381" s="2"/>
      <c r="R4381" s="2"/>
      <c r="S4381" s="2"/>
      <c r="T4381" s="19"/>
      <c r="U4381" s="2"/>
      <c r="V4381" s="2"/>
      <c r="W4381" s="2"/>
      <c r="X4381" s="19"/>
      <c r="Y4381" s="2"/>
      <c r="Z4381" s="5"/>
    </row>
    <row r="4382" spans="7:26" ht="75.75" customHeight="1" x14ac:dyDescent="0.25">
      <c r="G4382" s="5"/>
      <c r="H4382" s="2"/>
      <c r="I4382" s="2"/>
      <c r="K4382" s="2"/>
      <c r="L4382" s="2"/>
      <c r="M4382" s="2"/>
      <c r="N4382" s="2"/>
      <c r="O4382" s="2"/>
      <c r="P4382" s="2"/>
      <c r="Q4382" s="2"/>
      <c r="R4382" s="2"/>
      <c r="S4382" s="2"/>
      <c r="T4382" s="19"/>
      <c r="U4382" s="2"/>
      <c r="V4382" s="2"/>
      <c r="W4382" s="2"/>
      <c r="X4382" s="19"/>
      <c r="Y4382" s="2"/>
      <c r="Z4382" s="5"/>
    </row>
    <row r="4383" spans="7:26" ht="75.75" customHeight="1" x14ac:dyDescent="0.25">
      <c r="G4383" s="5"/>
      <c r="H4383" s="2"/>
      <c r="I4383" s="2"/>
      <c r="K4383" s="2"/>
      <c r="L4383" s="2"/>
      <c r="M4383" s="2"/>
      <c r="N4383" s="2"/>
      <c r="O4383" s="2"/>
      <c r="P4383" s="2"/>
      <c r="Q4383" s="2"/>
      <c r="R4383" s="2"/>
      <c r="S4383" s="2"/>
      <c r="T4383" s="19"/>
      <c r="U4383" s="2"/>
      <c r="V4383" s="2"/>
      <c r="W4383" s="2"/>
      <c r="X4383" s="19"/>
      <c r="Y4383" s="2"/>
      <c r="Z4383" s="5"/>
    </row>
    <row r="4384" spans="7:26" ht="75.75" customHeight="1" x14ac:dyDescent="0.25">
      <c r="G4384" s="5"/>
      <c r="H4384" s="2"/>
      <c r="I4384" s="2"/>
      <c r="K4384" s="2"/>
      <c r="L4384" s="2"/>
      <c r="M4384" s="2"/>
      <c r="N4384" s="2"/>
      <c r="O4384" s="2"/>
      <c r="P4384" s="2"/>
      <c r="Q4384" s="2"/>
      <c r="R4384" s="2"/>
      <c r="S4384" s="2"/>
      <c r="T4384" s="19"/>
      <c r="U4384" s="2"/>
      <c r="V4384" s="2"/>
      <c r="W4384" s="2"/>
      <c r="X4384" s="19"/>
      <c r="Y4384" s="2"/>
      <c r="Z4384" s="5"/>
    </row>
    <row r="4385" spans="7:26" ht="75.75" customHeight="1" x14ac:dyDescent="0.25">
      <c r="G4385" s="5"/>
      <c r="H4385" s="2"/>
      <c r="I4385" s="2"/>
      <c r="K4385" s="2"/>
      <c r="L4385" s="2"/>
      <c r="M4385" s="2"/>
      <c r="N4385" s="2"/>
      <c r="O4385" s="2"/>
      <c r="P4385" s="2"/>
      <c r="Q4385" s="2"/>
      <c r="R4385" s="2"/>
      <c r="S4385" s="2"/>
      <c r="T4385" s="19"/>
      <c r="U4385" s="2"/>
      <c r="V4385" s="2"/>
      <c r="W4385" s="2"/>
      <c r="X4385" s="19"/>
      <c r="Y4385" s="2"/>
      <c r="Z4385" s="5"/>
    </row>
    <row r="4386" spans="7:26" ht="75.75" customHeight="1" x14ac:dyDescent="0.25">
      <c r="G4386" s="5"/>
      <c r="H4386" s="2"/>
      <c r="I4386" s="2"/>
      <c r="K4386" s="2"/>
      <c r="L4386" s="2"/>
      <c r="M4386" s="2"/>
      <c r="N4386" s="2"/>
      <c r="O4386" s="2"/>
      <c r="P4386" s="2"/>
      <c r="Q4386" s="2"/>
      <c r="R4386" s="2"/>
      <c r="S4386" s="2"/>
      <c r="T4386" s="19"/>
      <c r="U4386" s="2"/>
      <c r="V4386" s="2"/>
      <c r="W4386" s="2"/>
      <c r="X4386" s="19"/>
      <c r="Y4386" s="2"/>
      <c r="Z4386" s="5"/>
    </row>
    <row r="4387" spans="7:26" ht="75.75" customHeight="1" x14ac:dyDescent="0.25">
      <c r="G4387" s="5"/>
      <c r="H4387" s="2"/>
      <c r="I4387" s="2"/>
      <c r="K4387" s="2"/>
      <c r="L4387" s="2"/>
      <c r="M4387" s="2"/>
      <c r="N4387" s="2"/>
      <c r="O4387" s="2"/>
      <c r="P4387" s="2"/>
      <c r="Q4387" s="2"/>
      <c r="R4387" s="2"/>
      <c r="S4387" s="2"/>
      <c r="T4387" s="19"/>
      <c r="U4387" s="2"/>
      <c r="V4387" s="2"/>
      <c r="W4387" s="2"/>
      <c r="X4387" s="19"/>
      <c r="Y4387" s="2"/>
      <c r="Z4387" s="5"/>
    </row>
    <row r="4388" spans="7:26" ht="75.75" customHeight="1" x14ac:dyDescent="0.25">
      <c r="G4388" s="5"/>
      <c r="H4388" s="2"/>
      <c r="I4388" s="2"/>
      <c r="K4388" s="2"/>
      <c r="L4388" s="2"/>
      <c r="M4388" s="2"/>
      <c r="N4388" s="2"/>
      <c r="O4388" s="2"/>
      <c r="P4388" s="2"/>
      <c r="Q4388" s="2"/>
      <c r="R4388" s="2"/>
      <c r="S4388" s="2"/>
      <c r="T4388" s="19"/>
      <c r="U4388" s="2"/>
      <c r="V4388" s="2"/>
      <c r="W4388" s="2"/>
      <c r="X4388" s="19"/>
      <c r="Y4388" s="2"/>
      <c r="Z4388" s="5"/>
    </row>
    <row r="4389" spans="7:26" ht="75.75" customHeight="1" x14ac:dyDescent="0.25">
      <c r="G4389" s="5"/>
      <c r="H4389" s="2"/>
      <c r="I4389" s="2"/>
      <c r="K4389" s="2"/>
      <c r="L4389" s="2"/>
      <c r="M4389" s="2"/>
      <c r="N4389" s="2"/>
      <c r="O4389" s="2"/>
      <c r="P4389" s="2"/>
      <c r="Q4389" s="2"/>
      <c r="R4389" s="2"/>
      <c r="S4389" s="2"/>
      <c r="T4389" s="19"/>
      <c r="U4389" s="2"/>
      <c r="V4389" s="2"/>
      <c r="W4389" s="2"/>
      <c r="X4389" s="19"/>
      <c r="Y4389" s="2"/>
      <c r="Z4389" s="5"/>
    </row>
    <row r="4390" spans="7:26" ht="75.75" customHeight="1" x14ac:dyDescent="0.25">
      <c r="G4390" s="5"/>
      <c r="H4390" s="2"/>
      <c r="I4390" s="2"/>
      <c r="K4390" s="2"/>
      <c r="L4390" s="2"/>
      <c r="M4390" s="2"/>
      <c r="N4390" s="2"/>
      <c r="O4390" s="2"/>
      <c r="P4390" s="2"/>
      <c r="Q4390" s="2"/>
      <c r="R4390" s="2"/>
      <c r="S4390" s="2"/>
      <c r="T4390" s="19"/>
      <c r="U4390" s="2"/>
      <c r="V4390" s="2"/>
      <c r="W4390" s="2"/>
      <c r="X4390" s="19"/>
      <c r="Y4390" s="2"/>
      <c r="Z4390" s="5"/>
    </row>
    <row r="4391" spans="7:26" ht="75.75" customHeight="1" x14ac:dyDescent="0.25">
      <c r="G4391" s="5"/>
      <c r="H4391" s="2"/>
      <c r="I4391" s="2"/>
      <c r="K4391" s="2"/>
      <c r="L4391" s="2"/>
      <c r="M4391" s="2"/>
      <c r="N4391" s="2"/>
      <c r="O4391" s="2"/>
      <c r="P4391" s="2"/>
      <c r="Q4391" s="2"/>
      <c r="R4391" s="2"/>
      <c r="S4391" s="2"/>
      <c r="T4391" s="19"/>
      <c r="U4391" s="2"/>
      <c r="V4391" s="2"/>
      <c r="W4391" s="2"/>
      <c r="X4391" s="19"/>
      <c r="Y4391" s="2"/>
      <c r="Z4391" s="5"/>
    </row>
    <row r="4392" spans="7:26" ht="75.75" customHeight="1" x14ac:dyDescent="0.25">
      <c r="G4392" s="5"/>
      <c r="H4392" s="2"/>
      <c r="I4392" s="2"/>
      <c r="K4392" s="2"/>
      <c r="L4392" s="2"/>
      <c r="M4392" s="2"/>
      <c r="N4392" s="2"/>
      <c r="O4392" s="2"/>
      <c r="P4392" s="2"/>
      <c r="Q4392" s="2"/>
      <c r="R4392" s="2"/>
      <c r="S4392" s="2"/>
      <c r="T4392" s="19"/>
      <c r="U4392" s="2"/>
      <c r="V4392" s="2"/>
      <c r="W4392" s="2"/>
      <c r="X4392" s="19"/>
      <c r="Y4392" s="2"/>
      <c r="Z4392" s="5"/>
    </row>
    <row r="4393" spans="7:26" ht="75.75" customHeight="1" x14ac:dyDescent="0.25">
      <c r="G4393" s="5"/>
      <c r="H4393" s="2"/>
      <c r="I4393" s="2"/>
      <c r="K4393" s="2"/>
      <c r="L4393" s="2"/>
      <c r="M4393" s="2"/>
      <c r="N4393" s="2"/>
      <c r="O4393" s="2"/>
      <c r="P4393" s="2"/>
      <c r="Q4393" s="2"/>
      <c r="R4393" s="2"/>
      <c r="S4393" s="2"/>
      <c r="T4393" s="19"/>
      <c r="U4393" s="2"/>
      <c r="V4393" s="2"/>
      <c r="W4393" s="2"/>
      <c r="X4393" s="19"/>
      <c r="Y4393" s="2"/>
      <c r="Z4393" s="5"/>
    </row>
    <row r="4394" spans="7:26" ht="75.75" customHeight="1" x14ac:dyDescent="0.25">
      <c r="G4394" s="5"/>
      <c r="H4394" s="2"/>
      <c r="I4394" s="2"/>
      <c r="K4394" s="2"/>
      <c r="L4394" s="2"/>
      <c r="M4394" s="2"/>
      <c r="N4394" s="2"/>
      <c r="O4394" s="2"/>
      <c r="P4394" s="2"/>
      <c r="Q4394" s="2"/>
      <c r="R4394" s="2"/>
      <c r="S4394" s="2"/>
      <c r="T4394" s="19"/>
      <c r="U4394" s="2"/>
      <c r="V4394" s="2"/>
      <c r="W4394" s="2"/>
      <c r="X4394" s="19"/>
      <c r="Y4394" s="2"/>
      <c r="Z4394" s="5"/>
    </row>
    <row r="4395" spans="7:26" ht="75.75" customHeight="1" x14ac:dyDescent="0.25">
      <c r="G4395" s="5"/>
      <c r="H4395" s="2"/>
      <c r="I4395" s="2"/>
      <c r="K4395" s="2"/>
      <c r="L4395" s="2"/>
      <c r="M4395" s="2"/>
      <c r="N4395" s="2"/>
      <c r="O4395" s="2"/>
      <c r="P4395" s="2"/>
      <c r="Q4395" s="2"/>
      <c r="R4395" s="2"/>
      <c r="S4395" s="2"/>
      <c r="T4395" s="19"/>
      <c r="U4395" s="2"/>
      <c r="V4395" s="2"/>
      <c r="W4395" s="2"/>
      <c r="X4395" s="19"/>
      <c r="Y4395" s="2"/>
      <c r="Z4395" s="5"/>
    </row>
    <row r="4396" spans="7:26" ht="75.75" customHeight="1" x14ac:dyDescent="0.25">
      <c r="G4396" s="5"/>
      <c r="H4396" s="2"/>
      <c r="I4396" s="2"/>
      <c r="K4396" s="2"/>
      <c r="L4396" s="2"/>
      <c r="M4396" s="2"/>
      <c r="N4396" s="2"/>
      <c r="O4396" s="2"/>
      <c r="P4396" s="2"/>
      <c r="Q4396" s="2"/>
      <c r="R4396" s="2"/>
      <c r="S4396" s="2"/>
      <c r="T4396" s="19"/>
      <c r="U4396" s="2"/>
      <c r="V4396" s="2"/>
      <c r="W4396" s="2"/>
      <c r="X4396" s="19"/>
      <c r="Y4396" s="2"/>
      <c r="Z4396" s="5"/>
    </row>
    <row r="4397" spans="7:26" ht="75.75" customHeight="1" x14ac:dyDescent="0.25">
      <c r="G4397" s="5"/>
      <c r="H4397" s="2"/>
      <c r="I4397" s="2"/>
      <c r="K4397" s="2"/>
      <c r="L4397" s="2"/>
      <c r="M4397" s="2"/>
      <c r="N4397" s="2"/>
      <c r="O4397" s="2"/>
      <c r="P4397" s="2"/>
      <c r="Q4397" s="2"/>
      <c r="R4397" s="2"/>
      <c r="S4397" s="2"/>
      <c r="T4397" s="19"/>
      <c r="U4397" s="2"/>
      <c r="V4397" s="2"/>
      <c r="W4397" s="2"/>
      <c r="X4397" s="19"/>
      <c r="Y4397" s="2"/>
      <c r="Z4397" s="5"/>
    </row>
    <row r="4398" spans="7:26" ht="75.75" customHeight="1" x14ac:dyDescent="0.25">
      <c r="G4398" s="5"/>
      <c r="H4398" s="2"/>
      <c r="I4398" s="2"/>
      <c r="K4398" s="2"/>
      <c r="L4398" s="2"/>
      <c r="M4398" s="2"/>
      <c r="N4398" s="2"/>
      <c r="O4398" s="2"/>
      <c r="P4398" s="2"/>
      <c r="Q4398" s="2"/>
      <c r="R4398" s="2"/>
      <c r="S4398" s="2"/>
      <c r="T4398" s="19"/>
      <c r="U4398" s="2"/>
      <c r="V4398" s="2"/>
      <c r="W4398" s="2"/>
      <c r="X4398" s="19"/>
      <c r="Y4398" s="2"/>
      <c r="Z4398" s="5"/>
    </row>
    <row r="4399" spans="7:26" ht="75.75" customHeight="1" x14ac:dyDescent="0.25">
      <c r="G4399" s="5"/>
      <c r="H4399" s="2"/>
      <c r="I4399" s="2"/>
      <c r="K4399" s="2"/>
      <c r="L4399" s="2"/>
      <c r="M4399" s="2"/>
      <c r="N4399" s="2"/>
      <c r="O4399" s="2"/>
      <c r="P4399" s="2"/>
      <c r="Q4399" s="2"/>
      <c r="R4399" s="2"/>
      <c r="S4399" s="2"/>
      <c r="T4399" s="19"/>
      <c r="U4399" s="2"/>
      <c r="V4399" s="2"/>
      <c r="W4399" s="2"/>
      <c r="X4399" s="19"/>
      <c r="Y4399" s="2"/>
      <c r="Z4399" s="5"/>
    </row>
    <row r="4400" spans="7:26" ht="75.75" customHeight="1" x14ac:dyDescent="0.25">
      <c r="G4400" s="5"/>
      <c r="H4400" s="2"/>
      <c r="I4400" s="2"/>
      <c r="K4400" s="2"/>
      <c r="L4400" s="2"/>
      <c r="M4400" s="2"/>
      <c r="N4400" s="2"/>
      <c r="O4400" s="2"/>
      <c r="P4400" s="2"/>
      <c r="Q4400" s="2"/>
      <c r="R4400" s="2"/>
      <c r="S4400" s="2"/>
      <c r="T4400" s="19"/>
      <c r="U4400" s="2"/>
      <c r="V4400" s="2"/>
      <c r="W4400" s="2"/>
      <c r="X4400" s="19"/>
      <c r="Y4400" s="2"/>
      <c r="Z4400" s="5"/>
    </row>
    <row r="4401" spans="7:26" ht="75.75" customHeight="1" x14ac:dyDescent="0.25">
      <c r="G4401" s="5"/>
      <c r="H4401" s="2"/>
      <c r="I4401" s="2"/>
      <c r="K4401" s="2"/>
      <c r="L4401" s="2"/>
      <c r="M4401" s="2"/>
      <c r="N4401" s="2"/>
      <c r="O4401" s="2"/>
      <c r="P4401" s="2"/>
      <c r="Q4401" s="2"/>
      <c r="R4401" s="2"/>
      <c r="S4401" s="2"/>
      <c r="T4401" s="19"/>
      <c r="U4401" s="2"/>
      <c r="V4401" s="2"/>
      <c r="W4401" s="2"/>
      <c r="X4401" s="19"/>
      <c r="Y4401" s="2"/>
      <c r="Z4401" s="5"/>
    </row>
    <row r="4402" spans="7:26" ht="75.75" customHeight="1" x14ac:dyDescent="0.25">
      <c r="G4402" s="5"/>
      <c r="H4402" s="2"/>
      <c r="I4402" s="2"/>
      <c r="K4402" s="2"/>
      <c r="L4402" s="2"/>
      <c r="M4402" s="2"/>
      <c r="N4402" s="2"/>
      <c r="O4402" s="2"/>
      <c r="P4402" s="2"/>
      <c r="Q4402" s="2"/>
      <c r="R4402" s="2"/>
      <c r="S4402" s="2"/>
      <c r="T4402" s="19"/>
      <c r="U4402" s="2"/>
      <c r="V4402" s="2"/>
      <c r="W4402" s="2"/>
      <c r="X4402" s="19"/>
      <c r="Y4402" s="2"/>
      <c r="Z4402" s="5"/>
    </row>
    <row r="4403" spans="7:26" ht="75.75" customHeight="1" x14ac:dyDescent="0.25">
      <c r="G4403" s="5"/>
      <c r="H4403" s="2"/>
      <c r="I4403" s="2"/>
      <c r="K4403" s="2"/>
      <c r="L4403" s="2"/>
      <c r="M4403" s="2"/>
      <c r="N4403" s="2"/>
      <c r="O4403" s="2"/>
      <c r="P4403" s="2"/>
      <c r="Q4403" s="2"/>
      <c r="R4403" s="2"/>
      <c r="S4403" s="2"/>
      <c r="T4403" s="19"/>
      <c r="U4403" s="2"/>
      <c r="V4403" s="2"/>
      <c r="W4403" s="2"/>
      <c r="X4403" s="19"/>
      <c r="Y4403" s="2"/>
      <c r="Z4403" s="5"/>
    </row>
    <row r="4404" spans="7:26" ht="75.75" customHeight="1" x14ac:dyDescent="0.25">
      <c r="G4404" s="5"/>
      <c r="H4404" s="2"/>
      <c r="I4404" s="2"/>
      <c r="K4404" s="2"/>
      <c r="L4404" s="2"/>
      <c r="M4404" s="2"/>
      <c r="N4404" s="2"/>
      <c r="O4404" s="2"/>
      <c r="P4404" s="2"/>
      <c r="Q4404" s="2"/>
      <c r="R4404" s="2"/>
      <c r="S4404" s="2"/>
      <c r="T4404" s="19"/>
      <c r="U4404" s="2"/>
      <c r="V4404" s="2"/>
      <c r="W4404" s="2"/>
      <c r="X4404" s="19"/>
      <c r="Y4404" s="2"/>
      <c r="Z4404" s="5"/>
    </row>
    <row r="4405" spans="7:26" ht="75.75" customHeight="1" x14ac:dyDescent="0.25">
      <c r="G4405" s="5"/>
      <c r="H4405" s="2"/>
      <c r="I4405" s="2"/>
      <c r="K4405" s="2"/>
      <c r="L4405" s="2"/>
      <c r="M4405" s="2"/>
      <c r="N4405" s="2"/>
      <c r="O4405" s="2"/>
      <c r="P4405" s="2"/>
      <c r="Q4405" s="2"/>
      <c r="R4405" s="2"/>
      <c r="S4405" s="2"/>
      <c r="T4405" s="19"/>
      <c r="U4405" s="2"/>
      <c r="V4405" s="2"/>
      <c r="W4405" s="2"/>
      <c r="X4405" s="19"/>
      <c r="Y4405" s="2"/>
      <c r="Z4405" s="5"/>
    </row>
    <row r="4406" spans="7:26" ht="75.75" customHeight="1" x14ac:dyDescent="0.25">
      <c r="G4406" s="5"/>
      <c r="H4406" s="2"/>
      <c r="I4406" s="2"/>
      <c r="K4406" s="2"/>
      <c r="L4406" s="2"/>
      <c r="M4406" s="2"/>
      <c r="N4406" s="2"/>
      <c r="O4406" s="2"/>
      <c r="P4406" s="2"/>
      <c r="Q4406" s="2"/>
      <c r="R4406" s="2"/>
      <c r="S4406" s="2"/>
      <c r="T4406" s="19"/>
      <c r="U4406" s="2"/>
      <c r="V4406" s="2"/>
      <c r="W4406" s="2"/>
      <c r="X4406" s="19"/>
      <c r="Y4406" s="2"/>
      <c r="Z4406" s="5"/>
    </row>
    <row r="4407" spans="7:26" ht="75.75" customHeight="1" x14ac:dyDescent="0.25">
      <c r="G4407" s="5"/>
      <c r="H4407" s="2"/>
      <c r="I4407" s="2"/>
      <c r="K4407" s="2"/>
      <c r="L4407" s="2"/>
      <c r="M4407" s="2"/>
      <c r="N4407" s="2"/>
      <c r="O4407" s="2"/>
      <c r="P4407" s="2"/>
      <c r="Q4407" s="2"/>
      <c r="R4407" s="2"/>
      <c r="S4407" s="2"/>
      <c r="T4407" s="19"/>
      <c r="U4407" s="2"/>
      <c r="V4407" s="2"/>
      <c r="W4407" s="2"/>
      <c r="X4407" s="19"/>
      <c r="Y4407" s="2"/>
      <c r="Z4407" s="5"/>
    </row>
    <row r="4408" spans="7:26" ht="75.75" customHeight="1" x14ac:dyDescent="0.25">
      <c r="G4408" s="5"/>
      <c r="H4408" s="2"/>
      <c r="I4408" s="2"/>
      <c r="K4408" s="2"/>
      <c r="L4408" s="2"/>
      <c r="M4408" s="2"/>
      <c r="N4408" s="2"/>
      <c r="O4408" s="2"/>
      <c r="P4408" s="2"/>
      <c r="Q4408" s="2"/>
      <c r="R4408" s="2"/>
      <c r="S4408" s="2"/>
      <c r="T4408" s="19"/>
      <c r="U4408" s="2"/>
      <c r="V4408" s="2"/>
      <c r="W4408" s="2"/>
      <c r="X4408" s="19"/>
      <c r="Y4408" s="2"/>
      <c r="Z4408" s="5"/>
    </row>
    <row r="4409" spans="7:26" ht="75.75" customHeight="1" x14ac:dyDescent="0.25">
      <c r="G4409" s="5"/>
      <c r="H4409" s="2"/>
      <c r="I4409" s="2"/>
      <c r="K4409" s="2"/>
      <c r="L4409" s="2"/>
      <c r="M4409" s="2"/>
      <c r="N4409" s="2"/>
      <c r="O4409" s="2"/>
      <c r="P4409" s="2"/>
      <c r="Q4409" s="2"/>
      <c r="R4409" s="2"/>
      <c r="S4409" s="2"/>
      <c r="T4409" s="19"/>
      <c r="U4409" s="2"/>
      <c r="V4409" s="2"/>
      <c r="W4409" s="2"/>
      <c r="X4409" s="19"/>
      <c r="Y4409" s="2"/>
      <c r="Z4409" s="5"/>
    </row>
    <row r="4410" spans="7:26" ht="75.75" customHeight="1" x14ac:dyDescent="0.25">
      <c r="G4410" s="5"/>
      <c r="H4410" s="2"/>
      <c r="I4410" s="2"/>
      <c r="K4410" s="2"/>
      <c r="L4410" s="2"/>
      <c r="M4410" s="2"/>
      <c r="N4410" s="2"/>
      <c r="O4410" s="2"/>
      <c r="P4410" s="2"/>
      <c r="Q4410" s="2"/>
      <c r="R4410" s="2"/>
      <c r="S4410" s="2"/>
      <c r="T4410" s="19"/>
      <c r="U4410" s="2"/>
      <c r="V4410" s="2"/>
      <c r="W4410" s="2"/>
      <c r="X4410" s="19"/>
      <c r="Y4410" s="2"/>
      <c r="Z4410" s="5"/>
    </row>
    <row r="4411" spans="7:26" ht="75.75" customHeight="1" x14ac:dyDescent="0.25">
      <c r="G4411" s="5"/>
      <c r="H4411" s="2"/>
      <c r="I4411" s="2"/>
      <c r="K4411" s="2"/>
      <c r="L4411" s="2"/>
      <c r="M4411" s="2"/>
      <c r="N4411" s="2"/>
      <c r="O4411" s="2"/>
      <c r="P4411" s="2"/>
      <c r="Q4411" s="2"/>
      <c r="R4411" s="2"/>
      <c r="S4411" s="2"/>
      <c r="T4411" s="19"/>
      <c r="U4411" s="2"/>
      <c r="V4411" s="2"/>
      <c r="W4411" s="2"/>
      <c r="X4411" s="19"/>
      <c r="Y4411" s="2"/>
      <c r="Z4411" s="5"/>
    </row>
    <row r="4412" spans="7:26" ht="75.75" customHeight="1" x14ac:dyDescent="0.25">
      <c r="G4412" s="5"/>
      <c r="H4412" s="2"/>
      <c r="I4412" s="2"/>
      <c r="K4412" s="2"/>
      <c r="L4412" s="2"/>
      <c r="M4412" s="2"/>
      <c r="N4412" s="2"/>
      <c r="O4412" s="2"/>
      <c r="P4412" s="2"/>
      <c r="Q4412" s="2"/>
      <c r="R4412" s="2"/>
      <c r="S4412" s="2"/>
      <c r="T4412" s="19"/>
      <c r="U4412" s="2"/>
      <c r="V4412" s="2"/>
      <c r="W4412" s="2"/>
      <c r="X4412" s="19"/>
      <c r="Y4412" s="2"/>
      <c r="Z4412" s="5"/>
    </row>
    <row r="4413" spans="7:26" ht="75.75" customHeight="1" x14ac:dyDescent="0.25">
      <c r="G4413" s="5"/>
      <c r="H4413" s="2"/>
      <c r="I4413" s="2"/>
      <c r="K4413" s="2"/>
      <c r="L4413" s="2"/>
      <c r="M4413" s="2"/>
      <c r="N4413" s="2"/>
      <c r="O4413" s="2"/>
      <c r="P4413" s="2"/>
      <c r="Q4413" s="2"/>
      <c r="R4413" s="2"/>
      <c r="S4413" s="2"/>
      <c r="T4413" s="19"/>
      <c r="U4413" s="2"/>
      <c r="V4413" s="2"/>
      <c r="W4413" s="2"/>
      <c r="X4413" s="19"/>
      <c r="Y4413" s="2"/>
      <c r="Z4413" s="5"/>
    </row>
    <row r="4414" spans="7:26" ht="75.75" customHeight="1" x14ac:dyDescent="0.25">
      <c r="G4414" s="5"/>
      <c r="H4414" s="2"/>
      <c r="I4414" s="2"/>
      <c r="K4414" s="2"/>
      <c r="L4414" s="2"/>
      <c r="M4414" s="2"/>
      <c r="N4414" s="2"/>
      <c r="O4414" s="2"/>
      <c r="P4414" s="2"/>
      <c r="Q4414" s="2"/>
      <c r="R4414" s="2"/>
      <c r="S4414" s="2"/>
      <c r="T4414" s="19"/>
      <c r="U4414" s="2"/>
      <c r="V4414" s="2"/>
      <c r="W4414" s="2"/>
      <c r="X4414" s="19"/>
      <c r="Y4414" s="2"/>
      <c r="Z4414" s="5"/>
    </row>
    <row r="4415" spans="7:26" ht="75.75" customHeight="1" x14ac:dyDescent="0.25">
      <c r="G4415" s="5"/>
      <c r="H4415" s="2"/>
      <c r="I4415" s="2"/>
      <c r="K4415" s="2"/>
      <c r="L4415" s="2"/>
      <c r="M4415" s="2"/>
      <c r="N4415" s="2"/>
      <c r="O4415" s="2"/>
      <c r="P4415" s="2"/>
      <c r="Q4415" s="2"/>
      <c r="R4415" s="2"/>
      <c r="S4415" s="2"/>
      <c r="T4415" s="19"/>
      <c r="U4415" s="2"/>
      <c r="V4415" s="2"/>
      <c r="W4415" s="2"/>
      <c r="X4415" s="19"/>
      <c r="Y4415" s="2"/>
      <c r="Z4415" s="5"/>
    </row>
    <row r="4416" spans="7:26" ht="75.75" customHeight="1" x14ac:dyDescent="0.25">
      <c r="G4416" s="5"/>
      <c r="H4416" s="2"/>
      <c r="I4416" s="2"/>
      <c r="K4416" s="2"/>
      <c r="L4416" s="2"/>
      <c r="M4416" s="2"/>
      <c r="N4416" s="2"/>
      <c r="O4416" s="2"/>
      <c r="P4416" s="2"/>
      <c r="Q4416" s="2"/>
      <c r="R4416" s="2"/>
      <c r="S4416" s="2"/>
      <c r="T4416" s="19"/>
      <c r="U4416" s="2"/>
      <c r="V4416" s="2"/>
      <c r="W4416" s="2"/>
      <c r="X4416" s="19"/>
      <c r="Y4416" s="2"/>
      <c r="Z4416" s="5"/>
    </row>
    <row r="4417" spans="7:26" ht="75.75" customHeight="1" x14ac:dyDescent="0.25">
      <c r="G4417" s="5"/>
      <c r="H4417" s="2"/>
      <c r="I4417" s="2"/>
      <c r="K4417" s="2"/>
      <c r="L4417" s="2"/>
      <c r="M4417" s="2"/>
      <c r="N4417" s="2"/>
      <c r="O4417" s="2"/>
      <c r="P4417" s="2"/>
      <c r="Q4417" s="2"/>
      <c r="R4417" s="2"/>
      <c r="S4417" s="2"/>
      <c r="T4417" s="19"/>
      <c r="U4417" s="2"/>
      <c r="V4417" s="2"/>
      <c r="W4417" s="2"/>
      <c r="X4417" s="19"/>
      <c r="Y4417" s="2"/>
      <c r="Z4417" s="5"/>
    </row>
    <row r="4418" spans="7:26" ht="75.75" customHeight="1" x14ac:dyDescent="0.25">
      <c r="G4418" s="5"/>
      <c r="H4418" s="2"/>
      <c r="I4418" s="2"/>
      <c r="K4418" s="2"/>
      <c r="L4418" s="2"/>
      <c r="M4418" s="2"/>
      <c r="N4418" s="2"/>
      <c r="O4418" s="2"/>
      <c r="P4418" s="2"/>
      <c r="Q4418" s="2"/>
      <c r="R4418" s="2"/>
      <c r="S4418" s="2"/>
      <c r="T4418" s="19"/>
      <c r="U4418" s="2"/>
      <c r="V4418" s="2"/>
      <c r="W4418" s="2"/>
      <c r="X4418" s="19"/>
      <c r="Y4418" s="2"/>
      <c r="Z4418" s="5"/>
    </row>
    <row r="4419" spans="7:26" ht="75.75" customHeight="1" x14ac:dyDescent="0.25">
      <c r="G4419" s="5"/>
      <c r="H4419" s="2"/>
      <c r="I4419" s="2"/>
      <c r="K4419" s="2"/>
      <c r="L4419" s="2"/>
      <c r="M4419" s="2"/>
      <c r="N4419" s="2"/>
      <c r="O4419" s="2"/>
      <c r="P4419" s="2"/>
      <c r="Q4419" s="2"/>
      <c r="R4419" s="2"/>
      <c r="S4419" s="2"/>
      <c r="T4419" s="19"/>
      <c r="U4419" s="2"/>
      <c r="V4419" s="2"/>
      <c r="W4419" s="2"/>
      <c r="X4419" s="19"/>
      <c r="Y4419" s="2"/>
      <c r="Z4419" s="5"/>
    </row>
    <row r="4420" spans="7:26" ht="75.75" customHeight="1" x14ac:dyDescent="0.25">
      <c r="G4420" s="5"/>
      <c r="H4420" s="2"/>
      <c r="I4420" s="2"/>
      <c r="K4420" s="2"/>
      <c r="L4420" s="2"/>
      <c r="M4420" s="2"/>
      <c r="N4420" s="2"/>
      <c r="O4420" s="2"/>
      <c r="P4420" s="2"/>
      <c r="Q4420" s="2"/>
      <c r="R4420" s="2"/>
      <c r="S4420" s="2"/>
      <c r="T4420" s="19"/>
      <c r="U4420" s="2"/>
      <c r="V4420" s="2"/>
      <c r="W4420" s="2"/>
      <c r="X4420" s="19"/>
      <c r="Y4420" s="2"/>
      <c r="Z4420" s="5"/>
    </row>
    <row r="4421" spans="7:26" ht="75.75" customHeight="1" x14ac:dyDescent="0.25">
      <c r="G4421" s="5"/>
      <c r="H4421" s="2"/>
      <c r="I4421" s="2"/>
      <c r="K4421" s="2"/>
      <c r="L4421" s="2"/>
      <c r="M4421" s="2"/>
      <c r="N4421" s="2"/>
      <c r="O4421" s="2"/>
      <c r="P4421" s="2"/>
      <c r="Q4421" s="2"/>
      <c r="R4421" s="2"/>
      <c r="S4421" s="2"/>
      <c r="T4421" s="19"/>
      <c r="U4421" s="2"/>
      <c r="V4421" s="2"/>
      <c r="W4421" s="2"/>
      <c r="X4421" s="19"/>
      <c r="Y4421" s="2"/>
      <c r="Z4421" s="5"/>
    </row>
    <row r="4422" spans="7:26" ht="75.75" customHeight="1" x14ac:dyDescent="0.25">
      <c r="G4422" s="5"/>
      <c r="H4422" s="2"/>
      <c r="I4422" s="2"/>
      <c r="K4422" s="2"/>
      <c r="L4422" s="2"/>
      <c r="M4422" s="2"/>
      <c r="N4422" s="2"/>
      <c r="O4422" s="2"/>
      <c r="P4422" s="2"/>
      <c r="Q4422" s="2"/>
      <c r="R4422" s="2"/>
      <c r="S4422" s="2"/>
      <c r="T4422" s="19"/>
      <c r="U4422" s="2"/>
      <c r="V4422" s="2"/>
      <c r="W4422" s="2"/>
      <c r="X4422" s="19"/>
      <c r="Y4422" s="2"/>
      <c r="Z4422" s="5"/>
    </row>
    <row r="4423" spans="7:26" ht="75.75" customHeight="1" x14ac:dyDescent="0.25">
      <c r="G4423" s="5"/>
      <c r="H4423" s="2"/>
      <c r="I4423" s="2"/>
      <c r="K4423" s="2"/>
      <c r="L4423" s="2"/>
      <c r="M4423" s="2"/>
      <c r="N4423" s="2"/>
      <c r="O4423" s="2"/>
      <c r="P4423" s="2"/>
      <c r="Q4423" s="2"/>
      <c r="R4423" s="2"/>
      <c r="S4423" s="2"/>
      <c r="T4423" s="19"/>
      <c r="U4423" s="2"/>
      <c r="V4423" s="2"/>
      <c r="W4423" s="2"/>
      <c r="X4423" s="19"/>
      <c r="Y4423" s="2"/>
      <c r="Z4423" s="5"/>
    </row>
    <row r="4424" spans="7:26" ht="75.75" customHeight="1" x14ac:dyDescent="0.25">
      <c r="G4424" s="5"/>
      <c r="H4424" s="2"/>
      <c r="I4424" s="2"/>
      <c r="K4424" s="2"/>
      <c r="L4424" s="2"/>
      <c r="M4424" s="2"/>
      <c r="N4424" s="2"/>
      <c r="O4424" s="2"/>
      <c r="P4424" s="2"/>
      <c r="Q4424" s="2"/>
      <c r="R4424" s="2"/>
      <c r="S4424" s="2"/>
      <c r="T4424" s="19"/>
      <c r="U4424" s="2"/>
      <c r="V4424" s="2"/>
      <c r="W4424" s="2"/>
      <c r="X4424" s="19"/>
      <c r="Y4424" s="2"/>
      <c r="Z4424" s="5"/>
    </row>
    <row r="4425" spans="7:26" ht="75.75" customHeight="1" x14ac:dyDescent="0.25">
      <c r="G4425" s="5"/>
      <c r="H4425" s="2"/>
      <c r="I4425" s="2"/>
      <c r="K4425" s="2"/>
      <c r="L4425" s="2"/>
      <c r="M4425" s="2"/>
      <c r="N4425" s="2"/>
      <c r="O4425" s="2"/>
      <c r="P4425" s="2"/>
      <c r="Q4425" s="2"/>
      <c r="R4425" s="2"/>
      <c r="S4425" s="2"/>
      <c r="T4425" s="19"/>
      <c r="U4425" s="2"/>
      <c r="V4425" s="2"/>
      <c r="W4425" s="2"/>
      <c r="X4425" s="19"/>
      <c r="Y4425" s="2"/>
      <c r="Z4425" s="5"/>
    </row>
    <row r="4426" spans="7:26" ht="75.75" customHeight="1" x14ac:dyDescent="0.25">
      <c r="G4426" s="5"/>
      <c r="H4426" s="2"/>
      <c r="I4426" s="2"/>
      <c r="K4426" s="2"/>
      <c r="L4426" s="2"/>
      <c r="M4426" s="2"/>
      <c r="N4426" s="2"/>
      <c r="O4426" s="2"/>
      <c r="P4426" s="2"/>
      <c r="Q4426" s="2"/>
      <c r="R4426" s="2"/>
      <c r="S4426" s="2"/>
      <c r="T4426" s="19"/>
      <c r="U4426" s="2"/>
      <c r="V4426" s="2"/>
      <c r="W4426" s="2"/>
      <c r="X4426" s="19"/>
      <c r="Y4426" s="2"/>
      <c r="Z4426" s="5"/>
    </row>
    <row r="4427" spans="7:26" ht="75.75" customHeight="1" x14ac:dyDescent="0.25">
      <c r="G4427" s="5"/>
      <c r="H4427" s="2"/>
      <c r="I4427" s="2"/>
      <c r="K4427" s="2"/>
      <c r="L4427" s="2"/>
      <c r="M4427" s="2"/>
      <c r="N4427" s="2"/>
      <c r="O4427" s="2"/>
      <c r="P4427" s="2"/>
      <c r="Q4427" s="2"/>
      <c r="R4427" s="2"/>
      <c r="S4427" s="2"/>
      <c r="T4427" s="19"/>
      <c r="U4427" s="2"/>
      <c r="V4427" s="2"/>
      <c r="W4427" s="2"/>
      <c r="X4427" s="19"/>
      <c r="Y4427" s="2"/>
      <c r="Z4427" s="5"/>
    </row>
    <row r="4428" spans="7:26" ht="75.75" customHeight="1" x14ac:dyDescent="0.25">
      <c r="G4428" s="5"/>
      <c r="H4428" s="2"/>
      <c r="I4428" s="2"/>
      <c r="K4428" s="2"/>
      <c r="L4428" s="2"/>
      <c r="M4428" s="2"/>
      <c r="N4428" s="2"/>
      <c r="O4428" s="2"/>
      <c r="P4428" s="2"/>
      <c r="Q4428" s="2"/>
      <c r="R4428" s="2"/>
      <c r="S4428" s="2"/>
      <c r="T4428" s="19"/>
      <c r="U4428" s="2"/>
      <c r="V4428" s="2"/>
      <c r="W4428" s="2"/>
      <c r="X4428" s="19"/>
      <c r="Y4428" s="2"/>
      <c r="Z4428" s="5"/>
    </row>
    <row r="4429" spans="7:26" ht="75.75" customHeight="1" x14ac:dyDescent="0.25">
      <c r="G4429" s="5"/>
      <c r="H4429" s="2"/>
      <c r="I4429" s="2"/>
      <c r="K4429" s="2"/>
      <c r="L4429" s="2"/>
      <c r="M4429" s="2"/>
      <c r="N4429" s="2"/>
      <c r="O4429" s="2"/>
      <c r="P4429" s="2"/>
      <c r="Q4429" s="2"/>
      <c r="R4429" s="2"/>
      <c r="S4429" s="2"/>
      <c r="T4429" s="19"/>
      <c r="U4429" s="2"/>
      <c r="V4429" s="2"/>
      <c r="W4429" s="2"/>
      <c r="X4429" s="19"/>
      <c r="Y4429" s="2"/>
      <c r="Z4429" s="5"/>
    </row>
    <row r="4430" spans="7:26" ht="75.75" customHeight="1" x14ac:dyDescent="0.25">
      <c r="G4430" s="5"/>
      <c r="H4430" s="2"/>
      <c r="I4430" s="2"/>
      <c r="K4430" s="2"/>
      <c r="L4430" s="2"/>
      <c r="M4430" s="2"/>
      <c r="N4430" s="2"/>
      <c r="O4430" s="2"/>
      <c r="P4430" s="2"/>
      <c r="Q4430" s="2"/>
      <c r="R4430" s="2"/>
      <c r="S4430" s="2"/>
      <c r="T4430" s="19"/>
      <c r="U4430" s="2"/>
      <c r="V4430" s="2"/>
      <c r="W4430" s="2"/>
      <c r="X4430" s="19"/>
      <c r="Y4430" s="2"/>
      <c r="Z4430" s="5"/>
    </row>
    <row r="4431" spans="7:26" ht="75.75" customHeight="1" x14ac:dyDescent="0.25">
      <c r="G4431" s="5"/>
      <c r="H4431" s="2"/>
      <c r="I4431" s="2"/>
      <c r="K4431" s="2"/>
      <c r="L4431" s="2"/>
      <c r="M4431" s="2"/>
      <c r="N4431" s="2"/>
      <c r="O4431" s="2"/>
      <c r="P4431" s="2"/>
      <c r="Q4431" s="2"/>
      <c r="R4431" s="2"/>
      <c r="S4431" s="2"/>
      <c r="T4431" s="19"/>
      <c r="U4431" s="2"/>
      <c r="V4431" s="2"/>
      <c r="W4431" s="2"/>
      <c r="X4431" s="19"/>
      <c r="Y4431" s="2"/>
      <c r="Z4431" s="5"/>
    </row>
    <row r="4432" spans="7:26" ht="75.75" customHeight="1" x14ac:dyDescent="0.25">
      <c r="G4432" s="5"/>
      <c r="H4432" s="2"/>
      <c r="I4432" s="2"/>
      <c r="K4432" s="2"/>
      <c r="L4432" s="2"/>
      <c r="M4432" s="2"/>
      <c r="N4432" s="2"/>
      <c r="O4432" s="2"/>
      <c r="P4432" s="2"/>
      <c r="Q4432" s="2"/>
      <c r="R4432" s="2"/>
      <c r="S4432" s="2"/>
      <c r="T4432" s="19"/>
      <c r="U4432" s="2"/>
      <c r="V4432" s="2"/>
      <c r="W4432" s="2"/>
      <c r="X4432" s="19"/>
      <c r="Y4432" s="2"/>
      <c r="Z4432" s="5"/>
    </row>
    <row r="4433" spans="7:26" ht="75.75" customHeight="1" x14ac:dyDescent="0.25">
      <c r="G4433" s="5"/>
      <c r="H4433" s="2"/>
      <c r="I4433" s="2"/>
      <c r="K4433" s="2"/>
      <c r="L4433" s="2"/>
      <c r="M4433" s="2"/>
      <c r="N4433" s="2"/>
      <c r="O4433" s="2"/>
      <c r="P4433" s="2"/>
      <c r="Q4433" s="2"/>
      <c r="R4433" s="2"/>
      <c r="S4433" s="2"/>
      <c r="T4433" s="19"/>
      <c r="U4433" s="2"/>
      <c r="V4433" s="2"/>
      <c r="W4433" s="2"/>
      <c r="X4433" s="19"/>
      <c r="Y4433" s="2"/>
      <c r="Z4433" s="5"/>
    </row>
    <row r="4434" spans="7:26" ht="75.75" customHeight="1" x14ac:dyDescent="0.25">
      <c r="G4434" s="5"/>
      <c r="H4434" s="2"/>
      <c r="I4434" s="2"/>
      <c r="K4434" s="2"/>
      <c r="L4434" s="2"/>
      <c r="M4434" s="2"/>
      <c r="N4434" s="2"/>
      <c r="O4434" s="2"/>
      <c r="P4434" s="2"/>
      <c r="Q4434" s="2"/>
      <c r="R4434" s="2"/>
      <c r="S4434" s="2"/>
      <c r="T4434" s="19"/>
      <c r="U4434" s="2"/>
      <c r="V4434" s="2"/>
      <c r="W4434" s="2"/>
      <c r="X4434" s="19"/>
      <c r="Y4434" s="2"/>
      <c r="Z4434" s="5"/>
    </row>
    <row r="4435" spans="7:26" ht="75.75" customHeight="1" x14ac:dyDescent="0.25">
      <c r="G4435" s="5"/>
      <c r="H4435" s="2"/>
      <c r="I4435" s="2"/>
      <c r="K4435" s="2"/>
      <c r="L4435" s="2"/>
      <c r="M4435" s="2"/>
      <c r="N4435" s="2"/>
      <c r="O4435" s="2"/>
      <c r="P4435" s="2"/>
      <c r="Q4435" s="2"/>
      <c r="R4435" s="2"/>
      <c r="S4435" s="2"/>
      <c r="T4435" s="19"/>
      <c r="U4435" s="2"/>
      <c r="V4435" s="2"/>
      <c r="W4435" s="2"/>
      <c r="X4435" s="19"/>
      <c r="Y4435" s="2"/>
      <c r="Z4435" s="5"/>
    </row>
    <row r="4436" spans="7:26" ht="75.75" customHeight="1" x14ac:dyDescent="0.25">
      <c r="G4436" s="5"/>
      <c r="H4436" s="2"/>
      <c r="I4436" s="2"/>
      <c r="K4436" s="2"/>
      <c r="L4436" s="2"/>
      <c r="M4436" s="2"/>
      <c r="N4436" s="2"/>
      <c r="O4436" s="2"/>
      <c r="P4436" s="2"/>
      <c r="Q4436" s="2"/>
      <c r="R4436" s="2"/>
      <c r="S4436" s="2"/>
      <c r="T4436" s="19"/>
      <c r="U4436" s="2"/>
      <c r="V4436" s="2"/>
      <c r="W4436" s="2"/>
      <c r="X4436" s="19"/>
      <c r="Y4436" s="2"/>
      <c r="Z4436" s="5"/>
    </row>
    <row r="4437" spans="7:26" ht="75.75" customHeight="1" x14ac:dyDescent="0.25">
      <c r="G4437" s="5"/>
      <c r="H4437" s="2"/>
      <c r="I4437" s="2"/>
      <c r="K4437" s="2"/>
      <c r="L4437" s="2"/>
      <c r="M4437" s="2"/>
      <c r="N4437" s="2"/>
      <c r="O4437" s="2"/>
      <c r="P4437" s="2"/>
      <c r="Q4437" s="2"/>
      <c r="R4437" s="2"/>
      <c r="S4437" s="2"/>
      <c r="T4437" s="19"/>
      <c r="U4437" s="2"/>
      <c r="V4437" s="2"/>
      <c r="W4437" s="2"/>
      <c r="X4437" s="19"/>
      <c r="Y4437" s="2"/>
      <c r="Z4437" s="5"/>
    </row>
    <row r="4438" spans="7:26" ht="75.75" customHeight="1" x14ac:dyDescent="0.25">
      <c r="G4438" s="5"/>
      <c r="H4438" s="2"/>
      <c r="I4438" s="2"/>
      <c r="K4438" s="2"/>
      <c r="L4438" s="2"/>
      <c r="M4438" s="2"/>
      <c r="N4438" s="2"/>
      <c r="O4438" s="2"/>
      <c r="P4438" s="2"/>
      <c r="Q4438" s="2"/>
      <c r="R4438" s="2"/>
      <c r="S4438" s="2"/>
      <c r="T4438" s="19"/>
      <c r="U4438" s="2"/>
      <c r="V4438" s="2"/>
      <c r="W4438" s="2"/>
      <c r="X4438" s="19"/>
      <c r="Y4438" s="2"/>
      <c r="Z4438" s="5"/>
    </row>
    <row r="4439" spans="7:26" ht="75.75" customHeight="1" x14ac:dyDescent="0.25">
      <c r="G4439" s="5"/>
      <c r="H4439" s="2"/>
      <c r="I4439" s="2"/>
      <c r="K4439" s="2"/>
      <c r="L4439" s="2"/>
      <c r="M4439" s="2"/>
      <c r="N4439" s="2"/>
      <c r="O4439" s="2"/>
      <c r="P4439" s="2"/>
      <c r="Q4439" s="2"/>
      <c r="R4439" s="2"/>
      <c r="S4439" s="2"/>
      <c r="T4439" s="19"/>
      <c r="U4439" s="2"/>
      <c r="V4439" s="2"/>
      <c r="W4439" s="2"/>
      <c r="X4439" s="19"/>
      <c r="Y4439" s="2"/>
      <c r="Z4439" s="5"/>
    </row>
    <row r="4440" spans="7:26" ht="75.75" customHeight="1" x14ac:dyDescent="0.25">
      <c r="G4440" s="5"/>
      <c r="H4440" s="2"/>
      <c r="I4440" s="2"/>
      <c r="K4440" s="2"/>
      <c r="L4440" s="2"/>
      <c r="M4440" s="2"/>
      <c r="N4440" s="2"/>
      <c r="O4440" s="2"/>
      <c r="P4440" s="2"/>
      <c r="Q4440" s="2"/>
      <c r="R4440" s="2"/>
      <c r="S4440" s="2"/>
      <c r="T4440" s="19"/>
      <c r="U4440" s="2"/>
      <c r="V4440" s="2"/>
      <c r="W4440" s="2"/>
      <c r="X4440" s="19"/>
      <c r="Y4440" s="2"/>
      <c r="Z4440" s="5"/>
    </row>
    <row r="4441" spans="7:26" ht="75.75" customHeight="1" x14ac:dyDescent="0.25">
      <c r="G4441" s="5"/>
      <c r="H4441" s="2"/>
      <c r="I4441" s="2"/>
      <c r="K4441" s="2"/>
      <c r="L4441" s="2"/>
      <c r="M4441" s="2"/>
      <c r="N4441" s="2"/>
      <c r="O4441" s="2"/>
      <c r="P4441" s="2"/>
      <c r="Q4441" s="2"/>
      <c r="R4441" s="2"/>
      <c r="S4441" s="2"/>
      <c r="T4441" s="19"/>
      <c r="U4441" s="2"/>
      <c r="V4441" s="2"/>
      <c r="W4441" s="2"/>
      <c r="X4441" s="19"/>
      <c r="Y4441" s="2"/>
      <c r="Z4441" s="5"/>
    </row>
    <row r="4442" spans="7:26" ht="75.75" customHeight="1" x14ac:dyDescent="0.25">
      <c r="G4442" s="5"/>
      <c r="H4442" s="2"/>
      <c r="I4442" s="2"/>
      <c r="K4442" s="2"/>
      <c r="L4442" s="2"/>
      <c r="M4442" s="2"/>
      <c r="N4442" s="2"/>
      <c r="O4442" s="2"/>
      <c r="P4442" s="2"/>
      <c r="Q4442" s="2"/>
      <c r="R4442" s="2"/>
      <c r="S4442" s="2"/>
      <c r="T4442" s="19"/>
      <c r="U4442" s="2"/>
      <c r="V4442" s="2"/>
      <c r="W4442" s="2"/>
      <c r="X4442" s="19"/>
      <c r="Y4442" s="2"/>
      <c r="Z4442" s="5"/>
    </row>
    <row r="4443" spans="7:26" ht="75.75" customHeight="1" x14ac:dyDescent="0.25">
      <c r="G4443" s="5"/>
      <c r="H4443" s="2"/>
      <c r="I4443" s="2"/>
      <c r="K4443" s="2"/>
      <c r="L4443" s="2"/>
      <c r="M4443" s="2"/>
      <c r="N4443" s="2"/>
      <c r="O4443" s="2"/>
      <c r="P4443" s="2"/>
      <c r="Q4443" s="2"/>
      <c r="R4443" s="2"/>
      <c r="S4443" s="2"/>
      <c r="T4443" s="19"/>
      <c r="U4443" s="2"/>
      <c r="V4443" s="2"/>
      <c r="W4443" s="2"/>
      <c r="X4443" s="19"/>
      <c r="Y4443" s="2"/>
      <c r="Z4443" s="5"/>
    </row>
    <row r="4444" spans="7:26" ht="75.75" customHeight="1" x14ac:dyDescent="0.25">
      <c r="G4444" s="5"/>
      <c r="H4444" s="2"/>
      <c r="I4444" s="2"/>
      <c r="K4444" s="2"/>
      <c r="L4444" s="2"/>
      <c r="M4444" s="2"/>
      <c r="N4444" s="2"/>
      <c r="O4444" s="2"/>
      <c r="P4444" s="2"/>
      <c r="Q4444" s="2"/>
      <c r="R4444" s="2"/>
      <c r="S4444" s="2"/>
      <c r="T4444" s="19"/>
      <c r="U4444" s="2"/>
      <c r="V4444" s="2"/>
      <c r="W4444" s="2"/>
      <c r="X4444" s="19"/>
      <c r="Y4444" s="2"/>
      <c r="Z4444" s="5"/>
    </row>
    <row r="4445" spans="7:26" ht="75.75" customHeight="1" x14ac:dyDescent="0.25">
      <c r="G4445" s="5"/>
      <c r="H4445" s="2"/>
      <c r="I4445" s="2"/>
      <c r="K4445" s="2"/>
      <c r="L4445" s="2"/>
      <c r="M4445" s="2"/>
      <c r="N4445" s="2"/>
      <c r="O4445" s="2"/>
      <c r="P4445" s="2"/>
      <c r="Q4445" s="2"/>
      <c r="R4445" s="2"/>
      <c r="S4445" s="2"/>
      <c r="T4445" s="19"/>
      <c r="U4445" s="2"/>
      <c r="V4445" s="2"/>
      <c r="W4445" s="2"/>
      <c r="X4445" s="19"/>
      <c r="Y4445" s="2"/>
      <c r="Z4445" s="5"/>
    </row>
    <row r="4446" spans="7:26" ht="75.75" customHeight="1" x14ac:dyDescent="0.25">
      <c r="G4446" s="5"/>
      <c r="H4446" s="2"/>
      <c r="I4446" s="2"/>
      <c r="K4446" s="2"/>
      <c r="L4446" s="2"/>
      <c r="M4446" s="2"/>
      <c r="N4446" s="2"/>
      <c r="O4446" s="2"/>
      <c r="P4446" s="2"/>
      <c r="Q4446" s="2"/>
      <c r="R4446" s="2"/>
      <c r="S4446" s="2"/>
      <c r="T4446" s="19"/>
      <c r="U4446" s="2"/>
      <c r="V4446" s="2"/>
      <c r="W4446" s="2"/>
      <c r="X4446" s="19"/>
      <c r="Y4446" s="2"/>
      <c r="Z4446" s="5"/>
    </row>
    <row r="4447" spans="7:26" ht="75.75" customHeight="1" x14ac:dyDescent="0.25">
      <c r="G4447" s="5"/>
      <c r="H4447" s="2"/>
      <c r="I4447" s="2"/>
      <c r="K4447" s="2"/>
      <c r="L4447" s="2"/>
      <c r="M4447" s="2"/>
      <c r="N4447" s="2"/>
      <c r="O4447" s="2"/>
      <c r="P4447" s="2"/>
      <c r="Q4447" s="2"/>
      <c r="R4447" s="2"/>
      <c r="S4447" s="2"/>
      <c r="T4447" s="19"/>
      <c r="U4447" s="2"/>
      <c r="V4447" s="2"/>
      <c r="W4447" s="2"/>
      <c r="X4447" s="19"/>
      <c r="Y4447" s="2"/>
      <c r="Z4447" s="5"/>
    </row>
    <row r="4448" spans="7:26" ht="75.75" customHeight="1" x14ac:dyDescent="0.25">
      <c r="G4448" s="5"/>
      <c r="H4448" s="2"/>
      <c r="I4448" s="2"/>
      <c r="K4448" s="2"/>
      <c r="L4448" s="2"/>
      <c r="M4448" s="2"/>
      <c r="N4448" s="2"/>
      <c r="O4448" s="2"/>
      <c r="P4448" s="2"/>
      <c r="Q4448" s="2"/>
      <c r="R4448" s="2"/>
      <c r="S4448" s="2"/>
      <c r="T4448" s="19"/>
      <c r="U4448" s="2"/>
      <c r="V4448" s="2"/>
      <c r="W4448" s="2"/>
      <c r="X4448" s="19"/>
      <c r="Y4448" s="2"/>
      <c r="Z4448" s="5"/>
    </row>
    <row r="4449" spans="7:26" ht="75.75" customHeight="1" x14ac:dyDescent="0.25">
      <c r="G4449" s="5"/>
      <c r="H4449" s="2"/>
      <c r="I4449" s="2"/>
      <c r="K4449" s="2"/>
      <c r="L4449" s="2"/>
      <c r="M4449" s="2"/>
      <c r="N4449" s="2"/>
      <c r="O4449" s="2"/>
      <c r="P4449" s="2"/>
      <c r="Q4449" s="2"/>
      <c r="R4449" s="2"/>
      <c r="S4449" s="2"/>
      <c r="T4449" s="19"/>
      <c r="U4449" s="2"/>
      <c r="V4449" s="2"/>
      <c r="W4449" s="2"/>
      <c r="X4449" s="19"/>
      <c r="Y4449" s="2"/>
      <c r="Z4449" s="5"/>
    </row>
    <row r="4450" spans="7:26" ht="75.75" customHeight="1" x14ac:dyDescent="0.25">
      <c r="G4450" s="5"/>
      <c r="H4450" s="2"/>
      <c r="I4450" s="2"/>
      <c r="K4450" s="2"/>
      <c r="L4450" s="2"/>
      <c r="M4450" s="2"/>
      <c r="N4450" s="2"/>
      <c r="O4450" s="2"/>
      <c r="P4450" s="2"/>
      <c r="Q4450" s="2"/>
      <c r="R4450" s="2"/>
      <c r="S4450" s="2"/>
      <c r="T4450" s="19"/>
      <c r="U4450" s="2"/>
      <c r="V4450" s="2"/>
      <c r="W4450" s="2"/>
      <c r="X4450" s="19"/>
      <c r="Y4450" s="2"/>
      <c r="Z4450" s="5"/>
    </row>
    <row r="4451" spans="7:26" ht="75.75" customHeight="1" x14ac:dyDescent="0.25">
      <c r="G4451" s="5"/>
      <c r="H4451" s="2"/>
      <c r="I4451" s="2"/>
      <c r="K4451" s="2"/>
      <c r="L4451" s="2"/>
      <c r="M4451" s="2"/>
      <c r="N4451" s="2"/>
      <c r="O4451" s="2"/>
      <c r="P4451" s="2"/>
      <c r="Q4451" s="2"/>
      <c r="R4451" s="2"/>
      <c r="S4451" s="2"/>
      <c r="T4451" s="19"/>
      <c r="U4451" s="2"/>
      <c r="V4451" s="2"/>
      <c r="W4451" s="2"/>
      <c r="X4451" s="19"/>
      <c r="Y4451" s="2"/>
      <c r="Z4451" s="5"/>
    </row>
    <row r="4452" spans="7:26" ht="75.75" customHeight="1" x14ac:dyDescent="0.25">
      <c r="G4452" s="5"/>
      <c r="H4452" s="2"/>
      <c r="I4452" s="2"/>
      <c r="K4452" s="2"/>
      <c r="L4452" s="2"/>
      <c r="M4452" s="2"/>
      <c r="N4452" s="2"/>
      <c r="O4452" s="2"/>
      <c r="P4452" s="2"/>
      <c r="Q4452" s="2"/>
      <c r="R4452" s="2"/>
      <c r="S4452" s="2"/>
      <c r="T4452" s="19"/>
      <c r="U4452" s="2"/>
      <c r="V4452" s="2"/>
      <c r="W4452" s="2"/>
      <c r="X4452" s="19"/>
      <c r="Y4452" s="2"/>
      <c r="Z4452" s="5"/>
    </row>
    <row r="4453" spans="7:26" ht="75.75" customHeight="1" x14ac:dyDescent="0.25">
      <c r="G4453" s="5"/>
      <c r="H4453" s="2"/>
      <c r="I4453" s="2"/>
      <c r="K4453" s="2"/>
      <c r="L4453" s="2"/>
      <c r="M4453" s="2"/>
      <c r="N4453" s="2"/>
      <c r="O4453" s="2"/>
      <c r="P4453" s="2"/>
      <c r="Q4453" s="2"/>
      <c r="R4453" s="2"/>
      <c r="S4453" s="2"/>
      <c r="T4453" s="19"/>
      <c r="U4453" s="2"/>
      <c r="V4453" s="2"/>
      <c r="W4453" s="2"/>
      <c r="X4453" s="19"/>
      <c r="Y4453" s="2"/>
      <c r="Z4453" s="5"/>
    </row>
    <row r="4454" spans="7:26" ht="75.75" customHeight="1" x14ac:dyDescent="0.25">
      <c r="G4454" s="5"/>
      <c r="H4454" s="2"/>
      <c r="I4454" s="2"/>
      <c r="K4454" s="2"/>
      <c r="L4454" s="2"/>
      <c r="M4454" s="2"/>
      <c r="N4454" s="2"/>
      <c r="O4454" s="2"/>
      <c r="P4454" s="2"/>
      <c r="Q4454" s="2"/>
      <c r="R4454" s="2"/>
      <c r="S4454" s="2"/>
      <c r="T4454" s="19"/>
      <c r="U4454" s="2"/>
      <c r="V4454" s="2"/>
      <c r="W4454" s="2"/>
      <c r="X4454" s="19"/>
      <c r="Y4454" s="2"/>
      <c r="Z4454" s="5"/>
    </row>
    <row r="4455" spans="7:26" ht="75.75" customHeight="1" x14ac:dyDescent="0.25">
      <c r="G4455" s="5"/>
      <c r="H4455" s="2"/>
      <c r="I4455" s="2"/>
      <c r="K4455" s="2"/>
      <c r="L4455" s="2"/>
      <c r="M4455" s="2"/>
      <c r="N4455" s="2"/>
      <c r="O4455" s="2"/>
      <c r="P4455" s="2"/>
      <c r="Q4455" s="2"/>
      <c r="R4455" s="2"/>
      <c r="S4455" s="2"/>
      <c r="T4455" s="19"/>
      <c r="U4455" s="2"/>
      <c r="V4455" s="2"/>
      <c r="W4455" s="2"/>
      <c r="X4455" s="19"/>
      <c r="Y4455" s="2"/>
      <c r="Z4455" s="5"/>
    </row>
    <row r="4456" spans="7:26" ht="75.75" customHeight="1" x14ac:dyDescent="0.25">
      <c r="G4456" s="5"/>
      <c r="H4456" s="2"/>
      <c r="I4456" s="2"/>
      <c r="K4456" s="2"/>
      <c r="L4456" s="2"/>
      <c r="M4456" s="2"/>
      <c r="N4456" s="2"/>
      <c r="O4456" s="2"/>
      <c r="P4456" s="2"/>
      <c r="Q4456" s="2"/>
      <c r="R4456" s="2"/>
      <c r="S4456" s="2"/>
      <c r="T4456" s="19"/>
      <c r="U4456" s="2"/>
      <c r="V4456" s="2"/>
      <c r="W4456" s="2"/>
      <c r="X4456" s="19"/>
      <c r="Y4456" s="2"/>
      <c r="Z4456" s="5"/>
    </row>
    <row r="4457" spans="7:26" ht="75.75" customHeight="1" x14ac:dyDescent="0.25">
      <c r="G4457" s="5"/>
      <c r="H4457" s="2"/>
      <c r="I4457" s="2"/>
      <c r="K4457" s="2"/>
      <c r="L4457" s="2"/>
      <c r="M4457" s="2"/>
      <c r="N4457" s="2"/>
      <c r="O4457" s="2"/>
      <c r="P4457" s="2"/>
      <c r="Q4457" s="2"/>
      <c r="R4457" s="2"/>
      <c r="S4457" s="2"/>
      <c r="T4457" s="19"/>
      <c r="U4457" s="2"/>
      <c r="V4457" s="2"/>
      <c r="W4457" s="2"/>
      <c r="X4457" s="19"/>
      <c r="Y4457" s="2"/>
      <c r="Z4457" s="5"/>
    </row>
    <row r="4458" spans="7:26" ht="75.75" customHeight="1" x14ac:dyDescent="0.25">
      <c r="G4458" s="5"/>
      <c r="H4458" s="2"/>
      <c r="I4458" s="2"/>
      <c r="K4458" s="2"/>
      <c r="L4458" s="2"/>
      <c r="M4458" s="2"/>
      <c r="N4458" s="2"/>
      <c r="O4458" s="2"/>
      <c r="P4458" s="2"/>
      <c r="Q4458" s="2"/>
      <c r="R4458" s="2"/>
      <c r="S4458" s="2"/>
      <c r="T4458" s="19"/>
      <c r="U4458" s="2"/>
      <c r="V4458" s="2"/>
      <c r="W4458" s="2"/>
      <c r="X4458" s="19"/>
      <c r="Y4458" s="2"/>
      <c r="Z4458" s="5"/>
    </row>
    <row r="4459" spans="7:26" ht="75.75" customHeight="1" x14ac:dyDescent="0.25">
      <c r="G4459" s="5"/>
      <c r="H4459" s="2"/>
      <c r="I4459" s="2"/>
      <c r="K4459" s="2"/>
      <c r="L4459" s="2"/>
      <c r="M4459" s="2"/>
      <c r="N4459" s="2"/>
      <c r="O4459" s="2"/>
      <c r="P4459" s="2"/>
      <c r="Q4459" s="2"/>
      <c r="R4459" s="2"/>
      <c r="S4459" s="2"/>
      <c r="T4459" s="19"/>
      <c r="U4459" s="2"/>
      <c r="V4459" s="2"/>
      <c r="W4459" s="2"/>
      <c r="X4459" s="19"/>
      <c r="Y4459" s="2"/>
      <c r="Z4459" s="5"/>
    </row>
    <row r="4460" spans="7:26" ht="75.75" customHeight="1" x14ac:dyDescent="0.25">
      <c r="G4460" s="5"/>
      <c r="H4460" s="2"/>
      <c r="I4460" s="2"/>
      <c r="K4460" s="2"/>
      <c r="L4460" s="2"/>
      <c r="M4460" s="2"/>
      <c r="N4460" s="2"/>
      <c r="O4460" s="2"/>
      <c r="P4460" s="2"/>
      <c r="Q4460" s="2"/>
      <c r="R4460" s="2"/>
      <c r="S4460" s="2"/>
      <c r="T4460" s="19"/>
      <c r="U4460" s="2"/>
      <c r="V4460" s="2"/>
      <c r="W4460" s="2"/>
      <c r="X4460" s="19"/>
      <c r="Y4460" s="2"/>
      <c r="Z4460" s="5"/>
    </row>
    <row r="4461" spans="7:26" ht="75.75" customHeight="1" x14ac:dyDescent="0.25">
      <c r="G4461" s="5"/>
      <c r="H4461" s="2"/>
      <c r="I4461" s="2"/>
      <c r="K4461" s="2"/>
      <c r="L4461" s="2"/>
      <c r="M4461" s="2"/>
      <c r="N4461" s="2"/>
      <c r="O4461" s="2"/>
      <c r="P4461" s="2"/>
      <c r="Q4461" s="2"/>
      <c r="R4461" s="2"/>
      <c r="S4461" s="2"/>
      <c r="T4461" s="19"/>
      <c r="U4461" s="2"/>
      <c r="V4461" s="2"/>
      <c r="W4461" s="2"/>
      <c r="X4461" s="19"/>
      <c r="Y4461" s="2"/>
      <c r="Z4461" s="5"/>
    </row>
    <row r="4462" spans="7:26" ht="75.75" customHeight="1" x14ac:dyDescent="0.25">
      <c r="G4462" s="5"/>
      <c r="H4462" s="2"/>
      <c r="I4462" s="2"/>
      <c r="K4462" s="2"/>
      <c r="L4462" s="2"/>
      <c r="M4462" s="2"/>
      <c r="N4462" s="2"/>
      <c r="O4462" s="2"/>
      <c r="P4462" s="2"/>
      <c r="Q4462" s="2"/>
      <c r="R4462" s="2"/>
      <c r="S4462" s="2"/>
      <c r="T4462" s="19"/>
      <c r="U4462" s="2"/>
      <c r="V4462" s="2"/>
      <c r="W4462" s="2"/>
      <c r="X4462" s="19"/>
      <c r="Y4462" s="2"/>
      <c r="Z4462" s="5"/>
    </row>
    <row r="4463" spans="7:26" ht="75.75" customHeight="1" x14ac:dyDescent="0.25">
      <c r="G4463" s="5"/>
      <c r="H4463" s="2"/>
      <c r="I4463" s="2"/>
      <c r="K4463" s="2"/>
      <c r="L4463" s="2"/>
      <c r="M4463" s="2"/>
      <c r="N4463" s="2"/>
      <c r="O4463" s="2"/>
      <c r="P4463" s="2"/>
      <c r="Q4463" s="2"/>
      <c r="R4463" s="2"/>
      <c r="S4463" s="2"/>
      <c r="T4463" s="19"/>
      <c r="U4463" s="2"/>
      <c r="V4463" s="2"/>
      <c r="W4463" s="2"/>
      <c r="X4463" s="19"/>
      <c r="Y4463" s="2"/>
      <c r="Z4463" s="5"/>
    </row>
    <row r="4464" spans="7:26" ht="75.75" customHeight="1" x14ac:dyDescent="0.25">
      <c r="G4464" s="5"/>
      <c r="H4464" s="2"/>
      <c r="I4464" s="2"/>
      <c r="K4464" s="2"/>
      <c r="L4464" s="2"/>
      <c r="M4464" s="2"/>
      <c r="N4464" s="2"/>
      <c r="O4464" s="2"/>
      <c r="P4464" s="2"/>
      <c r="Q4464" s="2"/>
      <c r="R4464" s="2"/>
      <c r="S4464" s="2"/>
      <c r="T4464" s="19"/>
      <c r="U4464" s="2"/>
      <c r="V4464" s="2"/>
      <c r="W4464" s="2"/>
      <c r="X4464" s="19"/>
      <c r="Y4464" s="2"/>
      <c r="Z4464" s="5"/>
    </row>
    <row r="4465" spans="7:26" ht="75.75" customHeight="1" x14ac:dyDescent="0.25">
      <c r="G4465" s="5"/>
      <c r="H4465" s="2"/>
      <c r="I4465" s="2"/>
      <c r="K4465" s="2"/>
      <c r="L4465" s="2"/>
      <c r="M4465" s="2"/>
      <c r="N4465" s="2"/>
      <c r="O4465" s="2"/>
      <c r="P4465" s="2"/>
      <c r="Q4465" s="2"/>
      <c r="R4465" s="2"/>
      <c r="S4465" s="2"/>
      <c r="T4465" s="19"/>
      <c r="U4465" s="2"/>
      <c r="V4465" s="2"/>
      <c r="W4465" s="2"/>
      <c r="X4465" s="19"/>
      <c r="Y4465" s="2"/>
      <c r="Z4465" s="5"/>
    </row>
    <row r="4466" spans="7:26" ht="75.75" customHeight="1" x14ac:dyDescent="0.25">
      <c r="G4466" s="5"/>
      <c r="H4466" s="2"/>
      <c r="I4466" s="2"/>
      <c r="K4466" s="2"/>
      <c r="L4466" s="2"/>
      <c r="M4466" s="2"/>
      <c r="N4466" s="2"/>
      <c r="O4466" s="2"/>
      <c r="P4466" s="2"/>
      <c r="Q4466" s="2"/>
      <c r="R4466" s="2"/>
      <c r="S4466" s="2"/>
      <c r="T4466" s="19"/>
      <c r="U4466" s="2"/>
      <c r="V4466" s="2"/>
      <c r="W4466" s="2"/>
      <c r="X4466" s="19"/>
      <c r="Y4466" s="2"/>
      <c r="Z4466" s="5"/>
    </row>
    <row r="4467" spans="7:26" ht="75.75" customHeight="1" x14ac:dyDescent="0.25">
      <c r="G4467" s="5"/>
      <c r="H4467" s="2"/>
      <c r="I4467" s="2"/>
      <c r="K4467" s="2"/>
      <c r="L4467" s="2"/>
      <c r="M4467" s="2"/>
      <c r="N4467" s="2"/>
      <c r="O4467" s="2"/>
      <c r="P4467" s="2"/>
      <c r="Q4467" s="2"/>
      <c r="R4467" s="2"/>
      <c r="S4467" s="2"/>
      <c r="T4467" s="19"/>
      <c r="U4467" s="2"/>
      <c r="V4467" s="2"/>
      <c r="W4467" s="2"/>
      <c r="X4467" s="19"/>
      <c r="Y4467" s="2"/>
      <c r="Z4467" s="5"/>
    </row>
    <row r="4468" spans="7:26" ht="75.75" customHeight="1" x14ac:dyDescent="0.25">
      <c r="G4468" s="5"/>
      <c r="H4468" s="2"/>
      <c r="I4468" s="2"/>
      <c r="K4468" s="2"/>
      <c r="L4468" s="2"/>
      <c r="M4468" s="2"/>
      <c r="N4468" s="2"/>
      <c r="O4468" s="2"/>
      <c r="P4468" s="2"/>
      <c r="Q4468" s="2"/>
      <c r="R4468" s="2"/>
      <c r="S4468" s="2"/>
      <c r="T4468" s="19"/>
      <c r="U4468" s="2"/>
      <c r="V4468" s="2"/>
      <c r="W4468" s="2"/>
      <c r="X4468" s="19"/>
      <c r="Y4468" s="2"/>
      <c r="Z4468" s="5"/>
    </row>
    <row r="4469" spans="7:26" ht="75.75" customHeight="1" x14ac:dyDescent="0.25">
      <c r="G4469" s="5"/>
      <c r="H4469" s="2"/>
      <c r="I4469" s="2"/>
      <c r="K4469" s="2"/>
      <c r="L4469" s="2"/>
      <c r="M4469" s="2"/>
      <c r="N4469" s="2"/>
      <c r="O4469" s="2"/>
      <c r="P4469" s="2"/>
      <c r="Q4469" s="2"/>
      <c r="R4469" s="2"/>
      <c r="S4469" s="2"/>
      <c r="T4469" s="19"/>
      <c r="U4469" s="2"/>
      <c r="V4469" s="2"/>
      <c r="W4469" s="2"/>
      <c r="X4469" s="19"/>
      <c r="Y4469" s="2"/>
      <c r="Z4469" s="5"/>
    </row>
    <row r="4470" spans="7:26" ht="75.75" customHeight="1" x14ac:dyDescent="0.25">
      <c r="G4470" s="5"/>
      <c r="H4470" s="2"/>
      <c r="I4470" s="2"/>
      <c r="K4470" s="2"/>
      <c r="L4470" s="2"/>
      <c r="M4470" s="2"/>
      <c r="N4470" s="2"/>
      <c r="O4470" s="2"/>
      <c r="P4470" s="2"/>
      <c r="Q4470" s="2"/>
      <c r="R4470" s="2"/>
      <c r="S4470" s="2"/>
      <c r="T4470" s="19"/>
      <c r="U4470" s="2"/>
      <c r="V4470" s="2"/>
      <c r="W4470" s="2"/>
      <c r="X4470" s="19"/>
      <c r="Y4470" s="2"/>
      <c r="Z4470" s="5"/>
    </row>
    <row r="4471" spans="7:26" ht="75.75" customHeight="1" x14ac:dyDescent="0.25">
      <c r="G4471" s="5"/>
      <c r="H4471" s="2"/>
      <c r="I4471" s="2"/>
      <c r="K4471" s="2"/>
      <c r="L4471" s="2"/>
      <c r="M4471" s="2"/>
      <c r="N4471" s="2"/>
      <c r="O4471" s="2"/>
      <c r="P4471" s="2"/>
      <c r="Q4471" s="2"/>
      <c r="R4471" s="2"/>
      <c r="S4471" s="2"/>
      <c r="T4471" s="19"/>
      <c r="U4471" s="2"/>
      <c r="V4471" s="2"/>
      <c r="W4471" s="2"/>
      <c r="X4471" s="19"/>
      <c r="Y4471" s="2"/>
      <c r="Z4471" s="5"/>
    </row>
    <row r="4472" spans="7:26" ht="75.75" customHeight="1" x14ac:dyDescent="0.25">
      <c r="G4472" s="5"/>
      <c r="H4472" s="2"/>
      <c r="I4472" s="2"/>
      <c r="K4472" s="2"/>
      <c r="L4472" s="2"/>
      <c r="M4472" s="2"/>
      <c r="N4472" s="2"/>
      <c r="O4472" s="2"/>
      <c r="P4472" s="2"/>
      <c r="Q4472" s="2"/>
      <c r="R4472" s="2"/>
      <c r="S4472" s="2"/>
      <c r="T4472" s="19"/>
      <c r="U4472" s="2"/>
      <c r="V4472" s="2"/>
      <c r="W4472" s="2"/>
      <c r="X4472" s="19"/>
      <c r="Y4472" s="2"/>
      <c r="Z4472" s="5"/>
    </row>
    <row r="4473" spans="7:26" ht="75.75" customHeight="1" x14ac:dyDescent="0.25">
      <c r="G4473" s="5"/>
      <c r="H4473" s="2"/>
      <c r="I4473" s="2"/>
      <c r="K4473" s="2"/>
      <c r="L4473" s="2"/>
      <c r="M4473" s="2"/>
      <c r="N4473" s="2"/>
      <c r="O4473" s="2"/>
      <c r="P4473" s="2"/>
      <c r="Q4473" s="2"/>
      <c r="R4473" s="2"/>
      <c r="S4473" s="2"/>
      <c r="T4473" s="19"/>
      <c r="U4473" s="2"/>
      <c r="V4473" s="2"/>
      <c r="W4473" s="2"/>
      <c r="X4473" s="19"/>
      <c r="Y4473" s="2"/>
      <c r="Z4473" s="5"/>
    </row>
    <row r="4474" spans="7:26" ht="75.75" customHeight="1" x14ac:dyDescent="0.25">
      <c r="G4474" s="5"/>
      <c r="H4474" s="2"/>
      <c r="I4474" s="2"/>
      <c r="K4474" s="2"/>
      <c r="L4474" s="2"/>
      <c r="M4474" s="2"/>
      <c r="N4474" s="2"/>
      <c r="O4474" s="2"/>
      <c r="P4474" s="2"/>
      <c r="Q4474" s="2"/>
      <c r="R4474" s="2"/>
      <c r="S4474" s="2"/>
      <c r="T4474" s="19"/>
      <c r="U4474" s="2"/>
      <c r="V4474" s="2"/>
      <c r="W4474" s="2"/>
      <c r="X4474" s="19"/>
      <c r="Y4474" s="2"/>
      <c r="Z4474" s="5"/>
    </row>
    <row r="4475" spans="7:26" ht="75.75" customHeight="1" x14ac:dyDescent="0.25">
      <c r="G4475" s="5"/>
      <c r="H4475" s="2"/>
      <c r="I4475" s="2"/>
      <c r="K4475" s="2"/>
      <c r="L4475" s="2"/>
      <c r="M4475" s="2"/>
      <c r="N4475" s="2"/>
      <c r="O4475" s="2"/>
      <c r="P4475" s="2"/>
      <c r="Q4475" s="2"/>
      <c r="R4475" s="2"/>
      <c r="S4475" s="2"/>
      <c r="T4475" s="19"/>
      <c r="U4475" s="2"/>
      <c r="V4475" s="2"/>
      <c r="W4475" s="2"/>
      <c r="X4475" s="19"/>
      <c r="Y4475" s="2"/>
      <c r="Z4475" s="5"/>
    </row>
    <row r="4476" spans="7:26" ht="75.75" customHeight="1" x14ac:dyDescent="0.25">
      <c r="G4476" s="5"/>
      <c r="H4476" s="2"/>
      <c r="I4476" s="2"/>
      <c r="K4476" s="2"/>
      <c r="L4476" s="2"/>
      <c r="M4476" s="2"/>
      <c r="N4476" s="2"/>
      <c r="O4476" s="2"/>
      <c r="P4476" s="2"/>
      <c r="Q4476" s="2"/>
      <c r="R4476" s="2"/>
      <c r="S4476" s="2"/>
      <c r="T4476" s="19"/>
      <c r="U4476" s="2"/>
      <c r="V4476" s="2"/>
      <c r="W4476" s="2"/>
      <c r="X4476" s="19"/>
      <c r="Y4476" s="2"/>
      <c r="Z4476" s="5"/>
    </row>
    <row r="4477" spans="7:26" ht="75.75" customHeight="1" x14ac:dyDescent="0.25">
      <c r="G4477" s="5"/>
      <c r="H4477" s="2"/>
      <c r="I4477" s="2"/>
      <c r="K4477" s="2"/>
      <c r="L4477" s="2"/>
      <c r="M4477" s="2"/>
      <c r="N4477" s="2"/>
      <c r="O4477" s="2"/>
      <c r="P4477" s="2"/>
      <c r="Q4477" s="2"/>
      <c r="R4477" s="2"/>
      <c r="S4477" s="2"/>
      <c r="T4477" s="19"/>
      <c r="U4477" s="2"/>
      <c r="V4477" s="2"/>
      <c r="W4477" s="2"/>
      <c r="X4477" s="19"/>
      <c r="Y4477" s="2"/>
      <c r="Z4477" s="5"/>
    </row>
    <row r="4478" spans="7:26" ht="75.75" customHeight="1" x14ac:dyDescent="0.25">
      <c r="G4478" s="5"/>
      <c r="H4478" s="2"/>
      <c r="I4478" s="2"/>
      <c r="K4478" s="2"/>
      <c r="L4478" s="2"/>
      <c r="M4478" s="2"/>
      <c r="N4478" s="2"/>
      <c r="O4478" s="2"/>
      <c r="P4478" s="2"/>
      <c r="Q4478" s="2"/>
      <c r="R4478" s="2"/>
      <c r="S4478" s="2"/>
      <c r="T4478" s="19"/>
      <c r="U4478" s="2"/>
      <c r="V4478" s="2"/>
      <c r="W4478" s="2"/>
      <c r="X4478" s="19"/>
      <c r="Y4478" s="2"/>
      <c r="Z4478" s="5"/>
    </row>
    <row r="4479" spans="7:26" ht="75.75" customHeight="1" x14ac:dyDescent="0.25">
      <c r="G4479" s="5"/>
      <c r="H4479" s="2"/>
      <c r="I4479" s="2"/>
      <c r="K4479" s="2"/>
      <c r="L4479" s="2"/>
      <c r="M4479" s="2"/>
      <c r="N4479" s="2"/>
      <c r="O4479" s="2"/>
      <c r="P4479" s="2"/>
      <c r="Q4479" s="2"/>
      <c r="R4479" s="2"/>
      <c r="S4479" s="2"/>
      <c r="T4479" s="19"/>
      <c r="U4479" s="2"/>
      <c r="V4479" s="2"/>
      <c r="W4479" s="2"/>
      <c r="X4479" s="19"/>
      <c r="Y4479" s="2"/>
      <c r="Z4479" s="5"/>
    </row>
    <row r="4480" spans="7:26" ht="75.75" customHeight="1" x14ac:dyDescent="0.25">
      <c r="G4480" s="5"/>
      <c r="H4480" s="2"/>
      <c r="I4480" s="2"/>
      <c r="K4480" s="2"/>
      <c r="L4480" s="2"/>
      <c r="M4480" s="2"/>
      <c r="N4480" s="2"/>
      <c r="O4480" s="2"/>
      <c r="P4480" s="2"/>
      <c r="Q4480" s="2"/>
      <c r="R4480" s="2"/>
      <c r="S4480" s="2"/>
      <c r="T4480" s="19"/>
      <c r="U4480" s="2"/>
      <c r="V4480" s="2"/>
      <c r="W4480" s="2"/>
      <c r="X4480" s="19"/>
      <c r="Y4480" s="2"/>
      <c r="Z4480" s="5"/>
    </row>
    <row r="4481" spans="7:26" ht="75.75" customHeight="1" x14ac:dyDescent="0.25">
      <c r="G4481" s="5"/>
      <c r="H4481" s="2"/>
      <c r="I4481" s="2"/>
      <c r="K4481" s="2"/>
      <c r="L4481" s="2"/>
      <c r="M4481" s="2"/>
      <c r="N4481" s="2"/>
      <c r="O4481" s="2"/>
      <c r="P4481" s="2"/>
      <c r="Q4481" s="2"/>
      <c r="R4481" s="2"/>
      <c r="S4481" s="2"/>
      <c r="T4481" s="19"/>
      <c r="U4481" s="2"/>
      <c r="V4481" s="2"/>
      <c r="W4481" s="2"/>
      <c r="X4481" s="19"/>
      <c r="Y4481" s="2"/>
      <c r="Z4481" s="5"/>
    </row>
    <row r="4482" spans="7:26" ht="75.75" customHeight="1" x14ac:dyDescent="0.25">
      <c r="G4482" s="5"/>
      <c r="H4482" s="2"/>
      <c r="I4482" s="2"/>
      <c r="K4482" s="2"/>
      <c r="L4482" s="2"/>
      <c r="M4482" s="2"/>
      <c r="N4482" s="2"/>
      <c r="O4482" s="2"/>
      <c r="P4482" s="2"/>
      <c r="Q4482" s="2"/>
      <c r="R4482" s="2"/>
      <c r="S4482" s="2"/>
      <c r="T4482" s="19"/>
      <c r="U4482" s="2"/>
      <c r="V4482" s="2"/>
      <c r="W4482" s="2"/>
      <c r="X4482" s="19"/>
      <c r="Y4482" s="2"/>
      <c r="Z4482" s="5"/>
    </row>
    <row r="4483" spans="7:26" ht="75.75" customHeight="1" x14ac:dyDescent="0.25">
      <c r="G4483" s="5"/>
      <c r="H4483" s="2"/>
      <c r="I4483" s="2"/>
      <c r="K4483" s="2"/>
      <c r="L4483" s="2"/>
      <c r="M4483" s="2"/>
      <c r="N4483" s="2"/>
      <c r="O4483" s="2"/>
      <c r="P4483" s="2"/>
      <c r="Q4483" s="2"/>
      <c r="R4483" s="2"/>
      <c r="S4483" s="2"/>
      <c r="T4483" s="19"/>
      <c r="U4483" s="2"/>
      <c r="V4483" s="2"/>
      <c r="W4483" s="2"/>
      <c r="X4483" s="19"/>
      <c r="Y4483" s="2"/>
      <c r="Z4483" s="5"/>
    </row>
    <row r="4484" spans="7:26" ht="75.75" customHeight="1" x14ac:dyDescent="0.25">
      <c r="G4484" s="5"/>
      <c r="H4484" s="2"/>
      <c r="I4484" s="2"/>
      <c r="K4484" s="2"/>
      <c r="L4484" s="2"/>
      <c r="M4484" s="2"/>
      <c r="N4484" s="2"/>
      <c r="O4484" s="2"/>
      <c r="P4484" s="2"/>
      <c r="Q4484" s="2"/>
      <c r="R4484" s="2"/>
      <c r="S4484" s="2"/>
      <c r="T4484" s="19"/>
      <c r="U4484" s="2"/>
      <c r="V4484" s="2"/>
      <c r="W4484" s="2"/>
      <c r="X4484" s="19"/>
      <c r="Y4484" s="2"/>
      <c r="Z4484" s="5"/>
    </row>
    <row r="4485" spans="7:26" ht="75.75" customHeight="1" x14ac:dyDescent="0.25">
      <c r="G4485" s="5"/>
      <c r="H4485" s="2"/>
      <c r="I4485" s="2"/>
      <c r="K4485" s="2"/>
      <c r="L4485" s="2"/>
      <c r="M4485" s="2"/>
      <c r="N4485" s="2"/>
      <c r="O4485" s="2"/>
      <c r="P4485" s="2"/>
      <c r="Q4485" s="2"/>
      <c r="R4485" s="2"/>
      <c r="S4485" s="2"/>
      <c r="T4485" s="19"/>
      <c r="U4485" s="2"/>
      <c r="V4485" s="2"/>
      <c r="W4485" s="2"/>
      <c r="X4485" s="19"/>
      <c r="Y4485" s="2"/>
      <c r="Z4485" s="5"/>
    </row>
    <row r="4486" spans="7:26" ht="75.75" customHeight="1" x14ac:dyDescent="0.25">
      <c r="G4486" s="5"/>
      <c r="H4486" s="2"/>
      <c r="I4486" s="2"/>
      <c r="K4486" s="2"/>
      <c r="L4486" s="2"/>
      <c r="M4486" s="2"/>
      <c r="N4486" s="2"/>
      <c r="O4486" s="2"/>
      <c r="P4486" s="2"/>
      <c r="Q4486" s="2"/>
      <c r="R4486" s="2"/>
      <c r="S4486" s="2"/>
      <c r="T4486" s="19"/>
      <c r="U4486" s="2"/>
      <c r="V4486" s="2"/>
      <c r="W4486" s="2"/>
      <c r="X4486" s="19"/>
      <c r="Y4486" s="2"/>
      <c r="Z4486" s="5"/>
    </row>
    <row r="4487" spans="7:26" ht="75.75" customHeight="1" x14ac:dyDescent="0.25">
      <c r="G4487" s="5"/>
      <c r="H4487" s="2"/>
      <c r="I4487" s="2"/>
      <c r="K4487" s="2"/>
      <c r="L4487" s="2"/>
      <c r="M4487" s="2"/>
      <c r="N4487" s="2"/>
      <c r="O4487" s="2"/>
      <c r="P4487" s="2"/>
      <c r="Q4487" s="2"/>
      <c r="R4487" s="2"/>
      <c r="S4487" s="2"/>
      <c r="T4487" s="19"/>
      <c r="U4487" s="2"/>
      <c r="V4487" s="2"/>
      <c r="W4487" s="2"/>
      <c r="X4487" s="19"/>
      <c r="Y4487" s="2"/>
      <c r="Z4487" s="5"/>
    </row>
    <row r="4488" spans="7:26" ht="75.75" customHeight="1" x14ac:dyDescent="0.25">
      <c r="G4488" s="5"/>
      <c r="H4488" s="2"/>
      <c r="I4488" s="2"/>
      <c r="K4488" s="2"/>
      <c r="L4488" s="2"/>
      <c r="M4488" s="2"/>
      <c r="N4488" s="2"/>
      <c r="O4488" s="2"/>
      <c r="P4488" s="2"/>
      <c r="Q4488" s="2"/>
      <c r="R4488" s="2"/>
      <c r="S4488" s="2"/>
      <c r="T4488" s="19"/>
      <c r="U4488" s="2"/>
      <c r="V4488" s="2"/>
      <c r="W4488" s="2"/>
      <c r="X4488" s="19"/>
      <c r="Y4488" s="2"/>
      <c r="Z4488" s="5"/>
    </row>
    <row r="4489" spans="7:26" ht="75.75" customHeight="1" x14ac:dyDescent="0.25">
      <c r="G4489" s="5"/>
      <c r="H4489" s="2"/>
      <c r="I4489" s="2"/>
      <c r="K4489" s="2"/>
      <c r="L4489" s="2"/>
      <c r="M4489" s="2"/>
      <c r="N4489" s="2"/>
      <c r="O4489" s="2"/>
      <c r="P4489" s="2"/>
      <c r="Q4489" s="2"/>
      <c r="R4489" s="2"/>
      <c r="S4489" s="2"/>
      <c r="T4489" s="19"/>
      <c r="U4489" s="2"/>
      <c r="V4489" s="2"/>
      <c r="W4489" s="2"/>
      <c r="X4489" s="19"/>
      <c r="Y4489" s="2"/>
      <c r="Z4489" s="5"/>
    </row>
    <row r="4490" spans="7:26" ht="75.75" customHeight="1" x14ac:dyDescent="0.25">
      <c r="G4490" s="5"/>
      <c r="H4490" s="2"/>
      <c r="I4490" s="2"/>
      <c r="K4490" s="2"/>
      <c r="L4490" s="2"/>
      <c r="M4490" s="2"/>
      <c r="N4490" s="2"/>
      <c r="O4490" s="2"/>
      <c r="P4490" s="2"/>
      <c r="Q4490" s="2"/>
      <c r="R4490" s="2"/>
      <c r="S4490" s="2"/>
      <c r="T4490" s="19"/>
      <c r="U4490" s="2"/>
      <c r="V4490" s="2"/>
      <c r="W4490" s="2"/>
      <c r="X4490" s="19"/>
      <c r="Y4490" s="2"/>
      <c r="Z4490" s="5"/>
    </row>
    <row r="4491" spans="7:26" ht="75.75" customHeight="1" x14ac:dyDescent="0.25">
      <c r="G4491" s="5"/>
      <c r="H4491" s="2"/>
      <c r="I4491" s="2"/>
      <c r="K4491" s="2"/>
      <c r="L4491" s="2"/>
      <c r="M4491" s="2"/>
      <c r="N4491" s="2"/>
      <c r="O4491" s="2"/>
      <c r="P4491" s="2"/>
      <c r="Q4491" s="2"/>
      <c r="R4491" s="2"/>
      <c r="S4491" s="2"/>
      <c r="T4491" s="19"/>
      <c r="U4491" s="2"/>
      <c r="V4491" s="2"/>
      <c r="W4491" s="2"/>
      <c r="X4491" s="19"/>
      <c r="Y4491" s="2"/>
      <c r="Z4491" s="5"/>
    </row>
    <row r="4492" spans="7:26" ht="75.75" customHeight="1" x14ac:dyDescent="0.25">
      <c r="G4492" s="5"/>
      <c r="H4492" s="2"/>
      <c r="I4492" s="2"/>
      <c r="K4492" s="2"/>
      <c r="L4492" s="2"/>
      <c r="M4492" s="2"/>
      <c r="N4492" s="2"/>
      <c r="O4492" s="2"/>
      <c r="P4492" s="2"/>
      <c r="Q4492" s="2"/>
      <c r="R4492" s="2"/>
      <c r="S4492" s="2"/>
      <c r="T4492" s="19"/>
      <c r="U4492" s="2"/>
      <c r="V4492" s="2"/>
      <c r="W4492" s="2"/>
      <c r="X4492" s="19"/>
      <c r="Y4492" s="2"/>
      <c r="Z4492" s="5"/>
    </row>
    <row r="4493" spans="7:26" ht="75.75" customHeight="1" x14ac:dyDescent="0.25">
      <c r="G4493" s="5"/>
      <c r="H4493" s="2"/>
      <c r="I4493" s="2"/>
      <c r="K4493" s="2"/>
      <c r="L4493" s="2"/>
      <c r="M4493" s="2"/>
      <c r="N4493" s="2"/>
      <c r="O4493" s="2"/>
      <c r="P4493" s="2"/>
      <c r="Q4493" s="2"/>
      <c r="R4493" s="2"/>
      <c r="S4493" s="2"/>
      <c r="T4493" s="19"/>
      <c r="U4493" s="2"/>
      <c r="V4493" s="2"/>
      <c r="W4493" s="2"/>
      <c r="X4493" s="19"/>
      <c r="Y4493" s="2"/>
      <c r="Z4493" s="5"/>
    </row>
    <row r="4494" spans="7:26" ht="75.75" customHeight="1" x14ac:dyDescent="0.25">
      <c r="G4494" s="5"/>
      <c r="H4494" s="2"/>
      <c r="I4494" s="2"/>
      <c r="K4494" s="2"/>
      <c r="L4494" s="2"/>
      <c r="M4494" s="2"/>
      <c r="N4494" s="2"/>
      <c r="O4494" s="2"/>
      <c r="P4494" s="2"/>
      <c r="Q4494" s="2"/>
      <c r="R4494" s="2"/>
      <c r="S4494" s="2"/>
      <c r="T4494" s="19"/>
      <c r="U4494" s="2"/>
      <c r="V4494" s="2"/>
      <c r="W4494" s="2"/>
      <c r="X4494" s="19"/>
      <c r="Y4494" s="2"/>
      <c r="Z4494" s="5"/>
    </row>
    <row r="4495" spans="7:26" ht="75.75" customHeight="1" x14ac:dyDescent="0.25">
      <c r="G4495" s="5"/>
      <c r="H4495" s="2"/>
      <c r="I4495" s="2"/>
      <c r="K4495" s="2"/>
      <c r="L4495" s="2"/>
      <c r="M4495" s="2"/>
      <c r="N4495" s="2"/>
      <c r="O4495" s="2"/>
      <c r="P4495" s="2"/>
      <c r="Q4495" s="2"/>
      <c r="R4495" s="2"/>
      <c r="S4495" s="2"/>
      <c r="T4495" s="19"/>
      <c r="U4495" s="2"/>
      <c r="V4495" s="2"/>
      <c r="W4495" s="2"/>
      <c r="X4495" s="19"/>
      <c r="Y4495" s="2"/>
      <c r="Z4495" s="5"/>
    </row>
    <row r="4496" spans="7:26" ht="75.75" customHeight="1" x14ac:dyDescent="0.25">
      <c r="G4496" s="5"/>
      <c r="H4496" s="2"/>
      <c r="I4496" s="2"/>
      <c r="K4496" s="2"/>
      <c r="L4496" s="2"/>
      <c r="M4496" s="2"/>
      <c r="N4496" s="2"/>
      <c r="O4496" s="2"/>
      <c r="P4496" s="2"/>
      <c r="Q4496" s="2"/>
      <c r="R4496" s="2"/>
      <c r="S4496" s="2"/>
      <c r="T4496" s="19"/>
      <c r="U4496" s="2"/>
      <c r="V4496" s="2"/>
      <c r="W4496" s="2"/>
      <c r="X4496" s="19"/>
      <c r="Y4496" s="2"/>
      <c r="Z4496" s="5"/>
    </row>
    <row r="4497" spans="7:26" ht="75.75" customHeight="1" x14ac:dyDescent="0.25">
      <c r="G4497" s="5"/>
      <c r="H4497" s="2"/>
      <c r="I4497" s="2"/>
      <c r="K4497" s="2"/>
      <c r="L4497" s="2"/>
      <c r="M4497" s="2"/>
      <c r="N4497" s="2"/>
      <c r="O4497" s="2"/>
      <c r="P4497" s="2"/>
      <c r="Q4497" s="2"/>
      <c r="R4497" s="2"/>
      <c r="S4497" s="2"/>
      <c r="T4497" s="19"/>
      <c r="U4497" s="2"/>
      <c r="V4497" s="2"/>
      <c r="W4497" s="2"/>
      <c r="X4497" s="19"/>
      <c r="Y4497" s="2"/>
      <c r="Z4497" s="5"/>
    </row>
    <row r="4498" spans="7:26" ht="75.75" customHeight="1" x14ac:dyDescent="0.25">
      <c r="G4498" s="5"/>
      <c r="H4498" s="2"/>
      <c r="I4498" s="2"/>
      <c r="K4498" s="2"/>
      <c r="L4498" s="2"/>
      <c r="M4498" s="2"/>
      <c r="N4498" s="2"/>
      <c r="O4498" s="2"/>
      <c r="P4498" s="2"/>
      <c r="Q4498" s="2"/>
      <c r="R4498" s="2"/>
      <c r="S4498" s="2"/>
      <c r="T4498" s="19"/>
      <c r="U4498" s="2"/>
      <c r="V4498" s="2"/>
      <c r="W4498" s="2"/>
      <c r="X4498" s="19"/>
      <c r="Y4498" s="2"/>
      <c r="Z4498" s="5"/>
    </row>
    <row r="4499" spans="7:26" ht="75.75" customHeight="1" x14ac:dyDescent="0.25">
      <c r="G4499" s="5"/>
      <c r="H4499" s="2"/>
      <c r="I4499" s="2"/>
      <c r="K4499" s="2"/>
      <c r="L4499" s="2"/>
      <c r="M4499" s="2"/>
      <c r="N4499" s="2"/>
      <c r="O4499" s="2"/>
      <c r="P4499" s="2"/>
      <c r="Q4499" s="2"/>
      <c r="R4499" s="2"/>
      <c r="S4499" s="2"/>
      <c r="T4499" s="19"/>
      <c r="U4499" s="2"/>
      <c r="V4499" s="2"/>
      <c r="W4499" s="2"/>
      <c r="X4499" s="19"/>
      <c r="Y4499" s="2"/>
      <c r="Z4499" s="5"/>
    </row>
    <row r="4500" spans="7:26" ht="75.75" customHeight="1" x14ac:dyDescent="0.25">
      <c r="G4500" s="5"/>
      <c r="H4500" s="2"/>
      <c r="I4500" s="2"/>
      <c r="K4500" s="2"/>
      <c r="L4500" s="2"/>
      <c r="M4500" s="2"/>
      <c r="N4500" s="2"/>
      <c r="O4500" s="2"/>
      <c r="P4500" s="2"/>
      <c r="Q4500" s="2"/>
      <c r="R4500" s="2"/>
      <c r="S4500" s="2"/>
      <c r="T4500" s="19"/>
      <c r="U4500" s="2"/>
      <c r="V4500" s="2"/>
      <c r="W4500" s="2"/>
      <c r="X4500" s="19"/>
      <c r="Y4500" s="2"/>
      <c r="Z4500" s="5"/>
    </row>
    <row r="4501" spans="7:26" ht="75.75" customHeight="1" x14ac:dyDescent="0.25">
      <c r="G4501" s="5"/>
      <c r="H4501" s="2"/>
      <c r="I4501" s="2"/>
      <c r="K4501" s="2"/>
      <c r="L4501" s="2"/>
      <c r="M4501" s="2"/>
      <c r="N4501" s="2"/>
      <c r="O4501" s="2"/>
      <c r="P4501" s="2"/>
      <c r="Q4501" s="2"/>
      <c r="R4501" s="2"/>
      <c r="S4501" s="2"/>
      <c r="T4501" s="19"/>
      <c r="U4501" s="2"/>
      <c r="V4501" s="2"/>
      <c r="W4501" s="2"/>
      <c r="X4501" s="19"/>
      <c r="Y4501" s="2"/>
      <c r="Z4501" s="5"/>
    </row>
    <row r="4502" spans="7:26" ht="75.75" customHeight="1" x14ac:dyDescent="0.25">
      <c r="G4502" s="5"/>
      <c r="H4502" s="2"/>
      <c r="I4502" s="2"/>
      <c r="K4502" s="2"/>
      <c r="L4502" s="2"/>
      <c r="M4502" s="2"/>
      <c r="N4502" s="2"/>
      <c r="O4502" s="2"/>
      <c r="P4502" s="2"/>
      <c r="Q4502" s="2"/>
      <c r="R4502" s="2"/>
      <c r="S4502" s="2"/>
      <c r="T4502" s="19"/>
      <c r="U4502" s="2"/>
      <c r="V4502" s="2"/>
      <c r="W4502" s="2"/>
      <c r="X4502" s="19"/>
      <c r="Y4502" s="2"/>
      <c r="Z4502" s="5"/>
    </row>
    <row r="4503" spans="7:26" ht="75.75" customHeight="1" x14ac:dyDescent="0.25">
      <c r="G4503" s="5"/>
      <c r="H4503" s="2"/>
      <c r="I4503" s="2"/>
      <c r="K4503" s="2"/>
      <c r="L4503" s="2"/>
      <c r="M4503" s="2"/>
      <c r="N4503" s="2"/>
      <c r="O4503" s="2"/>
      <c r="P4503" s="2"/>
      <c r="Q4503" s="2"/>
      <c r="R4503" s="2"/>
      <c r="S4503" s="2"/>
      <c r="T4503" s="19"/>
      <c r="U4503" s="2"/>
      <c r="V4503" s="2"/>
      <c r="W4503" s="2"/>
      <c r="X4503" s="19"/>
      <c r="Y4503" s="2"/>
      <c r="Z4503" s="5"/>
    </row>
    <row r="4504" spans="7:26" ht="75.75" customHeight="1" x14ac:dyDescent="0.25">
      <c r="G4504" s="5"/>
      <c r="H4504" s="2"/>
      <c r="I4504" s="2"/>
      <c r="K4504" s="2"/>
      <c r="L4504" s="2"/>
      <c r="M4504" s="2"/>
      <c r="N4504" s="2"/>
      <c r="O4504" s="2"/>
      <c r="P4504" s="2"/>
      <c r="Q4504" s="2"/>
      <c r="R4504" s="2"/>
      <c r="S4504" s="2"/>
      <c r="T4504" s="19"/>
      <c r="U4504" s="2"/>
      <c r="V4504" s="2"/>
      <c r="W4504" s="2"/>
      <c r="X4504" s="19"/>
      <c r="Y4504" s="2"/>
      <c r="Z4504" s="5"/>
    </row>
    <row r="4505" spans="7:26" ht="75.75" customHeight="1" x14ac:dyDescent="0.25">
      <c r="G4505" s="5"/>
      <c r="H4505" s="2"/>
      <c r="I4505" s="2"/>
      <c r="K4505" s="2"/>
      <c r="L4505" s="2"/>
      <c r="M4505" s="2"/>
      <c r="N4505" s="2"/>
      <c r="O4505" s="2"/>
      <c r="P4505" s="2"/>
      <c r="Q4505" s="2"/>
      <c r="R4505" s="2"/>
      <c r="S4505" s="2"/>
      <c r="T4505" s="19"/>
      <c r="U4505" s="2"/>
      <c r="V4505" s="2"/>
      <c r="W4505" s="2"/>
      <c r="X4505" s="19"/>
      <c r="Y4505" s="2"/>
      <c r="Z4505" s="5"/>
    </row>
    <row r="4506" spans="7:26" ht="75.75" customHeight="1" x14ac:dyDescent="0.25">
      <c r="G4506" s="5"/>
      <c r="H4506" s="2"/>
      <c r="I4506" s="2"/>
      <c r="K4506" s="2"/>
      <c r="L4506" s="2"/>
      <c r="M4506" s="2"/>
      <c r="N4506" s="2"/>
      <c r="O4506" s="2"/>
      <c r="P4506" s="2"/>
      <c r="Q4506" s="2"/>
      <c r="R4506" s="2"/>
      <c r="S4506" s="2"/>
      <c r="T4506" s="19"/>
      <c r="U4506" s="2"/>
      <c r="V4506" s="2"/>
      <c r="W4506" s="2"/>
      <c r="X4506" s="19"/>
      <c r="Y4506" s="2"/>
      <c r="Z4506" s="5"/>
    </row>
    <row r="4507" spans="7:26" ht="75.75" customHeight="1" x14ac:dyDescent="0.25">
      <c r="G4507" s="5"/>
      <c r="H4507" s="2"/>
      <c r="I4507" s="2"/>
      <c r="K4507" s="2"/>
      <c r="L4507" s="2"/>
      <c r="M4507" s="2"/>
      <c r="N4507" s="2"/>
      <c r="O4507" s="2"/>
      <c r="P4507" s="2"/>
      <c r="Q4507" s="2"/>
      <c r="R4507" s="2"/>
      <c r="S4507" s="2"/>
      <c r="T4507" s="19"/>
      <c r="U4507" s="2"/>
      <c r="V4507" s="2"/>
      <c r="W4507" s="2"/>
      <c r="X4507" s="19"/>
      <c r="Y4507" s="2"/>
      <c r="Z4507" s="5"/>
    </row>
    <row r="4508" spans="7:26" ht="75.75" customHeight="1" x14ac:dyDescent="0.25">
      <c r="G4508" s="5"/>
      <c r="H4508" s="2"/>
      <c r="I4508" s="2"/>
      <c r="K4508" s="2"/>
      <c r="L4508" s="2"/>
      <c r="M4508" s="2"/>
      <c r="N4508" s="2"/>
      <c r="O4508" s="2"/>
      <c r="P4508" s="2"/>
      <c r="Q4508" s="2"/>
      <c r="R4508" s="2"/>
      <c r="S4508" s="2"/>
      <c r="T4508" s="19"/>
      <c r="U4508" s="2"/>
      <c r="V4508" s="2"/>
      <c r="W4508" s="2"/>
      <c r="X4508" s="19"/>
      <c r="Y4508" s="2"/>
      <c r="Z4508" s="5"/>
    </row>
    <row r="4509" spans="7:26" ht="75.75" customHeight="1" x14ac:dyDescent="0.25">
      <c r="G4509" s="5"/>
      <c r="H4509" s="2"/>
      <c r="I4509" s="2"/>
      <c r="K4509" s="2"/>
      <c r="L4509" s="2"/>
      <c r="M4509" s="2"/>
      <c r="N4509" s="2"/>
      <c r="O4509" s="2"/>
      <c r="P4509" s="2"/>
      <c r="Q4509" s="2"/>
      <c r="R4509" s="2"/>
      <c r="S4509" s="2"/>
      <c r="T4509" s="19"/>
      <c r="U4509" s="2"/>
      <c r="V4509" s="2"/>
      <c r="W4509" s="2"/>
      <c r="X4509" s="19"/>
      <c r="Y4509" s="2"/>
      <c r="Z4509" s="5"/>
    </row>
    <row r="4510" spans="7:26" ht="75.75" customHeight="1" x14ac:dyDescent="0.25">
      <c r="G4510" s="5"/>
      <c r="H4510" s="2"/>
      <c r="I4510" s="2"/>
      <c r="K4510" s="2"/>
      <c r="L4510" s="2"/>
      <c r="M4510" s="2"/>
      <c r="N4510" s="2"/>
      <c r="O4510" s="2"/>
      <c r="P4510" s="2"/>
      <c r="Q4510" s="2"/>
      <c r="R4510" s="2"/>
      <c r="S4510" s="2"/>
      <c r="T4510" s="19"/>
      <c r="U4510" s="2"/>
      <c r="V4510" s="2"/>
      <c r="W4510" s="2"/>
      <c r="X4510" s="19"/>
      <c r="Y4510" s="2"/>
      <c r="Z4510" s="5"/>
    </row>
    <row r="4511" spans="7:26" ht="75.75" customHeight="1" x14ac:dyDescent="0.25">
      <c r="G4511" s="5"/>
      <c r="H4511" s="2"/>
      <c r="I4511" s="2"/>
      <c r="K4511" s="2"/>
      <c r="L4511" s="2"/>
      <c r="M4511" s="2"/>
      <c r="N4511" s="2"/>
      <c r="O4511" s="2"/>
      <c r="P4511" s="2"/>
      <c r="Q4511" s="2"/>
      <c r="R4511" s="2"/>
      <c r="S4511" s="2"/>
      <c r="T4511" s="19"/>
      <c r="U4511" s="2"/>
      <c r="V4511" s="2"/>
      <c r="W4511" s="2"/>
      <c r="X4511" s="19"/>
      <c r="Y4511" s="2"/>
      <c r="Z4511" s="5"/>
    </row>
    <row r="4512" spans="7:26" ht="75.75" customHeight="1" x14ac:dyDescent="0.25">
      <c r="G4512" s="5"/>
      <c r="H4512" s="2"/>
      <c r="I4512" s="2"/>
      <c r="K4512" s="2"/>
      <c r="L4512" s="2"/>
      <c r="M4512" s="2"/>
      <c r="N4512" s="2"/>
      <c r="O4512" s="2"/>
      <c r="P4512" s="2"/>
      <c r="Q4512" s="2"/>
      <c r="R4512" s="2"/>
      <c r="S4512" s="2"/>
      <c r="T4512" s="19"/>
      <c r="U4512" s="2"/>
      <c r="V4512" s="2"/>
      <c r="W4512" s="2"/>
      <c r="X4512" s="19"/>
      <c r="Y4512" s="2"/>
      <c r="Z4512" s="5"/>
    </row>
    <row r="4513" spans="7:26" ht="75.75" customHeight="1" x14ac:dyDescent="0.25">
      <c r="G4513" s="5"/>
      <c r="H4513" s="2"/>
      <c r="I4513" s="2"/>
      <c r="K4513" s="2"/>
      <c r="L4513" s="2"/>
      <c r="M4513" s="2"/>
      <c r="N4513" s="2"/>
      <c r="O4513" s="2"/>
      <c r="P4513" s="2"/>
      <c r="Q4513" s="2"/>
      <c r="R4513" s="2"/>
      <c r="S4513" s="2"/>
      <c r="T4513" s="19"/>
      <c r="U4513" s="2"/>
      <c r="V4513" s="2"/>
      <c r="W4513" s="2"/>
      <c r="X4513" s="19"/>
      <c r="Y4513" s="2"/>
      <c r="Z4513" s="5"/>
    </row>
    <row r="4514" spans="7:26" ht="75.75" customHeight="1" x14ac:dyDescent="0.25">
      <c r="G4514" s="5"/>
      <c r="H4514" s="2"/>
      <c r="I4514" s="2"/>
      <c r="K4514" s="2"/>
      <c r="L4514" s="2"/>
      <c r="M4514" s="2"/>
      <c r="N4514" s="2"/>
      <c r="O4514" s="2"/>
      <c r="P4514" s="2"/>
      <c r="Q4514" s="2"/>
      <c r="R4514" s="2"/>
      <c r="S4514" s="2"/>
      <c r="T4514" s="19"/>
      <c r="U4514" s="2"/>
      <c r="V4514" s="2"/>
      <c r="W4514" s="2"/>
      <c r="X4514" s="19"/>
      <c r="Y4514" s="2"/>
      <c r="Z4514" s="5"/>
    </row>
    <row r="4515" spans="7:26" ht="75.75" customHeight="1" x14ac:dyDescent="0.25">
      <c r="G4515" s="5"/>
      <c r="H4515" s="2"/>
      <c r="I4515" s="2"/>
      <c r="K4515" s="2"/>
      <c r="L4515" s="2"/>
      <c r="M4515" s="2"/>
      <c r="N4515" s="2"/>
      <c r="O4515" s="2"/>
      <c r="P4515" s="2"/>
      <c r="Q4515" s="2"/>
      <c r="R4515" s="2"/>
      <c r="S4515" s="2"/>
      <c r="T4515" s="19"/>
      <c r="U4515" s="2"/>
      <c r="V4515" s="2"/>
      <c r="W4515" s="2"/>
      <c r="X4515" s="19"/>
      <c r="Y4515" s="2"/>
      <c r="Z4515" s="5"/>
    </row>
    <row r="4516" spans="7:26" ht="75.75" customHeight="1" x14ac:dyDescent="0.25">
      <c r="G4516" s="5"/>
      <c r="H4516" s="2"/>
      <c r="I4516" s="2"/>
      <c r="K4516" s="2"/>
      <c r="L4516" s="2"/>
      <c r="M4516" s="2"/>
      <c r="N4516" s="2"/>
      <c r="O4516" s="2"/>
      <c r="P4516" s="2"/>
      <c r="Q4516" s="2"/>
      <c r="R4516" s="2"/>
      <c r="S4516" s="2"/>
      <c r="T4516" s="19"/>
      <c r="U4516" s="2"/>
      <c r="V4516" s="2"/>
      <c r="W4516" s="2"/>
      <c r="X4516" s="19"/>
      <c r="Y4516" s="2"/>
      <c r="Z4516" s="5"/>
    </row>
    <row r="4517" spans="7:26" ht="75.75" customHeight="1" x14ac:dyDescent="0.25">
      <c r="G4517" s="5"/>
      <c r="H4517" s="2"/>
      <c r="I4517" s="2"/>
      <c r="K4517" s="2"/>
      <c r="L4517" s="2"/>
      <c r="M4517" s="2"/>
      <c r="N4517" s="2"/>
      <c r="O4517" s="2"/>
      <c r="P4517" s="2"/>
      <c r="Q4517" s="2"/>
      <c r="R4517" s="2"/>
      <c r="S4517" s="2"/>
      <c r="T4517" s="19"/>
      <c r="U4517" s="2"/>
      <c r="V4517" s="2"/>
      <c r="W4517" s="2"/>
      <c r="X4517" s="19"/>
      <c r="Y4517" s="2"/>
      <c r="Z4517" s="5"/>
    </row>
    <row r="4518" spans="7:26" ht="75.75" customHeight="1" x14ac:dyDescent="0.25">
      <c r="G4518" s="5"/>
      <c r="H4518" s="2"/>
      <c r="I4518" s="2"/>
      <c r="K4518" s="2"/>
      <c r="L4518" s="2"/>
      <c r="M4518" s="2"/>
      <c r="N4518" s="2"/>
      <c r="O4518" s="2"/>
      <c r="P4518" s="2"/>
      <c r="Q4518" s="2"/>
      <c r="R4518" s="2"/>
      <c r="S4518" s="2"/>
      <c r="T4518" s="19"/>
      <c r="U4518" s="2"/>
      <c r="V4518" s="2"/>
      <c r="W4518" s="2"/>
      <c r="X4518" s="19"/>
      <c r="Y4518" s="2"/>
      <c r="Z4518" s="5"/>
    </row>
    <row r="4519" spans="7:26" ht="75.75" customHeight="1" x14ac:dyDescent="0.25">
      <c r="G4519" s="5"/>
      <c r="H4519" s="2"/>
      <c r="I4519" s="2"/>
      <c r="K4519" s="2"/>
      <c r="L4519" s="2"/>
      <c r="M4519" s="2"/>
      <c r="N4519" s="2"/>
      <c r="O4519" s="2"/>
      <c r="P4519" s="2"/>
      <c r="Q4519" s="2"/>
      <c r="R4519" s="2"/>
      <c r="S4519" s="2"/>
      <c r="T4519" s="19"/>
      <c r="U4519" s="2"/>
      <c r="V4519" s="2"/>
      <c r="W4519" s="2"/>
      <c r="X4519" s="19"/>
      <c r="Y4519" s="2"/>
      <c r="Z4519" s="5"/>
    </row>
    <row r="4520" spans="7:26" ht="75.75" customHeight="1" x14ac:dyDescent="0.25">
      <c r="G4520" s="5"/>
      <c r="H4520" s="2"/>
      <c r="I4520" s="2"/>
      <c r="K4520" s="2"/>
      <c r="L4520" s="2"/>
      <c r="M4520" s="2"/>
      <c r="N4520" s="2"/>
      <c r="O4520" s="2"/>
      <c r="P4520" s="2"/>
      <c r="Q4520" s="2"/>
      <c r="R4520" s="2"/>
      <c r="S4520" s="2"/>
      <c r="T4520" s="19"/>
      <c r="U4520" s="2"/>
      <c r="V4520" s="2"/>
      <c r="W4520" s="2"/>
      <c r="X4520" s="19"/>
      <c r="Y4520" s="2"/>
      <c r="Z4520" s="5"/>
    </row>
    <row r="4521" spans="7:26" ht="75.75" customHeight="1" x14ac:dyDescent="0.25">
      <c r="G4521" s="5"/>
      <c r="H4521" s="2"/>
      <c r="I4521" s="2"/>
      <c r="K4521" s="2"/>
      <c r="L4521" s="2"/>
      <c r="M4521" s="2"/>
      <c r="N4521" s="2"/>
      <c r="O4521" s="2"/>
      <c r="P4521" s="2"/>
      <c r="Q4521" s="2"/>
      <c r="R4521" s="2"/>
      <c r="S4521" s="2"/>
      <c r="T4521" s="19"/>
      <c r="U4521" s="2"/>
      <c r="V4521" s="2"/>
      <c r="W4521" s="2"/>
      <c r="X4521" s="19"/>
      <c r="Y4521" s="2"/>
      <c r="Z4521" s="5"/>
    </row>
    <row r="4522" spans="7:26" ht="75.75" customHeight="1" x14ac:dyDescent="0.25">
      <c r="G4522" s="5"/>
      <c r="H4522" s="2"/>
      <c r="I4522" s="2"/>
      <c r="K4522" s="2"/>
      <c r="L4522" s="2"/>
      <c r="M4522" s="2"/>
      <c r="N4522" s="2"/>
      <c r="O4522" s="2"/>
      <c r="P4522" s="2"/>
      <c r="Q4522" s="2"/>
      <c r="R4522" s="2"/>
      <c r="S4522" s="2"/>
      <c r="T4522" s="19"/>
      <c r="U4522" s="2"/>
      <c r="V4522" s="2"/>
      <c r="W4522" s="2"/>
      <c r="X4522" s="19"/>
      <c r="Y4522" s="2"/>
      <c r="Z4522" s="5"/>
    </row>
    <row r="4523" spans="7:26" ht="75.75" customHeight="1" x14ac:dyDescent="0.25">
      <c r="G4523" s="5"/>
      <c r="H4523" s="2"/>
      <c r="I4523" s="2"/>
      <c r="K4523" s="2"/>
      <c r="L4523" s="2"/>
      <c r="M4523" s="2"/>
      <c r="N4523" s="2"/>
      <c r="O4523" s="2"/>
      <c r="P4523" s="2"/>
      <c r="Q4523" s="2"/>
      <c r="R4523" s="2"/>
      <c r="S4523" s="2"/>
      <c r="T4523" s="19"/>
      <c r="U4523" s="2"/>
      <c r="V4523" s="2"/>
      <c r="W4523" s="2"/>
      <c r="X4523" s="19"/>
      <c r="Y4523" s="2"/>
      <c r="Z4523" s="5"/>
    </row>
    <row r="4524" spans="7:26" ht="75.75" customHeight="1" x14ac:dyDescent="0.25">
      <c r="G4524" s="5"/>
      <c r="H4524" s="2"/>
      <c r="I4524" s="2"/>
      <c r="K4524" s="2"/>
      <c r="L4524" s="2"/>
      <c r="M4524" s="2"/>
      <c r="N4524" s="2"/>
      <c r="O4524" s="2"/>
      <c r="P4524" s="2"/>
      <c r="Q4524" s="2"/>
      <c r="R4524" s="2"/>
      <c r="S4524" s="2"/>
      <c r="T4524" s="19"/>
      <c r="U4524" s="2"/>
      <c r="V4524" s="2"/>
      <c r="W4524" s="2"/>
      <c r="X4524" s="19"/>
      <c r="Y4524" s="2"/>
      <c r="Z4524" s="5"/>
    </row>
    <row r="4525" spans="7:26" ht="75.75" customHeight="1" x14ac:dyDescent="0.25">
      <c r="G4525" s="5"/>
      <c r="H4525" s="2"/>
      <c r="I4525" s="2"/>
      <c r="K4525" s="2"/>
      <c r="L4525" s="2"/>
      <c r="M4525" s="2"/>
      <c r="N4525" s="2"/>
      <c r="O4525" s="2"/>
      <c r="P4525" s="2"/>
      <c r="Q4525" s="2"/>
      <c r="R4525" s="2"/>
      <c r="S4525" s="2"/>
      <c r="T4525" s="19"/>
      <c r="U4525" s="2"/>
      <c r="V4525" s="2"/>
      <c r="W4525" s="2"/>
      <c r="X4525" s="19"/>
      <c r="Y4525" s="2"/>
      <c r="Z4525" s="5"/>
    </row>
    <row r="4526" spans="7:26" ht="75.75" customHeight="1" x14ac:dyDescent="0.25">
      <c r="G4526" s="5"/>
      <c r="H4526" s="2"/>
      <c r="I4526" s="2"/>
      <c r="K4526" s="2"/>
      <c r="L4526" s="2"/>
      <c r="M4526" s="2"/>
      <c r="N4526" s="2"/>
      <c r="O4526" s="2"/>
      <c r="P4526" s="2"/>
      <c r="Q4526" s="2"/>
      <c r="R4526" s="2"/>
      <c r="S4526" s="2"/>
      <c r="T4526" s="19"/>
      <c r="U4526" s="2"/>
      <c r="V4526" s="2"/>
      <c r="W4526" s="2"/>
      <c r="X4526" s="19"/>
      <c r="Y4526" s="2"/>
      <c r="Z4526" s="5"/>
    </row>
    <row r="4527" spans="7:26" ht="75.75" customHeight="1" x14ac:dyDescent="0.25">
      <c r="G4527" s="5"/>
      <c r="H4527" s="2"/>
      <c r="I4527" s="2"/>
      <c r="K4527" s="2"/>
      <c r="L4527" s="2"/>
      <c r="M4527" s="2"/>
      <c r="N4527" s="2"/>
      <c r="O4527" s="2"/>
      <c r="P4527" s="2"/>
      <c r="Q4527" s="2"/>
      <c r="R4527" s="2"/>
      <c r="S4527" s="2"/>
      <c r="T4527" s="19"/>
      <c r="U4527" s="2"/>
      <c r="V4527" s="2"/>
      <c r="W4527" s="2"/>
      <c r="X4527" s="19"/>
      <c r="Y4527" s="2"/>
      <c r="Z4527" s="5"/>
    </row>
    <row r="4528" spans="7:26" ht="75.75" customHeight="1" x14ac:dyDescent="0.25">
      <c r="G4528" s="5"/>
      <c r="H4528" s="2"/>
      <c r="I4528" s="2"/>
      <c r="K4528" s="2"/>
      <c r="L4528" s="2"/>
      <c r="M4528" s="2"/>
      <c r="N4528" s="2"/>
      <c r="O4528" s="2"/>
      <c r="P4528" s="2"/>
      <c r="Q4528" s="2"/>
      <c r="R4528" s="2"/>
      <c r="S4528" s="2"/>
      <c r="T4528" s="19"/>
      <c r="U4528" s="2"/>
      <c r="V4528" s="2"/>
      <c r="W4528" s="2"/>
      <c r="X4528" s="19"/>
      <c r="Y4528" s="2"/>
      <c r="Z4528" s="5"/>
    </row>
    <row r="4529" spans="7:26" ht="75.75" customHeight="1" x14ac:dyDescent="0.25">
      <c r="G4529" s="5"/>
      <c r="H4529" s="2"/>
      <c r="I4529" s="2"/>
      <c r="K4529" s="2"/>
      <c r="L4529" s="2"/>
      <c r="M4529" s="2"/>
      <c r="N4529" s="2"/>
      <c r="O4529" s="2"/>
      <c r="P4529" s="2"/>
      <c r="Q4529" s="2"/>
      <c r="R4529" s="2"/>
      <c r="S4529" s="2"/>
      <c r="T4529" s="19"/>
      <c r="U4529" s="2"/>
      <c r="V4529" s="2"/>
      <c r="W4529" s="2"/>
      <c r="X4529" s="19"/>
      <c r="Y4529" s="2"/>
      <c r="Z4529" s="5"/>
    </row>
    <row r="4530" spans="7:26" ht="75.75" customHeight="1" x14ac:dyDescent="0.25">
      <c r="G4530" s="5"/>
      <c r="H4530" s="2"/>
      <c r="I4530" s="2"/>
      <c r="K4530" s="2"/>
      <c r="L4530" s="2"/>
      <c r="M4530" s="2"/>
      <c r="N4530" s="2"/>
      <c r="O4530" s="2"/>
      <c r="P4530" s="2"/>
      <c r="Q4530" s="2"/>
      <c r="R4530" s="2"/>
      <c r="S4530" s="2"/>
      <c r="T4530" s="19"/>
      <c r="U4530" s="2"/>
      <c r="V4530" s="2"/>
      <c r="W4530" s="2"/>
      <c r="X4530" s="19"/>
      <c r="Y4530" s="2"/>
      <c r="Z4530" s="5"/>
    </row>
    <row r="4531" spans="7:26" ht="75.75" customHeight="1" x14ac:dyDescent="0.25">
      <c r="G4531" s="5"/>
      <c r="H4531" s="2"/>
      <c r="I4531" s="2"/>
      <c r="K4531" s="2"/>
      <c r="L4531" s="2"/>
      <c r="M4531" s="2"/>
      <c r="N4531" s="2"/>
      <c r="O4531" s="2"/>
      <c r="P4531" s="2"/>
      <c r="Q4531" s="2"/>
      <c r="R4531" s="2"/>
      <c r="S4531" s="2"/>
      <c r="T4531" s="19"/>
      <c r="U4531" s="2"/>
      <c r="V4531" s="2"/>
      <c r="W4531" s="2"/>
      <c r="X4531" s="19"/>
      <c r="Y4531" s="2"/>
      <c r="Z4531" s="5"/>
    </row>
    <row r="4532" spans="7:26" ht="75.75" customHeight="1" x14ac:dyDescent="0.25">
      <c r="G4532" s="5"/>
      <c r="H4532" s="2"/>
      <c r="I4532" s="2"/>
      <c r="K4532" s="2"/>
      <c r="L4532" s="2"/>
      <c r="M4532" s="2"/>
      <c r="N4532" s="2"/>
      <c r="O4532" s="2"/>
      <c r="P4532" s="2"/>
      <c r="Q4532" s="2"/>
      <c r="R4532" s="2"/>
      <c r="S4532" s="2"/>
      <c r="T4532" s="19"/>
      <c r="U4532" s="2"/>
      <c r="V4532" s="2"/>
      <c r="W4532" s="2"/>
      <c r="X4532" s="19"/>
      <c r="Y4532" s="2"/>
      <c r="Z4532" s="5"/>
    </row>
    <row r="4533" spans="7:26" ht="75.75" customHeight="1" x14ac:dyDescent="0.25">
      <c r="G4533" s="5"/>
      <c r="H4533" s="2"/>
      <c r="I4533" s="2"/>
      <c r="K4533" s="2"/>
      <c r="L4533" s="2"/>
      <c r="M4533" s="2"/>
      <c r="N4533" s="2"/>
      <c r="O4533" s="2"/>
      <c r="P4533" s="2"/>
      <c r="Q4533" s="2"/>
      <c r="R4533" s="2"/>
      <c r="S4533" s="2"/>
      <c r="T4533" s="19"/>
      <c r="U4533" s="2"/>
      <c r="V4533" s="2"/>
      <c r="W4533" s="2"/>
      <c r="X4533" s="19"/>
      <c r="Y4533" s="2"/>
      <c r="Z4533" s="5"/>
    </row>
    <row r="4534" spans="7:26" ht="75.75" customHeight="1" x14ac:dyDescent="0.25">
      <c r="G4534" s="5"/>
      <c r="H4534" s="2"/>
      <c r="I4534" s="2"/>
      <c r="K4534" s="2"/>
      <c r="L4534" s="2"/>
      <c r="M4534" s="2"/>
      <c r="N4534" s="2"/>
      <c r="O4534" s="2"/>
      <c r="P4534" s="2"/>
      <c r="Q4534" s="2"/>
      <c r="R4534" s="2"/>
      <c r="S4534" s="2"/>
      <c r="T4534" s="19"/>
      <c r="U4534" s="2"/>
      <c r="V4534" s="2"/>
      <c r="W4534" s="2"/>
      <c r="X4534" s="19"/>
      <c r="Y4534" s="2"/>
      <c r="Z4534" s="5"/>
    </row>
    <row r="4535" spans="7:26" ht="75.75" customHeight="1" x14ac:dyDescent="0.25">
      <c r="G4535" s="5"/>
      <c r="H4535" s="2"/>
      <c r="I4535" s="2"/>
      <c r="K4535" s="2"/>
      <c r="L4535" s="2"/>
      <c r="M4535" s="2"/>
      <c r="N4535" s="2"/>
      <c r="O4535" s="2"/>
      <c r="P4535" s="2"/>
      <c r="Q4535" s="2"/>
      <c r="R4535" s="2"/>
      <c r="S4535" s="2"/>
      <c r="T4535" s="19"/>
      <c r="U4535" s="2"/>
      <c r="V4535" s="2"/>
      <c r="W4535" s="2"/>
      <c r="X4535" s="19"/>
      <c r="Y4535" s="2"/>
      <c r="Z4535" s="5"/>
    </row>
    <row r="4536" spans="7:26" ht="75.75" customHeight="1" x14ac:dyDescent="0.25">
      <c r="G4536" s="5"/>
      <c r="H4536" s="2"/>
      <c r="I4536" s="2"/>
      <c r="K4536" s="2"/>
      <c r="L4536" s="2"/>
      <c r="M4536" s="2"/>
      <c r="N4536" s="2"/>
      <c r="O4536" s="2"/>
      <c r="P4536" s="2"/>
      <c r="Q4536" s="2"/>
      <c r="R4536" s="2"/>
      <c r="S4536" s="2"/>
      <c r="T4536" s="19"/>
      <c r="U4536" s="2"/>
      <c r="V4536" s="2"/>
      <c r="W4536" s="2"/>
      <c r="X4536" s="19"/>
      <c r="Y4536" s="2"/>
      <c r="Z4536" s="5"/>
    </row>
    <row r="4537" spans="7:26" ht="75.75" customHeight="1" x14ac:dyDescent="0.25">
      <c r="G4537" s="5"/>
      <c r="H4537" s="2"/>
      <c r="I4537" s="2"/>
      <c r="K4537" s="2"/>
      <c r="L4537" s="2"/>
      <c r="M4537" s="2"/>
      <c r="N4537" s="2"/>
      <c r="O4537" s="2"/>
      <c r="P4537" s="2"/>
      <c r="Q4537" s="2"/>
      <c r="R4537" s="2"/>
      <c r="S4537" s="2"/>
      <c r="T4537" s="19"/>
      <c r="U4537" s="2"/>
      <c r="V4537" s="2"/>
      <c r="W4537" s="2"/>
      <c r="X4537" s="19"/>
      <c r="Y4537" s="2"/>
      <c r="Z4537" s="5"/>
    </row>
    <row r="4538" spans="7:26" ht="75.75" customHeight="1" x14ac:dyDescent="0.25">
      <c r="G4538" s="5"/>
      <c r="H4538" s="2"/>
      <c r="I4538" s="2"/>
      <c r="K4538" s="2"/>
      <c r="L4538" s="2"/>
      <c r="M4538" s="2"/>
      <c r="N4538" s="2"/>
      <c r="O4538" s="2"/>
      <c r="P4538" s="2"/>
      <c r="Q4538" s="2"/>
      <c r="R4538" s="2"/>
      <c r="S4538" s="2"/>
      <c r="T4538" s="19"/>
      <c r="U4538" s="2"/>
      <c r="V4538" s="2"/>
      <c r="W4538" s="2"/>
      <c r="X4538" s="19"/>
      <c r="Y4538" s="2"/>
      <c r="Z4538" s="5"/>
    </row>
    <row r="4539" spans="7:26" ht="75.75" customHeight="1" x14ac:dyDescent="0.25">
      <c r="G4539" s="5"/>
      <c r="H4539" s="2"/>
      <c r="I4539" s="2"/>
      <c r="K4539" s="2"/>
      <c r="L4539" s="2"/>
      <c r="M4539" s="2"/>
      <c r="N4539" s="2"/>
      <c r="O4539" s="2"/>
      <c r="P4539" s="2"/>
      <c r="Q4539" s="2"/>
      <c r="R4539" s="2"/>
      <c r="S4539" s="2"/>
      <c r="T4539" s="19"/>
      <c r="U4539" s="2"/>
      <c r="V4539" s="2"/>
      <c r="W4539" s="2"/>
      <c r="X4539" s="19"/>
      <c r="Y4539" s="2"/>
      <c r="Z4539" s="5"/>
    </row>
    <row r="4540" spans="7:26" ht="75.75" customHeight="1" x14ac:dyDescent="0.25">
      <c r="G4540" s="5"/>
      <c r="H4540" s="2"/>
      <c r="I4540" s="2"/>
      <c r="K4540" s="2"/>
      <c r="L4540" s="2"/>
      <c r="M4540" s="2"/>
      <c r="N4540" s="2"/>
      <c r="O4540" s="2"/>
      <c r="P4540" s="2"/>
      <c r="Q4540" s="2"/>
      <c r="R4540" s="2"/>
      <c r="S4540" s="2"/>
      <c r="T4540" s="19"/>
      <c r="U4540" s="2"/>
      <c r="V4540" s="2"/>
      <c r="W4540" s="2"/>
      <c r="X4540" s="19"/>
      <c r="Y4540" s="2"/>
      <c r="Z4540" s="5"/>
    </row>
    <row r="4541" spans="7:26" ht="75.75" customHeight="1" x14ac:dyDescent="0.25">
      <c r="G4541" s="5"/>
      <c r="H4541" s="2"/>
      <c r="I4541" s="2"/>
      <c r="K4541" s="2"/>
      <c r="L4541" s="2"/>
      <c r="M4541" s="2"/>
      <c r="N4541" s="2"/>
      <c r="O4541" s="2"/>
      <c r="P4541" s="2"/>
      <c r="Q4541" s="2"/>
      <c r="R4541" s="2"/>
      <c r="S4541" s="2"/>
      <c r="T4541" s="19"/>
      <c r="U4541" s="2"/>
      <c r="V4541" s="2"/>
      <c r="W4541" s="2"/>
      <c r="X4541" s="19"/>
      <c r="Y4541" s="2"/>
      <c r="Z4541" s="5"/>
    </row>
    <row r="4542" spans="7:26" ht="75.75" customHeight="1" x14ac:dyDescent="0.25">
      <c r="G4542" s="5"/>
      <c r="H4542" s="2"/>
      <c r="I4542" s="2"/>
      <c r="K4542" s="2"/>
      <c r="L4542" s="2"/>
      <c r="M4542" s="2"/>
      <c r="N4542" s="2"/>
      <c r="O4542" s="2"/>
      <c r="P4542" s="2"/>
      <c r="Q4542" s="2"/>
      <c r="R4542" s="2"/>
      <c r="S4542" s="2"/>
      <c r="T4542" s="19"/>
      <c r="U4542" s="2"/>
      <c r="V4542" s="2"/>
      <c r="W4542" s="2"/>
      <c r="X4542" s="19"/>
      <c r="Y4542" s="2"/>
      <c r="Z4542" s="5"/>
    </row>
    <row r="4543" spans="7:26" ht="75.75" customHeight="1" x14ac:dyDescent="0.25">
      <c r="G4543" s="5"/>
      <c r="H4543" s="2"/>
      <c r="I4543" s="2"/>
      <c r="K4543" s="2"/>
      <c r="L4543" s="2"/>
      <c r="M4543" s="2"/>
      <c r="N4543" s="2"/>
      <c r="O4543" s="2"/>
      <c r="P4543" s="2"/>
      <c r="Q4543" s="2"/>
      <c r="R4543" s="2"/>
      <c r="S4543" s="2"/>
      <c r="T4543" s="19"/>
      <c r="U4543" s="2"/>
      <c r="V4543" s="2"/>
      <c r="W4543" s="2"/>
      <c r="X4543" s="19"/>
      <c r="Y4543" s="2"/>
      <c r="Z4543" s="5"/>
    </row>
    <row r="4544" spans="7:26" ht="75.75" customHeight="1" x14ac:dyDescent="0.25">
      <c r="G4544" s="5"/>
      <c r="H4544" s="2"/>
      <c r="I4544" s="2"/>
      <c r="K4544" s="2"/>
      <c r="L4544" s="2"/>
      <c r="M4544" s="2"/>
      <c r="N4544" s="2"/>
      <c r="O4544" s="2"/>
      <c r="P4544" s="2"/>
      <c r="Q4544" s="2"/>
      <c r="R4544" s="2"/>
      <c r="S4544" s="2"/>
      <c r="T4544" s="19"/>
      <c r="U4544" s="2"/>
      <c r="V4544" s="2"/>
      <c r="W4544" s="2"/>
      <c r="X4544" s="19"/>
      <c r="Y4544" s="2"/>
      <c r="Z4544" s="5"/>
    </row>
    <row r="4545" spans="7:26" ht="75.75" customHeight="1" x14ac:dyDescent="0.25">
      <c r="G4545" s="5"/>
      <c r="H4545" s="2"/>
      <c r="I4545" s="2"/>
      <c r="K4545" s="2"/>
      <c r="L4545" s="2"/>
      <c r="M4545" s="2"/>
      <c r="N4545" s="2"/>
      <c r="O4545" s="2"/>
      <c r="P4545" s="2"/>
      <c r="Q4545" s="2"/>
      <c r="R4545" s="2"/>
      <c r="S4545" s="2"/>
      <c r="T4545" s="19"/>
      <c r="U4545" s="2"/>
      <c r="V4545" s="2"/>
      <c r="W4545" s="2"/>
      <c r="X4545" s="19"/>
      <c r="Y4545" s="2"/>
      <c r="Z4545" s="5"/>
    </row>
    <row r="4546" spans="7:26" ht="75.75" customHeight="1" x14ac:dyDescent="0.25">
      <c r="G4546" s="5"/>
      <c r="H4546" s="2"/>
      <c r="I4546" s="2"/>
      <c r="K4546" s="2"/>
      <c r="L4546" s="2"/>
      <c r="M4546" s="2"/>
      <c r="N4546" s="2"/>
      <c r="O4546" s="2"/>
      <c r="P4546" s="2"/>
      <c r="Q4546" s="2"/>
      <c r="R4546" s="2"/>
      <c r="S4546" s="2"/>
      <c r="T4546" s="19"/>
      <c r="U4546" s="2"/>
      <c r="V4546" s="2"/>
      <c r="W4546" s="2"/>
      <c r="X4546" s="19"/>
      <c r="Y4546" s="2"/>
      <c r="Z4546" s="5"/>
    </row>
    <row r="4547" spans="7:26" ht="75.75" customHeight="1" x14ac:dyDescent="0.25">
      <c r="G4547" s="5"/>
      <c r="H4547" s="2"/>
      <c r="I4547" s="2"/>
      <c r="K4547" s="2"/>
      <c r="L4547" s="2"/>
      <c r="M4547" s="2"/>
      <c r="N4547" s="2"/>
      <c r="O4547" s="2"/>
      <c r="P4547" s="2"/>
      <c r="Q4547" s="2"/>
      <c r="R4547" s="2"/>
      <c r="S4547" s="2"/>
      <c r="T4547" s="19"/>
      <c r="U4547" s="2"/>
      <c r="V4547" s="2"/>
      <c r="W4547" s="2"/>
      <c r="X4547" s="19"/>
      <c r="Y4547" s="2"/>
      <c r="Z4547" s="5"/>
    </row>
    <row r="4548" spans="7:26" ht="75.75" customHeight="1" x14ac:dyDescent="0.25">
      <c r="G4548" s="5"/>
      <c r="H4548" s="2"/>
      <c r="I4548" s="2"/>
      <c r="K4548" s="2"/>
      <c r="L4548" s="2"/>
      <c r="M4548" s="2"/>
      <c r="N4548" s="2"/>
      <c r="O4548" s="2"/>
      <c r="P4548" s="2"/>
      <c r="Q4548" s="2"/>
      <c r="R4548" s="2"/>
      <c r="S4548" s="2"/>
      <c r="T4548" s="19"/>
      <c r="U4548" s="2"/>
      <c r="V4548" s="2"/>
      <c r="W4548" s="2"/>
      <c r="X4548" s="19"/>
      <c r="Y4548" s="2"/>
      <c r="Z4548" s="5"/>
    </row>
    <row r="4549" spans="7:26" ht="75.75" customHeight="1" x14ac:dyDescent="0.25">
      <c r="G4549" s="5"/>
      <c r="H4549" s="2"/>
      <c r="I4549" s="2"/>
      <c r="K4549" s="2"/>
      <c r="L4549" s="2"/>
      <c r="M4549" s="2"/>
      <c r="N4549" s="2"/>
      <c r="O4549" s="2"/>
      <c r="P4549" s="2"/>
      <c r="Q4549" s="2"/>
      <c r="R4549" s="2"/>
      <c r="S4549" s="2"/>
      <c r="T4549" s="19"/>
      <c r="U4549" s="2"/>
      <c r="V4549" s="2"/>
      <c r="W4549" s="2"/>
      <c r="X4549" s="19"/>
      <c r="Y4549" s="2"/>
      <c r="Z4549" s="5"/>
    </row>
    <row r="4550" spans="7:26" ht="75.75" customHeight="1" x14ac:dyDescent="0.25">
      <c r="G4550" s="5"/>
      <c r="H4550" s="2"/>
      <c r="I4550" s="2"/>
      <c r="K4550" s="2"/>
      <c r="L4550" s="2"/>
      <c r="M4550" s="2"/>
      <c r="N4550" s="2"/>
      <c r="O4550" s="2"/>
      <c r="P4550" s="2"/>
      <c r="Q4550" s="2"/>
      <c r="R4550" s="2"/>
      <c r="S4550" s="2"/>
      <c r="T4550" s="19"/>
      <c r="U4550" s="2"/>
      <c r="V4550" s="2"/>
      <c r="W4550" s="2"/>
      <c r="X4550" s="19"/>
      <c r="Y4550" s="2"/>
      <c r="Z4550" s="5"/>
    </row>
    <row r="4551" spans="7:26" ht="75.75" customHeight="1" x14ac:dyDescent="0.25">
      <c r="G4551" s="5"/>
      <c r="H4551" s="2"/>
      <c r="I4551" s="2"/>
      <c r="K4551" s="2"/>
      <c r="L4551" s="2"/>
      <c r="M4551" s="2"/>
      <c r="N4551" s="2"/>
      <c r="O4551" s="2"/>
      <c r="P4551" s="2"/>
      <c r="Q4551" s="2"/>
      <c r="R4551" s="2"/>
      <c r="S4551" s="2"/>
      <c r="T4551" s="19"/>
      <c r="U4551" s="2"/>
      <c r="V4551" s="2"/>
      <c r="W4551" s="2"/>
      <c r="X4551" s="19"/>
      <c r="Y4551" s="2"/>
      <c r="Z4551" s="5"/>
    </row>
    <row r="4552" spans="7:26" ht="75.75" customHeight="1" x14ac:dyDescent="0.25">
      <c r="G4552" s="5"/>
      <c r="H4552" s="2"/>
      <c r="I4552" s="2"/>
      <c r="K4552" s="2"/>
      <c r="L4552" s="2"/>
      <c r="M4552" s="2"/>
      <c r="N4552" s="2"/>
      <c r="O4552" s="2"/>
      <c r="P4552" s="2"/>
      <c r="Q4552" s="2"/>
      <c r="R4552" s="2"/>
      <c r="S4552" s="2"/>
      <c r="T4552" s="19"/>
      <c r="U4552" s="2"/>
      <c r="V4552" s="2"/>
      <c r="W4552" s="2"/>
      <c r="X4552" s="19"/>
      <c r="Y4552" s="2"/>
      <c r="Z4552" s="5"/>
    </row>
    <row r="4553" spans="7:26" ht="75.75" customHeight="1" x14ac:dyDescent="0.25">
      <c r="G4553" s="5"/>
      <c r="H4553" s="2"/>
      <c r="I4553" s="2"/>
      <c r="K4553" s="2"/>
      <c r="L4553" s="2"/>
      <c r="M4553" s="2"/>
      <c r="N4553" s="2"/>
      <c r="O4553" s="2"/>
      <c r="P4553" s="2"/>
      <c r="Q4553" s="2"/>
      <c r="R4553" s="2"/>
      <c r="S4553" s="2"/>
      <c r="T4553" s="19"/>
      <c r="U4553" s="2"/>
      <c r="V4553" s="2"/>
      <c r="W4553" s="2"/>
      <c r="X4553" s="19"/>
      <c r="Y4553" s="2"/>
      <c r="Z4553" s="5"/>
    </row>
    <row r="4554" spans="7:26" ht="75.75" customHeight="1" x14ac:dyDescent="0.25">
      <c r="G4554" s="5"/>
      <c r="H4554" s="2"/>
      <c r="I4554" s="2"/>
      <c r="K4554" s="2"/>
      <c r="L4554" s="2"/>
      <c r="M4554" s="2"/>
      <c r="N4554" s="2"/>
      <c r="O4554" s="2"/>
      <c r="P4554" s="2"/>
      <c r="Q4554" s="2"/>
      <c r="R4554" s="2"/>
      <c r="S4554" s="2"/>
      <c r="T4554" s="19"/>
      <c r="U4554" s="2"/>
      <c r="V4554" s="2"/>
      <c r="W4554" s="2"/>
      <c r="X4554" s="19"/>
      <c r="Y4554" s="2"/>
      <c r="Z4554" s="5"/>
    </row>
    <row r="4555" spans="7:26" ht="75.75" customHeight="1" x14ac:dyDescent="0.25">
      <c r="G4555" s="5"/>
      <c r="H4555" s="2"/>
      <c r="I4555" s="2"/>
      <c r="K4555" s="2"/>
      <c r="L4555" s="2"/>
      <c r="M4555" s="2"/>
      <c r="N4555" s="2"/>
      <c r="O4555" s="2"/>
      <c r="P4555" s="2"/>
      <c r="Q4555" s="2"/>
      <c r="R4555" s="2"/>
      <c r="S4555" s="2"/>
      <c r="T4555" s="19"/>
      <c r="U4555" s="2"/>
      <c r="V4555" s="2"/>
      <c r="W4555" s="2"/>
      <c r="X4555" s="19"/>
      <c r="Y4555" s="2"/>
      <c r="Z4555" s="5"/>
    </row>
    <row r="4556" spans="7:26" ht="75.75" customHeight="1" x14ac:dyDescent="0.25">
      <c r="G4556" s="5"/>
      <c r="H4556" s="2"/>
      <c r="I4556" s="2"/>
      <c r="K4556" s="2"/>
      <c r="L4556" s="2"/>
      <c r="M4556" s="2"/>
      <c r="N4556" s="2"/>
      <c r="O4556" s="2"/>
      <c r="P4556" s="2"/>
      <c r="Q4556" s="2"/>
      <c r="R4556" s="2"/>
      <c r="S4556" s="2"/>
      <c r="T4556" s="19"/>
      <c r="U4556" s="2"/>
      <c r="V4556" s="2"/>
      <c r="W4556" s="2"/>
      <c r="X4556" s="19"/>
      <c r="Y4556" s="2"/>
      <c r="Z4556" s="5"/>
    </row>
    <row r="4557" spans="7:26" ht="75.75" customHeight="1" x14ac:dyDescent="0.25">
      <c r="G4557" s="5"/>
      <c r="H4557" s="2"/>
      <c r="I4557" s="2"/>
      <c r="K4557" s="2"/>
      <c r="L4557" s="2"/>
      <c r="M4557" s="2"/>
      <c r="N4557" s="2"/>
      <c r="O4557" s="2"/>
      <c r="P4557" s="2"/>
      <c r="Q4557" s="2"/>
      <c r="R4557" s="2"/>
      <c r="S4557" s="2"/>
      <c r="T4557" s="19"/>
      <c r="U4557" s="2"/>
      <c r="V4557" s="2"/>
      <c r="W4557" s="2"/>
      <c r="X4557" s="19"/>
      <c r="Y4557" s="2"/>
      <c r="Z4557" s="5"/>
    </row>
    <row r="4558" spans="7:26" ht="75.75" customHeight="1" x14ac:dyDescent="0.25">
      <c r="G4558" s="5"/>
      <c r="H4558" s="2"/>
      <c r="I4558" s="2"/>
      <c r="K4558" s="2"/>
      <c r="L4558" s="2"/>
      <c r="M4558" s="2"/>
      <c r="N4558" s="2"/>
      <c r="O4558" s="2"/>
      <c r="P4558" s="2"/>
      <c r="Q4558" s="2"/>
      <c r="R4558" s="2"/>
      <c r="S4558" s="2"/>
      <c r="T4558" s="19"/>
      <c r="U4558" s="2"/>
      <c r="V4558" s="2"/>
      <c r="W4558" s="2"/>
      <c r="X4558" s="19"/>
      <c r="Y4558" s="2"/>
      <c r="Z4558" s="5"/>
    </row>
    <row r="4559" spans="7:26" ht="75.75" customHeight="1" x14ac:dyDescent="0.25">
      <c r="G4559" s="5"/>
      <c r="H4559" s="2"/>
      <c r="I4559" s="2"/>
      <c r="K4559" s="2"/>
      <c r="L4559" s="2"/>
      <c r="M4559" s="2"/>
      <c r="N4559" s="2"/>
      <c r="O4559" s="2"/>
      <c r="P4559" s="2"/>
      <c r="Q4559" s="2"/>
      <c r="R4559" s="2"/>
      <c r="S4559" s="2"/>
      <c r="T4559" s="19"/>
      <c r="U4559" s="2"/>
      <c r="V4559" s="2"/>
      <c r="W4559" s="2"/>
      <c r="X4559" s="19"/>
      <c r="Y4559" s="2"/>
      <c r="Z4559" s="5"/>
    </row>
    <row r="4560" spans="7:26" ht="75.75" customHeight="1" x14ac:dyDescent="0.25">
      <c r="G4560" s="5"/>
      <c r="H4560" s="2"/>
      <c r="I4560" s="2"/>
      <c r="K4560" s="2"/>
      <c r="L4560" s="2"/>
      <c r="M4560" s="2"/>
      <c r="N4560" s="2"/>
      <c r="O4560" s="2"/>
      <c r="P4560" s="2"/>
      <c r="Q4560" s="2"/>
      <c r="R4560" s="2"/>
      <c r="S4560" s="2"/>
      <c r="T4560" s="19"/>
      <c r="U4560" s="2"/>
      <c r="V4560" s="2"/>
      <c r="W4560" s="2"/>
      <c r="X4560" s="19"/>
      <c r="Y4560" s="2"/>
      <c r="Z4560" s="5"/>
    </row>
    <row r="4561" spans="7:26" ht="75.75" customHeight="1" x14ac:dyDescent="0.25">
      <c r="G4561" s="5"/>
      <c r="H4561" s="2"/>
      <c r="I4561" s="2"/>
      <c r="K4561" s="2"/>
      <c r="L4561" s="2"/>
      <c r="M4561" s="2"/>
      <c r="N4561" s="2"/>
      <c r="O4561" s="2"/>
      <c r="P4561" s="2"/>
      <c r="Q4561" s="2"/>
      <c r="R4561" s="2"/>
      <c r="S4561" s="2"/>
      <c r="T4561" s="19"/>
      <c r="U4561" s="2"/>
      <c r="V4561" s="2"/>
      <c r="W4561" s="2"/>
      <c r="X4561" s="19"/>
      <c r="Y4561" s="2"/>
      <c r="Z4561" s="5"/>
    </row>
    <row r="4562" spans="7:26" ht="75.75" customHeight="1" x14ac:dyDescent="0.25">
      <c r="G4562" s="5"/>
      <c r="H4562" s="2"/>
      <c r="I4562" s="2"/>
      <c r="K4562" s="2"/>
      <c r="L4562" s="2"/>
      <c r="M4562" s="2"/>
      <c r="N4562" s="2"/>
      <c r="O4562" s="2"/>
      <c r="P4562" s="2"/>
      <c r="Q4562" s="2"/>
      <c r="R4562" s="2"/>
      <c r="S4562" s="2"/>
      <c r="T4562" s="19"/>
      <c r="U4562" s="2"/>
      <c r="V4562" s="2"/>
      <c r="W4562" s="2"/>
      <c r="X4562" s="19"/>
      <c r="Y4562" s="2"/>
      <c r="Z4562" s="5"/>
    </row>
    <row r="4563" spans="7:26" ht="75.75" customHeight="1" x14ac:dyDescent="0.25">
      <c r="G4563" s="5"/>
      <c r="H4563" s="2"/>
      <c r="I4563" s="2"/>
      <c r="K4563" s="2"/>
      <c r="L4563" s="2"/>
      <c r="M4563" s="2"/>
      <c r="N4563" s="2"/>
      <c r="O4563" s="2"/>
      <c r="P4563" s="2"/>
      <c r="Q4563" s="2"/>
      <c r="R4563" s="2"/>
      <c r="S4563" s="2"/>
      <c r="T4563" s="19"/>
      <c r="U4563" s="2"/>
      <c r="V4563" s="2"/>
      <c r="W4563" s="2"/>
      <c r="X4563" s="19"/>
      <c r="Y4563" s="2"/>
      <c r="Z4563" s="5"/>
    </row>
    <row r="4564" spans="7:26" ht="75.75" customHeight="1" x14ac:dyDescent="0.25">
      <c r="G4564" s="5"/>
      <c r="H4564" s="2"/>
      <c r="I4564" s="2"/>
      <c r="K4564" s="2"/>
      <c r="L4564" s="2"/>
      <c r="M4564" s="2"/>
      <c r="N4564" s="2"/>
      <c r="O4564" s="2"/>
      <c r="P4564" s="2"/>
      <c r="Q4564" s="2"/>
      <c r="R4564" s="2"/>
      <c r="S4564" s="2"/>
      <c r="T4564" s="19"/>
      <c r="U4564" s="2"/>
      <c r="V4564" s="2"/>
      <c r="W4564" s="2"/>
      <c r="X4564" s="19"/>
      <c r="Y4564" s="2"/>
      <c r="Z4564" s="5"/>
    </row>
    <row r="4565" spans="7:26" ht="75.75" customHeight="1" x14ac:dyDescent="0.25">
      <c r="G4565" s="5"/>
      <c r="H4565" s="2"/>
      <c r="I4565" s="2"/>
      <c r="K4565" s="2"/>
      <c r="L4565" s="2"/>
      <c r="M4565" s="2"/>
      <c r="N4565" s="2"/>
      <c r="O4565" s="2"/>
      <c r="P4565" s="2"/>
      <c r="Q4565" s="2"/>
      <c r="R4565" s="2"/>
      <c r="S4565" s="2"/>
      <c r="T4565" s="19"/>
      <c r="U4565" s="2"/>
      <c r="V4565" s="2"/>
      <c r="W4565" s="2"/>
      <c r="X4565" s="19"/>
      <c r="Y4565" s="2"/>
      <c r="Z4565" s="5"/>
    </row>
    <row r="4566" spans="7:26" ht="75.75" customHeight="1" x14ac:dyDescent="0.25">
      <c r="G4566" s="5"/>
      <c r="H4566" s="2"/>
      <c r="I4566" s="2"/>
      <c r="K4566" s="2"/>
      <c r="L4566" s="2"/>
      <c r="M4566" s="2"/>
      <c r="N4566" s="2"/>
      <c r="O4566" s="2"/>
      <c r="P4566" s="2"/>
      <c r="Q4566" s="2"/>
      <c r="R4566" s="2"/>
      <c r="S4566" s="2"/>
      <c r="T4566" s="19"/>
      <c r="U4566" s="2"/>
      <c r="V4566" s="2"/>
      <c r="W4566" s="2"/>
      <c r="X4566" s="19"/>
      <c r="Y4566" s="2"/>
      <c r="Z4566" s="5"/>
    </row>
    <row r="4567" spans="7:26" ht="75.75" customHeight="1" x14ac:dyDescent="0.25">
      <c r="G4567" s="5"/>
      <c r="H4567" s="2"/>
      <c r="I4567" s="2"/>
      <c r="K4567" s="2"/>
      <c r="L4567" s="2"/>
      <c r="M4567" s="2"/>
      <c r="N4567" s="2"/>
      <c r="O4567" s="2"/>
      <c r="P4567" s="2"/>
      <c r="Q4567" s="2"/>
      <c r="R4567" s="2"/>
      <c r="S4567" s="2"/>
      <c r="T4567" s="19"/>
      <c r="U4567" s="2"/>
      <c r="V4567" s="2"/>
      <c r="W4567" s="2"/>
      <c r="X4567" s="19"/>
      <c r="Y4567" s="2"/>
      <c r="Z4567" s="5"/>
    </row>
    <row r="4568" spans="7:26" ht="75.75" customHeight="1" x14ac:dyDescent="0.25">
      <c r="G4568" s="5"/>
      <c r="H4568" s="2"/>
      <c r="I4568" s="2"/>
      <c r="K4568" s="2"/>
      <c r="L4568" s="2"/>
      <c r="M4568" s="2"/>
      <c r="N4568" s="2"/>
      <c r="O4568" s="2"/>
      <c r="P4568" s="2"/>
      <c r="Q4568" s="2"/>
      <c r="R4568" s="2"/>
      <c r="S4568" s="2"/>
      <c r="T4568" s="19"/>
      <c r="U4568" s="2"/>
      <c r="V4568" s="2"/>
      <c r="W4568" s="2"/>
      <c r="X4568" s="19"/>
      <c r="Y4568" s="2"/>
      <c r="Z4568" s="5"/>
    </row>
    <row r="4569" spans="7:26" ht="75.75" customHeight="1" x14ac:dyDescent="0.25">
      <c r="G4569" s="5"/>
      <c r="H4569" s="2"/>
      <c r="I4569" s="2"/>
      <c r="K4569" s="2"/>
      <c r="L4569" s="2"/>
      <c r="M4569" s="2"/>
      <c r="N4569" s="2"/>
      <c r="O4569" s="2"/>
      <c r="P4569" s="2"/>
      <c r="Q4569" s="2"/>
      <c r="R4569" s="2"/>
      <c r="S4569" s="2"/>
      <c r="T4569" s="19"/>
      <c r="U4569" s="2"/>
      <c r="V4569" s="2"/>
      <c r="W4569" s="2"/>
      <c r="X4569" s="19"/>
      <c r="Y4569" s="2"/>
      <c r="Z4569" s="5"/>
    </row>
    <row r="4570" spans="7:26" ht="75.75" customHeight="1" x14ac:dyDescent="0.25">
      <c r="G4570" s="5"/>
      <c r="H4570" s="2"/>
      <c r="I4570" s="2"/>
      <c r="K4570" s="2"/>
      <c r="L4570" s="2"/>
      <c r="M4570" s="2"/>
      <c r="N4570" s="2"/>
      <c r="O4570" s="2"/>
      <c r="P4570" s="2"/>
      <c r="Q4570" s="2"/>
      <c r="R4570" s="2"/>
      <c r="S4570" s="2"/>
      <c r="T4570" s="19"/>
      <c r="U4570" s="2"/>
      <c r="V4570" s="2"/>
      <c r="W4570" s="2"/>
      <c r="X4570" s="19"/>
      <c r="Y4570" s="2"/>
      <c r="Z4570" s="5"/>
    </row>
    <row r="4571" spans="7:26" ht="75.75" customHeight="1" x14ac:dyDescent="0.25">
      <c r="G4571" s="5"/>
      <c r="H4571" s="2"/>
      <c r="I4571" s="2"/>
      <c r="K4571" s="2"/>
      <c r="L4571" s="2"/>
      <c r="M4571" s="2"/>
      <c r="N4571" s="2"/>
      <c r="O4571" s="2"/>
      <c r="P4571" s="2"/>
      <c r="Q4571" s="2"/>
      <c r="R4571" s="2"/>
      <c r="S4571" s="2"/>
      <c r="T4571" s="19"/>
      <c r="U4571" s="2"/>
      <c r="V4571" s="2"/>
      <c r="W4571" s="2"/>
      <c r="X4571" s="19"/>
      <c r="Y4571" s="2"/>
      <c r="Z4571" s="5"/>
    </row>
    <row r="4572" spans="7:26" ht="75.75" customHeight="1" x14ac:dyDescent="0.25">
      <c r="G4572" s="5"/>
      <c r="H4572" s="2"/>
      <c r="I4572" s="2"/>
      <c r="K4572" s="2"/>
      <c r="L4572" s="2"/>
      <c r="M4572" s="2"/>
      <c r="N4572" s="2"/>
      <c r="O4572" s="2"/>
      <c r="P4572" s="2"/>
      <c r="Q4572" s="2"/>
      <c r="R4572" s="2"/>
      <c r="S4572" s="2"/>
      <c r="T4572" s="19"/>
      <c r="U4572" s="2"/>
      <c r="V4572" s="2"/>
      <c r="W4572" s="2"/>
      <c r="X4572" s="19"/>
      <c r="Y4572" s="2"/>
      <c r="Z4572" s="5"/>
    </row>
    <row r="4573" spans="7:26" ht="75.75" customHeight="1" x14ac:dyDescent="0.25">
      <c r="G4573" s="5"/>
      <c r="H4573" s="2"/>
      <c r="I4573" s="2"/>
      <c r="K4573" s="2"/>
      <c r="L4573" s="2"/>
      <c r="M4573" s="2"/>
      <c r="N4573" s="2"/>
      <c r="O4573" s="2"/>
      <c r="P4573" s="2"/>
      <c r="Q4573" s="2"/>
      <c r="R4573" s="2"/>
      <c r="S4573" s="2"/>
      <c r="T4573" s="19"/>
      <c r="U4573" s="2"/>
      <c r="V4573" s="2"/>
      <c r="W4573" s="2"/>
      <c r="X4573" s="19"/>
      <c r="Y4573" s="2"/>
      <c r="Z4573" s="5"/>
    </row>
    <row r="4574" spans="7:26" ht="75.75" customHeight="1" x14ac:dyDescent="0.25">
      <c r="G4574" s="5"/>
      <c r="H4574" s="2"/>
      <c r="I4574" s="2"/>
      <c r="K4574" s="2"/>
      <c r="L4574" s="2"/>
      <c r="M4574" s="2"/>
      <c r="N4574" s="2"/>
      <c r="O4574" s="2"/>
      <c r="P4574" s="2"/>
      <c r="Q4574" s="2"/>
      <c r="R4574" s="2"/>
      <c r="S4574" s="2"/>
      <c r="T4574" s="19"/>
      <c r="U4574" s="2"/>
      <c r="V4574" s="2"/>
      <c r="W4574" s="2"/>
      <c r="X4574" s="19"/>
      <c r="Y4574" s="2"/>
      <c r="Z4574" s="5"/>
    </row>
    <row r="4575" spans="7:26" ht="75.75" customHeight="1" x14ac:dyDescent="0.25">
      <c r="G4575" s="5"/>
      <c r="H4575" s="2"/>
      <c r="I4575" s="2"/>
      <c r="K4575" s="2"/>
      <c r="L4575" s="2"/>
      <c r="M4575" s="2"/>
      <c r="N4575" s="2"/>
      <c r="O4575" s="2"/>
      <c r="P4575" s="2"/>
      <c r="Q4575" s="2"/>
      <c r="R4575" s="2"/>
      <c r="S4575" s="2"/>
      <c r="T4575" s="19"/>
      <c r="U4575" s="2"/>
      <c r="V4575" s="2"/>
      <c r="W4575" s="2"/>
      <c r="X4575" s="19"/>
      <c r="Y4575" s="2"/>
      <c r="Z4575" s="5"/>
    </row>
    <row r="4576" spans="7:26" ht="75.75" customHeight="1" x14ac:dyDescent="0.25">
      <c r="G4576" s="5"/>
      <c r="H4576" s="2"/>
      <c r="I4576" s="2"/>
      <c r="K4576" s="2"/>
      <c r="L4576" s="2"/>
      <c r="M4576" s="2"/>
      <c r="N4576" s="2"/>
      <c r="O4576" s="2"/>
      <c r="P4576" s="2"/>
      <c r="Q4576" s="2"/>
      <c r="R4576" s="2"/>
      <c r="S4576" s="2"/>
      <c r="T4576" s="19"/>
      <c r="U4576" s="2"/>
      <c r="V4576" s="2"/>
      <c r="W4576" s="2"/>
      <c r="X4576" s="19"/>
      <c r="Y4576" s="2"/>
      <c r="Z4576" s="5"/>
    </row>
    <row r="4577" spans="7:26" ht="75.75" customHeight="1" x14ac:dyDescent="0.25">
      <c r="G4577" s="5"/>
      <c r="H4577" s="2"/>
      <c r="I4577" s="2"/>
      <c r="K4577" s="2"/>
      <c r="L4577" s="2"/>
      <c r="M4577" s="2"/>
      <c r="N4577" s="2"/>
      <c r="O4577" s="2"/>
      <c r="P4577" s="2"/>
      <c r="Q4577" s="2"/>
      <c r="R4577" s="2"/>
      <c r="S4577" s="2"/>
      <c r="T4577" s="19"/>
      <c r="U4577" s="2"/>
      <c r="V4577" s="2"/>
      <c r="W4577" s="2"/>
      <c r="X4577" s="19"/>
      <c r="Y4577" s="2"/>
      <c r="Z4577" s="5"/>
    </row>
    <row r="4578" spans="7:26" ht="75.75" customHeight="1" x14ac:dyDescent="0.25">
      <c r="G4578" s="5"/>
      <c r="H4578" s="2"/>
      <c r="I4578" s="2"/>
      <c r="K4578" s="2"/>
      <c r="L4578" s="2"/>
      <c r="M4578" s="2"/>
      <c r="N4578" s="2"/>
      <c r="O4578" s="2"/>
      <c r="P4578" s="2"/>
      <c r="Q4578" s="2"/>
      <c r="R4578" s="2"/>
      <c r="S4578" s="2"/>
      <c r="T4578" s="19"/>
      <c r="U4578" s="2"/>
      <c r="V4578" s="2"/>
      <c r="W4578" s="2"/>
      <c r="X4578" s="19"/>
      <c r="Y4578" s="2"/>
      <c r="Z4578" s="5"/>
    </row>
    <row r="4579" spans="7:26" ht="75.75" customHeight="1" x14ac:dyDescent="0.25">
      <c r="G4579" s="5"/>
      <c r="H4579" s="2"/>
      <c r="I4579" s="2"/>
      <c r="K4579" s="2"/>
      <c r="L4579" s="2"/>
      <c r="M4579" s="2"/>
      <c r="N4579" s="2"/>
      <c r="O4579" s="2"/>
      <c r="P4579" s="2"/>
      <c r="Q4579" s="2"/>
      <c r="R4579" s="2"/>
      <c r="S4579" s="2"/>
      <c r="T4579" s="19"/>
      <c r="U4579" s="2"/>
      <c r="V4579" s="2"/>
      <c r="W4579" s="2"/>
      <c r="X4579" s="19"/>
      <c r="Y4579" s="2"/>
      <c r="Z4579" s="5"/>
    </row>
    <row r="4580" spans="7:26" ht="75.75" customHeight="1" x14ac:dyDescent="0.25">
      <c r="G4580" s="5"/>
      <c r="H4580" s="2"/>
      <c r="I4580" s="2"/>
      <c r="K4580" s="2"/>
      <c r="L4580" s="2"/>
      <c r="M4580" s="2"/>
      <c r="N4580" s="2"/>
      <c r="O4580" s="2"/>
      <c r="P4580" s="2"/>
      <c r="Q4580" s="2"/>
      <c r="R4580" s="2"/>
      <c r="S4580" s="2"/>
      <c r="T4580" s="19"/>
      <c r="U4580" s="2"/>
      <c r="V4580" s="2"/>
      <c r="W4580" s="2"/>
      <c r="X4580" s="19"/>
      <c r="Y4580" s="2"/>
      <c r="Z4580" s="5"/>
    </row>
    <row r="4581" spans="7:26" ht="75.75" customHeight="1" x14ac:dyDescent="0.25">
      <c r="G4581" s="5"/>
      <c r="H4581" s="2"/>
      <c r="I4581" s="2"/>
      <c r="K4581" s="2"/>
      <c r="L4581" s="2"/>
      <c r="M4581" s="2"/>
      <c r="N4581" s="2"/>
      <c r="O4581" s="2"/>
      <c r="P4581" s="2"/>
      <c r="Q4581" s="2"/>
      <c r="R4581" s="2"/>
      <c r="S4581" s="2"/>
      <c r="T4581" s="19"/>
      <c r="U4581" s="2"/>
      <c r="V4581" s="2"/>
      <c r="W4581" s="2"/>
      <c r="X4581" s="19"/>
      <c r="Y4581" s="2"/>
      <c r="Z4581" s="5"/>
    </row>
    <row r="4582" spans="7:26" ht="75.75" customHeight="1" x14ac:dyDescent="0.25">
      <c r="G4582" s="5"/>
      <c r="H4582" s="2"/>
      <c r="I4582" s="2"/>
      <c r="K4582" s="2"/>
      <c r="L4582" s="2"/>
      <c r="M4582" s="2"/>
      <c r="N4582" s="2"/>
      <c r="O4582" s="2"/>
      <c r="P4582" s="2"/>
      <c r="Q4582" s="2"/>
      <c r="R4582" s="2"/>
      <c r="S4582" s="2"/>
      <c r="T4582" s="19"/>
      <c r="U4582" s="2"/>
      <c r="V4582" s="2"/>
      <c r="W4582" s="2"/>
      <c r="X4582" s="19"/>
      <c r="Y4582" s="2"/>
      <c r="Z4582" s="5"/>
    </row>
    <row r="4583" spans="7:26" ht="75.75" customHeight="1" x14ac:dyDescent="0.25">
      <c r="G4583" s="5"/>
      <c r="H4583" s="2"/>
      <c r="I4583" s="2"/>
      <c r="K4583" s="2"/>
      <c r="L4583" s="2"/>
      <c r="M4583" s="2"/>
      <c r="N4583" s="2"/>
      <c r="O4583" s="2"/>
      <c r="P4583" s="2"/>
      <c r="Q4583" s="2"/>
      <c r="R4583" s="2"/>
      <c r="S4583" s="2"/>
      <c r="T4583" s="19"/>
      <c r="U4583" s="2"/>
      <c r="V4583" s="2"/>
      <c r="W4583" s="2"/>
      <c r="X4583" s="19"/>
      <c r="Y4583" s="2"/>
      <c r="Z4583" s="5"/>
    </row>
    <row r="4584" spans="7:26" ht="75.75" customHeight="1" x14ac:dyDescent="0.25">
      <c r="G4584" s="5"/>
      <c r="H4584" s="2"/>
      <c r="I4584" s="2"/>
      <c r="K4584" s="2"/>
      <c r="L4584" s="2"/>
      <c r="M4584" s="2"/>
      <c r="N4584" s="2"/>
      <c r="O4584" s="2"/>
      <c r="P4584" s="2"/>
      <c r="Q4584" s="2"/>
      <c r="R4584" s="2"/>
      <c r="S4584" s="2"/>
      <c r="T4584" s="19"/>
      <c r="U4584" s="2"/>
      <c r="V4584" s="2"/>
      <c r="W4584" s="2"/>
      <c r="X4584" s="19"/>
      <c r="Y4584" s="2"/>
      <c r="Z4584" s="5"/>
    </row>
    <row r="4585" spans="7:26" ht="75.75" customHeight="1" x14ac:dyDescent="0.25">
      <c r="G4585" s="5"/>
      <c r="H4585" s="2"/>
      <c r="I4585" s="2"/>
      <c r="K4585" s="2"/>
      <c r="L4585" s="2"/>
      <c r="M4585" s="2"/>
      <c r="N4585" s="2"/>
      <c r="O4585" s="2"/>
      <c r="P4585" s="2"/>
      <c r="Q4585" s="2"/>
      <c r="R4585" s="2"/>
      <c r="S4585" s="2"/>
      <c r="T4585" s="19"/>
      <c r="U4585" s="2"/>
      <c r="V4585" s="2"/>
      <c r="W4585" s="2"/>
      <c r="X4585" s="19"/>
      <c r="Y4585" s="2"/>
      <c r="Z4585" s="5"/>
    </row>
    <row r="4586" spans="7:26" ht="75.75" customHeight="1" x14ac:dyDescent="0.25">
      <c r="G4586" s="5"/>
      <c r="H4586" s="2"/>
      <c r="I4586" s="2"/>
      <c r="K4586" s="2"/>
      <c r="L4586" s="2"/>
      <c r="M4586" s="2"/>
      <c r="N4586" s="2"/>
      <c r="O4586" s="2"/>
      <c r="P4586" s="2"/>
      <c r="Q4586" s="2"/>
      <c r="R4586" s="2"/>
      <c r="S4586" s="2"/>
      <c r="T4586" s="19"/>
      <c r="U4586" s="2"/>
      <c r="V4586" s="2"/>
      <c r="W4586" s="2"/>
      <c r="X4586" s="19"/>
      <c r="Y4586" s="2"/>
      <c r="Z4586" s="5"/>
    </row>
    <row r="4587" spans="7:26" ht="75.75" customHeight="1" x14ac:dyDescent="0.25">
      <c r="G4587" s="5"/>
      <c r="H4587" s="2"/>
      <c r="I4587" s="2"/>
      <c r="K4587" s="2"/>
      <c r="L4587" s="2"/>
      <c r="M4587" s="2"/>
      <c r="N4587" s="2"/>
      <c r="O4587" s="2"/>
      <c r="P4587" s="2"/>
      <c r="Q4587" s="2"/>
      <c r="R4587" s="2"/>
      <c r="S4587" s="2"/>
      <c r="T4587" s="19"/>
      <c r="U4587" s="2"/>
      <c r="V4587" s="2"/>
      <c r="W4587" s="2"/>
      <c r="X4587" s="19"/>
      <c r="Y4587" s="2"/>
      <c r="Z4587" s="5"/>
    </row>
    <row r="4588" spans="7:26" ht="75.75" customHeight="1" x14ac:dyDescent="0.25">
      <c r="G4588" s="5"/>
      <c r="H4588" s="2"/>
      <c r="I4588" s="2"/>
      <c r="K4588" s="2"/>
      <c r="L4588" s="2"/>
      <c r="M4588" s="2"/>
      <c r="N4588" s="2"/>
      <c r="O4588" s="2"/>
      <c r="P4588" s="2"/>
      <c r="Q4588" s="2"/>
      <c r="R4588" s="2"/>
      <c r="S4588" s="2"/>
      <c r="T4588" s="19"/>
      <c r="U4588" s="2"/>
      <c r="V4588" s="2"/>
      <c r="W4588" s="2"/>
      <c r="X4588" s="19"/>
      <c r="Y4588" s="2"/>
      <c r="Z4588" s="5"/>
    </row>
    <row r="4589" spans="7:26" ht="75.75" customHeight="1" x14ac:dyDescent="0.25">
      <c r="G4589" s="5"/>
      <c r="H4589" s="2"/>
      <c r="I4589" s="2"/>
      <c r="K4589" s="2"/>
      <c r="L4589" s="2"/>
      <c r="M4589" s="2"/>
      <c r="N4589" s="2"/>
      <c r="O4589" s="2"/>
      <c r="P4589" s="2"/>
      <c r="Q4589" s="2"/>
      <c r="R4589" s="2"/>
      <c r="S4589" s="2"/>
      <c r="T4589" s="19"/>
      <c r="U4589" s="2"/>
      <c r="V4589" s="2"/>
      <c r="W4589" s="2"/>
      <c r="X4589" s="19"/>
      <c r="Y4589" s="2"/>
      <c r="Z4589" s="5"/>
    </row>
    <row r="4590" spans="7:26" ht="75.75" customHeight="1" x14ac:dyDescent="0.25">
      <c r="G4590" s="5"/>
      <c r="H4590" s="2"/>
      <c r="I4590" s="2"/>
      <c r="K4590" s="2"/>
      <c r="L4590" s="2"/>
      <c r="M4590" s="2"/>
      <c r="N4590" s="2"/>
      <c r="O4590" s="2"/>
      <c r="P4590" s="2"/>
      <c r="Q4590" s="2"/>
      <c r="R4590" s="2"/>
      <c r="S4590" s="2"/>
      <c r="T4590" s="19"/>
      <c r="U4590" s="2"/>
      <c r="V4590" s="2"/>
      <c r="W4590" s="2"/>
      <c r="X4590" s="19"/>
      <c r="Y4590" s="2"/>
      <c r="Z4590" s="5"/>
    </row>
    <row r="4591" spans="7:26" ht="75.75" customHeight="1" x14ac:dyDescent="0.25">
      <c r="G4591" s="5"/>
      <c r="H4591" s="2"/>
      <c r="I4591" s="2"/>
      <c r="K4591" s="2"/>
      <c r="L4591" s="2"/>
      <c r="M4591" s="2"/>
      <c r="N4591" s="2"/>
      <c r="O4591" s="2"/>
      <c r="P4591" s="2"/>
      <c r="Q4591" s="2"/>
      <c r="R4591" s="2"/>
      <c r="S4591" s="2"/>
      <c r="T4591" s="19"/>
      <c r="U4591" s="2"/>
      <c r="V4591" s="2"/>
      <c r="W4591" s="2"/>
      <c r="X4591" s="19"/>
      <c r="Y4591" s="2"/>
      <c r="Z4591" s="5"/>
    </row>
    <row r="4592" spans="7:26" ht="75.75" customHeight="1" x14ac:dyDescent="0.25">
      <c r="G4592" s="5"/>
      <c r="H4592" s="2"/>
      <c r="I4592" s="2"/>
      <c r="K4592" s="2"/>
      <c r="L4592" s="2"/>
      <c r="M4592" s="2"/>
      <c r="N4592" s="2"/>
      <c r="O4592" s="2"/>
      <c r="P4592" s="2"/>
      <c r="Q4592" s="2"/>
      <c r="R4592" s="2"/>
      <c r="S4592" s="2"/>
      <c r="T4592" s="19"/>
      <c r="U4592" s="2"/>
      <c r="V4592" s="2"/>
      <c r="W4592" s="2"/>
      <c r="X4592" s="19"/>
      <c r="Y4592" s="2"/>
      <c r="Z4592" s="5"/>
    </row>
    <row r="4593" spans="7:26" ht="75.75" customHeight="1" x14ac:dyDescent="0.25">
      <c r="G4593" s="5"/>
      <c r="H4593" s="2"/>
      <c r="I4593" s="2"/>
      <c r="K4593" s="2"/>
      <c r="L4593" s="2"/>
      <c r="M4593" s="2"/>
      <c r="N4593" s="2"/>
      <c r="O4593" s="2"/>
      <c r="P4593" s="2"/>
      <c r="Q4593" s="2"/>
      <c r="R4593" s="2"/>
      <c r="S4593" s="2"/>
      <c r="T4593" s="19"/>
      <c r="U4593" s="2"/>
      <c r="V4593" s="2"/>
      <c r="W4593" s="2"/>
      <c r="X4593" s="19"/>
      <c r="Y4593" s="2"/>
      <c r="Z4593" s="5"/>
    </row>
    <row r="4594" spans="7:26" ht="75.75" customHeight="1" x14ac:dyDescent="0.25">
      <c r="G4594" s="5"/>
      <c r="H4594" s="2"/>
      <c r="I4594" s="2"/>
      <c r="K4594" s="2"/>
      <c r="L4594" s="2"/>
      <c r="M4594" s="2"/>
      <c r="N4594" s="2"/>
      <c r="O4594" s="2"/>
      <c r="P4594" s="2"/>
      <c r="Q4594" s="2"/>
      <c r="R4594" s="2"/>
      <c r="S4594" s="2"/>
      <c r="T4594" s="19"/>
      <c r="U4594" s="2"/>
      <c r="V4594" s="2"/>
      <c r="W4594" s="2"/>
      <c r="X4594" s="19"/>
      <c r="Y4594" s="2"/>
      <c r="Z4594" s="5"/>
    </row>
    <row r="4595" spans="7:26" ht="75.75" customHeight="1" x14ac:dyDescent="0.25">
      <c r="G4595" s="5"/>
      <c r="H4595" s="2"/>
      <c r="I4595" s="2"/>
      <c r="K4595" s="2"/>
      <c r="L4595" s="2"/>
      <c r="M4595" s="2"/>
      <c r="N4595" s="2"/>
      <c r="O4595" s="2"/>
      <c r="P4595" s="2"/>
      <c r="Q4595" s="2"/>
      <c r="R4595" s="2"/>
      <c r="S4595" s="2"/>
      <c r="T4595" s="19"/>
      <c r="U4595" s="2"/>
      <c r="V4595" s="2"/>
      <c r="W4595" s="2"/>
      <c r="X4595" s="19"/>
      <c r="Y4595" s="2"/>
      <c r="Z4595" s="5"/>
    </row>
    <row r="4596" spans="7:26" ht="75.75" customHeight="1" x14ac:dyDescent="0.25">
      <c r="G4596" s="5"/>
      <c r="H4596" s="2"/>
      <c r="I4596" s="2"/>
      <c r="K4596" s="2"/>
      <c r="L4596" s="2"/>
      <c r="M4596" s="2"/>
      <c r="N4596" s="2"/>
      <c r="O4596" s="2"/>
      <c r="P4596" s="2"/>
      <c r="Q4596" s="2"/>
      <c r="R4596" s="2"/>
      <c r="S4596" s="2"/>
      <c r="T4596" s="19"/>
      <c r="U4596" s="2"/>
      <c r="V4596" s="2"/>
      <c r="W4596" s="2"/>
      <c r="X4596" s="19"/>
      <c r="Y4596" s="2"/>
      <c r="Z4596" s="5"/>
    </row>
    <row r="4597" spans="7:26" ht="75.75" customHeight="1" x14ac:dyDescent="0.25">
      <c r="G4597" s="5"/>
      <c r="H4597" s="2"/>
      <c r="I4597" s="2"/>
      <c r="K4597" s="2"/>
      <c r="L4597" s="2"/>
      <c r="M4597" s="2"/>
      <c r="N4597" s="2"/>
      <c r="O4597" s="2"/>
      <c r="P4597" s="2"/>
      <c r="Q4597" s="2"/>
      <c r="R4597" s="2"/>
      <c r="S4597" s="2"/>
      <c r="T4597" s="19"/>
      <c r="U4597" s="2"/>
      <c r="V4597" s="2"/>
      <c r="W4597" s="2"/>
      <c r="X4597" s="19"/>
      <c r="Y4597" s="2"/>
      <c r="Z4597" s="5"/>
    </row>
    <row r="4598" spans="7:26" ht="75.75" customHeight="1" x14ac:dyDescent="0.25">
      <c r="G4598" s="5"/>
      <c r="H4598" s="2"/>
      <c r="I4598" s="2"/>
      <c r="K4598" s="2"/>
      <c r="L4598" s="2"/>
      <c r="M4598" s="2"/>
      <c r="N4598" s="2"/>
      <c r="O4598" s="2"/>
      <c r="P4598" s="2"/>
      <c r="Q4598" s="2"/>
      <c r="R4598" s="2"/>
      <c r="S4598" s="2"/>
      <c r="T4598" s="19"/>
      <c r="U4598" s="2"/>
      <c r="V4598" s="2"/>
      <c r="W4598" s="2"/>
      <c r="X4598" s="19"/>
      <c r="Y4598" s="2"/>
      <c r="Z4598" s="5"/>
    </row>
    <row r="4599" spans="7:26" ht="75.75" customHeight="1" x14ac:dyDescent="0.25">
      <c r="G4599" s="5"/>
      <c r="H4599" s="2"/>
      <c r="I4599" s="2"/>
      <c r="K4599" s="2"/>
      <c r="L4599" s="2"/>
      <c r="M4599" s="2"/>
      <c r="N4599" s="2"/>
      <c r="O4599" s="2"/>
      <c r="P4599" s="2"/>
      <c r="Q4599" s="2"/>
      <c r="R4599" s="2"/>
      <c r="S4599" s="2"/>
      <c r="T4599" s="19"/>
      <c r="U4599" s="2"/>
      <c r="V4599" s="2"/>
      <c r="W4599" s="2"/>
      <c r="X4599" s="19"/>
      <c r="Y4599" s="2"/>
      <c r="Z4599" s="5"/>
    </row>
    <row r="4600" spans="7:26" ht="75.75" customHeight="1" x14ac:dyDescent="0.25">
      <c r="G4600" s="5"/>
      <c r="H4600" s="2"/>
      <c r="I4600" s="2"/>
      <c r="K4600" s="2"/>
      <c r="L4600" s="2"/>
      <c r="M4600" s="2"/>
      <c r="N4600" s="2"/>
      <c r="O4600" s="2"/>
      <c r="P4600" s="2"/>
      <c r="Q4600" s="2"/>
      <c r="R4600" s="2"/>
      <c r="S4600" s="2"/>
      <c r="T4600" s="19"/>
      <c r="U4600" s="2"/>
      <c r="V4600" s="2"/>
      <c r="W4600" s="2"/>
      <c r="X4600" s="19"/>
      <c r="Y4600" s="2"/>
      <c r="Z4600" s="5"/>
    </row>
    <row r="4601" spans="7:26" ht="75.75" customHeight="1" x14ac:dyDescent="0.25">
      <c r="G4601" s="5"/>
      <c r="H4601" s="2"/>
      <c r="I4601" s="2"/>
      <c r="K4601" s="2"/>
      <c r="L4601" s="2"/>
      <c r="M4601" s="2"/>
      <c r="N4601" s="2"/>
      <c r="O4601" s="2"/>
      <c r="P4601" s="2"/>
      <c r="Q4601" s="2"/>
      <c r="R4601" s="2"/>
      <c r="S4601" s="2"/>
      <c r="T4601" s="19"/>
      <c r="U4601" s="2"/>
      <c r="V4601" s="2"/>
      <c r="W4601" s="2"/>
      <c r="X4601" s="19"/>
      <c r="Y4601" s="2"/>
      <c r="Z4601" s="5"/>
    </row>
    <row r="4602" spans="7:26" ht="75.75" customHeight="1" x14ac:dyDescent="0.25">
      <c r="G4602" s="5"/>
      <c r="H4602" s="2"/>
      <c r="I4602" s="2"/>
      <c r="K4602" s="2"/>
      <c r="L4602" s="2"/>
      <c r="M4602" s="2"/>
      <c r="N4602" s="2"/>
      <c r="O4602" s="2"/>
      <c r="P4602" s="2"/>
      <c r="Q4602" s="2"/>
      <c r="R4602" s="2"/>
      <c r="S4602" s="2"/>
      <c r="T4602" s="19"/>
      <c r="U4602" s="2"/>
      <c r="V4602" s="2"/>
      <c r="W4602" s="2"/>
      <c r="X4602" s="19"/>
      <c r="Y4602" s="2"/>
      <c r="Z4602" s="5"/>
    </row>
    <row r="4603" spans="7:26" ht="75.75" customHeight="1" x14ac:dyDescent="0.25">
      <c r="G4603" s="5"/>
      <c r="H4603" s="2"/>
      <c r="I4603" s="2"/>
      <c r="K4603" s="2"/>
      <c r="L4603" s="2"/>
      <c r="M4603" s="2"/>
      <c r="N4603" s="2"/>
      <c r="O4603" s="2"/>
      <c r="P4603" s="2"/>
      <c r="Q4603" s="2"/>
      <c r="R4603" s="2"/>
      <c r="S4603" s="2"/>
      <c r="T4603" s="19"/>
      <c r="U4603" s="2"/>
      <c r="V4603" s="2"/>
      <c r="W4603" s="2"/>
      <c r="X4603" s="19"/>
      <c r="Y4603" s="2"/>
      <c r="Z4603" s="5"/>
    </row>
    <row r="4604" spans="7:26" ht="75.75" customHeight="1" x14ac:dyDescent="0.25">
      <c r="G4604" s="5"/>
      <c r="H4604" s="2"/>
      <c r="I4604" s="2"/>
      <c r="K4604" s="2"/>
      <c r="L4604" s="2"/>
      <c r="M4604" s="2"/>
      <c r="N4604" s="2"/>
      <c r="O4604" s="2"/>
      <c r="P4604" s="2"/>
      <c r="Q4604" s="2"/>
      <c r="R4604" s="2"/>
      <c r="S4604" s="2"/>
      <c r="T4604" s="19"/>
      <c r="U4604" s="2"/>
      <c r="V4604" s="2"/>
      <c r="W4604" s="2"/>
      <c r="X4604" s="19"/>
      <c r="Y4604" s="2"/>
      <c r="Z4604" s="5"/>
    </row>
    <row r="4605" spans="7:26" ht="75.75" customHeight="1" x14ac:dyDescent="0.25">
      <c r="G4605" s="5"/>
      <c r="H4605" s="2"/>
      <c r="I4605" s="2"/>
      <c r="K4605" s="2"/>
      <c r="L4605" s="2"/>
      <c r="M4605" s="2"/>
      <c r="N4605" s="2"/>
      <c r="O4605" s="2"/>
      <c r="P4605" s="2"/>
      <c r="Q4605" s="2"/>
      <c r="R4605" s="2"/>
      <c r="S4605" s="2"/>
      <c r="T4605" s="19"/>
      <c r="U4605" s="2"/>
      <c r="V4605" s="2"/>
      <c r="W4605" s="2"/>
      <c r="X4605" s="19"/>
      <c r="Y4605" s="2"/>
      <c r="Z4605" s="5"/>
    </row>
    <row r="4606" spans="7:26" ht="75.75" customHeight="1" x14ac:dyDescent="0.25">
      <c r="G4606" s="5"/>
      <c r="H4606" s="2"/>
      <c r="I4606" s="2"/>
      <c r="K4606" s="2"/>
      <c r="L4606" s="2"/>
      <c r="M4606" s="2"/>
      <c r="N4606" s="2"/>
      <c r="O4606" s="2"/>
      <c r="P4606" s="2"/>
      <c r="Q4606" s="2"/>
      <c r="R4606" s="2"/>
      <c r="S4606" s="2"/>
      <c r="T4606" s="19"/>
      <c r="U4606" s="2"/>
      <c r="V4606" s="2"/>
      <c r="W4606" s="2"/>
      <c r="X4606" s="19"/>
      <c r="Y4606" s="2"/>
      <c r="Z4606" s="5"/>
    </row>
    <row r="4607" spans="7:26" ht="75.75" customHeight="1" x14ac:dyDescent="0.25">
      <c r="G4607" s="5"/>
      <c r="H4607" s="2"/>
      <c r="I4607" s="2"/>
      <c r="K4607" s="2"/>
      <c r="L4607" s="2"/>
      <c r="M4607" s="2"/>
      <c r="N4607" s="2"/>
      <c r="O4607" s="2"/>
      <c r="P4607" s="2"/>
      <c r="Q4607" s="2"/>
      <c r="R4607" s="2"/>
      <c r="S4607" s="2"/>
      <c r="T4607" s="19"/>
      <c r="U4607" s="2"/>
      <c r="V4607" s="2"/>
      <c r="W4607" s="2"/>
      <c r="X4607" s="19"/>
      <c r="Y4607" s="2"/>
      <c r="Z4607" s="5"/>
    </row>
    <row r="4608" spans="7:26" ht="75.75" customHeight="1" x14ac:dyDescent="0.25">
      <c r="G4608" s="5"/>
      <c r="H4608" s="2"/>
      <c r="I4608" s="2"/>
      <c r="K4608" s="2"/>
      <c r="L4608" s="2"/>
      <c r="M4608" s="2"/>
      <c r="N4608" s="2"/>
      <c r="O4608" s="2"/>
      <c r="P4608" s="2"/>
      <c r="Q4608" s="2"/>
      <c r="R4608" s="2"/>
      <c r="S4608" s="2"/>
      <c r="T4608" s="19"/>
      <c r="U4608" s="2"/>
      <c r="V4608" s="2"/>
      <c r="W4608" s="2"/>
      <c r="X4608" s="19"/>
      <c r="Y4608" s="2"/>
      <c r="Z4608" s="5"/>
    </row>
    <row r="4609" spans="7:26" ht="75.75" customHeight="1" x14ac:dyDescent="0.25">
      <c r="G4609" s="5"/>
      <c r="H4609" s="2"/>
      <c r="I4609" s="2"/>
      <c r="K4609" s="2"/>
      <c r="L4609" s="2"/>
      <c r="M4609" s="2"/>
      <c r="N4609" s="2"/>
      <c r="O4609" s="2"/>
      <c r="P4609" s="2"/>
      <c r="Q4609" s="2"/>
      <c r="R4609" s="2"/>
      <c r="S4609" s="2"/>
      <c r="T4609" s="19"/>
      <c r="U4609" s="2"/>
      <c r="V4609" s="2"/>
      <c r="W4609" s="2"/>
      <c r="X4609" s="19"/>
      <c r="Y4609" s="2"/>
      <c r="Z4609" s="5"/>
    </row>
    <row r="4610" spans="7:26" ht="75.75" customHeight="1" x14ac:dyDescent="0.25">
      <c r="G4610" s="5"/>
      <c r="H4610" s="2"/>
      <c r="I4610" s="2"/>
      <c r="K4610" s="2"/>
      <c r="L4610" s="2"/>
      <c r="M4610" s="2"/>
      <c r="N4610" s="2"/>
      <c r="O4610" s="2"/>
      <c r="P4610" s="2"/>
      <c r="Q4610" s="2"/>
      <c r="R4610" s="2"/>
      <c r="S4610" s="2"/>
      <c r="T4610" s="19"/>
      <c r="U4610" s="2"/>
      <c r="V4610" s="2"/>
      <c r="W4610" s="2"/>
      <c r="X4610" s="19"/>
      <c r="Y4610" s="2"/>
      <c r="Z4610" s="5"/>
    </row>
    <row r="4611" spans="7:26" ht="75.75" customHeight="1" x14ac:dyDescent="0.25">
      <c r="G4611" s="5"/>
      <c r="H4611" s="2"/>
      <c r="I4611" s="2"/>
      <c r="K4611" s="2"/>
      <c r="L4611" s="2"/>
      <c r="M4611" s="2"/>
      <c r="N4611" s="2"/>
      <c r="O4611" s="2"/>
      <c r="P4611" s="2"/>
      <c r="Q4611" s="2"/>
      <c r="R4611" s="2"/>
      <c r="S4611" s="2"/>
      <c r="T4611" s="19"/>
      <c r="U4611" s="2"/>
      <c r="V4611" s="2"/>
      <c r="W4611" s="2"/>
      <c r="X4611" s="19"/>
      <c r="Y4611" s="2"/>
      <c r="Z4611" s="5"/>
    </row>
    <row r="4612" spans="7:26" ht="75.75" customHeight="1" x14ac:dyDescent="0.25">
      <c r="G4612" s="5"/>
      <c r="H4612" s="2"/>
      <c r="I4612" s="2"/>
      <c r="K4612" s="2"/>
      <c r="L4612" s="2"/>
      <c r="M4612" s="2"/>
      <c r="N4612" s="2"/>
      <c r="O4612" s="2"/>
      <c r="P4612" s="2"/>
      <c r="Q4612" s="2"/>
      <c r="R4612" s="2"/>
      <c r="S4612" s="2"/>
      <c r="T4612" s="19"/>
      <c r="U4612" s="2"/>
      <c r="V4612" s="2"/>
      <c r="W4612" s="2"/>
      <c r="X4612" s="19"/>
      <c r="Y4612" s="2"/>
      <c r="Z4612" s="5"/>
    </row>
    <row r="4613" spans="7:26" ht="75.75" customHeight="1" x14ac:dyDescent="0.25">
      <c r="G4613" s="5"/>
      <c r="H4613" s="2"/>
      <c r="I4613" s="2"/>
      <c r="K4613" s="2"/>
      <c r="L4613" s="2"/>
      <c r="M4613" s="2"/>
      <c r="N4613" s="2"/>
      <c r="O4613" s="2"/>
      <c r="P4613" s="2"/>
      <c r="Q4613" s="2"/>
      <c r="R4613" s="2"/>
      <c r="S4613" s="2"/>
      <c r="T4613" s="19"/>
      <c r="U4613" s="2"/>
      <c r="V4613" s="2"/>
      <c r="W4613" s="2"/>
      <c r="X4613" s="19"/>
      <c r="Y4613" s="2"/>
      <c r="Z4613" s="5"/>
    </row>
    <row r="4614" spans="7:26" ht="75.75" customHeight="1" x14ac:dyDescent="0.25">
      <c r="G4614" s="5"/>
      <c r="H4614" s="2"/>
      <c r="I4614" s="2"/>
      <c r="K4614" s="2"/>
      <c r="L4614" s="2"/>
      <c r="M4614" s="2"/>
      <c r="N4614" s="2"/>
      <c r="O4614" s="2"/>
      <c r="P4614" s="2"/>
      <c r="Q4614" s="2"/>
      <c r="R4614" s="2"/>
      <c r="S4614" s="2"/>
      <c r="T4614" s="19"/>
      <c r="U4614" s="2"/>
      <c r="V4614" s="2"/>
      <c r="W4614" s="2"/>
      <c r="X4614" s="19"/>
      <c r="Y4614" s="2"/>
      <c r="Z4614" s="5"/>
    </row>
    <row r="4615" spans="7:26" ht="75.75" customHeight="1" x14ac:dyDescent="0.25">
      <c r="G4615" s="5"/>
      <c r="H4615" s="2"/>
      <c r="I4615" s="2"/>
      <c r="K4615" s="2"/>
      <c r="L4615" s="2"/>
      <c r="M4615" s="2"/>
      <c r="N4615" s="2"/>
      <c r="O4615" s="2"/>
      <c r="P4615" s="2"/>
      <c r="Q4615" s="2"/>
      <c r="R4615" s="2"/>
      <c r="S4615" s="2"/>
      <c r="T4615" s="19"/>
      <c r="U4615" s="2"/>
      <c r="V4615" s="2"/>
      <c r="W4615" s="2"/>
      <c r="X4615" s="19"/>
      <c r="Y4615" s="2"/>
      <c r="Z4615" s="5"/>
    </row>
    <row r="4616" spans="7:26" ht="75.75" customHeight="1" x14ac:dyDescent="0.25">
      <c r="G4616" s="5"/>
      <c r="H4616" s="2"/>
      <c r="I4616" s="2"/>
      <c r="K4616" s="2"/>
      <c r="L4616" s="2"/>
      <c r="M4616" s="2"/>
      <c r="N4616" s="2"/>
      <c r="O4616" s="2"/>
      <c r="P4616" s="2"/>
      <c r="Q4616" s="2"/>
      <c r="R4616" s="2"/>
      <c r="S4616" s="2"/>
      <c r="T4616" s="19"/>
      <c r="U4616" s="2"/>
      <c r="V4616" s="2"/>
      <c r="W4616" s="2"/>
      <c r="X4616" s="19"/>
      <c r="Y4616" s="2"/>
      <c r="Z4616" s="5"/>
    </row>
    <row r="4617" spans="7:26" ht="75.75" customHeight="1" x14ac:dyDescent="0.25">
      <c r="G4617" s="5"/>
      <c r="H4617" s="2"/>
      <c r="I4617" s="2"/>
      <c r="K4617" s="2"/>
      <c r="L4617" s="2"/>
      <c r="M4617" s="2"/>
      <c r="N4617" s="2"/>
      <c r="O4617" s="2"/>
      <c r="P4617" s="2"/>
      <c r="Q4617" s="2"/>
      <c r="R4617" s="2"/>
      <c r="S4617" s="2"/>
      <c r="T4617" s="19"/>
      <c r="U4617" s="2"/>
      <c r="V4617" s="2"/>
      <c r="W4617" s="2"/>
      <c r="X4617" s="19"/>
      <c r="Y4617" s="2"/>
      <c r="Z4617" s="5"/>
    </row>
    <row r="4618" spans="7:26" ht="75.75" customHeight="1" x14ac:dyDescent="0.25">
      <c r="G4618" s="5"/>
      <c r="H4618" s="2"/>
      <c r="I4618" s="2"/>
      <c r="K4618" s="2"/>
      <c r="L4618" s="2"/>
      <c r="M4618" s="2"/>
      <c r="N4618" s="2"/>
      <c r="O4618" s="2"/>
      <c r="P4618" s="2"/>
      <c r="Q4618" s="2"/>
      <c r="R4618" s="2"/>
      <c r="S4618" s="2"/>
      <c r="T4618" s="19"/>
      <c r="U4618" s="2"/>
      <c r="V4618" s="2"/>
      <c r="W4618" s="2"/>
      <c r="X4618" s="19"/>
      <c r="Y4618" s="2"/>
      <c r="Z4618" s="5"/>
    </row>
    <row r="4619" spans="7:26" ht="75.75" customHeight="1" x14ac:dyDescent="0.25">
      <c r="G4619" s="5"/>
      <c r="H4619" s="2"/>
      <c r="I4619" s="2"/>
      <c r="K4619" s="2"/>
      <c r="L4619" s="2"/>
      <c r="M4619" s="2"/>
      <c r="N4619" s="2"/>
      <c r="O4619" s="2"/>
      <c r="P4619" s="2"/>
      <c r="Q4619" s="2"/>
      <c r="R4619" s="2"/>
      <c r="S4619" s="2"/>
      <c r="T4619" s="19"/>
      <c r="U4619" s="2"/>
      <c r="V4619" s="2"/>
      <c r="W4619" s="2"/>
      <c r="X4619" s="19"/>
      <c r="Y4619" s="2"/>
      <c r="Z4619" s="5"/>
    </row>
    <row r="4620" spans="7:26" ht="75.75" customHeight="1" x14ac:dyDescent="0.25">
      <c r="G4620" s="5"/>
      <c r="H4620" s="2"/>
      <c r="I4620" s="2"/>
      <c r="K4620" s="2"/>
      <c r="L4620" s="2"/>
      <c r="M4620" s="2"/>
      <c r="N4620" s="2"/>
      <c r="O4620" s="2"/>
      <c r="P4620" s="2"/>
      <c r="Q4620" s="2"/>
      <c r="R4620" s="2"/>
      <c r="S4620" s="2"/>
      <c r="T4620" s="19"/>
      <c r="U4620" s="2"/>
      <c r="V4620" s="2"/>
      <c r="W4620" s="2"/>
      <c r="X4620" s="19"/>
      <c r="Y4620" s="2"/>
      <c r="Z4620" s="5"/>
    </row>
    <row r="4621" spans="7:26" ht="75.75" customHeight="1" x14ac:dyDescent="0.25">
      <c r="G4621" s="5"/>
      <c r="H4621" s="2"/>
      <c r="I4621" s="2"/>
      <c r="K4621" s="2"/>
      <c r="L4621" s="2"/>
      <c r="M4621" s="2"/>
      <c r="N4621" s="2"/>
      <c r="O4621" s="2"/>
      <c r="P4621" s="2"/>
      <c r="Q4621" s="2"/>
      <c r="R4621" s="2"/>
      <c r="S4621" s="2"/>
      <c r="T4621" s="19"/>
      <c r="U4621" s="2"/>
      <c r="V4621" s="2"/>
      <c r="W4621" s="2"/>
      <c r="X4621" s="19"/>
      <c r="Y4621" s="2"/>
      <c r="Z4621" s="5"/>
    </row>
    <row r="4622" spans="7:26" ht="75.75" customHeight="1" x14ac:dyDescent="0.25">
      <c r="G4622" s="5"/>
      <c r="H4622" s="2"/>
      <c r="I4622" s="2"/>
      <c r="K4622" s="2"/>
      <c r="L4622" s="2"/>
      <c r="M4622" s="2"/>
      <c r="N4622" s="2"/>
      <c r="O4622" s="2"/>
      <c r="P4622" s="2"/>
      <c r="Q4622" s="2"/>
      <c r="R4622" s="2"/>
      <c r="S4622" s="2"/>
      <c r="T4622" s="19"/>
      <c r="U4622" s="2"/>
      <c r="V4622" s="2"/>
      <c r="W4622" s="2"/>
      <c r="X4622" s="19"/>
      <c r="Y4622" s="2"/>
      <c r="Z4622" s="5"/>
    </row>
    <row r="4623" spans="7:26" ht="75.75" customHeight="1" x14ac:dyDescent="0.25">
      <c r="G4623" s="5"/>
      <c r="H4623" s="2"/>
      <c r="I4623" s="2"/>
      <c r="K4623" s="2"/>
      <c r="L4623" s="2"/>
      <c r="M4623" s="2"/>
      <c r="N4623" s="2"/>
      <c r="O4623" s="2"/>
      <c r="P4623" s="2"/>
      <c r="Q4623" s="2"/>
      <c r="R4623" s="2"/>
      <c r="S4623" s="2"/>
      <c r="T4623" s="19"/>
      <c r="U4623" s="2"/>
      <c r="V4623" s="2"/>
      <c r="W4623" s="2"/>
      <c r="X4623" s="19"/>
      <c r="Y4623" s="2"/>
      <c r="Z4623" s="5"/>
    </row>
    <row r="4624" spans="7:26" ht="75.75" customHeight="1" x14ac:dyDescent="0.25">
      <c r="G4624" s="5"/>
      <c r="H4624" s="2"/>
      <c r="I4624" s="2"/>
      <c r="K4624" s="2"/>
      <c r="L4624" s="2"/>
      <c r="M4624" s="2"/>
      <c r="N4624" s="2"/>
      <c r="O4624" s="2"/>
      <c r="P4624" s="2"/>
      <c r="Q4624" s="2"/>
      <c r="R4624" s="2"/>
      <c r="S4624" s="2"/>
      <c r="T4624" s="19"/>
      <c r="U4624" s="2"/>
      <c r="V4624" s="2"/>
      <c r="W4624" s="2"/>
      <c r="X4624" s="19"/>
      <c r="Y4624" s="2"/>
      <c r="Z4624" s="5"/>
    </row>
    <row r="4625" spans="7:26" ht="75.75" customHeight="1" x14ac:dyDescent="0.25">
      <c r="G4625" s="5"/>
      <c r="H4625" s="2"/>
      <c r="I4625" s="2"/>
      <c r="K4625" s="2"/>
      <c r="L4625" s="2"/>
      <c r="M4625" s="2"/>
      <c r="N4625" s="2"/>
      <c r="O4625" s="2"/>
      <c r="P4625" s="2"/>
      <c r="Q4625" s="2"/>
      <c r="R4625" s="2"/>
      <c r="S4625" s="2"/>
      <c r="T4625" s="19"/>
      <c r="U4625" s="2"/>
      <c r="V4625" s="2"/>
      <c r="W4625" s="2"/>
      <c r="X4625" s="19"/>
      <c r="Y4625" s="2"/>
      <c r="Z4625" s="5"/>
    </row>
    <row r="4626" spans="7:26" ht="75.75" customHeight="1" x14ac:dyDescent="0.25">
      <c r="G4626" s="5"/>
      <c r="H4626" s="2"/>
      <c r="I4626" s="2"/>
      <c r="K4626" s="2"/>
      <c r="L4626" s="2"/>
      <c r="M4626" s="2"/>
      <c r="N4626" s="2"/>
      <c r="O4626" s="2"/>
      <c r="P4626" s="2"/>
      <c r="Q4626" s="2"/>
      <c r="R4626" s="2"/>
      <c r="S4626" s="2"/>
      <c r="T4626" s="19"/>
      <c r="U4626" s="2"/>
      <c r="V4626" s="2"/>
      <c r="W4626" s="2"/>
      <c r="X4626" s="19"/>
      <c r="Y4626" s="2"/>
      <c r="Z4626" s="5"/>
    </row>
    <row r="4627" spans="7:26" ht="75.75" customHeight="1" x14ac:dyDescent="0.25">
      <c r="G4627" s="5"/>
      <c r="H4627" s="2"/>
      <c r="I4627" s="2"/>
      <c r="K4627" s="2"/>
      <c r="L4627" s="2"/>
      <c r="M4627" s="2"/>
      <c r="N4627" s="2"/>
      <c r="O4627" s="2"/>
      <c r="P4627" s="2"/>
      <c r="Q4627" s="2"/>
      <c r="R4627" s="2"/>
      <c r="S4627" s="2"/>
      <c r="T4627" s="19"/>
      <c r="U4627" s="2"/>
      <c r="V4627" s="2"/>
      <c r="W4627" s="2"/>
      <c r="X4627" s="19"/>
      <c r="Y4627" s="2"/>
      <c r="Z4627" s="5"/>
    </row>
    <row r="4628" spans="7:26" ht="75.75" customHeight="1" x14ac:dyDescent="0.25">
      <c r="G4628" s="5"/>
      <c r="H4628" s="2"/>
      <c r="I4628" s="2"/>
      <c r="K4628" s="2"/>
      <c r="L4628" s="2"/>
      <c r="M4628" s="2"/>
      <c r="N4628" s="2"/>
      <c r="O4628" s="2"/>
      <c r="P4628" s="2"/>
      <c r="Q4628" s="2"/>
      <c r="R4628" s="2"/>
      <c r="S4628" s="2"/>
      <c r="T4628" s="19"/>
      <c r="U4628" s="2"/>
      <c r="V4628" s="2"/>
      <c r="W4628" s="2"/>
      <c r="X4628" s="19"/>
      <c r="Y4628" s="2"/>
      <c r="Z4628" s="5"/>
    </row>
    <row r="4629" spans="7:26" ht="75.75" customHeight="1" x14ac:dyDescent="0.25">
      <c r="G4629" s="5"/>
      <c r="H4629" s="2"/>
      <c r="I4629" s="2"/>
      <c r="K4629" s="2"/>
      <c r="L4629" s="2"/>
      <c r="M4629" s="2"/>
      <c r="N4629" s="2"/>
      <c r="O4629" s="2"/>
      <c r="P4629" s="2"/>
      <c r="Q4629" s="2"/>
      <c r="R4629" s="2"/>
      <c r="S4629" s="2"/>
      <c r="T4629" s="19"/>
      <c r="U4629" s="2"/>
      <c r="V4629" s="2"/>
      <c r="W4629" s="2"/>
      <c r="X4629" s="19"/>
      <c r="Y4629" s="2"/>
      <c r="Z4629" s="5"/>
    </row>
    <row r="4630" spans="7:26" ht="75.75" customHeight="1" x14ac:dyDescent="0.25">
      <c r="G4630" s="5"/>
      <c r="H4630" s="2"/>
      <c r="I4630" s="2"/>
      <c r="K4630" s="2"/>
      <c r="L4630" s="2"/>
      <c r="M4630" s="2"/>
      <c r="N4630" s="2"/>
      <c r="O4630" s="2"/>
      <c r="P4630" s="2"/>
      <c r="Q4630" s="2"/>
      <c r="R4630" s="2"/>
      <c r="S4630" s="2"/>
      <c r="T4630" s="19"/>
      <c r="U4630" s="2"/>
      <c r="V4630" s="2"/>
      <c r="W4630" s="2"/>
      <c r="X4630" s="19"/>
      <c r="Y4630" s="2"/>
      <c r="Z4630" s="5"/>
    </row>
    <row r="4631" spans="7:26" ht="75.75" customHeight="1" x14ac:dyDescent="0.25">
      <c r="G4631" s="5"/>
      <c r="H4631" s="2"/>
      <c r="I4631" s="2"/>
      <c r="K4631" s="2"/>
      <c r="L4631" s="2"/>
      <c r="M4631" s="2"/>
      <c r="N4631" s="2"/>
      <c r="O4631" s="2"/>
      <c r="P4631" s="2"/>
      <c r="Q4631" s="2"/>
      <c r="R4631" s="2"/>
      <c r="S4631" s="2"/>
      <c r="T4631" s="19"/>
      <c r="U4631" s="2"/>
      <c r="V4631" s="2"/>
      <c r="W4631" s="2"/>
      <c r="X4631" s="19"/>
      <c r="Y4631" s="2"/>
      <c r="Z4631" s="5"/>
    </row>
    <row r="4632" spans="7:26" ht="75.75" customHeight="1" x14ac:dyDescent="0.25">
      <c r="G4632" s="5"/>
      <c r="H4632" s="2"/>
      <c r="I4632" s="2"/>
      <c r="K4632" s="2"/>
      <c r="L4632" s="2"/>
      <c r="M4632" s="2"/>
      <c r="N4632" s="2"/>
      <c r="O4632" s="2"/>
      <c r="P4632" s="2"/>
      <c r="Q4632" s="2"/>
      <c r="R4632" s="2"/>
      <c r="S4632" s="2"/>
      <c r="T4632" s="19"/>
      <c r="U4632" s="2"/>
      <c r="V4632" s="2"/>
      <c r="W4632" s="2"/>
      <c r="X4632" s="19"/>
      <c r="Y4632" s="2"/>
      <c r="Z4632" s="5"/>
    </row>
    <row r="4633" spans="7:26" ht="75.75" customHeight="1" x14ac:dyDescent="0.25">
      <c r="G4633" s="5"/>
      <c r="H4633" s="2"/>
      <c r="I4633" s="2"/>
      <c r="K4633" s="2"/>
      <c r="L4633" s="2"/>
      <c r="M4633" s="2"/>
      <c r="N4633" s="2"/>
      <c r="O4633" s="2"/>
      <c r="P4633" s="2"/>
      <c r="Q4633" s="2"/>
      <c r="R4633" s="2"/>
      <c r="S4633" s="2"/>
      <c r="T4633" s="19"/>
      <c r="U4633" s="2"/>
      <c r="V4633" s="2"/>
      <c r="W4633" s="2"/>
      <c r="X4633" s="19"/>
      <c r="Y4633" s="2"/>
      <c r="Z4633" s="5"/>
    </row>
    <row r="4634" spans="7:26" ht="75.75" customHeight="1" x14ac:dyDescent="0.25">
      <c r="G4634" s="5"/>
      <c r="H4634" s="2"/>
      <c r="I4634" s="2"/>
      <c r="K4634" s="2"/>
      <c r="L4634" s="2"/>
      <c r="M4634" s="2"/>
      <c r="N4634" s="2"/>
      <c r="O4634" s="2"/>
      <c r="P4634" s="2"/>
      <c r="Q4634" s="2"/>
      <c r="R4634" s="2"/>
      <c r="S4634" s="2"/>
      <c r="T4634" s="19"/>
      <c r="U4634" s="2"/>
      <c r="V4634" s="2"/>
      <c r="W4634" s="2"/>
      <c r="X4634" s="19"/>
      <c r="Y4634" s="2"/>
      <c r="Z4634" s="5"/>
    </row>
    <row r="4635" spans="7:26" ht="75.75" customHeight="1" x14ac:dyDescent="0.25">
      <c r="G4635" s="5"/>
      <c r="H4635" s="2"/>
      <c r="I4635" s="2"/>
      <c r="K4635" s="2"/>
      <c r="L4635" s="2"/>
      <c r="M4635" s="2"/>
      <c r="N4635" s="2"/>
      <c r="O4635" s="2"/>
      <c r="P4635" s="2"/>
      <c r="Q4635" s="2"/>
      <c r="R4635" s="2"/>
      <c r="S4635" s="2"/>
      <c r="T4635" s="19"/>
      <c r="U4635" s="2"/>
      <c r="V4635" s="2"/>
      <c r="W4635" s="2"/>
      <c r="X4635" s="19"/>
      <c r="Y4635" s="2"/>
      <c r="Z4635" s="5"/>
    </row>
    <row r="4636" spans="7:26" ht="75.75" customHeight="1" x14ac:dyDescent="0.25">
      <c r="G4636" s="5"/>
      <c r="H4636" s="2"/>
      <c r="I4636" s="2"/>
      <c r="K4636" s="2"/>
      <c r="L4636" s="2"/>
      <c r="M4636" s="2"/>
      <c r="N4636" s="2"/>
      <c r="O4636" s="2"/>
      <c r="P4636" s="2"/>
      <c r="Q4636" s="2"/>
      <c r="R4636" s="2"/>
      <c r="S4636" s="2"/>
      <c r="T4636" s="19"/>
      <c r="U4636" s="2"/>
      <c r="V4636" s="2"/>
      <c r="W4636" s="2"/>
      <c r="X4636" s="19"/>
      <c r="Y4636" s="2"/>
      <c r="Z4636" s="5"/>
    </row>
    <row r="4637" spans="7:26" ht="75.75" customHeight="1" x14ac:dyDescent="0.25">
      <c r="G4637" s="5"/>
      <c r="H4637" s="2"/>
      <c r="I4637" s="2"/>
      <c r="K4637" s="2"/>
      <c r="L4637" s="2"/>
      <c r="M4637" s="2"/>
      <c r="N4637" s="2"/>
      <c r="O4637" s="2"/>
      <c r="P4637" s="2"/>
      <c r="Q4637" s="2"/>
      <c r="R4637" s="2"/>
      <c r="S4637" s="2"/>
      <c r="T4637" s="19"/>
      <c r="U4637" s="2"/>
      <c r="V4637" s="2"/>
      <c r="W4637" s="2"/>
      <c r="X4637" s="19"/>
      <c r="Y4637" s="2"/>
      <c r="Z4637" s="5"/>
    </row>
    <row r="4638" spans="7:26" ht="75.75" customHeight="1" x14ac:dyDescent="0.25">
      <c r="G4638" s="5"/>
      <c r="H4638" s="2"/>
      <c r="I4638" s="2"/>
      <c r="K4638" s="2"/>
      <c r="L4638" s="2"/>
      <c r="M4638" s="2"/>
      <c r="N4638" s="2"/>
      <c r="O4638" s="2"/>
      <c r="P4638" s="2"/>
      <c r="Q4638" s="2"/>
      <c r="R4638" s="2"/>
      <c r="S4638" s="2"/>
      <c r="T4638" s="19"/>
      <c r="U4638" s="2"/>
      <c r="V4638" s="2"/>
      <c r="W4638" s="2"/>
      <c r="X4638" s="19"/>
      <c r="Y4638" s="2"/>
      <c r="Z4638" s="5"/>
    </row>
    <row r="4639" spans="7:26" ht="75.75" customHeight="1" x14ac:dyDescent="0.25">
      <c r="G4639" s="5"/>
      <c r="H4639" s="2"/>
      <c r="I4639" s="2"/>
      <c r="K4639" s="2"/>
      <c r="L4639" s="2"/>
      <c r="M4639" s="2"/>
      <c r="N4639" s="2"/>
      <c r="O4639" s="2"/>
      <c r="P4639" s="2"/>
      <c r="Q4639" s="2"/>
      <c r="R4639" s="2"/>
      <c r="S4639" s="2"/>
      <c r="T4639" s="19"/>
      <c r="U4639" s="2"/>
      <c r="V4639" s="2"/>
      <c r="W4639" s="2"/>
      <c r="X4639" s="19"/>
      <c r="Y4639" s="2"/>
      <c r="Z4639" s="5"/>
    </row>
    <row r="4640" spans="7:26" ht="75.75" customHeight="1" x14ac:dyDescent="0.25">
      <c r="G4640" s="5"/>
      <c r="H4640" s="2"/>
      <c r="I4640" s="2"/>
      <c r="K4640" s="2"/>
      <c r="L4640" s="2"/>
      <c r="M4640" s="2"/>
      <c r="N4640" s="2"/>
      <c r="O4640" s="2"/>
      <c r="P4640" s="2"/>
      <c r="Q4640" s="2"/>
      <c r="R4640" s="2"/>
      <c r="S4640" s="2"/>
      <c r="T4640" s="19"/>
      <c r="U4640" s="2"/>
      <c r="V4640" s="2"/>
      <c r="W4640" s="2"/>
      <c r="X4640" s="19"/>
      <c r="Y4640" s="2"/>
      <c r="Z4640" s="5"/>
    </row>
    <row r="4641" spans="7:26" ht="75.75" customHeight="1" x14ac:dyDescent="0.25">
      <c r="G4641" s="5"/>
      <c r="H4641" s="2"/>
      <c r="I4641" s="2"/>
      <c r="K4641" s="2"/>
      <c r="L4641" s="2"/>
      <c r="M4641" s="2"/>
      <c r="N4641" s="2"/>
      <c r="O4641" s="2"/>
      <c r="P4641" s="2"/>
      <c r="Q4641" s="2"/>
      <c r="R4641" s="2"/>
      <c r="S4641" s="2"/>
      <c r="T4641" s="19"/>
      <c r="U4641" s="2"/>
      <c r="V4641" s="2"/>
      <c r="W4641" s="2"/>
      <c r="X4641" s="19"/>
      <c r="Y4641" s="2"/>
      <c r="Z4641" s="5"/>
    </row>
    <row r="4642" spans="7:26" ht="75.75" customHeight="1" x14ac:dyDescent="0.25">
      <c r="G4642" s="5"/>
      <c r="H4642" s="2"/>
      <c r="I4642" s="2"/>
      <c r="K4642" s="2"/>
      <c r="L4642" s="2"/>
      <c r="M4642" s="2"/>
      <c r="N4642" s="2"/>
      <c r="O4642" s="2"/>
      <c r="P4642" s="2"/>
      <c r="Q4642" s="2"/>
      <c r="R4642" s="2"/>
      <c r="S4642" s="2"/>
      <c r="T4642" s="19"/>
      <c r="U4642" s="2"/>
      <c r="V4642" s="2"/>
      <c r="W4642" s="2"/>
      <c r="X4642" s="19"/>
      <c r="Y4642" s="2"/>
      <c r="Z4642" s="5"/>
    </row>
    <row r="4643" spans="7:26" ht="75.75" customHeight="1" x14ac:dyDescent="0.25">
      <c r="G4643" s="5"/>
      <c r="H4643" s="2"/>
      <c r="I4643" s="2"/>
      <c r="K4643" s="2"/>
      <c r="L4643" s="2"/>
      <c r="M4643" s="2"/>
      <c r="N4643" s="2"/>
      <c r="O4643" s="2"/>
      <c r="P4643" s="2"/>
      <c r="Q4643" s="2"/>
      <c r="R4643" s="2"/>
      <c r="S4643" s="2"/>
      <c r="T4643" s="19"/>
      <c r="U4643" s="2"/>
      <c r="V4643" s="2"/>
      <c r="W4643" s="2"/>
      <c r="X4643" s="19"/>
      <c r="Y4643" s="2"/>
      <c r="Z4643" s="5"/>
    </row>
    <row r="4644" spans="7:26" ht="75.75" customHeight="1" x14ac:dyDescent="0.25">
      <c r="G4644" s="5"/>
      <c r="H4644" s="2"/>
      <c r="I4644" s="2"/>
      <c r="K4644" s="2"/>
      <c r="L4644" s="2"/>
      <c r="M4644" s="2"/>
      <c r="N4644" s="2"/>
      <c r="O4644" s="2"/>
      <c r="P4644" s="2"/>
      <c r="Q4644" s="2"/>
      <c r="R4644" s="2"/>
      <c r="S4644" s="2"/>
      <c r="T4644" s="19"/>
      <c r="U4644" s="2"/>
      <c r="V4644" s="2"/>
      <c r="W4644" s="2"/>
      <c r="X4644" s="19"/>
      <c r="Y4644" s="2"/>
      <c r="Z4644" s="5"/>
    </row>
    <row r="4645" spans="7:26" ht="75.75" customHeight="1" x14ac:dyDescent="0.25">
      <c r="G4645" s="5"/>
      <c r="H4645" s="2"/>
      <c r="I4645" s="2"/>
      <c r="K4645" s="2"/>
      <c r="L4645" s="2"/>
      <c r="M4645" s="2"/>
      <c r="N4645" s="2"/>
      <c r="O4645" s="2"/>
      <c r="P4645" s="2"/>
      <c r="Q4645" s="2"/>
      <c r="R4645" s="2"/>
      <c r="S4645" s="2"/>
      <c r="T4645" s="19"/>
      <c r="U4645" s="2"/>
      <c r="V4645" s="2"/>
      <c r="W4645" s="2"/>
      <c r="X4645" s="19"/>
      <c r="Y4645" s="2"/>
      <c r="Z4645" s="5"/>
    </row>
    <row r="4646" spans="7:26" ht="75.75" customHeight="1" x14ac:dyDescent="0.25">
      <c r="G4646" s="5"/>
      <c r="H4646" s="2"/>
      <c r="I4646" s="2"/>
      <c r="K4646" s="2"/>
      <c r="L4646" s="2"/>
      <c r="M4646" s="2"/>
      <c r="N4646" s="2"/>
      <c r="O4646" s="2"/>
      <c r="P4646" s="2"/>
      <c r="Q4646" s="2"/>
      <c r="R4646" s="2"/>
      <c r="S4646" s="2"/>
      <c r="T4646" s="19"/>
      <c r="U4646" s="2"/>
      <c r="V4646" s="2"/>
      <c r="W4646" s="2"/>
      <c r="X4646" s="19"/>
      <c r="Y4646" s="2"/>
      <c r="Z4646" s="5"/>
    </row>
    <row r="4647" spans="7:26" ht="75.75" customHeight="1" x14ac:dyDescent="0.25">
      <c r="G4647" s="5"/>
      <c r="H4647" s="2"/>
      <c r="I4647" s="2"/>
      <c r="K4647" s="2"/>
      <c r="L4647" s="2"/>
      <c r="M4647" s="2"/>
      <c r="N4647" s="2"/>
      <c r="O4647" s="2"/>
      <c r="P4647" s="2"/>
      <c r="Q4647" s="2"/>
      <c r="R4647" s="2"/>
      <c r="S4647" s="2"/>
      <c r="T4647" s="19"/>
      <c r="U4647" s="2"/>
      <c r="V4647" s="2"/>
      <c r="W4647" s="2"/>
      <c r="X4647" s="19"/>
      <c r="Y4647" s="2"/>
      <c r="Z4647" s="5"/>
    </row>
    <row r="4648" spans="7:26" ht="75.75" customHeight="1" x14ac:dyDescent="0.25">
      <c r="G4648" s="5"/>
      <c r="H4648" s="2"/>
      <c r="I4648" s="2"/>
      <c r="K4648" s="2"/>
      <c r="L4648" s="2"/>
      <c r="M4648" s="2"/>
      <c r="N4648" s="2"/>
      <c r="O4648" s="2"/>
      <c r="P4648" s="2"/>
      <c r="Q4648" s="2"/>
      <c r="R4648" s="2"/>
      <c r="S4648" s="2"/>
      <c r="T4648" s="19"/>
      <c r="U4648" s="2"/>
      <c r="V4648" s="2"/>
      <c r="W4648" s="2"/>
      <c r="X4648" s="19"/>
      <c r="Y4648" s="2"/>
      <c r="Z4648" s="5"/>
    </row>
    <row r="4649" spans="7:26" ht="75.75" customHeight="1" x14ac:dyDescent="0.25">
      <c r="G4649" s="5"/>
      <c r="H4649" s="2"/>
      <c r="I4649" s="2"/>
      <c r="K4649" s="2"/>
      <c r="L4649" s="2"/>
      <c r="M4649" s="2"/>
      <c r="N4649" s="2"/>
      <c r="O4649" s="2"/>
      <c r="P4649" s="2"/>
      <c r="Q4649" s="2"/>
      <c r="R4649" s="2"/>
      <c r="S4649" s="2"/>
      <c r="T4649" s="19"/>
      <c r="U4649" s="2"/>
      <c r="V4649" s="2"/>
      <c r="W4649" s="2"/>
      <c r="X4649" s="19"/>
      <c r="Y4649" s="2"/>
      <c r="Z4649" s="5"/>
    </row>
    <row r="4650" spans="7:26" ht="75.75" customHeight="1" x14ac:dyDescent="0.25">
      <c r="G4650" s="5"/>
      <c r="H4650" s="2"/>
      <c r="I4650" s="2"/>
      <c r="K4650" s="2"/>
      <c r="L4650" s="2"/>
      <c r="M4650" s="2"/>
      <c r="N4650" s="2"/>
      <c r="O4650" s="2"/>
      <c r="P4650" s="2"/>
      <c r="Q4650" s="2"/>
      <c r="R4650" s="2"/>
      <c r="S4650" s="2"/>
      <c r="T4650" s="19"/>
      <c r="U4650" s="2"/>
      <c r="V4650" s="2"/>
      <c r="W4650" s="2"/>
      <c r="X4650" s="19"/>
      <c r="Y4650" s="2"/>
      <c r="Z4650" s="5"/>
    </row>
    <row r="4651" spans="7:26" ht="75.75" customHeight="1" x14ac:dyDescent="0.25">
      <c r="G4651" s="5"/>
      <c r="H4651" s="2"/>
      <c r="I4651" s="2"/>
      <c r="K4651" s="2"/>
      <c r="L4651" s="2"/>
      <c r="M4651" s="2"/>
      <c r="N4651" s="2"/>
      <c r="O4651" s="2"/>
      <c r="P4651" s="2"/>
      <c r="Q4651" s="2"/>
      <c r="R4651" s="2"/>
      <c r="S4651" s="2"/>
      <c r="T4651" s="19"/>
      <c r="U4651" s="2"/>
      <c r="V4651" s="2"/>
      <c r="W4651" s="2"/>
      <c r="X4651" s="19"/>
      <c r="Y4651" s="2"/>
      <c r="Z4651" s="5"/>
    </row>
    <row r="4652" spans="7:26" ht="75.75" customHeight="1" x14ac:dyDescent="0.25">
      <c r="G4652" s="5"/>
      <c r="H4652" s="2"/>
      <c r="I4652" s="2"/>
      <c r="K4652" s="2"/>
      <c r="L4652" s="2"/>
      <c r="M4652" s="2"/>
      <c r="N4652" s="2"/>
      <c r="O4652" s="2"/>
      <c r="P4652" s="2"/>
      <c r="Q4652" s="2"/>
      <c r="R4652" s="2"/>
      <c r="S4652" s="2"/>
      <c r="T4652" s="19"/>
      <c r="U4652" s="2"/>
      <c r="V4652" s="2"/>
      <c r="W4652" s="2"/>
      <c r="X4652" s="19"/>
      <c r="Y4652" s="2"/>
      <c r="Z4652" s="5"/>
    </row>
    <row r="4653" spans="7:26" ht="75.75" customHeight="1" x14ac:dyDescent="0.25">
      <c r="G4653" s="5"/>
      <c r="H4653" s="2"/>
      <c r="I4653" s="2"/>
      <c r="K4653" s="2"/>
      <c r="L4653" s="2"/>
      <c r="M4653" s="2"/>
      <c r="N4653" s="2"/>
      <c r="O4653" s="2"/>
      <c r="P4653" s="2"/>
      <c r="Q4653" s="2"/>
      <c r="R4653" s="2"/>
      <c r="S4653" s="2"/>
      <c r="T4653" s="19"/>
      <c r="U4653" s="2"/>
      <c r="V4653" s="2"/>
      <c r="W4653" s="2"/>
      <c r="X4653" s="19"/>
      <c r="Y4653" s="2"/>
      <c r="Z4653" s="5"/>
    </row>
    <row r="4654" spans="7:26" ht="75.75" customHeight="1" x14ac:dyDescent="0.25">
      <c r="G4654" s="5"/>
      <c r="H4654" s="2"/>
      <c r="I4654" s="2"/>
      <c r="K4654" s="2"/>
      <c r="L4654" s="2"/>
      <c r="M4654" s="2"/>
      <c r="N4654" s="2"/>
      <c r="O4654" s="2"/>
      <c r="P4654" s="2"/>
      <c r="Q4654" s="2"/>
      <c r="R4654" s="2"/>
      <c r="S4654" s="2"/>
      <c r="T4654" s="19"/>
      <c r="U4654" s="2"/>
      <c r="V4654" s="2"/>
      <c r="W4654" s="2"/>
      <c r="X4654" s="19"/>
      <c r="Y4654" s="2"/>
      <c r="Z4654" s="5"/>
    </row>
    <row r="4655" spans="7:26" ht="75.75" customHeight="1" x14ac:dyDescent="0.25">
      <c r="G4655" s="5"/>
      <c r="H4655" s="2"/>
      <c r="I4655" s="2"/>
      <c r="K4655" s="2"/>
      <c r="L4655" s="2"/>
      <c r="M4655" s="2"/>
      <c r="N4655" s="2"/>
      <c r="O4655" s="2"/>
      <c r="P4655" s="2"/>
      <c r="Q4655" s="2"/>
      <c r="R4655" s="2"/>
      <c r="S4655" s="2"/>
      <c r="T4655" s="19"/>
      <c r="U4655" s="2"/>
      <c r="V4655" s="2"/>
      <c r="W4655" s="2"/>
      <c r="X4655" s="19"/>
      <c r="Y4655" s="2"/>
      <c r="Z4655" s="5"/>
    </row>
    <row r="4656" spans="7:26" ht="75.75" customHeight="1" x14ac:dyDescent="0.25">
      <c r="G4656" s="5"/>
      <c r="H4656" s="2"/>
      <c r="I4656" s="2"/>
      <c r="K4656" s="2"/>
      <c r="L4656" s="2"/>
      <c r="M4656" s="2"/>
      <c r="N4656" s="2"/>
      <c r="O4656" s="2"/>
      <c r="P4656" s="2"/>
      <c r="Q4656" s="2"/>
      <c r="R4656" s="2"/>
      <c r="S4656" s="2"/>
      <c r="T4656" s="19"/>
      <c r="U4656" s="2"/>
      <c r="V4656" s="2"/>
      <c r="W4656" s="2"/>
      <c r="X4656" s="19"/>
      <c r="Y4656" s="2"/>
      <c r="Z4656" s="5"/>
    </row>
    <row r="4657" spans="7:26" ht="75.75" customHeight="1" x14ac:dyDescent="0.25">
      <c r="G4657" s="5"/>
      <c r="H4657" s="2"/>
      <c r="I4657" s="2"/>
      <c r="K4657" s="2"/>
      <c r="L4657" s="2"/>
      <c r="M4657" s="2"/>
      <c r="N4657" s="2"/>
      <c r="O4657" s="2"/>
      <c r="P4657" s="2"/>
      <c r="Q4657" s="2"/>
      <c r="R4657" s="2"/>
      <c r="S4657" s="2"/>
      <c r="T4657" s="19"/>
      <c r="U4657" s="2"/>
      <c r="V4657" s="2"/>
      <c r="W4657" s="2"/>
      <c r="X4657" s="19"/>
      <c r="Y4657" s="2"/>
      <c r="Z4657" s="5"/>
    </row>
    <row r="4658" spans="7:26" ht="75.75" customHeight="1" x14ac:dyDescent="0.25">
      <c r="G4658" s="5"/>
      <c r="H4658" s="2"/>
      <c r="I4658" s="2"/>
      <c r="K4658" s="2"/>
      <c r="L4658" s="2"/>
      <c r="M4658" s="2"/>
      <c r="N4658" s="2"/>
      <c r="O4658" s="2"/>
      <c r="P4658" s="2"/>
      <c r="Q4658" s="2"/>
      <c r="R4658" s="2"/>
      <c r="S4658" s="2"/>
      <c r="T4658" s="19"/>
      <c r="U4658" s="2"/>
      <c r="V4658" s="2"/>
      <c r="W4658" s="2"/>
      <c r="X4658" s="19"/>
      <c r="Y4658" s="2"/>
      <c r="Z4658" s="5"/>
    </row>
    <row r="4659" spans="7:26" ht="75.75" customHeight="1" x14ac:dyDescent="0.25">
      <c r="G4659" s="5"/>
      <c r="H4659" s="2"/>
      <c r="I4659" s="2"/>
      <c r="K4659" s="2"/>
      <c r="L4659" s="2"/>
      <c r="M4659" s="2"/>
      <c r="N4659" s="2"/>
      <c r="O4659" s="2"/>
      <c r="P4659" s="2"/>
      <c r="Q4659" s="2"/>
      <c r="R4659" s="2"/>
      <c r="S4659" s="2"/>
      <c r="T4659" s="19"/>
      <c r="U4659" s="2"/>
      <c r="V4659" s="2"/>
      <c r="W4659" s="2"/>
      <c r="X4659" s="19"/>
      <c r="Y4659" s="2"/>
      <c r="Z4659" s="5"/>
    </row>
    <row r="4660" spans="7:26" ht="75.75" customHeight="1" x14ac:dyDescent="0.25">
      <c r="G4660" s="5"/>
      <c r="H4660" s="2"/>
      <c r="I4660" s="2"/>
      <c r="K4660" s="2"/>
      <c r="L4660" s="2"/>
      <c r="M4660" s="2"/>
      <c r="N4660" s="2"/>
      <c r="O4660" s="2"/>
      <c r="P4660" s="2"/>
      <c r="Q4660" s="2"/>
      <c r="R4660" s="2"/>
      <c r="S4660" s="2"/>
      <c r="T4660" s="19"/>
      <c r="U4660" s="2"/>
      <c r="V4660" s="2"/>
      <c r="W4660" s="2"/>
      <c r="X4660" s="19"/>
      <c r="Y4660" s="2"/>
      <c r="Z4660" s="5"/>
    </row>
    <row r="4661" spans="7:26" ht="75.75" customHeight="1" x14ac:dyDescent="0.25">
      <c r="G4661" s="5"/>
      <c r="H4661" s="2"/>
      <c r="I4661" s="2"/>
      <c r="K4661" s="2"/>
      <c r="L4661" s="2"/>
      <c r="M4661" s="2"/>
      <c r="N4661" s="2"/>
      <c r="O4661" s="2"/>
      <c r="P4661" s="2"/>
      <c r="Q4661" s="2"/>
      <c r="R4661" s="2"/>
      <c r="S4661" s="2"/>
      <c r="T4661" s="19"/>
      <c r="U4661" s="2"/>
      <c r="V4661" s="2"/>
      <c r="W4661" s="2"/>
      <c r="X4661" s="19"/>
      <c r="Y4661" s="2"/>
      <c r="Z4661" s="5"/>
    </row>
    <row r="4662" spans="7:26" ht="75.75" customHeight="1" x14ac:dyDescent="0.25">
      <c r="G4662" s="5"/>
      <c r="H4662" s="2"/>
      <c r="I4662" s="2"/>
      <c r="K4662" s="2"/>
      <c r="L4662" s="2"/>
      <c r="M4662" s="2"/>
      <c r="N4662" s="2"/>
      <c r="O4662" s="2"/>
      <c r="P4662" s="2"/>
      <c r="Q4662" s="2"/>
      <c r="R4662" s="2"/>
      <c r="S4662" s="2"/>
      <c r="T4662" s="19"/>
      <c r="U4662" s="2"/>
      <c r="V4662" s="2"/>
      <c r="W4662" s="2"/>
      <c r="X4662" s="19"/>
      <c r="Y4662" s="2"/>
      <c r="Z4662" s="5"/>
    </row>
    <row r="4663" spans="7:26" ht="75.75" customHeight="1" x14ac:dyDescent="0.25">
      <c r="G4663" s="5"/>
      <c r="H4663" s="2"/>
      <c r="I4663" s="2"/>
      <c r="K4663" s="2"/>
      <c r="L4663" s="2"/>
      <c r="M4663" s="2"/>
      <c r="N4663" s="2"/>
      <c r="O4663" s="2"/>
      <c r="P4663" s="2"/>
      <c r="Q4663" s="2"/>
      <c r="R4663" s="2"/>
      <c r="S4663" s="2"/>
      <c r="T4663" s="19"/>
      <c r="U4663" s="2"/>
      <c r="V4663" s="2"/>
      <c r="W4663" s="2"/>
      <c r="X4663" s="19"/>
      <c r="Y4663" s="2"/>
      <c r="Z4663" s="5"/>
    </row>
    <row r="4664" spans="7:26" ht="75.75" customHeight="1" x14ac:dyDescent="0.25">
      <c r="G4664" s="5"/>
      <c r="H4664" s="2"/>
      <c r="I4664" s="2"/>
      <c r="K4664" s="2"/>
      <c r="L4664" s="2"/>
      <c r="M4664" s="2"/>
      <c r="N4664" s="2"/>
      <c r="O4664" s="2"/>
      <c r="P4664" s="2"/>
      <c r="Q4664" s="2"/>
      <c r="R4664" s="2"/>
      <c r="S4664" s="2"/>
      <c r="T4664" s="19"/>
      <c r="U4664" s="2"/>
      <c r="V4664" s="2"/>
      <c r="W4664" s="2"/>
      <c r="X4664" s="19"/>
      <c r="Y4664" s="2"/>
      <c r="Z4664" s="5"/>
    </row>
    <row r="4665" spans="7:26" ht="75.75" customHeight="1" x14ac:dyDescent="0.25">
      <c r="G4665" s="5"/>
      <c r="H4665" s="2"/>
      <c r="I4665" s="2"/>
      <c r="K4665" s="2"/>
      <c r="L4665" s="2"/>
      <c r="M4665" s="2"/>
      <c r="N4665" s="2"/>
      <c r="O4665" s="2"/>
      <c r="P4665" s="2"/>
      <c r="Q4665" s="2"/>
      <c r="R4665" s="2"/>
      <c r="S4665" s="2"/>
      <c r="T4665" s="19"/>
      <c r="U4665" s="2"/>
      <c r="V4665" s="2"/>
      <c r="W4665" s="2"/>
      <c r="X4665" s="19"/>
      <c r="Y4665" s="2"/>
      <c r="Z4665" s="5"/>
    </row>
    <row r="4666" spans="7:26" ht="75.75" customHeight="1" x14ac:dyDescent="0.25">
      <c r="G4666" s="5"/>
      <c r="H4666" s="2"/>
      <c r="I4666" s="2"/>
      <c r="K4666" s="2"/>
      <c r="L4666" s="2"/>
      <c r="M4666" s="2"/>
      <c r="N4666" s="2"/>
      <c r="O4666" s="2"/>
      <c r="P4666" s="2"/>
      <c r="Q4666" s="2"/>
      <c r="R4666" s="2"/>
      <c r="S4666" s="2"/>
      <c r="T4666" s="19"/>
      <c r="U4666" s="2"/>
      <c r="V4666" s="2"/>
      <c r="W4666" s="2"/>
      <c r="X4666" s="19"/>
      <c r="Y4666" s="2"/>
      <c r="Z4666" s="5"/>
    </row>
    <row r="4667" spans="7:26" ht="75.75" customHeight="1" x14ac:dyDescent="0.25">
      <c r="G4667" s="5"/>
      <c r="H4667" s="2"/>
      <c r="I4667" s="2"/>
      <c r="K4667" s="2"/>
      <c r="L4667" s="2"/>
      <c r="M4667" s="2"/>
      <c r="N4667" s="2"/>
      <c r="O4667" s="2"/>
      <c r="P4667" s="2"/>
      <c r="Q4667" s="2"/>
      <c r="R4667" s="2"/>
      <c r="S4667" s="2"/>
      <c r="T4667" s="19"/>
      <c r="U4667" s="2"/>
      <c r="V4667" s="2"/>
      <c r="W4667" s="2"/>
      <c r="X4667" s="19"/>
      <c r="Y4667" s="2"/>
      <c r="Z4667" s="5"/>
    </row>
    <row r="4668" spans="7:26" ht="75.75" customHeight="1" x14ac:dyDescent="0.25">
      <c r="G4668" s="5"/>
      <c r="H4668" s="2"/>
      <c r="I4668" s="2"/>
      <c r="K4668" s="2"/>
      <c r="L4668" s="2"/>
      <c r="M4668" s="2"/>
      <c r="N4668" s="2"/>
      <c r="O4668" s="2"/>
      <c r="P4668" s="2"/>
      <c r="Q4668" s="2"/>
      <c r="R4668" s="2"/>
      <c r="S4668" s="2"/>
      <c r="T4668" s="19"/>
      <c r="U4668" s="2"/>
      <c r="V4668" s="2"/>
      <c r="W4668" s="2"/>
      <c r="X4668" s="19"/>
      <c r="Y4668" s="2"/>
      <c r="Z4668" s="5"/>
    </row>
    <row r="4669" spans="7:26" ht="75.75" customHeight="1" x14ac:dyDescent="0.25">
      <c r="G4669" s="5"/>
      <c r="H4669" s="2"/>
      <c r="I4669" s="2"/>
      <c r="K4669" s="2"/>
      <c r="L4669" s="2"/>
      <c r="M4669" s="2"/>
      <c r="N4669" s="2"/>
      <c r="O4669" s="2"/>
      <c r="P4669" s="2"/>
      <c r="Q4669" s="2"/>
      <c r="R4669" s="2"/>
      <c r="S4669" s="2"/>
      <c r="T4669" s="19"/>
      <c r="U4669" s="2"/>
      <c r="V4669" s="2"/>
      <c r="W4669" s="2"/>
      <c r="X4669" s="19"/>
      <c r="Y4669" s="2"/>
      <c r="Z4669" s="5"/>
    </row>
    <row r="4670" spans="7:26" ht="75.75" customHeight="1" x14ac:dyDescent="0.25">
      <c r="G4670" s="5"/>
      <c r="H4670" s="2"/>
      <c r="I4670" s="2"/>
      <c r="K4670" s="2"/>
      <c r="L4670" s="2"/>
      <c r="M4670" s="2"/>
      <c r="N4670" s="2"/>
      <c r="O4670" s="2"/>
      <c r="P4670" s="2"/>
      <c r="Q4670" s="2"/>
      <c r="R4670" s="2"/>
      <c r="S4670" s="2"/>
      <c r="T4670" s="19"/>
      <c r="U4670" s="2"/>
      <c r="V4670" s="2"/>
      <c r="W4670" s="2"/>
      <c r="X4670" s="19"/>
      <c r="Y4670" s="2"/>
      <c r="Z4670" s="5"/>
    </row>
    <row r="4671" spans="7:26" ht="75.75" customHeight="1" x14ac:dyDescent="0.25">
      <c r="G4671" s="5"/>
      <c r="H4671" s="2"/>
      <c r="I4671" s="2"/>
      <c r="K4671" s="2"/>
      <c r="L4671" s="2"/>
      <c r="M4671" s="2"/>
      <c r="N4671" s="2"/>
      <c r="O4671" s="2"/>
      <c r="P4671" s="2"/>
      <c r="Q4671" s="2"/>
      <c r="R4671" s="2"/>
      <c r="S4671" s="2"/>
      <c r="T4671" s="19"/>
      <c r="U4671" s="2"/>
      <c r="V4671" s="2"/>
      <c r="W4671" s="2"/>
      <c r="X4671" s="19"/>
      <c r="Y4671" s="2"/>
      <c r="Z4671" s="5"/>
    </row>
    <row r="4672" spans="7:26" ht="75.75" customHeight="1" x14ac:dyDescent="0.25">
      <c r="G4672" s="5"/>
      <c r="H4672" s="2"/>
      <c r="I4672" s="2"/>
      <c r="K4672" s="2"/>
      <c r="L4672" s="2"/>
      <c r="M4672" s="2"/>
      <c r="N4672" s="2"/>
      <c r="O4672" s="2"/>
      <c r="P4672" s="2"/>
      <c r="Q4672" s="2"/>
      <c r="R4672" s="2"/>
      <c r="S4672" s="2"/>
      <c r="T4672" s="19"/>
      <c r="U4672" s="2"/>
      <c r="V4672" s="2"/>
      <c r="W4672" s="2"/>
      <c r="X4672" s="19"/>
      <c r="Y4672" s="2"/>
      <c r="Z4672" s="5"/>
    </row>
    <row r="4673" spans="7:26" ht="75.75" customHeight="1" x14ac:dyDescent="0.25">
      <c r="G4673" s="5"/>
      <c r="H4673" s="2"/>
      <c r="I4673" s="2"/>
      <c r="K4673" s="2"/>
      <c r="L4673" s="2"/>
      <c r="M4673" s="2"/>
      <c r="N4673" s="2"/>
      <c r="O4673" s="2"/>
      <c r="P4673" s="2"/>
      <c r="Q4673" s="2"/>
      <c r="R4673" s="2"/>
      <c r="S4673" s="2"/>
      <c r="T4673" s="19"/>
      <c r="U4673" s="2"/>
      <c r="V4673" s="2"/>
      <c r="W4673" s="2"/>
      <c r="X4673" s="19"/>
      <c r="Y4673" s="2"/>
      <c r="Z4673" s="5"/>
    </row>
    <row r="4674" spans="7:26" ht="75.75" customHeight="1" x14ac:dyDescent="0.25">
      <c r="G4674" s="5"/>
      <c r="H4674" s="2"/>
      <c r="I4674" s="2"/>
      <c r="K4674" s="2"/>
      <c r="L4674" s="2"/>
      <c r="M4674" s="2"/>
      <c r="N4674" s="2"/>
      <c r="O4674" s="2"/>
      <c r="P4674" s="2"/>
      <c r="Q4674" s="2"/>
      <c r="R4674" s="2"/>
      <c r="S4674" s="2"/>
      <c r="T4674" s="19"/>
      <c r="U4674" s="2"/>
      <c r="V4674" s="2"/>
      <c r="W4674" s="2"/>
      <c r="X4674" s="19"/>
      <c r="Y4674" s="2"/>
      <c r="Z4674" s="5"/>
    </row>
    <row r="4675" spans="7:26" ht="75.75" customHeight="1" x14ac:dyDescent="0.25">
      <c r="G4675" s="5"/>
      <c r="H4675" s="2"/>
      <c r="I4675" s="2"/>
      <c r="K4675" s="2"/>
      <c r="L4675" s="2"/>
      <c r="M4675" s="2"/>
      <c r="N4675" s="2"/>
      <c r="O4675" s="2"/>
      <c r="P4675" s="2"/>
      <c r="Q4675" s="2"/>
      <c r="R4675" s="2"/>
      <c r="S4675" s="2"/>
      <c r="T4675" s="19"/>
      <c r="U4675" s="2"/>
      <c r="V4675" s="2"/>
      <c r="W4675" s="2"/>
      <c r="X4675" s="19"/>
      <c r="Y4675" s="2"/>
      <c r="Z4675" s="5"/>
    </row>
    <row r="4676" spans="7:26" ht="75.75" customHeight="1" x14ac:dyDescent="0.25">
      <c r="G4676" s="5"/>
      <c r="H4676" s="2"/>
      <c r="I4676" s="2"/>
      <c r="K4676" s="2"/>
      <c r="L4676" s="2"/>
      <c r="M4676" s="2"/>
      <c r="N4676" s="2"/>
      <c r="O4676" s="2"/>
      <c r="P4676" s="2"/>
      <c r="Q4676" s="2"/>
      <c r="R4676" s="2"/>
      <c r="S4676" s="2"/>
      <c r="T4676" s="19"/>
      <c r="U4676" s="2"/>
      <c r="V4676" s="2"/>
      <c r="W4676" s="2"/>
      <c r="X4676" s="19"/>
      <c r="Y4676" s="2"/>
      <c r="Z4676" s="5"/>
    </row>
    <row r="4677" spans="7:26" ht="75.75" customHeight="1" x14ac:dyDescent="0.25">
      <c r="G4677" s="5"/>
      <c r="H4677" s="2"/>
      <c r="I4677" s="2"/>
      <c r="K4677" s="2"/>
      <c r="L4677" s="2"/>
      <c r="M4677" s="2"/>
      <c r="N4677" s="2"/>
      <c r="O4677" s="2"/>
      <c r="P4677" s="2"/>
      <c r="Q4677" s="2"/>
      <c r="R4677" s="2"/>
      <c r="S4677" s="2"/>
      <c r="T4677" s="19"/>
      <c r="U4677" s="2"/>
      <c r="V4677" s="2"/>
      <c r="W4677" s="2"/>
      <c r="X4677" s="19"/>
      <c r="Y4677" s="2"/>
      <c r="Z4677" s="5"/>
    </row>
    <row r="4678" spans="7:26" ht="75.75" customHeight="1" x14ac:dyDescent="0.25">
      <c r="G4678" s="5"/>
      <c r="H4678" s="2"/>
      <c r="I4678" s="2"/>
      <c r="K4678" s="2"/>
      <c r="L4678" s="2"/>
      <c r="M4678" s="2"/>
      <c r="N4678" s="2"/>
      <c r="O4678" s="2"/>
      <c r="P4678" s="2"/>
      <c r="Q4678" s="2"/>
      <c r="R4678" s="2"/>
      <c r="S4678" s="2"/>
      <c r="T4678" s="19"/>
      <c r="U4678" s="2"/>
      <c r="V4678" s="2"/>
      <c r="W4678" s="2"/>
      <c r="X4678" s="19"/>
      <c r="Y4678" s="2"/>
      <c r="Z4678" s="5"/>
    </row>
    <row r="4679" spans="7:26" ht="75.75" customHeight="1" x14ac:dyDescent="0.25">
      <c r="G4679" s="5"/>
      <c r="H4679" s="2"/>
      <c r="I4679" s="2"/>
      <c r="K4679" s="2"/>
      <c r="L4679" s="2"/>
      <c r="M4679" s="2"/>
      <c r="N4679" s="2"/>
      <c r="O4679" s="2"/>
      <c r="P4679" s="2"/>
      <c r="Q4679" s="2"/>
      <c r="R4679" s="2"/>
      <c r="S4679" s="2"/>
      <c r="T4679" s="19"/>
      <c r="U4679" s="2"/>
      <c r="V4679" s="2"/>
      <c r="W4679" s="2"/>
      <c r="X4679" s="19"/>
      <c r="Y4679" s="2"/>
      <c r="Z4679" s="5"/>
    </row>
    <row r="4680" spans="7:26" ht="75.75" customHeight="1" x14ac:dyDescent="0.25">
      <c r="G4680" s="5"/>
      <c r="H4680" s="2"/>
      <c r="I4680" s="2"/>
      <c r="K4680" s="2"/>
      <c r="L4680" s="2"/>
      <c r="M4680" s="2"/>
      <c r="N4680" s="2"/>
      <c r="O4680" s="2"/>
      <c r="P4680" s="2"/>
      <c r="Q4680" s="2"/>
      <c r="R4680" s="2"/>
      <c r="S4680" s="2"/>
      <c r="T4680" s="19"/>
      <c r="U4680" s="2"/>
      <c r="V4680" s="2"/>
      <c r="W4680" s="2"/>
      <c r="X4680" s="19"/>
      <c r="Y4680" s="2"/>
      <c r="Z4680" s="5"/>
    </row>
    <row r="4681" spans="7:26" ht="75.75" customHeight="1" x14ac:dyDescent="0.25">
      <c r="G4681" s="5"/>
      <c r="H4681" s="2"/>
      <c r="I4681" s="2"/>
      <c r="K4681" s="2"/>
      <c r="L4681" s="2"/>
      <c r="M4681" s="2"/>
      <c r="N4681" s="2"/>
      <c r="O4681" s="2"/>
      <c r="P4681" s="2"/>
      <c r="Q4681" s="2"/>
      <c r="R4681" s="2"/>
      <c r="S4681" s="2"/>
      <c r="T4681" s="19"/>
      <c r="U4681" s="2"/>
      <c r="V4681" s="2"/>
      <c r="W4681" s="2"/>
      <c r="X4681" s="19"/>
      <c r="Y4681" s="2"/>
      <c r="Z4681" s="5"/>
    </row>
    <row r="4682" spans="7:26" ht="75.75" customHeight="1" x14ac:dyDescent="0.25">
      <c r="G4682" s="5"/>
      <c r="H4682" s="2"/>
      <c r="I4682" s="2"/>
      <c r="K4682" s="2"/>
      <c r="L4682" s="2"/>
      <c r="M4682" s="2"/>
      <c r="N4682" s="2"/>
      <c r="O4682" s="2"/>
      <c r="P4682" s="2"/>
      <c r="Q4682" s="2"/>
      <c r="R4682" s="2"/>
      <c r="S4682" s="2"/>
      <c r="T4682" s="19"/>
      <c r="U4682" s="2"/>
      <c r="V4682" s="2"/>
      <c r="W4682" s="2"/>
      <c r="X4682" s="19"/>
      <c r="Y4682" s="2"/>
      <c r="Z4682" s="5"/>
    </row>
    <row r="4683" spans="7:26" ht="75.75" customHeight="1" x14ac:dyDescent="0.25">
      <c r="G4683" s="5"/>
      <c r="H4683" s="2"/>
      <c r="I4683" s="2"/>
      <c r="K4683" s="2"/>
      <c r="L4683" s="2"/>
      <c r="M4683" s="2"/>
      <c r="N4683" s="2"/>
      <c r="O4683" s="2"/>
      <c r="P4683" s="2"/>
      <c r="Q4683" s="2"/>
      <c r="R4683" s="2"/>
      <c r="S4683" s="2"/>
      <c r="T4683" s="19"/>
      <c r="U4683" s="2"/>
      <c r="V4683" s="2"/>
      <c r="W4683" s="2"/>
      <c r="X4683" s="19"/>
      <c r="Y4683" s="2"/>
      <c r="Z4683" s="5"/>
    </row>
    <row r="4684" spans="7:26" ht="75.75" customHeight="1" x14ac:dyDescent="0.25">
      <c r="G4684" s="5"/>
      <c r="H4684" s="2"/>
      <c r="I4684" s="2"/>
      <c r="K4684" s="2"/>
      <c r="L4684" s="2"/>
      <c r="M4684" s="2"/>
      <c r="N4684" s="2"/>
      <c r="O4684" s="2"/>
      <c r="P4684" s="2"/>
      <c r="Q4684" s="2"/>
      <c r="R4684" s="2"/>
      <c r="S4684" s="2"/>
      <c r="T4684" s="19"/>
      <c r="U4684" s="2"/>
      <c r="V4684" s="2"/>
      <c r="W4684" s="2"/>
      <c r="X4684" s="19"/>
      <c r="Y4684" s="2"/>
      <c r="Z4684" s="5"/>
    </row>
    <row r="4685" spans="7:26" ht="75.75" customHeight="1" x14ac:dyDescent="0.25">
      <c r="G4685" s="5"/>
      <c r="H4685" s="2"/>
      <c r="I4685" s="2"/>
      <c r="K4685" s="2"/>
      <c r="L4685" s="2"/>
      <c r="M4685" s="2"/>
      <c r="N4685" s="2"/>
      <c r="O4685" s="2"/>
      <c r="P4685" s="2"/>
      <c r="Q4685" s="2"/>
      <c r="R4685" s="2"/>
      <c r="S4685" s="2"/>
      <c r="T4685" s="19"/>
      <c r="U4685" s="2"/>
      <c r="V4685" s="2"/>
      <c r="W4685" s="2"/>
      <c r="X4685" s="19"/>
      <c r="Y4685" s="2"/>
      <c r="Z4685" s="5"/>
    </row>
    <row r="4686" spans="7:26" ht="75.75" customHeight="1" x14ac:dyDescent="0.25">
      <c r="G4686" s="5"/>
      <c r="H4686" s="2"/>
      <c r="I4686" s="2"/>
      <c r="K4686" s="2"/>
      <c r="L4686" s="2"/>
      <c r="M4686" s="2"/>
      <c r="N4686" s="2"/>
      <c r="O4686" s="2"/>
      <c r="P4686" s="2"/>
      <c r="Q4686" s="2"/>
      <c r="R4686" s="2"/>
      <c r="S4686" s="2"/>
      <c r="T4686" s="19"/>
      <c r="U4686" s="2"/>
      <c r="V4686" s="2"/>
      <c r="W4686" s="2"/>
      <c r="X4686" s="19"/>
      <c r="Y4686" s="2"/>
      <c r="Z4686" s="5"/>
    </row>
    <row r="4687" spans="7:26" ht="75.75" customHeight="1" x14ac:dyDescent="0.25">
      <c r="G4687" s="5"/>
      <c r="H4687" s="2"/>
      <c r="I4687" s="2"/>
      <c r="K4687" s="2"/>
      <c r="L4687" s="2"/>
      <c r="M4687" s="2"/>
      <c r="N4687" s="2"/>
      <c r="O4687" s="2"/>
      <c r="P4687" s="2"/>
      <c r="Q4687" s="2"/>
      <c r="R4687" s="2"/>
      <c r="S4687" s="2"/>
      <c r="T4687" s="19"/>
      <c r="U4687" s="2"/>
      <c r="V4687" s="2"/>
      <c r="W4687" s="2"/>
      <c r="X4687" s="19"/>
      <c r="Y4687" s="2"/>
      <c r="Z4687" s="5"/>
    </row>
    <row r="4688" spans="7:26" ht="75.75" customHeight="1" x14ac:dyDescent="0.25">
      <c r="G4688" s="5"/>
      <c r="H4688" s="2"/>
      <c r="I4688" s="2"/>
      <c r="K4688" s="2"/>
      <c r="L4688" s="2"/>
      <c r="M4688" s="2"/>
      <c r="N4688" s="2"/>
      <c r="O4688" s="2"/>
      <c r="P4688" s="2"/>
      <c r="Q4688" s="2"/>
      <c r="R4688" s="2"/>
      <c r="S4688" s="2"/>
      <c r="T4688" s="19"/>
      <c r="U4688" s="2"/>
      <c r="V4688" s="2"/>
      <c r="W4688" s="2"/>
      <c r="X4688" s="19"/>
      <c r="Y4688" s="2"/>
      <c r="Z4688" s="5"/>
    </row>
    <row r="4689" spans="7:26" ht="75.75" customHeight="1" x14ac:dyDescent="0.25">
      <c r="G4689" s="5"/>
      <c r="H4689" s="2"/>
      <c r="I4689" s="2"/>
      <c r="K4689" s="2"/>
      <c r="L4689" s="2"/>
      <c r="M4689" s="2"/>
      <c r="N4689" s="2"/>
      <c r="O4689" s="2"/>
      <c r="P4689" s="2"/>
      <c r="Q4689" s="2"/>
      <c r="R4689" s="2"/>
      <c r="S4689" s="2"/>
      <c r="T4689" s="19"/>
      <c r="U4689" s="2"/>
      <c r="V4689" s="2"/>
      <c r="W4689" s="2"/>
      <c r="X4689" s="19"/>
      <c r="Y4689" s="2"/>
      <c r="Z4689" s="5"/>
    </row>
    <row r="4690" spans="7:26" ht="75.75" customHeight="1" x14ac:dyDescent="0.25">
      <c r="G4690" s="5"/>
      <c r="H4690" s="2"/>
      <c r="I4690" s="2"/>
      <c r="K4690" s="2"/>
      <c r="L4690" s="2"/>
      <c r="M4690" s="2"/>
      <c r="N4690" s="2"/>
      <c r="O4690" s="2"/>
      <c r="P4690" s="2"/>
      <c r="Q4690" s="2"/>
      <c r="R4690" s="2"/>
      <c r="S4690" s="2"/>
      <c r="T4690" s="19"/>
      <c r="U4690" s="2"/>
      <c r="V4690" s="2"/>
      <c r="W4690" s="2"/>
      <c r="X4690" s="19"/>
      <c r="Y4690" s="2"/>
      <c r="Z4690" s="5"/>
    </row>
    <row r="4691" spans="7:26" ht="75.75" customHeight="1" x14ac:dyDescent="0.25">
      <c r="G4691" s="5"/>
      <c r="H4691" s="2"/>
      <c r="I4691" s="2"/>
      <c r="K4691" s="2"/>
      <c r="L4691" s="2"/>
      <c r="M4691" s="2"/>
      <c r="N4691" s="2"/>
      <c r="O4691" s="2"/>
      <c r="P4691" s="2"/>
      <c r="Q4691" s="2"/>
      <c r="R4691" s="2"/>
      <c r="S4691" s="2"/>
      <c r="T4691" s="19"/>
      <c r="U4691" s="2"/>
      <c r="V4691" s="2"/>
      <c r="W4691" s="2"/>
      <c r="X4691" s="19"/>
      <c r="Y4691" s="2"/>
      <c r="Z4691" s="5"/>
    </row>
    <row r="4692" spans="7:26" ht="75.75" customHeight="1" x14ac:dyDescent="0.25">
      <c r="G4692" s="5"/>
      <c r="H4692" s="2"/>
      <c r="I4692" s="2"/>
      <c r="K4692" s="2"/>
      <c r="L4692" s="2"/>
      <c r="M4692" s="2"/>
      <c r="N4692" s="2"/>
      <c r="O4692" s="2"/>
      <c r="P4692" s="2"/>
      <c r="Q4692" s="2"/>
      <c r="R4692" s="2"/>
      <c r="S4692" s="2"/>
      <c r="T4692" s="19"/>
      <c r="U4692" s="2"/>
      <c r="V4692" s="2"/>
      <c r="W4692" s="2"/>
      <c r="X4692" s="19"/>
      <c r="Y4692" s="2"/>
      <c r="Z4692" s="5"/>
    </row>
    <row r="4693" spans="7:26" ht="75.75" customHeight="1" x14ac:dyDescent="0.25">
      <c r="G4693" s="5"/>
      <c r="H4693" s="2"/>
      <c r="I4693" s="2"/>
      <c r="K4693" s="2"/>
      <c r="L4693" s="2"/>
      <c r="M4693" s="2"/>
      <c r="N4693" s="2"/>
      <c r="O4693" s="2"/>
      <c r="P4693" s="2"/>
      <c r="Q4693" s="2"/>
      <c r="R4693" s="2"/>
      <c r="S4693" s="2"/>
      <c r="T4693" s="19"/>
      <c r="U4693" s="2"/>
      <c r="V4693" s="2"/>
      <c r="W4693" s="2"/>
      <c r="X4693" s="19"/>
      <c r="Y4693" s="2"/>
      <c r="Z4693" s="5"/>
    </row>
    <row r="4694" spans="7:26" ht="75.75" customHeight="1" x14ac:dyDescent="0.25">
      <c r="G4694" s="5"/>
      <c r="H4694" s="2"/>
      <c r="I4694" s="2"/>
      <c r="K4694" s="2"/>
      <c r="L4694" s="2"/>
      <c r="M4694" s="2"/>
      <c r="N4694" s="2"/>
      <c r="O4694" s="2"/>
      <c r="P4694" s="2"/>
      <c r="Q4694" s="2"/>
      <c r="R4694" s="2"/>
      <c r="S4694" s="2"/>
      <c r="T4694" s="19"/>
      <c r="U4694" s="2"/>
      <c r="V4694" s="2"/>
      <c r="W4694" s="2"/>
      <c r="X4694" s="19"/>
      <c r="Y4694" s="2"/>
      <c r="Z4694" s="5"/>
    </row>
    <row r="4695" spans="7:26" ht="75.75" customHeight="1" x14ac:dyDescent="0.25">
      <c r="G4695" s="5"/>
      <c r="H4695" s="2"/>
      <c r="I4695" s="2"/>
      <c r="K4695" s="2"/>
      <c r="L4695" s="2"/>
      <c r="M4695" s="2"/>
      <c r="N4695" s="2"/>
      <c r="O4695" s="2"/>
      <c r="P4695" s="2"/>
      <c r="Q4695" s="2"/>
      <c r="R4695" s="2"/>
      <c r="S4695" s="2"/>
      <c r="T4695" s="19"/>
      <c r="U4695" s="2"/>
      <c r="V4695" s="2"/>
      <c r="W4695" s="2"/>
      <c r="X4695" s="19"/>
      <c r="Y4695" s="2"/>
      <c r="Z4695" s="5"/>
    </row>
    <row r="4696" spans="7:26" ht="75.75" customHeight="1" x14ac:dyDescent="0.25">
      <c r="G4696" s="5"/>
      <c r="H4696" s="2"/>
      <c r="I4696" s="2"/>
      <c r="K4696" s="2"/>
      <c r="L4696" s="2"/>
      <c r="M4696" s="2"/>
      <c r="N4696" s="2"/>
      <c r="O4696" s="2"/>
      <c r="P4696" s="2"/>
      <c r="Q4696" s="2"/>
      <c r="R4696" s="2"/>
      <c r="S4696" s="2"/>
      <c r="T4696" s="19"/>
      <c r="U4696" s="2"/>
      <c r="V4696" s="2"/>
      <c r="W4696" s="2"/>
      <c r="X4696" s="19"/>
      <c r="Y4696" s="2"/>
      <c r="Z4696" s="5"/>
    </row>
    <row r="4697" spans="7:26" ht="75.75" customHeight="1" x14ac:dyDescent="0.25">
      <c r="G4697" s="5"/>
      <c r="H4697" s="2"/>
      <c r="I4697" s="2"/>
      <c r="K4697" s="2"/>
      <c r="L4697" s="2"/>
      <c r="M4697" s="2"/>
      <c r="N4697" s="2"/>
      <c r="O4697" s="2"/>
      <c r="P4697" s="2"/>
      <c r="Q4697" s="2"/>
      <c r="R4697" s="2"/>
      <c r="S4697" s="2"/>
      <c r="T4697" s="19"/>
      <c r="U4697" s="2"/>
      <c r="V4697" s="2"/>
      <c r="W4697" s="2"/>
      <c r="X4697" s="19"/>
      <c r="Y4697" s="2"/>
      <c r="Z4697" s="5"/>
    </row>
    <row r="4698" spans="7:26" ht="75.75" customHeight="1" x14ac:dyDescent="0.25">
      <c r="G4698" s="5"/>
      <c r="H4698" s="2"/>
      <c r="I4698" s="2"/>
      <c r="K4698" s="2"/>
      <c r="L4698" s="2"/>
      <c r="M4698" s="2"/>
      <c r="N4698" s="2"/>
      <c r="O4698" s="2"/>
      <c r="P4698" s="2"/>
      <c r="Q4698" s="2"/>
      <c r="R4698" s="2"/>
      <c r="S4698" s="2"/>
      <c r="T4698" s="19"/>
      <c r="U4698" s="2"/>
      <c r="V4698" s="2"/>
      <c r="W4698" s="2"/>
      <c r="X4698" s="19"/>
      <c r="Y4698" s="2"/>
      <c r="Z4698" s="5"/>
    </row>
    <row r="4699" spans="7:26" ht="75.75" customHeight="1" x14ac:dyDescent="0.25">
      <c r="G4699" s="5"/>
      <c r="H4699" s="2"/>
      <c r="I4699" s="2"/>
      <c r="K4699" s="2"/>
      <c r="L4699" s="2"/>
      <c r="M4699" s="2"/>
      <c r="N4699" s="2"/>
      <c r="O4699" s="2"/>
      <c r="P4699" s="2"/>
      <c r="Q4699" s="2"/>
      <c r="R4699" s="2"/>
      <c r="S4699" s="2"/>
      <c r="T4699" s="19"/>
      <c r="U4699" s="2"/>
      <c r="V4699" s="2"/>
      <c r="W4699" s="2"/>
      <c r="X4699" s="19"/>
      <c r="Y4699" s="2"/>
      <c r="Z4699" s="5"/>
    </row>
    <row r="4700" spans="7:26" ht="75.75" customHeight="1" x14ac:dyDescent="0.25">
      <c r="G4700" s="5"/>
      <c r="H4700" s="2"/>
      <c r="I4700" s="2"/>
      <c r="K4700" s="2"/>
      <c r="L4700" s="2"/>
      <c r="M4700" s="2"/>
      <c r="N4700" s="2"/>
      <c r="O4700" s="2"/>
      <c r="P4700" s="2"/>
      <c r="Q4700" s="2"/>
      <c r="R4700" s="2"/>
      <c r="S4700" s="2"/>
      <c r="T4700" s="19"/>
      <c r="U4700" s="2"/>
      <c r="V4700" s="2"/>
      <c r="W4700" s="2"/>
      <c r="X4700" s="19"/>
      <c r="Y4700" s="2"/>
      <c r="Z4700" s="5"/>
    </row>
    <row r="4701" spans="7:26" ht="75.75" customHeight="1" x14ac:dyDescent="0.25">
      <c r="G4701" s="5"/>
      <c r="H4701" s="2"/>
      <c r="I4701" s="2"/>
      <c r="K4701" s="2"/>
      <c r="L4701" s="2"/>
      <c r="M4701" s="2"/>
      <c r="N4701" s="2"/>
      <c r="O4701" s="2"/>
      <c r="P4701" s="2"/>
      <c r="Q4701" s="2"/>
      <c r="R4701" s="2"/>
      <c r="S4701" s="2"/>
      <c r="T4701" s="19"/>
      <c r="U4701" s="2"/>
      <c r="V4701" s="2"/>
      <c r="W4701" s="2"/>
      <c r="X4701" s="19"/>
      <c r="Y4701" s="2"/>
      <c r="Z4701" s="5"/>
    </row>
    <row r="4702" spans="7:26" ht="75.75" customHeight="1" x14ac:dyDescent="0.25">
      <c r="G4702" s="5"/>
      <c r="H4702" s="2"/>
      <c r="I4702" s="2"/>
      <c r="K4702" s="2"/>
      <c r="L4702" s="2"/>
      <c r="M4702" s="2"/>
      <c r="N4702" s="2"/>
      <c r="O4702" s="2"/>
      <c r="P4702" s="2"/>
      <c r="Q4702" s="2"/>
      <c r="R4702" s="2"/>
      <c r="S4702" s="2"/>
      <c r="T4702" s="19"/>
      <c r="U4702" s="2"/>
      <c r="V4702" s="2"/>
      <c r="W4702" s="2"/>
      <c r="X4702" s="19"/>
      <c r="Y4702" s="2"/>
      <c r="Z4702" s="5"/>
    </row>
    <row r="4703" spans="7:26" ht="75.75" customHeight="1" x14ac:dyDescent="0.25">
      <c r="G4703" s="5"/>
      <c r="H4703" s="2"/>
      <c r="I4703" s="2"/>
      <c r="K4703" s="2"/>
      <c r="L4703" s="2"/>
      <c r="M4703" s="2"/>
      <c r="N4703" s="2"/>
      <c r="O4703" s="2"/>
      <c r="P4703" s="2"/>
      <c r="Q4703" s="2"/>
      <c r="R4703" s="2"/>
      <c r="S4703" s="2"/>
      <c r="T4703" s="19"/>
      <c r="U4703" s="2"/>
      <c r="V4703" s="2"/>
      <c r="W4703" s="2"/>
      <c r="X4703" s="19"/>
      <c r="Y4703" s="2"/>
      <c r="Z4703" s="5"/>
    </row>
    <row r="4704" spans="7:26" ht="75.75" customHeight="1" x14ac:dyDescent="0.25">
      <c r="G4704" s="5"/>
      <c r="H4704" s="2"/>
      <c r="I4704" s="2"/>
      <c r="K4704" s="2"/>
      <c r="L4704" s="2"/>
      <c r="M4704" s="2"/>
      <c r="N4704" s="2"/>
      <c r="O4704" s="2"/>
      <c r="P4704" s="2"/>
      <c r="Q4704" s="2"/>
      <c r="R4704" s="2"/>
      <c r="S4704" s="2"/>
      <c r="T4704" s="19"/>
      <c r="U4704" s="2"/>
      <c r="V4704" s="2"/>
      <c r="W4704" s="2"/>
      <c r="X4704" s="19"/>
      <c r="Y4704" s="2"/>
      <c r="Z4704" s="5"/>
    </row>
    <row r="4705" spans="7:26" ht="75.75" customHeight="1" x14ac:dyDescent="0.25">
      <c r="G4705" s="5"/>
      <c r="H4705" s="2"/>
      <c r="I4705" s="2"/>
      <c r="K4705" s="2"/>
      <c r="L4705" s="2"/>
      <c r="M4705" s="2"/>
      <c r="N4705" s="2"/>
      <c r="O4705" s="2"/>
      <c r="P4705" s="2"/>
      <c r="Q4705" s="2"/>
      <c r="R4705" s="2"/>
      <c r="S4705" s="2"/>
      <c r="T4705" s="19"/>
      <c r="U4705" s="2"/>
      <c r="V4705" s="2"/>
      <c r="W4705" s="2"/>
      <c r="X4705" s="19"/>
      <c r="Y4705" s="2"/>
      <c r="Z4705" s="5"/>
    </row>
    <row r="4706" spans="7:26" ht="75.75" customHeight="1" x14ac:dyDescent="0.25">
      <c r="G4706" s="5"/>
      <c r="H4706" s="2"/>
      <c r="I4706" s="2"/>
      <c r="K4706" s="2"/>
      <c r="L4706" s="2"/>
      <c r="M4706" s="2"/>
      <c r="N4706" s="2"/>
      <c r="O4706" s="2"/>
      <c r="P4706" s="2"/>
      <c r="Q4706" s="2"/>
      <c r="R4706" s="2"/>
      <c r="S4706" s="2"/>
      <c r="T4706" s="19"/>
      <c r="U4706" s="2"/>
      <c r="V4706" s="2"/>
      <c r="W4706" s="2"/>
      <c r="X4706" s="19"/>
      <c r="Y4706" s="2"/>
      <c r="Z4706" s="5"/>
    </row>
    <row r="4707" spans="7:26" ht="75.75" customHeight="1" x14ac:dyDescent="0.25">
      <c r="G4707" s="5"/>
      <c r="H4707" s="2"/>
      <c r="I4707" s="2"/>
      <c r="K4707" s="2"/>
      <c r="L4707" s="2"/>
      <c r="M4707" s="2"/>
      <c r="N4707" s="2"/>
      <c r="O4707" s="2"/>
      <c r="P4707" s="2"/>
      <c r="Q4707" s="2"/>
      <c r="R4707" s="2"/>
      <c r="S4707" s="2"/>
      <c r="T4707" s="19"/>
      <c r="U4707" s="2"/>
      <c r="V4707" s="2"/>
      <c r="W4707" s="2"/>
      <c r="X4707" s="19"/>
      <c r="Y4707" s="2"/>
      <c r="Z4707" s="5"/>
    </row>
    <row r="4708" spans="7:26" ht="75.75" customHeight="1" x14ac:dyDescent="0.25">
      <c r="G4708" s="5"/>
      <c r="H4708" s="2"/>
      <c r="I4708" s="2"/>
      <c r="K4708" s="2"/>
      <c r="L4708" s="2"/>
      <c r="M4708" s="2"/>
      <c r="N4708" s="2"/>
      <c r="O4708" s="2"/>
      <c r="P4708" s="2"/>
      <c r="Q4708" s="2"/>
      <c r="R4708" s="2"/>
      <c r="S4708" s="2"/>
      <c r="T4708" s="19"/>
      <c r="U4708" s="2"/>
      <c r="V4708" s="2"/>
      <c r="W4708" s="2"/>
      <c r="X4708" s="19"/>
      <c r="Y4708" s="2"/>
      <c r="Z4708" s="5"/>
    </row>
    <row r="4709" spans="7:26" ht="75.75" customHeight="1" x14ac:dyDescent="0.25">
      <c r="G4709" s="5"/>
      <c r="H4709" s="2"/>
      <c r="I4709" s="2"/>
      <c r="K4709" s="2"/>
      <c r="L4709" s="2"/>
      <c r="M4709" s="2"/>
      <c r="N4709" s="2"/>
      <c r="O4709" s="2"/>
      <c r="P4709" s="2"/>
      <c r="Q4709" s="2"/>
      <c r="R4709" s="2"/>
      <c r="S4709" s="2"/>
      <c r="T4709" s="19"/>
      <c r="U4709" s="2"/>
      <c r="V4709" s="2"/>
      <c r="W4709" s="2"/>
      <c r="X4709" s="19"/>
      <c r="Y4709" s="2"/>
      <c r="Z4709" s="5"/>
    </row>
    <row r="4710" spans="7:26" ht="75.75" customHeight="1" x14ac:dyDescent="0.25">
      <c r="G4710" s="5"/>
      <c r="H4710" s="2"/>
      <c r="I4710" s="2"/>
      <c r="K4710" s="2"/>
      <c r="L4710" s="2"/>
      <c r="M4710" s="2"/>
      <c r="N4710" s="2"/>
      <c r="O4710" s="2"/>
      <c r="P4710" s="2"/>
      <c r="Q4710" s="2"/>
      <c r="R4710" s="2"/>
      <c r="S4710" s="2"/>
      <c r="T4710" s="19"/>
      <c r="U4710" s="2"/>
      <c r="V4710" s="2"/>
      <c r="W4710" s="2"/>
      <c r="X4710" s="19"/>
      <c r="Y4710" s="2"/>
      <c r="Z4710" s="5"/>
    </row>
    <row r="4711" spans="7:26" ht="75.75" customHeight="1" x14ac:dyDescent="0.25">
      <c r="G4711" s="5"/>
      <c r="H4711" s="2"/>
      <c r="I4711" s="2"/>
      <c r="K4711" s="2"/>
      <c r="L4711" s="2"/>
      <c r="M4711" s="2"/>
      <c r="N4711" s="2"/>
      <c r="O4711" s="2"/>
      <c r="P4711" s="2"/>
      <c r="Q4711" s="2"/>
      <c r="R4711" s="2"/>
      <c r="S4711" s="2"/>
      <c r="T4711" s="19"/>
      <c r="U4711" s="2"/>
      <c r="V4711" s="2"/>
      <c r="W4711" s="2"/>
      <c r="X4711" s="19"/>
      <c r="Y4711" s="2"/>
      <c r="Z4711" s="5"/>
    </row>
    <row r="4712" spans="7:26" ht="75.75" customHeight="1" x14ac:dyDescent="0.25">
      <c r="G4712" s="5"/>
      <c r="H4712" s="2"/>
      <c r="I4712" s="2"/>
      <c r="K4712" s="2"/>
      <c r="L4712" s="2"/>
      <c r="M4712" s="2"/>
      <c r="N4712" s="2"/>
      <c r="O4712" s="2"/>
      <c r="P4712" s="2"/>
      <c r="Q4712" s="2"/>
      <c r="R4712" s="2"/>
      <c r="S4712" s="2"/>
      <c r="T4712" s="19"/>
      <c r="U4712" s="2"/>
      <c r="V4712" s="2"/>
      <c r="W4712" s="2"/>
      <c r="X4712" s="19"/>
      <c r="Y4712" s="2"/>
      <c r="Z4712" s="5"/>
    </row>
    <row r="4713" spans="7:26" ht="75.75" customHeight="1" x14ac:dyDescent="0.25">
      <c r="G4713" s="5"/>
      <c r="H4713" s="2"/>
      <c r="I4713" s="2"/>
      <c r="K4713" s="2"/>
      <c r="L4713" s="2"/>
      <c r="M4713" s="2"/>
      <c r="N4713" s="2"/>
      <c r="O4713" s="2"/>
      <c r="P4713" s="2"/>
      <c r="Q4713" s="2"/>
      <c r="R4713" s="2"/>
      <c r="S4713" s="2"/>
      <c r="T4713" s="19"/>
      <c r="U4713" s="2"/>
      <c r="V4713" s="2"/>
      <c r="W4713" s="2"/>
      <c r="X4713" s="19"/>
      <c r="Y4713" s="2"/>
      <c r="Z4713" s="5"/>
    </row>
    <row r="4714" spans="7:26" ht="75.75" customHeight="1" x14ac:dyDescent="0.25">
      <c r="G4714" s="5"/>
      <c r="H4714" s="2"/>
      <c r="I4714" s="2"/>
      <c r="K4714" s="2"/>
      <c r="L4714" s="2"/>
      <c r="M4714" s="2"/>
      <c r="N4714" s="2"/>
      <c r="O4714" s="2"/>
      <c r="P4714" s="2"/>
      <c r="Q4714" s="2"/>
      <c r="R4714" s="2"/>
      <c r="S4714" s="2"/>
      <c r="T4714" s="19"/>
      <c r="U4714" s="2"/>
      <c r="V4714" s="2"/>
      <c r="W4714" s="2"/>
      <c r="X4714" s="19"/>
      <c r="Y4714" s="2"/>
      <c r="Z4714" s="5"/>
    </row>
    <row r="4715" spans="7:26" ht="75.75" customHeight="1" x14ac:dyDescent="0.25">
      <c r="G4715" s="5"/>
      <c r="H4715" s="2"/>
      <c r="I4715" s="2"/>
      <c r="K4715" s="2"/>
      <c r="L4715" s="2"/>
      <c r="M4715" s="2"/>
      <c r="N4715" s="2"/>
      <c r="O4715" s="2"/>
      <c r="P4715" s="2"/>
      <c r="Q4715" s="2"/>
      <c r="R4715" s="2"/>
      <c r="S4715" s="2"/>
      <c r="T4715" s="19"/>
      <c r="U4715" s="2"/>
      <c r="V4715" s="2"/>
      <c r="W4715" s="2"/>
      <c r="X4715" s="19"/>
      <c r="Y4715" s="2"/>
      <c r="Z4715" s="5"/>
    </row>
    <row r="4716" spans="7:26" ht="75.75" customHeight="1" x14ac:dyDescent="0.25">
      <c r="G4716" s="5"/>
      <c r="H4716" s="2"/>
      <c r="I4716" s="2"/>
      <c r="K4716" s="2"/>
      <c r="L4716" s="2"/>
      <c r="M4716" s="2"/>
      <c r="N4716" s="2"/>
      <c r="O4716" s="2"/>
      <c r="P4716" s="2"/>
      <c r="Q4716" s="2"/>
      <c r="R4716" s="2"/>
      <c r="S4716" s="2"/>
      <c r="T4716" s="19"/>
      <c r="U4716" s="2"/>
      <c r="V4716" s="2"/>
      <c r="W4716" s="2"/>
      <c r="X4716" s="19"/>
      <c r="Y4716" s="2"/>
      <c r="Z4716" s="5"/>
    </row>
    <row r="4717" spans="7:26" ht="75.75" customHeight="1" x14ac:dyDescent="0.25">
      <c r="G4717" s="5"/>
      <c r="H4717" s="2"/>
      <c r="I4717" s="2"/>
      <c r="K4717" s="2"/>
      <c r="L4717" s="2"/>
      <c r="M4717" s="2"/>
      <c r="N4717" s="2"/>
      <c r="O4717" s="2"/>
      <c r="P4717" s="2"/>
      <c r="Q4717" s="2"/>
      <c r="R4717" s="2"/>
      <c r="S4717" s="2"/>
      <c r="T4717" s="19"/>
      <c r="U4717" s="2"/>
      <c r="V4717" s="2"/>
      <c r="W4717" s="2"/>
      <c r="X4717" s="19"/>
      <c r="Y4717" s="2"/>
      <c r="Z4717" s="5"/>
    </row>
    <row r="4718" spans="7:26" ht="75.75" customHeight="1" x14ac:dyDescent="0.25">
      <c r="G4718" s="5"/>
      <c r="H4718" s="2"/>
      <c r="I4718" s="2"/>
      <c r="K4718" s="2"/>
      <c r="L4718" s="2"/>
      <c r="M4718" s="2"/>
      <c r="N4718" s="2"/>
      <c r="O4718" s="2"/>
      <c r="P4718" s="2"/>
      <c r="Q4718" s="2"/>
      <c r="R4718" s="2"/>
      <c r="S4718" s="2"/>
      <c r="T4718" s="19"/>
      <c r="U4718" s="2"/>
      <c r="V4718" s="2"/>
      <c r="W4718" s="2"/>
      <c r="X4718" s="19"/>
      <c r="Y4718" s="2"/>
      <c r="Z4718" s="5"/>
    </row>
    <row r="4719" spans="7:26" ht="75.75" customHeight="1" x14ac:dyDescent="0.25">
      <c r="G4719" s="5"/>
      <c r="H4719" s="2"/>
      <c r="I4719" s="2"/>
      <c r="K4719" s="2"/>
      <c r="L4719" s="2"/>
      <c r="M4719" s="2"/>
      <c r="N4719" s="2"/>
      <c r="O4719" s="2"/>
      <c r="P4719" s="2"/>
      <c r="Q4719" s="2"/>
      <c r="R4719" s="2"/>
      <c r="S4719" s="2"/>
      <c r="T4719" s="19"/>
      <c r="U4719" s="2"/>
      <c r="V4719" s="2"/>
      <c r="W4719" s="2"/>
      <c r="X4719" s="19"/>
      <c r="Y4719" s="2"/>
      <c r="Z4719" s="5"/>
    </row>
    <row r="4720" spans="7:26" ht="75.75" customHeight="1" x14ac:dyDescent="0.25">
      <c r="G4720" s="5"/>
      <c r="H4720" s="2"/>
      <c r="I4720" s="2"/>
      <c r="K4720" s="2"/>
      <c r="L4720" s="2"/>
      <c r="M4720" s="2"/>
      <c r="N4720" s="2"/>
      <c r="O4720" s="2"/>
      <c r="P4720" s="2"/>
      <c r="Q4720" s="2"/>
      <c r="R4720" s="2"/>
      <c r="S4720" s="2"/>
      <c r="T4720" s="19"/>
      <c r="U4720" s="2"/>
      <c r="V4720" s="2"/>
      <c r="W4720" s="2"/>
      <c r="X4720" s="19"/>
      <c r="Y4720" s="2"/>
      <c r="Z4720" s="5"/>
    </row>
    <row r="4721" spans="7:26" ht="75.75" customHeight="1" x14ac:dyDescent="0.25">
      <c r="G4721" s="5"/>
      <c r="H4721" s="2"/>
      <c r="I4721" s="2"/>
      <c r="K4721" s="2"/>
      <c r="L4721" s="2"/>
      <c r="M4721" s="2"/>
      <c r="N4721" s="2"/>
      <c r="O4721" s="2"/>
      <c r="P4721" s="2"/>
      <c r="Q4721" s="2"/>
      <c r="R4721" s="2"/>
      <c r="S4721" s="2"/>
      <c r="T4721" s="19"/>
      <c r="U4721" s="2"/>
      <c r="V4721" s="2"/>
      <c r="W4721" s="2"/>
      <c r="X4721" s="19"/>
      <c r="Y4721" s="2"/>
      <c r="Z4721" s="5"/>
    </row>
    <row r="4722" spans="7:26" ht="75.75" customHeight="1" x14ac:dyDescent="0.25">
      <c r="G4722" s="5"/>
      <c r="H4722" s="2"/>
      <c r="I4722" s="2"/>
      <c r="K4722" s="2"/>
      <c r="L4722" s="2"/>
      <c r="M4722" s="2"/>
      <c r="N4722" s="2"/>
      <c r="O4722" s="2"/>
      <c r="P4722" s="2"/>
      <c r="Q4722" s="2"/>
      <c r="R4722" s="2"/>
      <c r="S4722" s="2"/>
      <c r="T4722" s="19"/>
      <c r="U4722" s="2"/>
      <c r="V4722" s="2"/>
      <c r="W4722" s="2"/>
      <c r="X4722" s="19"/>
      <c r="Y4722" s="2"/>
      <c r="Z4722" s="5"/>
    </row>
    <row r="4723" spans="7:26" ht="75.75" customHeight="1" x14ac:dyDescent="0.25">
      <c r="G4723" s="5"/>
      <c r="H4723" s="2"/>
      <c r="I4723" s="2"/>
      <c r="K4723" s="2"/>
      <c r="L4723" s="2"/>
      <c r="M4723" s="2"/>
      <c r="N4723" s="2"/>
      <c r="O4723" s="2"/>
      <c r="P4723" s="2"/>
      <c r="Q4723" s="2"/>
      <c r="R4723" s="2"/>
      <c r="S4723" s="2"/>
      <c r="T4723" s="19"/>
      <c r="U4723" s="2"/>
      <c r="V4723" s="2"/>
      <c r="W4723" s="2"/>
      <c r="X4723" s="19"/>
      <c r="Y4723" s="2"/>
      <c r="Z4723" s="5"/>
    </row>
    <row r="4724" spans="7:26" ht="75.75" customHeight="1" x14ac:dyDescent="0.25">
      <c r="G4724" s="5"/>
      <c r="H4724" s="2"/>
      <c r="I4724" s="2"/>
      <c r="K4724" s="2"/>
      <c r="L4724" s="2"/>
      <c r="M4724" s="2"/>
      <c r="N4724" s="2"/>
      <c r="O4724" s="2"/>
      <c r="P4724" s="2"/>
      <c r="Q4724" s="2"/>
      <c r="R4724" s="2"/>
      <c r="S4724" s="2"/>
      <c r="T4724" s="19"/>
      <c r="U4724" s="2"/>
      <c r="V4724" s="2"/>
      <c r="W4724" s="2"/>
      <c r="X4724" s="19"/>
      <c r="Y4724" s="2"/>
      <c r="Z4724" s="5"/>
    </row>
    <row r="4725" spans="7:26" ht="75.75" customHeight="1" x14ac:dyDescent="0.25">
      <c r="G4725" s="5"/>
      <c r="H4725" s="2"/>
      <c r="I4725" s="2"/>
      <c r="K4725" s="2"/>
      <c r="L4725" s="2"/>
      <c r="M4725" s="2"/>
      <c r="N4725" s="2"/>
      <c r="O4725" s="2"/>
      <c r="P4725" s="2"/>
      <c r="Q4725" s="2"/>
      <c r="R4725" s="2"/>
      <c r="S4725" s="2"/>
      <c r="T4725" s="19"/>
      <c r="U4725" s="2"/>
      <c r="V4725" s="2"/>
      <c r="W4725" s="2"/>
      <c r="X4725" s="19"/>
      <c r="Y4725" s="2"/>
      <c r="Z4725" s="5"/>
    </row>
    <row r="4726" spans="7:26" ht="75.75" customHeight="1" x14ac:dyDescent="0.25">
      <c r="G4726" s="5"/>
      <c r="H4726" s="2"/>
      <c r="I4726" s="2"/>
      <c r="K4726" s="2"/>
      <c r="L4726" s="2"/>
      <c r="M4726" s="2"/>
      <c r="N4726" s="2"/>
      <c r="O4726" s="2"/>
      <c r="P4726" s="2"/>
      <c r="Q4726" s="2"/>
      <c r="R4726" s="2"/>
      <c r="S4726" s="2"/>
      <c r="T4726" s="19"/>
      <c r="U4726" s="2"/>
      <c r="V4726" s="2"/>
      <c r="W4726" s="2"/>
      <c r="X4726" s="19"/>
      <c r="Y4726" s="2"/>
      <c r="Z4726" s="5"/>
    </row>
    <row r="4727" spans="7:26" ht="75.75" customHeight="1" x14ac:dyDescent="0.25">
      <c r="G4727" s="5"/>
      <c r="H4727" s="2"/>
      <c r="I4727" s="2"/>
      <c r="K4727" s="2"/>
      <c r="L4727" s="2"/>
      <c r="M4727" s="2"/>
      <c r="N4727" s="2"/>
      <c r="O4727" s="2"/>
      <c r="P4727" s="2"/>
      <c r="Q4727" s="2"/>
      <c r="R4727" s="2"/>
      <c r="S4727" s="2"/>
      <c r="T4727" s="19"/>
      <c r="U4727" s="2"/>
      <c r="V4727" s="2"/>
      <c r="W4727" s="2"/>
      <c r="X4727" s="19"/>
      <c r="Y4727" s="2"/>
      <c r="Z4727" s="5"/>
    </row>
    <row r="4728" spans="7:26" ht="75.75" customHeight="1" x14ac:dyDescent="0.25">
      <c r="G4728" s="5"/>
      <c r="H4728" s="2"/>
      <c r="I4728" s="2"/>
      <c r="K4728" s="2"/>
      <c r="L4728" s="2"/>
      <c r="M4728" s="2"/>
      <c r="N4728" s="2"/>
      <c r="O4728" s="2"/>
      <c r="P4728" s="2"/>
      <c r="Q4728" s="2"/>
      <c r="R4728" s="2"/>
      <c r="S4728" s="2"/>
      <c r="T4728" s="19"/>
      <c r="U4728" s="2"/>
      <c r="V4728" s="2"/>
      <c r="W4728" s="2"/>
      <c r="X4728" s="19"/>
      <c r="Y4728" s="2"/>
      <c r="Z4728" s="5"/>
    </row>
    <row r="4729" spans="7:26" ht="75.75" customHeight="1" x14ac:dyDescent="0.25">
      <c r="G4729" s="5"/>
      <c r="H4729" s="2"/>
      <c r="I4729" s="2"/>
      <c r="K4729" s="2"/>
      <c r="L4729" s="2"/>
      <c r="M4729" s="2"/>
      <c r="N4729" s="2"/>
      <c r="O4729" s="2"/>
      <c r="P4729" s="2"/>
      <c r="Q4729" s="2"/>
      <c r="R4729" s="2"/>
      <c r="S4729" s="2"/>
      <c r="T4729" s="19"/>
      <c r="U4729" s="2"/>
      <c r="V4729" s="2"/>
      <c r="W4729" s="2"/>
      <c r="X4729" s="19"/>
      <c r="Y4729" s="2"/>
      <c r="Z4729" s="5"/>
    </row>
    <row r="4730" spans="7:26" ht="75.75" customHeight="1" x14ac:dyDescent="0.25">
      <c r="G4730" s="5"/>
      <c r="H4730" s="2"/>
      <c r="I4730" s="2"/>
      <c r="K4730" s="2"/>
      <c r="L4730" s="2"/>
      <c r="M4730" s="2"/>
      <c r="N4730" s="2"/>
      <c r="O4730" s="2"/>
      <c r="P4730" s="2"/>
      <c r="Q4730" s="2"/>
      <c r="R4730" s="2"/>
      <c r="S4730" s="2"/>
      <c r="T4730" s="19"/>
      <c r="U4730" s="2"/>
      <c r="V4730" s="2"/>
      <c r="W4730" s="2"/>
      <c r="X4730" s="19"/>
      <c r="Y4730" s="2"/>
      <c r="Z4730" s="5"/>
    </row>
    <row r="4731" spans="7:26" ht="75.75" customHeight="1" x14ac:dyDescent="0.25">
      <c r="G4731" s="5"/>
      <c r="H4731" s="2"/>
      <c r="I4731" s="2"/>
      <c r="K4731" s="2"/>
      <c r="L4731" s="2"/>
      <c r="M4731" s="2"/>
      <c r="N4731" s="2"/>
      <c r="O4731" s="2"/>
      <c r="P4731" s="2"/>
      <c r="Q4731" s="2"/>
      <c r="R4731" s="2"/>
      <c r="S4731" s="2"/>
      <c r="T4731" s="19"/>
      <c r="U4731" s="2"/>
      <c r="V4731" s="2"/>
      <c r="W4731" s="2"/>
      <c r="X4731" s="19"/>
      <c r="Y4731" s="2"/>
      <c r="Z4731" s="5"/>
    </row>
    <row r="4732" spans="7:26" ht="75.75" customHeight="1" x14ac:dyDescent="0.25">
      <c r="G4732" s="5"/>
      <c r="H4732" s="2"/>
      <c r="I4732" s="2"/>
      <c r="K4732" s="2"/>
      <c r="L4732" s="2"/>
      <c r="M4732" s="2"/>
      <c r="N4732" s="2"/>
      <c r="O4732" s="2"/>
      <c r="P4732" s="2"/>
      <c r="Q4732" s="2"/>
      <c r="R4732" s="2"/>
      <c r="S4732" s="2"/>
      <c r="T4732" s="19"/>
      <c r="U4732" s="2"/>
      <c r="V4732" s="2"/>
      <c r="W4732" s="2"/>
      <c r="X4732" s="19"/>
      <c r="Y4732" s="2"/>
      <c r="Z4732" s="5"/>
    </row>
    <row r="4733" spans="7:26" ht="75.75" customHeight="1" x14ac:dyDescent="0.25">
      <c r="G4733" s="5"/>
      <c r="H4733" s="2"/>
      <c r="I4733" s="2"/>
      <c r="K4733" s="2"/>
      <c r="L4733" s="2"/>
      <c r="M4733" s="2"/>
      <c r="N4733" s="2"/>
      <c r="O4733" s="2"/>
      <c r="P4733" s="2"/>
      <c r="Q4733" s="2"/>
      <c r="R4733" s="2"/>
      <c r="S4733" s="2"/>
      <c r="T4733" s="19"/>
      <c r="U4733" s="2"/>
      <c r="V4733" s="2"/>
      <c r="W4733" s="2"/>
      <c r="X4733" s="19"/>
      <c r="Y4733" s="2"/>
      <c r="Z4733" s="5"/>
    </row>
    <row r="4734" spans="7:26" ht="75.75" customHeight="1" x14ac:dyDescent="0.25">
      <c r="G4734" s="5"/>
      <c r="H4734" s="2"/>
      <c r="I4734" s="2"/>
      <c r="K4734" s="2"/>
      <c r="L4734" s="2"/>
      <c r="M4734" s="2"/>
      <c r="N4734" s="2"/>
      <c r="O4734" s="2"/>
      <c r="P4734" s="2"/>
      <c r="Q4734" s="2"/>
      <c r="R4734" s="2"/>
      <c r="S4734" s="2"/>
      <c r="T4734" s="19"/>
      <c r="U4734" s="2"/>
      <c r="V4734" s="2"/>
      <c r="W4734" s="2"/>
      <c r="X4734" s="19"/>
      <c r="Y4734" s="2"/>
      <c r="Z4734" s="5"/>
    </row>
    <row r="4735" spans="7:26" ht="75.75" customHeight="1" x14ac:dyDescent="0.25">
      <c r="G4735" s="5"/>
      <c r="H4735" s="2"/>
      <c r="I4735" s="2"/>
      <c r="K4735" s="2"/>
      <c r="L4735" s="2"/>
      <c r="M4735" s="2"/>
      <c r="N4735" s="2"/>
      <c r="O4735" s="2"/>
      <c r="P4735" s="2"/>
      <c r="Q4735" s="2"/>
      <c r="R4735" s="2"/>
      <c r="S4735" s="2"/>
      <c r="T4735" s="19"/>
      <c r="U4735" s="2"/>
      <c r="V4735" s="2"/>
      <c r="W4735" s="2"/>
      <c r="X4735" s="19"/>
      <c r="Y4735" s="2"/>
      <c r="Z4735" s="5"/>
    </row>
    <row r="4736" spans="7:26" ht="75.75" customHeight="1" x14ac:dyDescent="0.25">
      <c r="G4736" s="5"/>
      <c r="H4736" s="2"/>
      <c r="I4736" s="2"/>
      <c r="K4736" s="2"/>
      <c r="L4736" s="2"/>
      <c r="M4736" s="2"/>
      <c r="N4736" s="2"/>
      <c r="O4736" s="2"/>
      <c r="P4736" s="2"/>
      <c r="Q4736" s="2"/>
      <c r="R4736" s="2"/>
      <c r="S4736" s="2"/>
      <c r="T4736" s="19"/>
      <c r="U4736" s="2"/>
      <c r="V4736" s="2"/>
      <c r="W4736" s="2"/>
      <c r="X4736" s="19"/>
      <c r="Y4736" s="2"/>
      <c r="Z4736" s="5"/>
    </row>
    <row r="4737" spans="7:26" ht="75.75" customHeight="1" x14ac:dyDescent="0.25">
      <c r="G4737" s="5"/>
      <c r="H4737" s="2"/>
      <c r="I4737" s="2"/>
      <c r="K4737" s="2"/>
      <c r="L4737" s="2"/>
      <c r="M4737" s="2"/>
      <c r="N4737" s="2"/>
      <c r="O4737" s="2"/>
      <c r="P4737" s="2"/>
      <c r="Q4737" s="2"/>
      <c r="R4737" s="2"/>
      <c r="S4737" s="2"/>
      <c r="T4737" s="19"/>
      <c r="U4737" s="2"/>
      <c r="V4737" s="2"/>
      <c r="W4737" s="2"/>
      <c r="X4737" s="19"/>
      <c r="Y4737" s="2"/>
      <c r="Z4737" s="5"/>
    </row>
    <row r="4738" spans="7:26" ht="75.75" customHeight="1" x14ac:dyDescent="0.25">
      <c r="G4738" s="5"/>
      <c r="H4738" s="2"/>
      <c r="I4738" s="2"/>
      <c r="K4738" s="2"/>
      <c r="L4738" s="2"/>
      <c r="M4738" s="2"/>
      <c r="N4738" s="2"/>
      <c r="O4738" s="2"/>
      <c r="P4738" s="2"/>
      <c r="Q4738" s="2"/>
      <c r="R4738" s="2"/>
      <c r="S4738" s="2"/>
      <c r="T4738" s="19"/>
      <c r="U4738" s="2"/>
      <c r="V4738" s="2"/>
      <c r="W4738" s="2"/>
      <c r="X4738" s="19"/>
      <c r="Y4738" s="2"/>
      <c r="Z4738" s="5"/>
    </row>
    <row r="4739" spans="7:26" ht="75.75" customHeight="1" x14ac:dyDescent="0.25">
      <c r="G4739" s="5"/>
      <c r="H4739" s="2"/>
      <c r="I4739" s="2"/>
      <c r="K4739" s="2"/>
      <c r="L4739" s="2"/>
      <c r="M4739" s="2"/>
      <c r="N4739" s="2"/>
      <c r="O4739" s="2"/>
      <c r="P4739" s="2"/>
      <c r="Q4739" s="2"/>
      <c r="R4739" s="2"/>
      <c r="S4739" s="2"/>
      <c r="T4739" s="19"/>
      <c r="U4739" s="2"/>
      <c r="V4739" s="2"/>
      <c r="W4739" s="2"/>
      <c r="X4739" s="19"/>
      <c r="Y4739" s="2"/>
      <c r="Z4739" s="5"/>
    </row>
    <row r="4740" spans="7:26" ht="75.75" customHeight="1" x14ac:dyDescent="0.25">
      <c r="G4740" s="5"/>
      <c r="H4740" s="2"/>
      <c r="I4740" s="2"/>
      <c r="K4740" s="2"/>
      <c r="L4740" s="2"/>
      <c r="M4740" s="2"/>
      <c r="N4740" s="2"/>
      <c r="O4740" s="2"/>
      <c r="P4740" s="2"/>
      <c r="Q4740" s="2"/>
      <c r="R4740" s="2"/>
      <c r="S4740" s="2"/>
      <c r="T4740" s="19"/>
      <c r="U4740" s="2"/>
      <c r="V4740" s="2"/>
      <c r="W4740" s="2"/>
      <c r="X4740" s="19"/>
      <c r="Y4740" s="2"/>
      <c r="Z4740" s="5"/>
    </row>
    <row r="4741" spans="7:26" ht="75.75" customHeight="1" x14ac:dyDescent="0.25">
      <c r="G4741" s="5"/>
      <c r="H4741" s="2"/>
      <c r="I4741" s="2"/>
      <c r="K4741" s="2"/>
      <c r="L4741" s="2"/>
      <c r="M4741" s="2"/>
      <c r="N4741" s="2"/>
      <c r="O4741" s="2"/>
      <c r="P4741" s="2"/>
      <c r="Q4741" s="2"/>
      <c r="R4741" s="2"/>
      <c r="S4741" s="2"/>
      <c r="T4741" s="19"/>
      <c r="U4741" s="2"/>
      <c r="V4741" s="2"/>
      <c r="W4741" s="2"/>
      <c r="X4741" s="19"/>
      <c r="Y4741" s="2"/>
      <c r="Z4741" s="5"/>
    </row>
    <row r="4742" spans="7:26" ht="75.75" customHeight="1" x14ac:dyDescent="0.25">
      <c r="G4742" s="5"/>
      <c r="H4742" s="2"/>
      <c r="I4742" s="2"/>
      <c r="K4742" s="2"/>
      <c r="L4742" s="2"/>
      <c r="M4742" s="2"/>
      <c r="N4742" s="2"/>
      <c r="O4742" s="2"/>
      <c r="P4742" s="2"/>
      <c r="Q4742" s="2"/>
      <c r="R4742" s="2"/>
      <c r="S4742" s="2"/>
      <c r="T4742" s="19"/>
      <c r="U4742" s="2"/>
      <c r="V4742" s="2"/>
      <c r="W4742" s="2"/>
      <c r="X4742" s="19"/>
      <c r="Y4742" s="2"/>
      <c r="Z4742" s="5"/>
    </row>
    <row r="4743" spans="7:26" ht="75.75" customHeight="1" x14ac:dyDescent="0.25">
      <c r="G4743" s="5"/>
      <c r="H4743" s="2"/>
      <c r="I4743" s="2"/>
      <c r="K4743" s="2"/>
      <c r="L4743" s="2"/>
      <c r="M4743" s="2"/>
      <c r="N4743" s="2"/>
      <c r="O4743" s="2"/>
      <c r="P4743" s="2"/>
      <c r="Q4743" s="2"/>
      <c r="R4743" s="2"/>
      <c r="S4743" s="2"/>
      <c r="T4743" s="19"/>
      <c r="U4743" s="2"/>
      <c r="V4743" s="2"/>
      <c r="W4743" s="2"/>
      <c r="X4743" s="19"/>
      <c r="Y4743" s="2"/>
      <c r="Z4743" s="5"/>
    </row>
    <row r="4744" spans="7:26" ht="75.75" customHeight="1" x14ac:dyDescent="0.25">
      <c r="G4744" s="5"/>
      <c r="H4744" s="2"/>
      <c r="I4744" s="2"/>
      <c r="K4744" s="2"/>
      <c r="L4744" s="2"/>
      <c r="M4744" s="2"/>
      <c r="N4744" s="2"/>
      <c r="O4744" s="2"/>
      <c r="P4744" s="2"/>
      <c r="Q4744" s="2"/>
      <c r="R4744" s="2"/>
      <c r="S4744" s="2"/>
      <c r="T4744" s="19"/>
      <c r="U4744" s="2"/>
      <c r="V4744" s="2"/>
      <c r="W4744" s="2"/>
      <c r="X4744" s="19"/>
      <c r="Y4744" s="2"/>
      <c r="Z4744" s="5"/>
    </row>
    <row r="4745" spans="7:26" ht="75.75" customHeight="1" x14ac:dyDescent="0.25">
      <c r="G4745" s="5"/>
      <c r="H4745" s="2"/>
      <c r="I4745" s="2"/>
      <c r="K4745" s="2"/>
      <c r="L4745" s="2"/>
      <c r="M4745" s="2"/>
      <c r="N4745" s="2"/>
      <c r="O4745" s="2"/>
      <c r="P4745" s="2"/>
      <c r="Q4745" s="2"/>
      <c r="R4745" s="2"/>
      <c r="S4745" s="2"/>
      <c r="T4745" s="19"/>
      <c r="U4745" s="2"/>
      <c r="V4745" s="2"/>
      <c r="W4745" s="2"/>
      <c r="X4745" s="19"/>
      <c r="Y4745" s="2"/>
      <c r="Z4745" s="5"/>
    </row>
    <row r="4746" spans="7:26" ht="75.75" customHeight="1" x14ac:dyDescent="0.25">
      <c r="G4746" s="5"/>
      <c r="H4746" s="2"/>
      <c r="I4746" s="2"/>
      <c r="K4746" s="2"/>
      <c r="L4746" s="2"/>
      <c r="M4746" s="2"/>
      <c r="N4746" s="2"/>
      <c r="O4746" s="2"/>
      <c r="P4746" s="2"/>
      <c r="Q4746" s="2"/>
      <c r="R4746" s="2"/>
      <c r="S4746" s="2"/>
      <c r="T4746" s="19"/>
      <c r="U4746" s="2"/>
      <c r="V4746" s="2"/>
      <c r="W4746" s="2"/>
      <c r="X4746" s="19"/>
      <c r="Y4746" s="2"/>
      <c r="Z4746" s="5"/>
    </row>
    <row r="4747" spans="7:26" ht="75.75" customHeight="1" x14ac:dyDescent="0.25">
      <c r="G4747" s="5"/>
      <c r="H4747" s="2"/>
      <c r="I4747" s="2"/>
      <c r="K4747" s="2"/>
      <c r="L4747" s="2"/>
      <c r="M4747" s="2"/>
      <c r="N4747" s="2"/>
      <c r="O4747" s="2"/>
      <c r="P4747" s="2"/>
      <c r="Q4747" s="2"/>
      <c r="R4747" s="2"/>
      <c r="S4747" s="2"/>
      <c r="T4747" s="19"/>
      <c r="U4747" s="2"/>
      <c r="V4747" s="2"/>
      <c r="W4747" s="2"/>
      <c r="X4747" s="19"/>
      <c r="Y4747" s="2"/>
      <c r="Z4747" s="5"/>
    </row>
    <row r="4748" spans="7:26" ht="75.75" customHeight="1" x14ac:dyDescent="0.25">
      <c r="G4748" s="5"/>
      <c r="H4748" s="2"/>
      <c r="I4748" s="2"/>
      <c r="K4748" s="2"/>
      <c r="L4748" s="2"/>
      <c r="M4748" s="2"/>
      <c r="N4748" s="2"/>
      <c r="O4748" s="2"/>
      <c r="P4748" s="2"/>
      <c r="Q4748" s="2"/>
      <c r="R4748" s="2"/>
      <c r="S4748" s="2"/>
      <c r="T4748" s="19"/>
      <c r="U4748" s="2"/>
      <c r="V4748" s="2"/>
      <c r="W4748" s="2"/>
      <c r="X4748" s="19"/>
      <c r="Y4748" s="2"/>
      <c r="Z4748" s="5"/>
    </row>
    <row r="4749" spans="7:26" ht="75.75" customHeight="1" x14ac:dyDescent="0.25">
      <c r="G4749" s="5"/>
      <c r="H4749" s="2"/>
      <c r="I4749" s="2"/>
      <c r="K4749" s="2"/>
      <c r="L4749" s="2"/>
      <c r="M4749" s="2"/>
      <c r="N4749" s="2"/>
      <c r="O4749" s="2"/>
      <c r="P4749" s="2"/>
      <c r="Q4749" s="2"/>
      <c r="R4749" s="2"/>
      <c r="S4749" s="2"/>
      <c r="T4749" s="19"/>
      <c r="U4749" s="2"/>
      <c r="V4749" s="2"/>
      <c r="W4749" s="2"/>
      <c r="X4749" s="19"/>
      <c r="Y4749" s="2"/>
      <c r="Z4749" s="5"/>
    </row>
    <row r="4750" spans="7:26" ht="75.75" customHeight="1" x14ac:dyDescent="0.25">
      <c r="G4750" s="5"/>
      <c r="H4750" s="2"/>
      <c r="I4750" s="2"/>
      <c r="K4750" s="2"/>
      <c r="L4750" s="2"/>
      <c r="M4750" s="2"/>
      <c r="N4750" s="2"/>
      <c r="O4750" s="2"/>
      <c r="P4750" s="2"/>
      <c r="Q4750" s="2"/>
      <c r="R4750" s="2"/>
      <c r="S4750" s="2"/>
      <c r="T4750" s="19"/>
      <c r="U4750" s="2"/>
      <c r="V4750" s="2"/>
      <c r="W4750" s="2"/>
      <c r="X4750" s="19"/>
      <c r="Y4750" s="2"/>
      <c r="Z4750" s="5"/>
    </row>
    <row r="4751" spans="7:26" ht="75.75" customHeight="1" x14ac:dyDescent="0.25">
      <c r="G4751" s="5"/>
      <c r="H4751" s="2"/>
      <c r="I4751" s="2"/>
      <c r="K4751" s="2"/>
      <c r="L4751" s="2"/>
      <c r="M4751" s="2"/>
      <c r="N4751" s="2"/>
      <c r="O4751" s="2"/>
      <c r="P4751" s="2"/>
      <c r="Q4751" s="2"/>
      <c r="R4751" s="2"/>
      <c r="S4751" s="2"/>
      <c r="T4751" s="19"/>
      <c r="U4751" s="2"/>
      <c r="V4751" s="2"/>
      <c r="W4751" s="2"/>
      <c r="X4751" s="19"/>
      <c r="Y4751" s="2"/>
      <c r="Z4751" s="5"/>
    </row>
    <row r="4752" spans="7:26" ht="75.75" customHeight="1" x14ac:dyDescent="0.25">
      <c r="G4752" s="5"/>
      <c r="H4752" s="2"/>
      <c r="I4752" s="2"/>
      <c r="K4752" s="2"/>
      <c r="L4752" s="2"/>
      <c r="M4752" s="2"/>
      <c r="N4752" s="2"/>
      <c r="O4752" s="2"/>
      <c r="P4752" s="2"/>
      <c r="Q4752" s="2"/>
      <c r="R4752" s="2"/>
      <c r="S4752" s="2"/>
      <c r="T4752" s="19"/>
      <c r="U4752" s="2"/>
      <c r="V4752" s="2"/>
      <c r="W4752" s="2"/>
      <c r="X4752" s="19"/>
      <c r="Y4752" s="2"/>
      <c r="Z4752" s="5"/>
    </row>
    <row r="4753" spans="7:26" ht="75.75" customHeight="1" x14ac:dyDescent="0.25">
      <c r="G4753" s="5"/>
      <c r="H4753" s="2"/>
      <c r="I4753" s="2"/>
      <c r="K4753" s="2"/>
      <c r="L4753" s="2"/>
      <c r="M4753" s="2"/>
      <c r="N4753" s="2"/>
      <c r="O4753" s="2"/>
      <c r="P4753" s="2"/>
      <c r="Q4753" s="2"/>
      <c r="R4753" s="2"/>
      <c r="S4753" s="2"/>
      <c r="T4753" s="19"/>
      <c r="U4753" s="2"/>
      <c r="V4753" s="2"/>
      <c r="W4753" s="2"/>
      <c r="X4753" s="19"/>
      <c r="Y4753" s="2"/>
      <c r="Z4753" s="5"/>
    </row>
    <row r="4754" spans="7:26" ht="75.75" customHeight="1" x14ac:dyDescent="0.25">
      <c r="G4754" s="5"/>
      <c r="H4754" s="2"/>
      <c r="I4754" s="2"/>
      <c r="K4754" s="2"/>
      <c r="L4754" s="2"/>
      <c r="M4754" s="2"/>
      <c r="N4754" s="2"/>
      <c r="O4754" s="2"/>
      <c r="P4754" s="2"/>
      <c r="Q4754" s="2"/>
      <c r="R4754" s="2"/>
      <c r="S4754" s="2"/>
      <c r="T4754" s="19"/>
      <c r="U4754" s="2"/>
      <c r="V4754" s="2"/>
      <c r="W4754" s="2"/>
      <c r="X4754" s="19"/>
      <c r="Y4754" s="2"/>
      <c r="Z4754" s="5"/>
    </row>
    <row r="4755" spans="7:26" ht="75.75" customHeight="1" x14ac:dyDescent="0.25">
      <c r="G4755" s="5"/>
      <c r="H4755" s="2"/>
      <c r="I4755" s="2"/>
      <c r="K4755" s="2"/>
      <c r="L4755" s="2"/>
      <c r="M4755" s="2"/>
      <c r="N4755" s="2"/>
      <c r="O4755" s="2"/>
      <c r="P4755" s="2"/>
      <c r="Q4755" s="2"/>
      <c r="R4755" s="2"/>
      <c r="S4755" s="2"/>
      <c r="T4755" s="19"/>
      <c r="U4755" s="2"/>
      <c r="V4755" s="2"/>
      <c r="W4755" s="2"/>
      <c r="X4755" s="19"/>
      <c r="Y4755" s="2"/>
      <c r="Z4755" s="5"/>
    </row>
    <row r="4756" spans="7:26" ht="75.75" customHeight="1" x14ac:dyDescent="0.25">
      <c r="G4756" s="5"/>
      <c r="H4756" s="2"/>
      <c r="I4756" s="2"/>
      <c r="K4756" s="2"/>
      <c r="L4756" s="2"/>
      <c r="M4756" s="2"/>
      <c r="N4756" s="2"/>
      <c r="O4756" s="2"/>
      <c r="P4756" s="2"/>
      <c r="Q4756" s="2"/>
      <c r="R4756" s="2"/>
      <c r="S4756" s="2"/>
      <c r="T4756" s="19"/>
      <c r="U4756" s="2"/>
      <c r="V4756" s="2"/>
      <c r="W4756" s="2"/>
      <c r="X4756" s="19"/>
      <c r="Y4756" s="2"/>
      <c r="Z4756" s="5"/>
    </row>
    <row r="4757" spans="7:26" ht="75.75" customHeight="1" x14ac:dyDescent="0.25">
      <c r="G4757" s="5"/>
      <c r="H4757" s="2"/>
      <c r="I4757" s="2"/>
      <c r="K4757" s="2"/>
      <c r="L4757" s="2"/>
      <c r="M4757" s="2"/>
      <c r="N4757" s="2"/>
      <c r="O4757" s="2"/>
      <c r="P4757" s="2"/>
      <c r="Q4757" s="2"/>
      <c r="R4757" s="2"/>
      <c r="S4757" s="2"/>
      <c r="T4757" s="19"/>
      <c r="U4757" s="2"/>
      <c r="V4757" s="2"/>
      <c r="W4757" s="2"/>
      <c r="X4757" s="19"/>
      <c r="Y4757" s="2"/>
      <c r="Z4757" s="5"/>
    </row>
    <row r="4758" spans="7:26" ht="75.75" customHeight="1" x14ac:dyDescent="0.25">
      <c r="G4758" s="5"/>
      <c r="H4758" s="2"/>
      <c r="I4758" s="2"/>
      <c r="K4758" s="2"/>
      <c r="L4758" s="2"/>
      <c r="M4758" s="2"/>
      <c r="N4758" s="2"/>
      <c r="O4758" s="2"/>
      <c r="P4758" s="2"/>
      <c r="Q4758" s="2"/>
      <c r="R4758" s="2"/>
      <c r="S4758" s="2"/>
      <c r="T4758" s="19"/>
      <c r="U4758" s="2"/>
      <c r="V4758" s="2"/>
      <c r="W4758" s="2"/>
      <c r="X4758" s="19"/>
      <c r="Y4758" s="2"/>
      <c r="Z4758" s="5"/>
    </row>
    <row r="4759" spans="7:26" ht="75.75" customHeight="1" x14ac:dyDescent="0.25">
      <c r="G4759" s="5"/>
      <c r="H4759" s="2"/>
      <c r="I4759" s="2"/>
      <c r="K4759" s="2"/>
      <c r="L4759" s="2"/>
      <c r="M4759" s="2"/>
      <c r="N4759" s="2"/>
      <c r="O4759" s="2"/>
      <c r="P4759" s="2"/>
      <c r="Q4759" s="2"/>
      <c r="R4759" s="2"/>
      <c r="S4759" s="2"/>
      <c r="T4759" s="19"/>
      <c r="U4759" s="2"/>
      <c r="V4759" s="2"/>
      <c r="W4759" s="2"/>
      <c r="X4759" s="19"/>
      <c r="Y4759" s="2"/>
      <c r="Z4759" s="5"/>
    </row>
    <row r="4760" spans="7:26" ht="75.75" customHeight="1" x14ac:dyDescent="0.25">
      <c r="G4760" s="5"/>
      <c r="H4760" s="2"/>
      <c r="I4760" s="2"/>
      <c r="K4760" s="2"/>
      <c r="L4760" s="2"/>
      <c r="M4760" s="2"/>
      <c r="N4760" s="2"/>
      <c r="O4760" s="2"/>
      <c r="P4760" s="2"/>
      <c r="Q4760" s="2"/>
      <c r="R4760" s="2"/>
      <c r="S4760" s="2"/>
      <c r="T4760" s="19"/>
      <c r="U4760" s="2"/>
      <c r="V4760" s="2"/>
      <c r="W4760" s="2"/>
      <c r="X4760" s="19"/>
      <c r="Y4760" s="2"/>
      <c r="Z4760" s="5"/>
    </row>
    <row r="4761" spans="7:26" ht="75.75" customHeight="1" x14ac:dyDescent="0.25">
      <c r="G4761" s="5"/>
      <c r="H4761" s="2"/>
      <c r="I4761" s="2"/>
      <c r="K4761" s="2"/>
      <c r="L4761" s="2"/>
      <c r="M4761" s="2"/>
      <c r="N4761" s="2"/>
      <c r="O4761" s="2"/>
      <c r="P4761" s="2"/>
      <c r="Q4761" s="2"/>
      <c r="R4761" s="2"/>
      <c r="S4761" s="2"/>
      <c r="T4761" s="19"/>
      <c r="U4761" s="2"/>
      <c r="V4761" s="2"/>
      <c r="W4761" s="2"/>
      <c r="X4761" s="19"/>
      <c r="Y4761" s="2"/>
      <c r="Z4761" s="5"/>
    </row>
    <row r="4762" spans="7:26" ht="75.75" customHeight="1" x14ac:dyDescent="0.25">
      <c r="G4762" s="5"/>
      <c r="H4762" s="2"/>
      <c r="I4762" s="2"/>
      <c r="K4762" s="2"/>
      <c r="L4762" s="2"/>
      <c r="M4762" s="2"/>
      <c r="N4762" s="2"/>
      <c r="O4762" s="2"/>
      <c r="P4762" s="2"/>
      <c r="Q4762" s="2"/>
      <c r="R4762" s="2"/>
      <c r="S4762" s="2"/>
      <c r="T4762" s="19"/>
      <c r="U4762" s="2"/>
      <c r="V4762" s="2"/>
      <c r="W4762" s="2"/>
      <c r="X4762" s="19"/>
      <c r="Y4762" s="2"/>
      <c r="Z4762" s="5"/>
    </row>
    <row r="4763" spans="7:26" ht="75.75" customHeight="1" x14ac:dyDescent="0.25">
      <c r="G4763" s="5"/>
      <c r="H4763" s="2"/>
      <c r="I4763" s="2"/>
      <c r="K4763" s="2"/>
      <c r="L4763" s="2"/>
      <c r="M4763" s="2"/>
      <c r="N4763" s="2"/>
      <c r="O4763" s="2"/>
      <c r="P4763" s="2"/>
      <c r="Q4763" s="2"/>
      <c r="R4763" s="2"/>
      <c r="S4763" s="2"/>
      <c r="T4763" s="19"/>
      <c r="U4763" s="2"/>
      <c r="V4763" s="2"/>
      <c r="W4763" s="2"/>
      <c r="X4763" s="19"/>
      <c r="Y4763" s="2"/>
      <c r="Z4763" s="5"/>
    </row>
    <row r="4764" spans="7:26" ht="75.75" customHeight="1" x14ac:dyDescent="0.25">
      <c r="G4764" s="5"/>
      <c r="H4764" s="2"/>
      <c r="I4764" s="2"/>
      <c r="K4764" s="2"/>
      <c r="L4764" s="2"/>
      <c r="M4764" s="2"/>
      <c r="N4764" s="2"/>
      <c r="O4764" s="2"/>
      <c r="P4764" s="2"/>
      <c r="Q4764" s="2"/>
      <c r="R4764" s="2"/>
      <c r="S4764" s="2"/>
      <c r="T4764" s="19"/>
      <c r="U4764" s="2"/>
      <c r="V4764" s="2"/>
      <c r="W4764" s="2"/>
      <c r="X4764" s="19"/>
      <c r="Y4764" s="2"/>
      <c r="Z4764" s="5"/>
    </row>
    <row r="4765" spans="7:26" ht="75.75" customHeight="1" x14ac:dyDescent="0.25">
      <c r="G4765" s="5"/>
      <c r="H4765" s="2"/>
      <c r="I4765" s="2"/>
      <c r="K4765" s="2"/>
      <c r="L4765" s="2"/>
      <c r="M4765" s="2"/>
      <c r="N4765" s="2"/>
      <c r="O4765" s="2"/>
      <c r="P4765" s="2"/>
      <c r="Q4765" s="2"/>
      <c r="R4765" s="2"/>
      <c r="S4765" s="2"/>
      <c r="T4765" s="19"/>
      <c r="U4765" s="2"/>
      <c r="V4765" s="2"/>
      <c r="W4765" s="2"/>
      <c r="X4765" s="19"/>
      <c r="Y4765" s="2"/>
      <c r="Z4765" s="5"/>
    </row>
    <row r="4766" spans="7:26" ht="75.75" customHeight="1" x14ac:dyDescent="0.25">
      <c r="G4766" s="5"/>
      <c r="H4766" s="2"/>
      <c r="I4766" s="2"/>
      <c r="K4766" s="2"/>
      <c r="L4766" s="2"/>
      <c r="M4766" s="2"/>
      <c r="N4766" s="2"/>
      <c r="O4766" s="2"/>
      <c r="P4766" s="2"/>
      <c r="Q4766" s="2"/>
      <c r="R4766" s="2"/>
      <c r="S4766" s="2"/>
      <c r="T4766" s="19"/>
      <c r="U4766" s="2"/>
      <c r="V4766" s="2"/>
      <c r="W4766" s="2"/>
      <c r="X4766" s="19"/>
      <c r="Y4766" s="2"/>
      <c r="Z4766" s="5"/>
    </row>
    <row r="4767" spans="7:26" ht="75.75" customHeight="1" x14ac:dyDescent="0.25">
      <c r="G4767" s="5"/>
      <c r="H4767" s="2"/>
      <c r="I4767" s="2"/>
      <c r="K4767" s="2"/>
      <c r="L4767" s="2"/>
      <c r="M4767" s="2"/>
      <c r="N4767" s="2"/>
      <c r="O4767" s="2"/>
      <c r="P4767" s="2"/>
      <c r="Q4767" s="2"/>
      <c r="R4767" s="2"/>
      <c r="S4767" s="2"/>
      <c r="T4767" s="19"/>
      <c r="U4767" s="2"/>
      <c r="V4767" s="2"/>
      <c r="W4767" s="2"/>
      <c r="X4767" s="19"/>
      <c r="Y4767" s="2"/>
      <c r="Z4767" s="5"/>
    </row>
    <row r="4768" spans="7:26" ht="75.75" customHeight="1" x14ac:dyDescent="0.25">
      <c r="G4768" s="5"/>
      <c r="H4768" s="2"/>
      <c r="I4768" s="2"/>
      <c r="K4768" s="2"/>
      <c r="L4768" s="2"/>
      <c r="M4768" s="2"/>
      <c r="N4768" s="2"/>
      <c r="O4768" s="2"/>
      <c r="P4768" s="2"/>
      <c r="Q4768" s="2"/>
      <c r="R4768" s="2"/>
      <c r="S4768" s="2"/>
      <c r="T4768" s="19"/>
      <c r="U4768" s="2"/>
      <c r="V4768" s="2"/>
      <c r="W4768" s="2"/>
      <c r="X4768" s="19"/>
      <c r="Y4768" s="2"/>
      <c r="Z4768" s="5"/>
    </row>
    <row r="4769" spans="7:26" ht="75.75" customHeight="1" x14ac:dyDescent="0.25">
      <c r="G4769" s="5"/>
      <c r="H4769" s="2"/>
      <c r="I4769" s="2"/>
      <c r="K4769" s="2"/>
      <c r="L4769" s="2"/>
      <c r="M4769" s="2"/>
      <c r="N4769" s="2"/>
      <c r="O4769" s="2"/>
      <c r="P4769" s="2"/>
      <c r="Q4769" s="2"/>
      <c r="R4769" s="2"/>
      <c r="S4769" s="2"/>
      <c r="T4769" s="19"/>
      <c r="U4769" s="2"/>
      <c r="V4769" s="2"/>
      <c r="W4769" s="2"/>
      <c r="X4769" s="19"/>
      <c r="Y4769" s="2"/>
      <c r="Z4769" s="5"/>
    </row>
    <row r="4770" spans="7:26" ht="75.75" customHeight="1" x14ac:dyDescent="0.25">
      <c r="G4770" s="5"/>
      <c r="H4770" s="2"/>
      <c r="I4770" s="2"/>
      <c r="K4770" s="2"/>
      <c r="L4770" s="2"/>
      <c r="M4770" s="2"/>
      <c r="N4770" s="2"/>
      <c r="O4770" s="2"/>
      <c r="P4770" s="2"/>
      <c r="Q4770" s="2"/>
      <c r="R4770" s="2"/>
      <c r="S4770" s="2"/>
      <c r="T4770" s="19"/>
      <c r="U4770" s="2"/>
      <c r="V4770" s="2"/>
      <c r="W4770" s="2"/>
      <c r="X4770" s="19"/>
      <c r="Y4770" s="2"/>
      <c r="Z4770" s="5"/>
    </row>
    <row r="4771" spans="7:26" ht="75.75" customHeight="1" x14ac:dyDescent="0.25">
      <c r="G4771" s="5"/>
      <c r="H4771" s="2"/>
      <c r="I4771" s="2"/>
      <c r="K4771" s="2"/>
      <c r="L4771" s="2"/>
      <c r="M4771" s="2"/>
      <c r="N4771" s="2"/>
      <c r="O4771" s="2"/>
      <c r="P4771" s="2"/>
      <c r="Q4771" s="2"/>
      <c r="R4771" s="2"/>
      <c r="S4771" s="2"/>
      <c r="T4771" s="19"/>
      <c r="U4771" s="2"/>
      <c r="V4771" s="2"/>
      <c r="W4771" s="2"/>
      <c r="X4771" s="19"/>
      <c r="Y4771" s="2"/>
      <c r="Z4771" s="5"/>
    </row>
    <row r="4772" spans="7:26" ht="75.75" customHeight="1" x14ac:dyDescent="0.25">
      <c r="G4772" s="5"/>
      <c r="H4772" s="2"/>
      <c r="I4772" s="2"/>
      <c r="K4772" s="2"/>
      <c r="L4772" s="2"/>
      <c r="M4772" s="2"/>
      <c r="N4772" s="2"/>
      <c r="O4772" s="2"/>
      <c r="P4772" s="2"/>
      <c r="Q4772" s="2"/>
      <c r="R4772" s="2"/>
      <c r="S4772" s="2"/>
      <c r="T4772" s="19"/>
      <c r="U4772" s="2"/>
      <c r="V4772" s="2"/>
      <c r="W4772" s="2"/>
      <c r="X4772" s="19"/>
      <c r="Y4772" s="2"/>
      <c r="Z4772" s="5"/>
    </row>
    <row r="4773" spans="7:26" ht="75.75" customHeight="1" x14ac:dyDescent="0.25">
      <c r="G4773" s="5"/>
      <c r="H4773" s="2"/>
      <c r="I4773" s="2"/>
      <c r="K4773" s="2"/>
      <c r="L4773" s="2"/>
      <c r="M4773" s="2"/>
      <c r="N4773" s="2"/>
      <c r="O4773" s="2"/>
      <c r="P4773" s="2"/>
      <c r="Q4773" s="2"/>
      <c r="R4773" s="2"/>
      <c r="S4773" s="2"/>
      <c r="T4773" s="19"/>
      <c r="U4773" s="2"/>
      <c r="V4773" s="2"/>
      <c r="W4773" s="2"/>
      <c r="X4773" s="19"/>
      <c r="Y4773" s="2"/>
      <c r="Z4773" s="5"/>
    </row>
    <row r="4774" spans="7:26" ht="75.75" customHeight="1" x14ac:dyDescent="0.25">
      <c r="G4774" s="5"/>
      <c r="H4774" s="2"/>
      <c r="I4774" s="2"/>
      <c r="K4774" s="2"/>
      <c r="L4774" s="2"/>
      <c r="M4774" s="2"/>
      <c r="N4774" s="2"/>
      <c r="O4774" s="2"/>
      <c r="P4774" s="2"/>
      <c r="Q4774" s="2"/>
      <c r="R4774" s="2"/>
      <c r="S4774" s="2"/>
      <c r="T4774" s="19"/>
      <c r="U4774" s="2"/>
      <c r="V4774" s="2"/>
      <c r="W4774" s="2"/>
      <c r="X4774" s="19"/>
      <c r="Y4774" s="2"/>
      <c r="Z4774" s="5"/>
    </row>
    <row r="4775" spans="7:26" ht="75.75" customHeight="1" x14ac:dyDescent="0.25">
      <c r="G4775" s="5"/>
      <c r="H4775" s="2"/>
      <c r="I4775" s="2"/>
      <c r="K4775" s="2"/>
      <c r="L4775" s="2"/>
      <c r="M4775" s="2"/>
      <c r="N4775" s="2"/>
      <c r="O4775" s="2"/>
      <c r="P4775" s="2"/>
      <c r="Q4775" s="2"/>
      <c r="R4775" s="2"/>
      <c r="S4775" s="2"/>
      <c r="T4775" s="19"/>
      <c r="U4775" s="2"/>
      <c r="V4775" s="2"/>
      <c r="W4775" s="2"/>
      <c r="X4775" s="19"/>
      <c r="Y4775" s="2"/>
      <c r="Z4775" s="5"/>
    </row>
    <row r="4776" spans="7:26" ht="75.75" customHeight="1" x14ac:dyDescent="0.25">
      <c r="G4776" s="5"/>
      <c r="H4776" s="2"/>
      <c r="I4776" s="2"/>
      <c r="K4776" s="2"/>
      <c r="L4776" s="2"/>
      <c r="M4776" s="2"/>
      <c r="N4776" s="2"/>
      <c r="O4776" s="2"/>
      <c r="P4776" s="2"/>
      <c r="Q4776" s="2"/>
      <c r="R4776" s="2"/>
      <c r="S4776" s="2"/>
      <c r="T4776" s="19"/>
      <c r="U4776" s="2"/>
      <c r="V4776" s="2"/>
      <c r="W4776" s="2"/>
      <c r="X4776" s="19"/>
      <c r="Y4776" s="2"/>
      <c r="Z4776" s="5"/>
    </row>
    <row r="4777" spans="7:26" ht="75.75" customHeight="1" x14ac:dyDescent="0.25">
      <c r="G4777" s="5"/>
      <c r="H4777" s="2"/>
      <c r="I4777" s="2"/>
      <c r="K4777" s="2"/>
      <c r="L4777" s="2"/>
      <c r="M4777" s="2"/>
      <c r="N4777" s="2"/>
      <c r="O4777" s="2"/>
      <c r="P4777" s="2"/>
      <c r="Q4777" s="2"/>
      <c r="R4777" s="2"/>
      <c r="S4777" s="2"/>
      <c r="T4777" s="19"/>
      <c r="U4777" s="2"/>
      <c r="V4777" s="2"/>
      <c r="W4777" s="2"/>
      <c r="X4777" s="19"/>
      <c r="Y4777" s="2"/>
      <c r="Z4777" s="5"/>
    </row>
    <row r="4778" spans="7:26" ht="75.75" customHeight="1" x14ac:dyDescent="0.25">
      <c r="G4778" s="5"/>
      <c r="H4778" s="2"/>
      <c r="I4778" s="2"/>
      <c r="K4778" s="2"/>
      <c r="L4778" s="2"/>
      <c r="M4778" s="2"/>
      <c r="N4778" s="2"/>
      <c r="O4778" s="2"/>
      <c r="P4778" s="2"/>
      <c r="Q4778" s="2"/>
      <c r="R4778" s="2"/>
      <c r="S4778" s="2"/>
      <c r="T4778" s="19"/>
      <c r="U4778" s="2"/>
      <c r="V4778" s="2"/>
      <c r="W4778" s="2"/>
      <c r="X4778" s="19"/>
      <c r="Y4778" s="2"/>
      <c r="Z4778" s="5"/>
    </row>
    <row r="4779" spans="7:26" ht="75.75" customHeight="1" x14ac:dyDescent="0.25">
      <c r="G4779" s="5"/>
      <c r="H4779" s="2"/>
      <c r="I4779" s="2"/>
      <c r="K4779" s="2"/>
      <c r="L4779" s="2"/>
      <c r="M4779" s="2"/>
      <c r="N4779" s="2"/>
      <c r="O4779" s="2"/>
      <c r="P4779" s="2"/>
      <c r="Q4779" s="2"/>
      <c r="R4779" s="2"/>
      <c r="S4779" s="2"/>
      <c r="T4779" s="19"/>
      <c r="U4779" s="2"/>
      <c r="V4779" s="2"/>
      <c r="W4779" s="2"/>
      <c r="X4779" s="19"/>
      <c r="Y4779" s="2"/>
      <c r="Z4779" s="5"/>
    </row>
    <row r="4780" spans="7:26" ht="75.75" customHeight="1" x14ac:dyDescent="0.25">
      <c r="G4780" s="5"/>
      <c r="H4780" s="2"/>
      <c r="I4780" s="2"/>
      <c r="K4780" s="2"/>
      <c r="L4780" s="2"/>
      <c r="M4780" s="2"/>
      <c r="N4780" s="2"/>
      <c r="O4780" s="2"/>
      <c r="P4780" s="2"/>
      <c r="Q4780" s="2"/>
      <c r="R4780" s="2"/>
      <c r="S4780" s="2"/>
      <c r="T4780" s="19"/>
      <c r="U4780" s="2"/>
      <c r="V4780" s="2"/>
      <c r="W4780" s="2"/>
      <c r="X4780" s="19"/>
      <c r="Y4780" s="2"/>
      <c r="Z4780" s="5"/>
    </row>
    <row r="4781" spans="7:26" ht="75.75" customHeight="1" x14ac:dyDescent="0.25">
      <c r="G4781" s="5"/>
      <c r="H4781" s="2"/>
      <c r="I4781" s="2"/>
      <c r="K4781" s="2"/>
      <c r="L4781" s="2"/>
      <c r="M4781" s="2"/>
      <c r="N4781" s="2"/>
      <c r="O4781" s="2"/>
      <c r="P4781" s="2"/>
      <c r="Q4781" s="2"/>
      <c r="R4781" s="2"/>
      <c r="S4781" s="2"/>
      <c r="T4781" s="19"/>
      <c r="U4781" s="2"/>
      <c r="V4781" s="2"/>
      <c r="W4781" s="2"/>
      <c r="X4781" s="19"/>
      <c r="Y4781" s="2"/>
      <c r="Z4781" s="5"/>
    </row>
    <row r="4782" spans="7:26" ht="75.75" customHeight="1" x14ac:dyDescent="0.25">
      <c r="G4782" s="5"/>
      <c r="H4782" s="2"/>
      <c r="I4782" s="2"/>
      <c r="K4782" s="2"/>
      <c r="L4782" s="2"/>
      <c r="M4782" s="2"/>
      <c r="N4782" s="2"/>
      <c r="O4782" s="2"/>
      <c r="P4782" s="2"/>
      <c r="Q4782" s="2"/>
      <c r="R4782" s="2"/>
      <c r="S4782" s="2"/>
      <c r="T4782" s="19"/>
      <c r="U4782" s="2"/>
      <c r="V4782" s="2"/>
      <c r="W4782" s="2"/>
      <c r="X4782" s="19"/>
      <c r="Y4782" s="2"/>
      <c r="Z4782" s="5"/>
    </row>
    <row r="4783" spans="7:26" ht="75.75" customHeight="1" x14ac:dyDescent="0.25">
      <c r="G4783" s="5"/>
      <c r="H4783" s="2"/>
      <c r="I4783" s="2"/>
      <c r="K4783" s="2"/>
      <c r="L4783" s="2"/>
      <c r="M4783" s="2"/>
      <c r="N4783" s="2"/>
      <c r="O4783" s="2"/>
      <c r="P4783" s="2"/>
      <c r="Q4783" s="2"/>
      <c r="R4783" s="2"/>
      <c r="S4783" s="2"/>
      <c r="T4783" s="19"/>
      <c r="U4783" s="2"/>
      <c r="V4783" s="2"/>
      <c r="W4783" s="2"/>
      <c r="X4783" s="19"/>
      <c r="Y4783" s="2"/>
      <c r="Z4783" s="5"/>
    </row>
    <row r="4784" spans="7:26" ht="75.75" customHeight="1" x14ac:dyDescent="0.25">
      <c r="G4784" s="5"/>
      <c r="H4784" s="2"/>
      <c r="I4784" s="2"/>
      <c r="K4784" s="2"/>
      <c r="L4784" s="2"/>
      <c r="M4784" s="2"/>
      <c r="N4784" s="2"/>
      <c r="O4784" s="2"/>
      <c r="P4784" s="2"/>
      <c r="Q4784" s="2"/>
      <c r="R4784" s="2"/>
      <c r="S4784" s="2"/>
      <c r="T4784" s="19"/>
      <c r="U4784" s="2"/>
      <c r="V4784" s="2"/>
      <c r="W4784" s="2"/>
      <c r="X4784" s="19"/>
      <c r="Y4784" s="2"/>
      <c r="Z4784" s="5"/>
    </row>
    <row r="4785" spans="7:26" ht="75.75" customHeight="1" x14ac:dyDescent="0.25">
      <c r="G4785" s="5"/>
      <c r="H4785" s="2"/>
      <c r="I4785" s="2"/>
      <c r="K4785" s="2"/>
      <c r="L4785" s="2"/>
      <c r="M4785" s="2"/>
      <c r="N4785" s="2"/>
      <c r="O4785" s="2"/>
      <c r="P4785" s="2"/>
      <c r="Q4785" s="2"/>
      <c r="R4785" s="2"/>
      <c r="S4785" s="2"/>
      <c r="T4785" s="19"/>
      <c r="U4785" s="2"/>
      <c r="V4785" s="2"/>
      <c r="W4785" s="2"/>
      <c r="X4785" s="19"/>
      <c r="Y4785" s="2"/>
      <c r="Z4785" s="5"/>
    </row>
    <row r="4786" spans="7:26" ht="75.75" customHeight="1" x14ac:dyDescent="0.25">
      <c r="G4786" s="5"/>
      <c r="H4786" s="2"/>
      <c r="I4786" s="2"/>
      <c r="K4786" s="2"/>
      <c r="L4786" s="2"/>
      <c r="M4786" s="2"/>
      <c r="N4786" s="2"/>
      <c r="O4786" s="2"/>
      <c r="P4786" s="2"/>
      <c r="Q4786" s="2"/>
      <c r="R4786" s="2"/>
      <c r="S4786" s="2"/>
      <c r="T4786" s="19"/>
      <c r="U4786" s="2"/>
      <c r="V4786" s="2"/>
      <c r="W4786" s="2"/>
      <c r="X4786" s="19"/>
      <c r="Y4786" s="2"/>
      <c r="Z4786" s="5"/>
    </row>
    <row r="4787" spans="7:26" ht="75.75" customHeight="1" x14ac:dyDescent="0.25">
      <c r="G4787" s="5"/>
      <c r="H4787" s="2"/>
      <c r="I4787" s="2"/>
      <c r="K4787" s="2"/>
      <c r="L4787" s="2"/>
      <c r="M4787" s="2"/>
      <c r="N4787" s="2"/>
      <c r="O4787" s="2"/>
      <c r="P4787" s="2"/>
      <c r="Q4787" s="2"/>
      <c r="R4787" s="2"/>
      <c r="S4787" s="2"/>
      <c r="T4787" s="19"/>
      <c r="U4787" s="2"/>
      <c r="V4787" s="2"/>
      <c r="W4787" s="2"/>
      <c r="X4787" s="19"/>
      <c r="Y4787" s="2"/>
      <c r="Z4787" s="5"/>
    </row>
    <row r="4788" spans="7:26" ht="75.75" customHeight="1" x14ac:dyDescent="0.25">
      <c r="G4788" s="5"/>
      <c r="H4788" s="2"/>
      <c r="I4788" s="2"/>
      <c r="K4788" s="2"/>
      <c r="L4788" s="2"/>
      <c r="M4788" s="2"/>
      <c r="N4788" s="2"/>
      <c r="O4788" s="2"/>
      <c r="P4788" s="2"/>
      <c r="Q4788" s="2"/>
      <c r="R4788" s="2"/>
      <c r="S4788" s="2"/>
      <c r="T4788" s="19"/>
      <c r="U4788" s="2"/>
      <c r="V4788" s="2"/>
      <c r="W4788" s="2"/>
      <c r="X4788" s="19"/>
      <c r="Y4788" s="2"/>
      <c r="Z4788" s="5"/>
    </row>
    <row r="4789" spans="7:26" ht="75.75" customHeight="1" x14ac:dyDescent="0.25">
      <c r="G4789" s="5"/>
      <c r="H4789" s="2"/>
      <c r="I4789" s="2"/>
      <c r="K4789" s="2"/>
      <c r="L4789" s="2"/>
      <c r="M4789" s="2"/>
      <c r="N4789" s="2"/>
      <c r="O4789" s="2"/>
      <c r="P4789" s="2"/>
      <c r="Q4789" s="2"/>
      <c r="R4789" s="2"/>
      <c r="S4789" s="2"/>
      <c r="T4789" s="19"/>
      <c r="U4789" s="2"/>
      <c r="V4789" s="2"/>
      <c r="W4789" s="2"/>
      <c r="X4789" s="19"/>
      <c r="Y4789" s="2"/>
      <c r="Z4789" s="5"/>
    </row>
    <row r="4790" spans="7:26" ht="75.75" customHeight="1" x14ac:dyDescent="0.25">
      <c r="G4790" s="5"/>
      <c r="H4790" s="2"/>
      <c r="I4790" s="2"/>
      <c r="K4790" s="2"/>
      <c r="L4790" s="2"/>
      <c r="M4790" s="2"/>
      <c r="N4790" s="2"/>
      <c r="O4790" s="2"/>
      <c r="P4790" s="2"/>
      <c r="Q4790" s="2"/>
      <c r="R4790" s="2"/>
      <c r="S4790" s="2"/>
      <c r="T4790" s="19"/>
      <c r="U4790" s="2"/>
      <c r="V4790" s="2"/>
      <c r="W4790" s="2"/>
      <c r="X4790" s="19"/>
      <c r="Y4790" s="2"/>
      <c r="Z4790" s="5"/>
    </row>
    <row r="4791" spans="7:26" ht="75.75" customHeight="1" x14ac:dyDescent="0.25">
      <c r="G4791" s="5"/>
      <c r="H4791" s="2"/>
      <c r="I4791" s="2"/>
      <c r="K4791" s="2"/>
      <c r="L4791" s="2"/>
      <c r="M4791" s="2"/>
      <c r="N4791" s="2"/>
      <c r="O4791" s="2"/>
      <c r="P4791" s="2"/>
      <c r="Q4791" s="2"/>
      <c r="R4791" s="2"/>
      <c r="S4791" s="2"/>
      <c r="T4791" s="19"/>
      <c r="U4791" s="2"/>
      <c r="V4791" s="2"/>
      <c r="W4791" s="2"/>
      <c r="X4791" s="19"/>
      <c r="Y4791" s="2"/>
      <c r="Z4791" s="5"/>
    </row>
    <row r="4792" spans="7:26" ht="75.75" customHeight="1" x14ac:dyDescent="0.25">
      <c r="G4792" s="5"/>
      <c r="H4792" s="2"/>
      <c r="I4792" s="2"/>
      <c r="K4792" s="2"/>
      <c r="L4792" s="2"/>
      <c r="M4792" s="2"/>
      <c r="N4792" s="2"/>
      <c r="O4792" s="2"/>
      <c r="P4792" s="2"/>
      <c r="Q4792" s="2"/>
      <c r="R4792" s="2"/>
      <c r="S4792" s="2"/>
      <c r="T4792" s="19"/>
      <c r="U4792" s="2"/>
      <c r="V4792" s="2"/>
      <c r="W4792" s="2"/>
      <c r="X4792" s="19"/>
      <c r="Y4792" s="2"/>
      <c r="Z4792" s="5"/>
    </row>
    <row r="4793" spans="7:26" ht="75.75" customHeight="1" x14ac:dyDescent="0.25">
      <c r="G4793" s="5"/>
      <c r="H4793" s="2"/>
      <c r="I4793" s="2"/>
      <c r="K4793" s="2"/>
      <c r="L4793" s="2"/>
      <c r="M4793" s="2"/>
      <c r="N4793" s="2"/>
      <c r="O4793" s="2"/>
      <c r="P4793" s="2"/>
      <c r="Q4793" s="2"/>
      <c r="R4793" s="2"/>
      <c r="S4793" s="2"/>
      <c r="T4793" s="19"/>
      <c r="U4793" s="2"/>
      <c r="V4793" s="2"/>
      <c r="W4793" s="2"/>
      <c r="X4793" s="19"/>
      <c r="Y4793" s="2"/>
      <c r="Z4793" s="5"/>
    </row>
    <row r="4794" spans="7:26" ht="75.75" customHeight="1" x14ac:dyDescent="0.25">
      <c r="G4794" s="5"/>
      <c r="H4794" s="2"/>
      <c r="I4794" s="2"/>
      <c r="K4794" s="2"/>
      <c r="L4794" s="2"/>
      <c r="M4794" s="2"/>
      <c r="N4794" s="2"/>
      <c r="O4794" s="2"/>
      <c r="P4794" s="2"/>
      <c r="Q4794" s="2"/>
      <c r="R4794" s="2"/>
      <c r="S4794" s="2"/>
      <c r="T4794" s="19"/>
      <c r="U4794" s="2"/>
      <c r="V4794" s="2"/>
      <c r="W4794" s="2"/>
      <c r="X4794" s="19"/>
      <c r="Y4794" s="2"/>
      <c r="Z4794" s="5"/>
    </row>
    <row r="4795" spans="7:26" ht="75.75" customHeight="1" x14ac:dyDescent="0.25">
      <c r="G4795" s="5"/>
      <c r="H4795" s="2"/>
      <c r="I4795" s="2"/>
      <c r="K4795" s="2"/>
      <c r="L4795" s="2"/>
      <c r="M4795" s="2"/>
      <c r="N4795" s="2"/>
      <c r="O4795" s="2"/>
      <c r="P4795" s="2"/>
      <c r="Q4795" s="2"/>
      <c r="R4795" s="2"/>
      <c r="S4795" s="2"/>
      <c r="T4795" s="19"/>
      <c r="U4795" s="2"/>
      <c r="V4795" s="2"/>
      <c r="W4795" s="2"/>
      <c r="X4795" s="19"/>
      <c r="Y4795" s="2"/>
      <c r="Z4795" s="5"/>
    </row>
    <row r="4796" spans="7:26" ht="75.75" customHeight="1" x14ac:dyDescent="0.25">
      <c r="G4796" s="5"/>
      <c r="H4796" s="2"/>
      <c r="I4796" s="2"/>
      <c r="K4796" s="2"/>
      <c r="L4796" s="2"/>
      <c r="M4796" s="2"/>
      <c r="N4796" s="2"/>
      <c r="O4796" s="2"/>
      <c r="P4796" s="2"/>
      <c r="Q4796" s="2"/>
      <c r="R4796" s="2"/>
      <c r="S4796" s="2"/>
      <c r="T4796" s="19"/>
      <c r="U4796" s="2"/>
      <c r="V4796" s="2"/>
      <c r="W4796" s="2"/>
      <c r="X4796" s="19"/>
      <c r="Y4796" s="2"/>
      <c r="Z4796" s="5"/>
    </row>
    <row r="4797" spans="7:26" ht="75.75" customHeight="1" x14ac:dyDescent="0.25">
      <c r="G4797" s="5"/>
      <c r="H4797" s="2"/>
      <c r="I4797" s="2"/>
      <c r="K4797" s="2"/>
      <c r="L4797" s="2"/>
      <c r="M4797" s="2"/>
      <c r="N4797" s="2"/>
      <c r="O4797" s="2"/>
      <c r="P4797" s="2"/>
      <c r="Q4797" s="2"/>
      <c r="R4797" s="2"/>
      <c r="S4797" s="2"/>
      <c r="T4797" s="19"/>
      <c r="U4797" s="2"/>
      <c r="V4797" s="2"/>
      <c r="W4797" s="2"/>
      <c r="X4797" s="19"/>
      <c r="Y4797" s="2"/>
      <c r="Z4797" s="5"/>
    </row>
    <row r="4798" spans="7:26" ht="75.75" customHeight="1" x14ac:dyDescent="0.25">
      <c r="G4798" s="5"/>
      <c r="H4798" s="2"/>
      <c r="I4798" s="2"/>
      <c r="K4798" s="2"/>
      <c r="L4798" s="2"/>
      <c r="M4798" s="2"/>
      <c r="N4798" s="2"/>
      <c r="O4798" s="2"/>
      <c r="P4798" s="2"/>
      <c r="Q4798" s="2"/>
      <c r="R4798" s="2"/>
      <c r="S4798" s="2"/>
      <c r="T4798" s="19"/>
      <c r="U4798" s="2"/>
      <c r="V4798" s="2"/>
      <c r="W4798" s="2"/>
      <c r="X4798" s="19"/>
      <c r="Y4798" s="2"/>
      <c r="Z4798" s="5"/>
    </row>
    <row r="4799" spans="7:26" ht="75.75" customHeight="1" x14ac:dyDescent="0.25">
      <c r="G4799" s="5"/>
      <c r="H4799" s="2"/>
      <c r="I4799" s="2"/>
      <c r="K4799" s="2"/>
      <c r="L4799" s="2"/>
      <c r="M4799" s="2"/>
      <c r="N4799" s="2"/>
      <c r="O4799" s="2"/>
      <c r="P4799" s="2"/>
      <c r="Q4799" s="2"/>
      <c r="R4799" s="2"/>
      <c r="S4799" s="2"/>
      <c r="T4799" s="19"/>
      <c r="U4799" s="2"/>
      <c r="V4799" s="2"/>
      <c r="W4799" s="2"/>
      <c r="X4799" s="19"/>
      <c r="Y4799" s="2"/>
      <c r="Z4799" s="5"/>
    </row>
    <row r="4800" spans="7:26" ht="75.75" customHeight="1" x14ac:dyDescent="0.25">
      <c r="G4800" s="5"/>
      <c r="H4800" s="2"/>
      <c r="I4800" s="2"/>
      <c r="K4800" s="2"/>
      <c r="L4800" s="2"/>
      <c r="M4800" s="2"/>
      <c r="N4800" s="2"/>
      <c r="O4800" s="2"/>
      <c r="P4800" s="2"/>
      <c r="Q4800" s="2"/>
      <c r="R4800" s="2"/>
      <c r="S4800" s="2"/>
      <c r="T4800" s="19"/>
      <c r="U4800" s="2"/>
      <c r="V4800" s="2"/>
      <c r="W4800" s="2"/>
      <c r="X4800" s="19"/>
      <c r="Y4800" s="2"/>
      <c r="Z4800" s="5"/>
    </row>
    <row r="4801" spans="7:26" ht="75.75" customHeight="1" x14ac:dyDescent="0.25">
      <c r="G4801" s="5"/>
      <c r="H4801" s="2"/>
      <c r="I4801" s="2"/>
      <c r="K4801" s="2"/>
      <c r="L4801" s="2"/>
      <c r="M4801" s="2"/>
      <c r="N4801" s="2"/>
      <c r="O4801" s="2"/>
      <c r="P4801" s="2"/>
      <c r="Q4801" s="2"/>
      <c r="R4801" s="2"/>
      <c r="S4801" s="2"/>
      <c r="T4801" s="19"/>
      <c r="U4801" s="2"/>
      <c r="V4801" s="2"/>
      <c r="W4801" s="2"/>
      <c r="X4801" s="19"/>
      <c r="Y4801" s="2"/>
      <c r="Z4801" s="5"/>
    </row>
    <row r="4802" spans="7:26" ht="75.75" customHeight="1" x14ac:dyDescent="0.25">
      <c r="G4802" s="5"/>
      <c r="H4802" s="2"/>
      <c r="I4802" s="2"/>
      <c r="K4802" s="2"/>
      <c r="L4802" s="2"/>
      <c r="M4802" s="2"/>
      <c r="N4802" s="2"/>
      <c r="O4802" s="2"/>
      <c r="P4802" s="2"/>
      <c r="Q4802" s="2"/>
      <c r="R4802" s="2"/>
      <c r="S4802" s="2"/>
      <c r="T4802" s="19"/>
      <c r="U4802" s="2"/>
      <c r="V4802" s="2"/>
      <c r="W4802" s="2"/>
      <c r="X4802" s="19"/>
      <c r="Y4802" s="2"/>
      <c r="Z4802" s="5"/>
    </row>
    <row r="4803" spans="7:26" ht="75.75" customHeight="1" x14ac:dyDescent="0.25">
      <c r="G4803" s="5"/>
      <c r="H4803" s="2"/>
      <c r="I4803" s="2"/>
      <c r="K4803" s="2"/>
      <c r="L4803" s="2"/>
      <c r="M4803" s="2"/>
      <c r="N4803" s="2"/>
      <c r="O4803" s="2"/>
      <c r="P4803" s="2"/>
      <c r="Q4803" s="2"/>
      <c r="R4803" s="2"/>
      <c r="S4803" s="2"/>
      <c r="T4803" s="19"/>
      <c r="U4803" s="2"/>
      <c r="V4803" s="2"/>
      <c r="W4803" s="2"/>
      <c r="X4803" s="19"/>
      <c r="Y4803" s="2"/>
      <c r="Z4803" s="5"/>
    </row>
    <row r="4804" spans="7:26" ht="75.75" customHeight="1" x14ac:dyDescent="0.25">
      <c r="G4804" s="5"/>
      <c r="H4804" s="2"/>
      <c r="I4804" s="2"/>
      <c r="K4804" s="2"/>
      <c r="L4804" s="2"/>
      <c r="M4804" s="2"/>
      <c r="N4804" s="2"/>
      <c r="O4804" s="2"/>
      <c r="P4804" s="2"/>
      <c r="Q4804" s="2"/>
      <c r="R4804" s="2"/>
      <c r="S4804" s="2"/>
      <c r="T4804" s="19"/>
      <c r="U4804" s="2"/>
      <c r="V4804" s="2"/>
      <c r="W4804" s="2"/>
      <c r="X4804" s="19"/>
      <c r="Y4804" s="2"/>
      <c r="Z4804" s="5"/>
    </row>
    <row r="4805" spans="7:26" ht="75.75" customHeight="1" x14ac:dyDescent="0.25">
      <c r="G4805" s="5"/>
      <c r="H4805" s="2"/>
      <c r="I4805" s="2"/>
      <c r="K4805" s="2"/>
      <c r="L4805" s="2"/>
      <c r="M4805" s="2"/>
      <c r="N4805" s="2"/>
      <c r="O4805" s="2"/>
      <c r="P4805" s="2"/>
      <c r="Q4805" s="2"/>
      <c r="R4805" s="2"/>
      <c r="S4805" s="2"/>
      <c r="T4805" s="19"/>
      <c r="U4805" s="2"/>
      <c r="V4805" s="2"/>
      <c r="W4805" s="2"/>
      <c r="X4805" s="19"/>
      <c r="Y4805" s="2"/>
      <c r="Z4805" s="5"/>
    </row>
    <row r="4806" spans="7:26" ht="75.75" customHeight="1" x14ac:dyDescent="0.25">
      <c r="G4806" s="5"/>
      <c r="H4806" s="2"/>
      <c r="I4806" s="2"/>
      <c r="K4806" s="2"/>
      <c r="L4806" s="2"/>
      <c r="M4806" s="2"/>
      <c r="N4806" s="2"/>
      <c r="O4806" s="2"/>
      <c r="P4806" s="2"/>
      <c r="Q4806" s="2"/>
      <c r="R4806" s="2"/>
      <c r="S4806" s="2"/>
      <c r="T4806" s="19"/>
      <c r="U4806" s="2"/>
      <c r="V4806" s="2"/>
      <c r="W4806" s="2"/>
      <c r="X4806" s="19"/>
      <c r="Y4806" s="2"/>
      <c r="Z4806" s="5"/>
    </row>
    <row r="4807" spans="7:26" ht="75.75" customHeight="1" x14ac:dyDescent="0.25">
      <c r="G4807" s="5"/>
      <c r="H4807" s="2"/>
      <c r="I4807" s="2"/>
      <c r="K4807" s="2"/>
      <c r="L4807" s="2"/>
      <c r="M4807" s="2"/>
      <c r="N4807" s="2"/>
      <c r="O4807" s="2"/>
      <c r="P4807" s="2"/>
      <c r="Q4807" s="2"/>
      <c r="R4807" s="2"/>
      <c r="S4807" s="2"/>
      <c r="T4807" s="19"/>
      <c r="U4807" s="2"/>
      <c r="V4807" s="2"/>
      <c r="W4807" s="2"/>
      <c r="X4807" s="19"/>
      <c r="Y4807" s="2"/>
      <c r="Z4807" s="5"/>
    </row>
    <row r="4808" spans="7:26" ht="75.75" customHeight="1" x14ac:dyDescent="0.25">
      <c r="G4808" s="5"/>
      <c r="H4808" s="2"/>
      <c r="I4808" s="2"/>
      <c r="K4808" s="2"/>
      <c r="L4808" s="2"/>
      <c r="M4808" s="2"/>
      <c r="N4808" s="2"/>
      <c r="O4808" s="2"/>
      <c r="P4808" s="2"/>
      <c r="Q4808" s="2"/>
      <c r="R4808" s="2"/>
      <c r="S4808" s="2"/>
      <c r="T4808" s="19"/>
      <c r="U4808" s="2"/>
      <c r="V4808" s="2"/>
      <c r="W4808" s="2"/>
      <c r="X4808" s="19"/>
      <c r="Y4808" s="2"/>
      <c r="Z4808" s="5"/>
    </row>
    <row r="4809" spans="7:26" ht="75.75" customHeight="1" x14ac:dyDescent="0.25">
      <c r="G4809" s="5"/>
      <c r="H4809" s="2"/>
      <c r="I4809" s="2"/>
      <c r="K4809" s="2"/>
      <c r="L4809" s="2"/>
      <c r="M4809" s="2"/>
      <c r="N4809" s="2"/>
      <c r="O4809" s="2"/>
      <c r="P4809" s="2"/>
      <c r="Q4809" s="2"/>
      <c r="R4809" s="2"/>
      <c r="S4809" s="2"/>
      <c r="T4809" s="19"/>
      <c r="U4809" s="2"/>
      <c r="V4809" s="2"/>
      <c r="W4809" s="2"/>
      <c r="X4809" s="19"/>
      <c r="Y4809" s="2"/>
      <c r="Z4809" s="5"/>
    </row>
    <row r="4810" spans="7:26" ht="75.75" customHeight="1" x14ac:dyDescent="0.25">
      <c r="G4810" s="5"/>
      <c r="H4810" s="2"/>
      <c r="I4810" s="2"/>
      <c r="K4810" s="2"/>
      <c r="L4810" s="2"/>
      <c r="M4810" s="2"/>
      <c r="N4810" s="2"/>
      <c r="O4810" s="2"/>
      <c r="P4810" s="2"/>
      <c r="Q4810" s="2"/>
      <c r="R4810" s="2"/>
      <c r="S4810" s="2"/>
      <c r="T4810" s="19"/>
      <c r="U4810" s="2"/>
      <c r="V4810" s="2"/>
      <c r="W4810" s="2"/>
      <c r="X4810" s="19"/>
      <c r="Y4810" s="2"/>
      <c r="Z4810" s="5"/>
    </row>
    <row r="4811" spans="7:26" ht="75.75" customHeight="1" x14ac:dyDescent="0.25">
      <c r="G4811" s="5"/>
      <c r="H4811" s="2"/>
      <c r="I4811" s="2"/>
      <c r="K4811" s="2"/>
      <c r="L4811" s="2"/>
      <c r="M4811" s="2"/>
      <c r="N4811" s="2"/>
      <c r="O4811" s="2"/>
      <c r="P4811" s="2"/>
      <c r="Q4811" s="2"/>
      <c r="R4811" s="2"/>
      <c r="S4811" s="2"/>
      <c r="T4811" s="19"/>
      <c r="U4811" s="2"/>
      <c r="V4811" s="2"/>
      <c r="W4811" s="2"/>
      <c r="X4811" s="19"/>
      <c r="Y4811" s="2"/>
      <c r="Z4811" s="5"/>
    </row>
    <row r="4812" spans="7:26" ht="75.75" customHeight="1" x14ac:dyDescent="0.25">
      <c r="G4812" s="5"/>
      <c r="H4812" s="2"/>
      <c r="I4812" s="2"/>
      <c r="K4812" s="2"/>
      <c r="L4812" s="2"/>
      <c r="M4812" s="2"/>
      <c r="N4812" s="2"/>
      <c r="O4812" s="2"/>
      <c r="P4812" s="2"/>
      <c r="Q4812" s="2"/>
      <c r="R4812" s="2"/>
      <c r="S4812" s="2"/>
      <c r="T4812" s="19"/>
      <c r="U4812" s="2"/>
      <c r="V4812" s="2"/>
      <c r="W4812" s="2"/>
      <c r="X4812" s="19"/>
      <c r="Y4812" s="2"/>
      <c r="Z4812" s="5"/>
    </row>
    <row r="4813" spans="7:26" ht="75.75" customHeight="1" x14ac:dyDescent="0.25">
      <c r="G4813" s="5"/>
      <c r="H4813" s="2"/>
      <c r="I4813" s="2"/>
      <c r="K4813" s="2"/>
      <c r="L4813" s="2"/>
      <c r="M4813" s="2"/>
      <c r="N4813" s="2"/>
      <c r="O4813" s="2"/>
      <c r="P4813" s="2"/>
      <c r="Q4813" s="2"/>
      <c r="R4813" s="2"/>
      <c r="S4813" s="2"/>
      <c r="T4813" s="19"/>
      <c r="U4813" s="2"/>
      <c r="V4813" s="2"/>
      <c r="W4813" s="2"/>
      <c r="X4813" s="19"/>
      <c r="Y4813" s="2"/>
      <c r="Z4813" s="5"/>
    </row>
    <row r="4814" spans="7:26" ht="75.75" customHeight="1" x14ac:dyDescent="0.25">
      <c r="G4814" s="5"/>
      <c r="H4814" s="2"/>
      <c r="I4814" s="2"/>
      <c r="K4814" s="2"/>
      <c r="L4814" s="2"/>
      <c r="M4814" s="2"/>
      <c r="N4814" s="2"/>
      <c r="O4814" s="2"/>
      <c r="P4814" s="2"/>
      <c r="Q4814" s="2"/>
      <c r="R4814" s="2"/>
      <c r="S4814" s="2"/>
      <c r="T4814" s="19"/>
      <c r="U4814" s="2"/>
      <c r="V4814" s="2"/>
      <c r="W4814" s="2"/>
      <c r="X4814" s="19"/>
      <c r="Y4814" s="2"/>
      <c r="Z4814" s="5"/>
    </row>
    <row r="4815" spans="7:26" ht="75.75" customHeight="1" x14ac:dyDescent="0.25">
      <c r="G4815" s="5"/>
      <c r="H4815" s="2"/>
      <c r="I4815" s="2"/>
      <c r="K4815" s="2"/>
      <c r="L4815" s="2"/>
      <c r="M4815" s="2"/>
      <c r="N4815" s="2"/>
      <c r="O4815" s="2"/>
      <c r="P4815" s="2"/>
      <c r="Q4815" s="2"/>
      <c r="R4815" s="2"/>
      <c r="S4815" s="2"/>
      <c r="T4815" s="19"/>
      <c r="U4815" s="2"/>
      <c r="V4815" s="2"/>
      <c r="W4815" s="2"/>
      <c r="X4815" s="19"/>
      <c r="Y4815" s="2"/>
      <c r="Z4815" s="5"/>
    </row>
    <row r="4816" spans="7:26" ht="75.75" customHeight="1" x14ac:dyDescent="0.25">
      <c r="G4816" s="5"/>
      <c r="H4816" s="2"/>
      <c r="I4816" s="2"/>
      <c r="K4816" s="2"/>
      <c r="L4816" s="2"/>
      <c r="M4816" s="2"/>
      <c r="N4816" s="2"/>
      <c r="O4816" s="2"/>
      <c r="P4816" s="2"/>
      <c r="Q4816" s="2"/>
      <c r="R4816" s="2"/>
      <c r="S4816" s="2"/>
      <c r="T4816" s="19"/>
      <c r="U4816" s="2"/>
      <c r="V4816" s="2"/>
      <c r="W4816" s="2"/>
      <c r="X4816" s="19"/>
      <c r="Y4816" s="2"/>
      <c r="Z4816" s="5"/>
    </row>
    <row r="4817" spans="7:26" ht="75.75" customHeight="1" x14ac:dyDescent="0.25">
      <c r="G4817" s="5"/>
      <c r="H4817" s="2"/>
      <c r="I4817" s="2"/>
      <c r="K4817" s="2"/>
      <c r="L4817" s="2"/>
      <c r="M4817" s="2"/>
      <c r="N4817" s="2"/>
      <c r="O4817" s="2"/>
      <c r="P4817" s="2"/>
      <c r="Q4817" s="2"/>
      <c r="R4817" s="2"/>
      <c r="S4817" s="2"/>
      <c r="T4817" s="19"/>
      <c r="U4817" s="2"/>
      <c r="V4817" s="2"/>
      <c r="W4817" s="2"/>
      <c r="X4817" s="19"/>
      <c r="Y4817" s="2"/>
      <c r="Z4817" s="5"/>
    </row>
    <row r="4818" spans="7:26" ht="75.75" customHeight="1" x14ac:dyDescent="0.25">
      <c r="G4818" s="5"/>
      <c r="H4818" s="2"/>
      <c r="I4818" s="2"/>
      <c r="K4818" s="2"/>
      <c r="L4818" s="2"/>
      <c r="M4818" s="2"/>
      <c r="N4818" s="2"/>
      <c r="O4818" s="2"/>
      <c r="P4818" s="2"/>
      <c r="Q4818" s="2"/>
      <c r="R4818" s="2"/>
      <c r="S4818" s="2"/>
      <c r="T4818" s="19"/>
      <c r="U4818" s="2"/>
      <c r="V4818" s="2"/>
      <c r="W4818" s="2"/>
      <c r="X4818" s="19"/>
      <c r="Y4818" s="2"/>
      <c r="Z4818" s="5"/>
    </row>
    <row r="4819" spans="7:26" ht="75.75" customHeight="1" x14ac:dyDescent="0.25">
      <c r="G4819" s="5"/>
      <c r="H4819" s="2"/>
      <c r="I4819" s="2"/>
      <c r="K4819" s="2"/>
      <c r="L4819" s="2"/>
      <c r="M4819" s="2"/>
      <c r="N4819" s="2"/>
      <c r="O4819" s="2"/>
      <c r="P4819" s="2"/>
      <c r="Q4819" s="2"/>
      <c r="R4819" s="2"/>
      <c r="S4819" s="2"/>
      <c r="T4819" s="19"/>
      <c r="U4819" s="2"/>
      <c r="V4819" s="2"/>
      <c r="W4819" s="2"/>
      <c r="X4819" s="19"/>
      <c r="Y4819" s="2"/>
      <c r="Z4819" s="5"/>
    </row>
    <row r="4820" spans="7:26" ht="75.75" customHeight="1" x14ac:dyDescent="0.25">
      <c r="G4820" s="5"/>
      <c r="H4820" s="2"/>
      <c r="I4820" s="2"/>
      <c r="K4820" s="2"/>
      <c r="L4820" s="2"/>
      <c r="M4820" s="2"/>
      <c r="N4820" s="2"/>
      <c r="O4820" s="2"/>
      <c r="P4820" s="2"/>
      <c r="Q4820" s="2"/>
      <c r="R4820" s="2"/>
      <c r="S4820" s="2"/>
      <c r="T4820" s="19"/>
      <c r="U4820" s="2"/>
      <c r="V4820" s="2"/>
      <c r="W4820" s="2"/>
      <c r="X4820" s="19"/>
      <c r="Y4820" s="2"/>
      <c r="Z4820" s="5"/>
    </row>
    <row r="4821" spans="7:26" ht="75.75" customHeight="1" x14ac:dyDescent="0.25">
      <c r="G4821" s="5"/>
      <c r="H4821" s="2"/>
      <c r="I4821" s="2"/>
      <c r="K4821" s="2"/>
      <c r="L4821" s="2"/>
      <c r="M4821" s="2"/>
      <c r="N4821" s="2"/>
      <c r="O4821" s="2"/>
      <c r="P4821" s="2"/>
      <c r="Q4821" s="2"/>
      <c r="R4821" s="2"/>
      <c r="S4821" s="2"/>
      <c r="T4821" s="19"/>
      <c r="U4821" s="2"/>
      <c r="V4821" s="2"/>
      <c r="W4821" s="2"/>
      <c r="X4821" s="19"/>
      <c r="Y4821" s="2"/>
      <c r="Z4821" s="5"/>
    </row>
    <row r="4822" spans="7:26" ht="75.75" customHeight="1" x14ac:dyDescent="0.25">
      <c r="G4822" s="5"/>
      <c r="H4822" s="2"/>
      <c r="I4822" s="2"/>
      <c r="K4822" s="2"/>
      <c r="L4822" s="2"/>
      <c r="M4822" s="2"/>
      <c r="N4822" s="2"/>
      <c r="O4822" s="2"/>
      <c r="P4822" s="2"/>
      <c r="Q4822" s="2"/>
      <c r="R4822" s="2"/>
      <c r="S4822" s="2"/>
      <c r="T4822" s="19"/>
      <c r="U4822" s="2"/>
      <c r="V4822" s="2"/>
      <c r="W4822" s="2"/>
      <c r="X4822" s="19"/>
      <c r="Y4822" s="2"/>
      <c r="Z4822" s="5"/>
    </row>
    <row r="4823" spans="7:26" ht="75.75" customHeight="1" x14ac:dyDescent="0.25">
      <c r="G4823" s="5"/>
      <c r="H4823" s="2"/>
      <c r="I4823" s="2"/>
      <c r="K4823" s="2"/>
      <c r="L4823" s="2"/>
      <c r="M4823" s="2"/>
      <c r="N4823" s="2"/>
      <c r="O4823" s="2"/>
      <c r="P4823" s="2"/>
      <c r="Q4823" s="2"/>
      <c r="R4823" s="2"/>
      <c r="S4823" s="2"/>
      <c r="T4823" s="19"/>
      <c r="U4823" s="2"/>
      <c r="V4823" s="2"/>
      <c r="W4823" s="2"/>
      <c r="X4823" s="19"/>
      <c r="Y4823" s="2"/>
      <c r="Z4823" s="5"/>
    </row>
    <row r="4824" spans="7:26" ht="75.75" customHeight="1" x14ac:dyDescent="0.25">
      <c r="G4824" s="5"/>
      <c r="H4824" s="2"/>
      <c r="I4824" s="2"/>
      <c r="K4824" s="2"/>
      <c r="L4824" s="2"/>
      <c r="M4824" s="2"/>
      <c r="N4824" s="2"/>
      <c r="O4824" s="2"/>
      <c r="P4824" s="2"/>
      <c r="Q4824" s="2"/>
      <c r="R4824" s="2"/>
      <c r="S4824" s="2"/>
      <c r="T4824" s="19"/>
      <c r="U4824" s="2"/>
      <c r="V4824" s="2"/>
      <c r="W4824" s="2"/>
      <c r="X4824" s="19"/>
      <c r="Y4824" s="2"/>
      <c r="Z4824" s="5"/>
    </row>
    <row r="4825" spans="7:26" ht="75.75" customHeight="1" x14ac:dyDescent="0.25">
      <c r="G4825" s="5"/>
      <c r="H4825" s="2"/>
      <c r="I4825" s="2"/>
      <c r="K4825" s="2"/>
      <c r="L4825" s="2"/>
      <c r="M4825" s="2"/>
      <c r="N4825" s="2"/>
      <c r="O4825" s="2"/>
      <c r="P4825" s="2"/>
      <c r="Q4825" s="2"/>
      <c r="R4825" s="2"/>
      <c r="S4825" s="2"/>
      <c r="T4825" s="19"/>
      <c r="U4825" s="2"/>
      <c r="V4825" s="2"/>
      <c r="W4825" s="2"/>
      <c r="X4825" s="19"/>
      <c r="Y4825" s="2"/>
      <c r="Z4825" s="5"/>
    </row>
    <row r="4826" spans="7:26" ht="75.75" customHeight="1" x14ac:dyDescent="0.25">
      <c r="G4826" s="5"/>
      <c r="H4826" s="2"/>
      <c r="I4826" s="2"/>
      <c r="K4826" s="2"/>
      <c r="L4826" s="2"/>
      <c r="M4826" s="2"/>
      <c r="N4826" s="2"/>
      <c r="O4826" s="2"/>
      <c r="P4826" s="2"/>
      <c r="Q4826" s="2"/>
      <c r="R4826" s="2"/>
      <c r="S4826" s="2"/>
      <c r="T4826" s="19"/>
      <c r="U4826" s="2"/>
      <c r="V4826" s="2"/>
      <c r="W4826" s="2"/>
      <c r="X4826" s="19"/>
      <c r="Y4826" s="2"/>
      <c r="Z4826" s="5"/>
    </row>
    <row r="4827" spans="7:26" ht="75.75" customHeight="1" x14ac:dyDescent="0.25">
      <c r="G4827" s="5"/>
      <c r="H4827" s="2"/>
      <c r="I4827" s="2"/>
      <c r="K4827" s="2"/>
      <c r="L4827" s="2"/>
      <c r="M4827" s="2"/>
      <c r="N4827" s="2"/>
      <c r="O4827" s="2"/>
      <c r="P4827" s="2"/>
      <c r="Q4827" s="2"/>
      <c r="R4827" s="2"/>
      <c r="S4827" s="2"/>
      <c r="T4827" s="19"/>
      <c r="U4827" s="2"/>
      <c r="V4827" s="2"/>
      <c r="W4827" s="2"/>
      <c r="X4827" s="19"/>
      <c r="Y4827" s="2"/>
      <c r="Z4827" s="5"/>
    </row>
    <row r="4828" spans="7:26" ht="75.75" customHeight="1" x14ac:dyDescent="0.25">
      <c r="G4828" s="5"/>
      <c r="H4828" s="2"/>
      <c r="I4828" s="2"/>
      <c r="K4828" s="2"/>
      <c r="L4828" s="2"/>
      <c r="M4828" s="2"/>
      <c r="N4828" s="2"/>
      <c r="O4828" s="2"/>
      <c r="P4828" s="2"/>
      <c r="Q4828" s="2"/>
      <c r="R4828" s="2"/>
      <c r="S4828" s="2"/>
      <c r="T4828" s="19"/>
      <c r="U4828" s="2"/>
      <c r="V4828" s="2"/>
      <c r="W4828" s="2"/>
      <c r="X4828" s="19"/>
      <c r="Y4828" s="2"/>
      <c r="Z4828" s="5"/>
    </row>
    <row r="4829" spans="7:26" ht="75.75" customHeight="1" x14ac:dyDescent="0.25">
      <c r="G4829" s="5"/>
      <c r="H4829" s="2"/>
      <c r="I4829" s="2"/>
      <c r="K4829" s="2"/>
      <c r="L4829" s="2"/>
      <c r="M4829" s="2"/>
      <c r="N4829" s="2"/>
      <c r="O4829" s="2"/>
      <c r="P4829" s="2"/>
      <c r="Q4829" s="2"/>
      <c r="R4829" s="2"/>
      <c r="S4829" s="2"/>
      <c r="T4829" s="19"/>
      <c r="U4829" s="2"/>
      <c r="V4829" s="2"/>
      <c r="W4829" s="2"/>
      <c r="X4829" s="19"/>
      <c r="Y4829" s="2"/>
      <c r="Z4829" s="5"/>
    </row>
    <row r="4830" spans="7:26" ht="75.75" customHeight="1" x14ac:dyDescent="0.25">
      <c r="G4830" s="5"/>
      <c r="H4830" s="2"/>
      <c r="I4830" s="2"/>
      <c r="K4830" s="2"/>
      <c r="L4830" s="2"/>
      <c r="M4830" s="2"/>
      <c r="N4830" s="2"/>
      <c r="O4830" s="2"/>
      <c r="P4830" s="2"/>
      <c r="Q4830" s="2"/>
      <c r="R4830" s="2"/>
      <c r="S4830" s="2"/>
      <c r="T4830" s="19"/>
      <c r="U4830" s="2"/>
      <c r="V4830" s="2"/>
      <c r="W4830" s="2"/>
      <c r="X4830" s="19"/>
      <c r="Y4830" s="2"/>
      <c r="Z4830" s="5"/>
    </row>
    <row r="4831" spans="7:26" ht="75.75" customHeight="1" x14ac:dyDescent="0.25">
      <c r="G4831" s="5"/>
      <c r="H4831" s="2"/>
      <c r="I4831" s="2"/>
      <c r="K4831" s="2"/>
      <c r="L4831" s="2"/>
      <c r="M4831" s="2"/>
      <c r="N4831" s="2"/>
      <c r="O4831" s="2"/>
      <c r="P4831" s="2"/>
      <c r="Q4831" s="2"/>
      <c r="R4831" s="2"/>
      <c r="S4831" s="2"/>
      <c r="T4831" s="19"/>
      <c r="U4831" s="2"/>
      <c r="V4831" s="2"/>
      <c r="W4831" s="2"/>
      <c r="X4831" s="19"/>
      <c r="Y4831" s="2"/>
      <c r="Z4831" s="5"/>
    </row>
    <row r="4832" spans="7:26" ht="75.75" customHeight="1" x14ac:dyDescent="0.25">
      <c r="G4832" s="5"/>
      <c r="H4832" s="2"/>
      <c r="I4832" s="2"/>
      <c r="K4832" s="2"/>
      <c r="L4832" s="2"/>
      <c r="M4832" s="2"/>
      <c r="N4832" s="2"/>
      <c r="O4832" s="2"/>
      <c r="P4832" s="2"/>
      <c r="Q4832" s="2"/>
      <c r="R4832" s="2"/>
      <c r="S4832" s="2"/>
      <c r="T4832" s="19"/>
      <c r="U4832" s="2"/>
      <c r="V4832" s="2"/>
      <c r="W4832" s="2"/>
      <c r="X4832" s="19"/>
      <c r="Y4832" s="2"/>
      <c r="Z4832" s="5"/>
    </row>
    <row r="4833" spans="7:26" ht="75.75" customHeight="1" x14ac:dyDescent="0.25">
      <c r="G4833" s="5"/>
      <c r="H4833" s="2"/>
      <c r="I4833" s="2"/>
      <c r="K4833" s="2"/>
      <c r="L4833" s="2"/>
      <c r="M4833" s="2"/>
      <c r="N4833" s="2"/>
      <c r="O4833" s="2"/>
      <c r="P4833" s="2"/>
      <c r="Q4833" s="2"/>
      <c r="R4833" s="2"/>
      <c r="S4833" s="2"/>
      <c r="T4833" s="19"/>
      <c r="U4833" s="2"/>
      <c r="V4833" s="2"/>
      <c r="W4833" s="2"/>
      <c r="X4833" s="19"/>
      <c r="Y4833" s="2"/>
      <c r="Z4833" s="5"/>
    </row>
    <row r="4834" spans="7:26" ht="75.75" customHeight="1" x14ac:dyDescent="0.25">
      <c r="G4834" s="5"/>
      <c r="H4834" s="2"/>
      <c r="I4834" s="2"/>
      <c r="K4834" s="2"/>
      <c r="L4834" s="2"/>
      <c r="M4834" s="2"/>
      <c r="N4834" s="2"/>
      <c r="O4834" s="2"/>
      <c r="P4834" s="2"/>
      <c r="Q4834" s="2"/>
      <c r="R4834" s="2"/>
      <c r="S4834" s="2"/>
      <c r="T4834" s="19"/>
      <c r="U4834" s="2"/>
      <c r="V4834" s="2"/>
      <c r="W4834" s="2"/>
      <c r="X4834" s="19"/>
      <c r="Y4834" s="2"/>
      <c r="Z4834" s="5"/>
    </row>
    <row r="4835" spans="7:26" ht="75.75" customHeight="1" x14ac:dyDescent="0.25">
      <c r="G4835" s="5"/>
      <c r="H4835" s="2"/>
      <c r="I4835" s="2"/>
      <c r="K4835" s="2"/>
      <c r="L4835" s="2"/>
      <c r="M4835" s="2"/>
      <c r="N4835" s="2"/>
      <c r="O4835" s="2"/>
      <c r="P4835" s="2"/>
      <c r="Q4835" s="2"/>
      <c r="R4835" s="2"/>
      <c r="S4835" s="2"/>
      <c r="T4835" s="19"/>
      <c r="U4835" s="2"/>
      <c r="V4835" s="2"/>
      <c r="W4835" s="2"/>
      <c r="X4835" s="19"/>
      <c r="Y4835" s="2"/>
      <c r="Z4835" s="5"/>
    </row>
    <row r="4836" spans="7:26" ht="75.75" customHeight="1" x14ac:dyDescent="0.25">
      <c r="G4836" s="5"/>
      <c r="H4836" s="2"/>
      <c r="I4836" s="2"/>
      <c r="K4836" s="2"/>
      <c r="L4836" s="2"/>
      <c r="M4836" s="2"/>
      <c r="N4836" s="2"/>
      <c r="O4836" s="2"/>
      <c r="P4836" s="2"/>
      <c r="Q4836" s="2"/>
      <c r="R4836" s="2"/>
      <c r="S4836" s="2"/>
      <c r="T4836" s="19"/>
      <c r="U4836" s="2"/>
      <c r="V4836" s="2"/>
      <c r="W4836" s="2"/>
      <c r="X4836" s="19"/>
      <c r="Y4836" s="2"/>
      <c r="Z4836" s="5"/>
    </row>
    <row r="4837" spans="7:26" ht="75.75" customHeight="1" x14ac:dyDescent="0.25">
      <c r="G4837" s="5"/>
      <c r="H4837" s="2"/>
      <c r="I4837" s="2"/>
      <c r="K4837" s="2"/>
      <c r="L4837" s="2"/>
      <c r="M4837" s="2"/>
      <c r="N4837" s="2"/>
      <c r="O4837" s="2"/>
      <c r="P4837" s="2"/>
      <c r="Q4837" s="2"/>
      <c r="R4837" s="2"/>
      <c r="S4837" s="2"/>
      <c r="T4837" s="19"/>
      <c r="U4837" s="2"/>
      <c r="V4837" s="2"/>
      <c r="W4837" s="2"/>
      <c r="X4837" s="19"/>
      <c r="Y4837" s="2"/>
      <c r="Z4837" s="5"/>
    </row>
    <row r="4838" spans="7:26" ht="75.75" customHeight="1" x14ac:dyDescent="0.25">
      <c r="G4838" s="5"/>
      <c r="H4838" s="2"/>
      <c r="I4838" s="2"/>
      <c r="K4838" s="2"/>
      <c r="L4838" s="2"/>
      <c r="M4838" s="2"/>
      <c r="N4838" s="2"/>
      <c r="O4838" s="2"/>
      <c r="P4838" s="2"/>
      <c r="Q4838" s="2"/>
      <c r="R4838" s="2"/>
      <c r="S4838" s="2"/>
      <c r="T4838" s="19"/>
      <c r="U4838" s="2"/>
      <c r="V4838" s="2"/>
      <c r="W4838" s="2"/>
      <c r="X4838" s="19"/>
      <c r="Y4838" s="2"/>
      <c r="Z4838" s="5"/>
    </row>
    <row r="4839" spans="7:26" ht="75.75" customHeight="1" x14ac:dyDescent="0.25">
      <c r="G4839" s="5"/>
      <c r="H4839" s="2"/>
      <c r="I4839" s="2"/>
      <c r="K4839" s="2"/>
      <c r="L4839" s="2"/>
      <c r="M4839" s="2"/>
      <c r="N4839" s="2"/>
      <c r="O4839" s="2"/>
      <c r="P4839" s="2"/>
      <c r="Q4839" s="2"/>
      <c r="R4839" s="2"/>
      <c r="S4839" s="2"/>
      <c r="T4839" s="19"/>
      <c r="U4839" s="2"/>
      <c r="V4839" s="2"/>
      <c r="W4839" s="2"/>
      <c r="X4839" s="19"/>
      <c r="Y4839" s="2"/>
      <c r="Z4839" s="5"/>
    </row>
    <row r="4840" spans="7:26" ht="75.75" customHeight="1" x14ac:dyDescent="0.25">
      <c r="G4840" s="5"/>
      <c r="H4840" s="2"/>
      <c r="I4840" s="2"/>
      <c r="K4840" s="2"/>
      <c r="L4840" s="2"/>
      <c r="M4840" s="2"/>
      <c r="N4840" s="2"/>
      <c r="O4840" s="2"/>
      <c r="P4840" s="2"/>
      <c r="Q4840" s="2"/>
      <c r="R4840" s="2"/>
      <c r="S4840" s="2"/>
      <c r="T4840" s="19"/>
      <c r="U4840" s="2"/>
      <c r="V4840" s="2"/>
      <c r="W4840" s="2"/>
      <c r="X4840" s="19"/>
      <c r="Y4840" s="2"/>
      <c r="Z4840" s="5"/>
    </row>
    <row r="4841" spans="7:26" ht="75.75" customHeight="1" x14ac:dyDescent="0.25">
      <c r="G4841" s="5"/>
      <c r="H4841" s="2"/>
      <c r="I4841" s="2"/>
      <c r="K4841" s="2"/>
      <c r="L4841" s="2"/>
      <c r="M4841" s="2"/>
      <c r="N4841" s="2"/>
      <c r="O4841" s="2"/>
      <c r="P4841" s="2"/>
      <c r="Q4841" s="2"/>
      <c r="R4841" s="2"/>
      <c r="S4841" s="2"/>
      <c r="T4841" s="19"/>
      <c r="U4841" s="2"/>
      <c r="V4841" s="2"/>
      <c r="W4841" s="2"/>
      <c r="X4841" s="19"/>
      <c r="Y4841" s="2"/>
      <c r="Z4841" s="5"/>
    </row>
    <row r="4842" spans="7:26" ht="75.75" customHeight="1" x14ac:dyDescent="0.25">
      <c r="G4842" s="5"/>
      <c r="H4842" s="2"/>
      <c r="I4842" s="2"/>
      <c r="K4842" s="2"/>
      <c r="L4842" s="2"/>
      <c r="M4842" s="2"/>
      <c r="N4842" s="2"/>
      <c r="O4842" s="2"/>
      <c r="P4842" s="2"/>
      <c r="Q4842" s="2"/>
      <c r="R4842" s="2"/>
      <c r="S4842" s="2"/>
      <c r="T4842" s="19"/>
      <c r="U4842" s="2"/>
      <c r="V4842" s="2"/>
      <c r="W4842" s="2"/>
      <c r="X4842" s="19"/>
      <c r="Y4842" s="2"/>
      <c r="Z4842" s="5"/>
    </row>
    <row r="4843" spans="7:26" ht="75.75" customHeight="1" x14ac:dyDescent="0.25">
      <c r="G4843" s="5"/>
      <c r="H4843" s="2"/>
      <c r="I4843" s="2"/>
      <c r="K4843" s="2"/>
      <c r="L4843" s="2"/>
      <c r="M4843" s="2"/>
      <c r="N4843" s="2"/>
      <c r="O4843" s="2"/>
      <c r="P4843" s="2"/>
      <c r="Q4843" s="2"/>
      <c r="R4843" s="2"/>
      <c r="S4843" s="2"/>
      <c r="T4843" s="19"/>
      <c r="U4843" s="2"/>
      <c r="V4843" s="2"/>
      <c r="W4843" s="2"/>
      <c r="X4843" s="19"/>
      <c r="Y4843" s="2"/>
      <c r="Z4843" s="5"/>
    </row>
    <row r="4844" spans="7:26" ht="75.75" customHeight="1" x14ac:dyDescent="0.25">
      <c r="G4844" s="5"/>
      <c r="H4844" s="2"/>
      <c r="I4844" s="2"/>
      <c r="K4844" s="2"/>
      <c r="L4844" s="2"/>
      <c r="M4844" s="2"/>
      <c r="N4844" s="2"/>
      <c r="O4844" s="2"/>
      <c r="P4844" s="2"/>
      <c r="Q4844" s="2"/>
      <c r="R4844" s="2"/>
      <c r="S4844" s="2"/>
      <c r="T4844" s="19"/>
      <c r="U4844" s="2"/>
      <c r="V4844" s="2"/>
      <c r="W4844" s="2"/>
      <c r="X4844" s="19"/>
      <c r="Y4844" s="2"/>
      <c r="Z4844" s="5"/>
    </row>
    <row r="4845" spans="7:26" ht="75.75" customHeight="1" x14ac:dyDescent="0.25">
      <c r="G4845" s="5"/>
      <c r="H4845" s="2"/>
      <c r="I4845" s="2"/>
      <c r="K4845" s="2"/>
      <c r="L4845" s="2"/>
      <c r="M4845" s="2"/>
      <c r="N4845" s="2"/>
      <c r="O4845" s="2"/>
      <c r="P4845" s="2"/>
      <c r="Q4845" s="2"/>
      <c r="R4845" s="2"/>
      <c r="S4845" s="2"/>
      <c r="T4845" s="19"/>
      <c r="U4845" s="2"/>
      <c r="V4845" s="2"/>
      <c r="W4845" s="2"/>
      <c r="X4845" s="19"/>
      <c r="Y4845" s="2"/>
      <c r="Z4845" s="5"/>
    </row>
    <row r="4846" spans="7:26" ht="75.75" customHeight="1" x14ac:dyDescent="0.25">
      <c r="G4846" s="5"/>
      <c r="H4846" s="2"/>
      <c r="I4846" s="2"/>
      <c r="K4846" s="2"/>
      <c r="L4846" s="2"/>
      <c r="M4846" s="2"/>
      <c r="N4846" s="2"/>
      <c r="O4846" s="2"/>
      <c r="P4846" s="2"/>
      <c r="Q4846" s="2"/>
      <c r="R4846" s="2"/>
      <c r="S4846" s="2"/>
      <c r="T4846" s="19"/>
      <c r="U4846" s="2"/>
      <c r="V4846" s="2"/>
      <c r="W4846" s="2"/>
      <c r="X4846" s="19"/>
      <c r="Y4846" s="2"/>
      <c r="Z4846" s="5"/>
    </row>
    <row r="4847" spans="7:26" ht="75.75" customHeight="1" x14ac:dyDescent="0.25">
      <c r="G4847" s="5"/>
      <c r="H4847" s="2"/>
      <c r="I4847" s="2"/>
      <c r="K4847" s="2"/>
      <c r="L4847" s="2"/>
      <c r="M4847" s="2"/>
      <c r="N4847" s="2"/>
      <c r="O4847" s="2"/>
      <c r="P4847" s="2"/>
      <c r="Q4847" s="2"/>
      <c r="R4847" s="2"/>
      <c r="S4847" s="2"/>
      <c r="T4847" s="19"/>
      <c r="U4847" s="2"/>
      <c r="V4847" s="2"/>
      <c r="W4847" s="2"/>
      <c r="X4847" s="19"/>
      <c r="Y4847" s="2"/>
      <c r="Z4847" s="5"/>
    </row>
    <row r="4848" spans="7:26" ht="75.75" customHeight="1" x14ac:dyDescent="0.25">
      <c r="G4848" s="5"/>
      <c r="H4848" s="2"/>
      <c r="I4848" s="2"/>
      <c r="K4848" s="2"/>
      <c r="L4848" s="2"/>
      <c r="M4848" s="2"/>
      <c r="N4848" s="2"/>
      <c r="O4848" s="2"/>
      <c r="P4848" s="2"/>
      <c r="Q4848" s="2"/>
      <c r="R4848" s="2"/>
      <c r="S4848" s="2"/>
      <c r="T4848" s="19"/>
      <c r="U4848" s="2"/>
      <c r="V4848" s="2"/>
      <c r="W4848" s="2"/>
      <c r="X4848" s="19"/>
      <c r="Y4848" s="2"/>
      <c r="Z4848" s="5"/>
    </row>
    <row r="4849" spans="7:26" ht="75.75" customHeight="1" x14ac:dyDescent="0.25">
      <c r="G4849" s="5"/>
      <c r="H4849" s="2"/>
      <c r="I4849" s="2"/>
      <c r="K4849" s="2"/>
      <c r="L4849" s="2"/>
      <c r="M4849" s="2"/>
      <c r="N4849" s="2"/>
      <c r="O4849" s="2"/>
      <c r="P4849" s="2"/>
      <c r="Q4849" s="2"/>
      <c r="R4849" s="2"/>
      <c r="S4849" s="2"/>
      <c r="T4849" s="19"/>
      <c r="U4849" s="2"/>
      <c r="V4849" s="2"/>
      <c r="W4849" s="2"/>
      <c r="X4849" s="19"/>
      <c r="Y4849" s="2"/>
      <c r="Z4849" s="5"/>
    </row>
    <row r="4850" spans="7:26" ht="75.75" customHeight="1" x14ac:dyDescent="0.25">
      <c r="G4850" s="5"/>
      <c r="H4850" s="2"/>
      <c r="I4850" s="2"/>
      <c r="K4850" s="2"/>
      <c r="L4850" s="2"/>
      <c r="M4850" s="2"/>
      <c r="N4850" s="2"/>
      <c r="O4850" s="2"/>
      <c r="P4850" s="2"/>
      <c r="Q4850" s="2"/>
      <c r="R4850" s="2"/>
      <c r="S4850" s="2"/>
      <c r="T4850" s="19"/>
      <c r="U4850" s="2"/>
      <c r="V4850" s="2"/>
      <c r="W4850" s="2"/>
      <c r="X4850" s="19"/>
      <c r="Y4850" s="2"/>
      <c r="Z4850" s="5"/>
    </row>
    <row r="4851" spans="7:26" ht="75.75" customHeight="1" x14ac:dyDescent="0.25">
      <c r="G4851" s="5"/>
      <c r="H4851" s="2"/>
      <c r="I4851" s="2"/>
      <c r="K4851" s="2"/>
      <c r="L4851" s="2"/>
      <c r="M4851" s="2"/>
      <c r="N4851" s="2"/>
      <c r="O4851" s="2"/>
      <c r="P4851" s="2"/>
      <c r="Q4851" s="2"/>
      <c r="R4851" s="2"/>
      <c r="S4851" s="2"/>
      <c r="T4851" s="19"/>
      <c r="U4851" s="2"/>
      <c r="V4851" s="2"/>
      <c r="W4851" s="2"/>
      <c r="X4851" s="19"/>
      <c r="Y4851" s="2"/>
      <c r="Z4851" s="5"/>
    </row>
    <row r="4852" spans="7:26" ht="75.75" customHeight="1" x14ac:dyDescent="0.25">
      <c r="G4852" s="5"/>
      <c r="H4852" s="2"/>
      <c r="I4852" s="2"/>
      <c r="K4852" s="2"/>
      <c r="L4852" s="2"/>
      <c r="M4852" s="2"/>
      <c r="N4852" s="2"/>
      <c r="O4852" s="2"/>
      <c r="P4852" s="2"/>
      <c r="Q4852" s="2"/>
      <c r="R4852" s="2"/>
      <c r="S4852" s="2"/>
      <c r="T4852" s="19"/>
      <c r="U4852" s="2"/>
      <c r="V4852" s="2"/>
      <c r="W4852" s="2"/>
      <c r="X4852" s="19"/>
      <c r="Y4852" s="2"/>
      <c r="Z4852" s="5"/>
    </row>
    <row r="4853" spans="7:26" ht="75.75" customHeight="1" x14ac:dyDescent="0.25">
      <c r="G4853" s="5"/>
      <c r="H4853" s="2"/>
      <c r="I4853" s="2"/>
      <c r="K4853" s="2"/>
      <c r="L4853" s="2"/>
      <c r="M4853" s="2"/>
      <c r="N4853" s="2"/>
      <c r="O4853" s="2"/>
      <c r="P4853" s="2"/>
      <c r="Q4853" s="2"/>
      <c r="R4853" s="2"/>
      <c r="S4853" s="2"/>
      <c r="T4853" s="19"/>
      <c r="U4853" s="2"/>
      <c r="V4853" s="2"/>
      <c r="W4853" s="2"/>
      <c r="X4853" s="19"/>
      <c r="Y4853" s="2"/>
      <c r="Z4853" s="5"/>
    </row>
    <row r="4854" spans="7:26" ht="75.75" customHeight="1" x14ac:dyDescent="0.25">
      <c r="G4854" s="5"/>
      <c r="H4854" s="2"/>
      <c r="I4854" s="2"/>
      <c r="K4854" s="2"/>
      <c r="L4854" s="2"/>
      <c r="M4854" s="2"/>
      <c r="N4854" s="2"/>
      <c r="O4854" s="2"/>
      <c r="P4854" s="2"/>
      <c r="Q4854" s="2"/>
      <c r="R4854" s="2"/>
      <c r="S4854" s="2"/>
      <c r="T4854" s="19"/>
      <c r="U4854" s="2"/>
      <c r="V4854" s="2"/>
      <c r="W4854" s="2"/>
      <c r="X4854" s="19"/>
      <c r="Y4854" s="2"/>
      <c r="Z4854" s="5"/>
    </row>
    <row r="4855" spans="7:26" ht="75.75" customHeight="1" x14ac:dyDescent="0.25">
      <c r="G4855" s="5"/>
      <c r="H4855" s="2"/>
      <c r="I4855" s="2"/>
      <c r="K4855" s="2"/>
      <c r="L4855" s="2"/>
      <c r="M4855" s="2"/>
      <c r="N4855" s="2"/>
      <c r="O4855" s="2"/>
      <c r="P4855" s="2"/>
      <c r="Q4855" s="2"/>
      <c r="R4855" s="2"/>
      <c r="S4855" s="2"/>
      <c r="T4855" s="19"/>
      <c r="U4855" s="2"/>
      <c r="V4855" s="2"/>
      <c r="W4855" s="2"/>
      <c r="X4855" s="19"/>
      <c r="Y4855" s="2"/>
      <c r="Z4855" s="5"/>
    </row>
    <row r="4856" spans="7:26" ht="75.75" customHeight="1" x14ac:dyDescent="0.25">
      <c r="G4856" s="5"/>
      <c r="H4856" s="2"/>
      <c r="I4856" s="2"/>
      <c r="K4856" s="2"/>
      <c r="L4856" s="2"/>
      <c r="M4856" s="2"/>
      <c r="N4856" s="2"/>
      <c r="O4856" s="2"/>
      <c r="P4856" s="2"/>
      <c r="Q4856" s="2"/>
      <c r="R4856" s="2"/>
      <c r="S4856" s="2"/>
      <c r="T4856" s="19"/>
      <c r="U4856" s="2"/>
      <c r="V4856" s="2"/>
      <c r="W4856" s="2"/>
      <c r="X4856" s="19"/>
      <c r="Y4856" s="2"/>
      <c r="Z4856" s="5"/>
    </row>
    <row r="4857" spans="7:26" ht="75.75" customHeight="1" x14ac:dyDescent="0.25">
      <c r="G4857" s="5"/>
      <c r="H4857" s="2"/>
      <c r="I4857" s="2"/>
      <c r="K4857" s="2"/>
      <c r="L4857" s="2"/>
      <c r="M4857" s="2"/>
      <c r="N4857" s="2"/>
      <c r="O4857" s="2"/>
      <c r="P4857" s="2"/>
      <c r="Q4857" s="2"/>
      <c r="R4857" s="2"/>
      <c r="S4857" s="2"/>
      <c r="T4857" s="19"/>
      <c r="U4857" s="2"/>
      <c r="V4857" s="2"/>
      <c r="W4857" s="2"/>
      <c r="X4857" s="19"/>
      <c r="Y4857" s="2"/>
      <c r="Z4857" s="5"/>
    </row>
    <row r="4858" spans="7:26" ht="75.75" customHeight="1" x14ac:dyDescent="0.25">
      <c r="G4858" s="5"/>
      <c r="H4858" s="2"/>
      <c r="I4858" s="2"/>
      <c r="K4858" s="2"/>
      <c r="L4858" s="2"/>
      <c r="M4858" s="2"/>
      <c r="N4858" s="2"/>
      <c r="O4858" s="2"/>
      <c r="P4858" s="2"/>
      <c r="Q4858" s="2"/>
      <c r="R4858" s="2"/>
      <c r="S4858" s="2"/>
      <c r="T4858" s="19"/>
      <c r="U4858" s="2"/>
      <c r="V4858" s="2"/>
      <c r="W4858" s="2"/>
      <c r="X4858" s="19"/>
      <c r="Y4858" s="2"/>
      <c r="Z4858" s="5"/>
    </row>
    <row r="4859" spans="7:26" ht="75.75" customHeight="1" x14ac:dyDescent="0.25">
      <c r="G4859" s="5"/>
      <c r="H4859" s="2"/>
      <c r="I4859" s="2"/>
      <c r="K4859" s="2"/>
      <c r="L4859" s="2"/>
      <c r="M4859" s="2"/>
      <c r="N4859" s="2"/>
      <c r="O4859" s="2"/>
      <c r="P4859" s="2"/>
      <c r="Q4859" s="2"/>
      <c r="R4859" s="2"/>
      <c r="S4859" s="2"/>
      <c r="T4859" s="19"/>
      <c r="U4859" s="2"/>
      <c r="V4859" s="2"/>
      <c r="W4859" s="2"/>
      <c r="X4859" s="19"/>
      <c r="Y4859" s="2"/>
      <c r="Z4859" s="5"/>
    </row>
    <row r="4860" spans="7:26" ht="75.75" customHeight="1" x14ac:dyDescent="0.25">
      <c r="G4860" s="5"/>
      <c r="H4860" s="2"/>
      <c r="I4860" s="2"/>
      <c r="K4860" s="2"/>
      <c r="L4860" s="2"/>
      <c r="M4860" s="2"/>
      <c r="N4860" s="2"/>
      <c r="O4860" s="2"/>
      <c r="P4860" s="2"/>
      <c r="Q4860" s="2"/>
      <c r="R4860" s="2"/>
      <c r="S4860" s="2"/>
      <c r="T4860" s="19"/>
      <c r="U4860" s="2"/>
      <c r="V4860" s="2"/>
      <c r="W4860" s="2"/>
      <c r="X4860" s="19"/>
      <c r="Y4860" s="2"/>
      <c r="Z4860" s="5"/>
    </row>
    <row r="4861" spans="7:26" ht="75.75" customHeight="1" x14ac:dyDescent="0.25">
      <c r="G4861" s="5"/>
      <c r="H4861" s="2"/>
      <c r="I4861" s="2"/>
      <c r="K4861" s="2"/>
      <c r="L4861" s="2"/>
      <c r="M4861" s="2"/>
      <c r="N4861" s="2"/>
      <c r="O4861" s="2"/>
      <c r="P4861" s="2"/>
      <c r="Q4861" s="2"/>
      <c r="R4861" s="2"/>
      <c r="S4861" s="2"/>
      <c r="T4861" s="19"/>
      <c r="U4861" s="2"/>
      <c r="V4861" s="2"/>
      <c r="W4861" s="2"/>
      <c r="X4861" s="19"/>
      <c r="Y4861" s="2"/>
      <c r="Z4861" s="5"/>
    </row>
    <row r="4862" spans="7:26" ht="75.75" customHeight="1" x14ac:dyDescent="0.25">
      <c r="G4862" s="5"/>
      <c r="H4862" s="2"/>
      <c r="I4862" s="2"/>
      <c r="K4862" s="2"/>
      <c r="L4862" s="2"/>
      <c r="M4862" s="2"/>
      <c r="N4862" s="2"/>
      <c r="O4862" s="2"/>
      <c r="P4862" s="2"/>
      <c r="Q4862" s="2"/>
      <c r="R4862" s="2"/>
      <c r="S4862" s="2"/>
      <c r="T4862" s="19"/>
      <c r="U4862" s="2"/>
      <c r="V4862" s="2"/>
      <c r="W4862" s="2"/>
      <c r="X4862" s="19"/>
      <c r="Y4862" s="2"/>
      <c r="Z4862" s="5"/>
    </row>
    <row r="4863" spans="7:26" ht="75.75" customHeight="1" x14ac:dyDescent="0.25">
      <c r="G4863" s="5"/>
      <c r="H4863" s="2"/>
      <c r="I4863" s="2"/>
      <c r="K4863" s="2"/>
      <c r="L4863" s="2"/>
      <c r="M4863" s="2"/>
      <c r="N4863" s="2"/>
      <c r="O4863" s="2"/>
      <c r="P4863" s="2"/>
      <c r="Q4863" s="2"/>
      <c r="R4863" s="2"/>
      <c r="S4863" s="2"/>
      <c r="T4863" s="19"/>
      <c r="U4863" s="2"/>
      <c r="V4863" s="2"/>
      <c r="W4863" s="2"/>
      <c r="X4863" s="19"/>
      <c r="Y4863" s="2"/>
      <c r="Z4863" s="5"/>
    </row>
    <row r="4864" spans="7:26" ht="75.75" customHeight="1" x14ac:dyDescent="0.25">
      <c r="G4864" s="5"/>
      <c r="H4864" s="2"/>
      <c r="I4864" s="2"/>
      <c r="K4864" s="2"/>
      <c r="L4864" s="2"/>
      <c r="M4864" s="2"/>
      <c r="N4864" s="2"/>
      <c r="O4864" s="2"/>
      <c r="P4864" s="2"/>
      <c r="Q4864" s="2"/>
      <c r="R4864" s="2"/>
      <c r="S4864" s="2"/>
      <c r="T4864" s="19"/>
      <c r="U4864" s="2"/>
      <c r="V4864" s="2"/>
      <c r="W4864" s="2"/>
      <c r="X4864" s="19"/>
      <c r="Y4864" s="2"/>
      <c r="Z4864" s="5"/>
    </row>
    <row r="4865" spans="7:26" ht="75.75" customHeight="1" x14ac:dyDescent="0.25">
      <c r="G4865" s="5"/>
      <c r="H4865" s="2"/>
      <c r="I4865" s="2"/>
      <c r="K4865" s="2"/>
      <c r="L4865" s="2"/>
      <c r="M4865" s="2"/>
      <c r="N4865" s="2"/>
      <c r="O4865" s="2"/>
      <c r="P4865" s="2"/>
      <c r="Q4865" s="2"/>
      <c r="R4865" s="2"/>
      <c r="S4865" s="2"/>
      <c r="T4865" s="19"/>
      <c r="U4865" s="2"/>
      <c r="V4865" s="2"/>
      <c r="W4865" s="2"/>
      <c r="X4865" s="19"/>
      <c r="Y4865" s="2"/>
      <c r="Z4865" s="5"/>
    </row>
    <row r="4866" spans="7:26" ht="75.75" customHeight="1" x14ac:dyDescent="0.25">
      <c r="G4866" s="5"/>
      <c r="H4866" s="2"/>
      <c r="I4866" s="2"/>
      <c r="K4866" s="2"/>
      <c r="L4866" s="2"/>
      <c r="M4866" s="2"/>
      <c r="N4866" s="2"/>
      <c r="O4866" s="2"/>
      <c r="P4866" s="2"/>
      <c r="Q4866" s="2"/>
      <c r="R4866" s="2"/>
      <c r="S4866" s="2"/>
      <c r="T4866" s="19"/>
      <c r="U4866" s="2"/>
      <c r="V4866" s="2"/>
      <c r="W4866" s="2"/>
      <c r="X4866" s="19"/>
      <c r="Y4866" s="2"/>
      <c r="Z4866" s="5"/>
    </row>
    <row r="4867" spans="7:26" ht="75.75" customHeight="1" x14ac:dyDescent="0.25">
      <c r="G4867" s="5"/>
      <c r="H4867" s="2"/>
      <c r="I4867" s="2"/>
      <c r="K4867" s="2"/>
      <c r="L4867" s="2"/>
      <c r="M4867" s="2"/>
      <c r="N4867" s="2"/>
      <c r="O4867" s="2"/>
      <c r="P4867" s="2"/>
      <c r="Q4867" s="2"/>
      <c r="R4867" s="2"/>
      <c r="S4867" s="2"/>
      <c r="T4867" s="19"/>
      <c r="U4867" s="2"/>
      <c r="V4867" s="2"/>
      <c r="W4867" s="2"/>
      <c r="X4867" s="19"/>
      <c r="Y4867" s="2"/>
      <c r="Z4867" s="5"/>
    </row>
    <row r="4868" spans="7:26" ht="75.75" customHeight="1" x14ac:dyDescent="0.25">
      <c r="G4868" s="5"/>
      <c r="H4868" s="2"/>
      <c r="I4868" s="2"/>
      <c r="K4868" s="2"/>
      <c r="L4868" s="2"/>
      <c r="M4868" s="2"/>
      <c r="N4868" s="2"/>
      <c r="O4868" s="2"/>
      <c r="P4868" s="2"/>
      <c r="Q4868" s="2"/>
      <c r="R4868" s="2"/>
      <c r="S4868" s="2"/>
      <c r="T4868" s="19"/>
      <c r="U4868" s="2"/>
      <c r="V4868" s="2"/>
      <c r="W4868" s="2"/>
      <c r="X4868" s="19"/>
      <c r="Y4868" s="2"/>
      <c r="Z4868" s="5"/>
    </row>
    <row r="4869" spans="7:26" ht="75.75" customHeight="1" x14ac:dyDescent="0.25">
      <c r="G4869" s="5"/>
      <c r="H4869" s="2"/>
      <c r="I4869" s="2"/>
      <c r="K4869" s="2"/>
      <c r="L4869" s="2"/>
      <c r="M4869" s="2"/>
      <c r="N4869" s="2"/>
      <c r="O4869" s="2"/>
      <c r="P4869" s="2"/>
      <c r="Q4869" s="2"/>
      <c r="R4869" s="2"/>
      <c r="S4869" s="2"/>
      <c r="T4869" s="19"/>
      <c r="U4869" s="2"/>
      <c r="V4869" s="2"/>
      <c r="W4869" s="2"/>
      <c r="X4869" s="19"/>
      <c r="Y4869" s="2"/>
      <c r="Z4869" s="5"/>
    </row>
    <row r="4870" spans="7:26" ht="75.75" customHeight="1" x14ac:dyDescent="0.25">
      <c r="G4870" s="5"/>
      <c r="H4870" s="2"/>
      <c r="I4870" s="2"/>
      <c r="K4870" s="2"/>
      <c r="L4870" s="2"/>
      <c r="M4870" s="2"/>
      <c r="N4870" s="2"/>
      <c r="O4870" s="2"/>
      <c r="P4870" s="2"/>
      <c r="Q4870" s="2"/>
      <c r="R4870" s="2"/>
      <c r="S4870" s="2"/>
      <c r="T4870" s="19"/>
      <c r="U4870" s="2"/>
      <c r="V4870" s="2"/>
      <c r="W4870" s="2"/>
      <c r="X4870" s="19"/>
      <c r="Y4870" s="2"/>
      <c r="Z4870" s="5"/>
    </row>
    <row r="4871" spans="7:26" ht="75.75" customHeight="1" x14ac:dyDescent="0.25">
      <c r="G4871" s="5"/>
      <c r="H4871" s="2"/>
      <c r="I4871" s="2"/>
      <c r="K4871" s="2"/>
      <c r="L4871" s="2"/>
      <c r="M4871" s="2"/>
      <c r="N4871" s="2"/>
      <c r="O4871" s="2"/>
      <c r="P4871" s="2"/>
      <c r="Q4871" s="2"/>
      <c r="R4871" s="2"/>
      <c r="S4871" s="2"/>
      <c r="T4871" s="19"/>
      <c r="U4871" s="2"/>
      <c r="V4871" s="2"/>
      <c r="W4871" s="2"/>
      <c r="X4871" s="19"/>
      <c r="Y4871" s="2"/>
      <c r="Z4871" s="5"/>
    </row>
    <row r="4872" spans="7:26" ht="75.75" customHeight="1" x14ac:dyDescent="0.25">
      <c r="G4872" s="5"/>
      <c r="H4872" s="2"/>
      <c r="I4872" s="2"/>
      <c r="K4872" s="2"/>
      <c r="L4872" s="2"/>
      <c r="M4872" s="2"/>
      <c r="N4872" s="2"/>
      <c r="O4872" s="2"/>
      <c r="P4872" s="2"/>
      <c r="Q4872" s="2"/>
      <c r="R4872" s="2"/>
      <c r="S4872" s="2"/>
      <c r="T4872" s="19"/>
      <c r="U4872" s="2"/>
      <c r="V4872" s="2"/>
      <c r="W4872" s="2"/>
      <c r="X4872" s="19"/>
      <c r="Y4872" s="2"/>
      <c r="Z4872" s="5"/>
    </row>
    <row r="4873" spans="7:26" ht="75.75" customHeight="1" x14ac:dyDescent="0.25">
      <c r="G4873" s="5"/>
      <c r="H4873" s="2"/>
      <c r="I4873" s="2"/>
      <c r="K4873" s="2"/>
      <c r="L4873" s="2"/>
      <c r="M4873" s="2"/>
      <c r="N4873" s="2"/>
      <c r="O4873" s="2"/>
      <c r="P4873" s="2"/>
      <c r="Q4873" s="2"/>
      <c r="R4873" s="2"/>
      <c r="S4873" s="2"/>
      <c r="T4873" s="19"/>
      <c r="U4873" s="2"/>
      <c r="V4873" s="2"/>
      <c r="W4873" s="2"/>
      <c r="X4873" s="19"/>
      <c r="Y4873" s="2"/>
      <c r="Z4873" s="5"/>
    </row>
    <row r="4874" spans="7:26" ht="75.75" customHeight="1" x14ac:dyDescent="0.25">
      <c r="G4874" s="5"/>
      <c r="H4874" s="2"/>
      <c r="I4874" s="2"/>
      <c r="K4874" s="2"/>
      <c r="L4874" s="2"/>
      <c r="M4874" s="2"/>
      <c r="N4874" s="2"/>
      <c r="O4874" s="2"/>
      <c r="P4874" s="2"/>
      <c r="Q4874" s="2"/>
      <c r="R4874" s="2"/>
      <c r="S4874" s="2"/>
      <c r="T4874" s="19"/>
      <c r="U4874" s="2"/>
      <c r="V4874" s="2"/>
      <c r="W4874" s="2"/>
      <c r="X4874" s="19"/>
      <c r="Y4874" s="2"/>
      <c r="Z4874" s="5"/>
    </row>
    <row r="4875" spans="7:26" ht="75.75" customHeight="1" x14ac:dyDescent="0.25">
      <c r="G4875" s="5"/>
      <c r="H4875" s="2"/>
      <c r="I4875" s="2"/>
      <c r="K4875" s="2"/>
      <c r="L4875" s="2"/>
      <c r="M4875" s="2"/>
      <c r="N4875" s="2"/>
      <c r="O4875" s="2"/>
      <c r="P4875" s="2"/>
      <c r="Q4875" s="2"/>
      <c r="R4875" s="2"/>
      <c r="S4875" s="2"/>
      <c r="T4875" s="19"/>
      <c r="U4875" s="2"/>
      <c r="V4875" s="2"/>
      <c r="W4875" s="2"/>
      <c r="X4875" s="19"/>
      <c r="Y4875" s="2"/>
      <c r="Z4875" s="5"/>
    </row>
    <row r="4876" spans="7:26" ht="75.75" customHeight="1" x14ac:dyDescent="0.25">
      <c r="G4876" s="5"/>
      <c r="H4876" s="2"/>
      <c r="I4876" s="2"/>
      <c r="K4876" s="2"/>
      <c r="L4876" s="2"/>
      <c r="M4876" s="2"/>
      <c r="N4876" s="2"/>
      <c r="O4876" s="2"/>
      <c r="P4876" s="2"/>
      <c r="Q4876" s="2"/>
      <c r="R4876" s="2"/>
      <c r="S4876" s="2"/>
      <c r="T4876" s="19"/>
      <c r="U4876" s="2"/>
      <c r="V4876" s="2"/>
      <c r="W4876" s="2"/>
      <c r="X4876" s="19"/>
      <c r="Y4876" s="2"/>
      <c r="Z4876" s="5"/>
    </row>
    <row r="4877" spans="7:26" ht="75.75" customHeight="1" x14ac:dyDescent="0.25">
      <c r="G4877" s="5"/>
      <c r="H4877" s="2"/>
      <c r="I4877" s="2"/>
      <c r="K4877" s="2"/>
      <c r="L4877" s="2"/>
      <c r="M4877" s="2"/>
      <c r="N4877" s="2"/>
      <c r="O4877" s="2"/>
      <c r="P4877" s="2"/>
      <c r="Q4877" s="2"/>
      <c r="R4877" s="2"/>
      <c r="S4877" s="2"/>
      <c r="T4877" s="19"/>
      <c r="U4877" s="2"/>
      <c r="V4877" s="2"/>
      <c r="W4877" s="2"/>
      <c r="X4877" s="19"/>
      <c r="Y4877" s="2"/>
      <c r="Z4877" s="5"/>
    </row>
    <row r="4878" spans="7:26" ht="75.75" customHeight="1" x14ac:dyDescent="0.25">
      <c r="G4878" s="5"/>
      <c r="H4878" s="2"/>
      <c r="I4878" s="2"/>
      <c r="K4878" s="2"/>
      <c r="L4878" s="2"/>
      <c r="M4878" s="2"/>
      <c r="N4878" s="2"/>
      <c r="O4878" s="2"/>
      <c r="P4878" s="2"/>
      <c r="Q4878" s="2"/>
      <c r="R4878" s="2"/>
      <c r="S4878" s="2"/>
      <c r="T4878" s="19"/>
      <c r="U4878" s="2"/>
      <c r="V4878" s="2"/>
      <c r="W4878" s="2"/>
      <c r="X4878" s="19"/>
      <c r="Y4878" s="2"/>
      <c r="Z4878" s="5"/>
    </row>
    <row r="4879" spans="7:26" ht="75.75" customHeight="1" x14ac:dyDescent="0.25">
      <c r="G4879" s="5"/>
      <c r="H4879" s="2"/>
      <c r="I4879" s="2"/>
      <c r="K4879" s="2"/>
      <c r="L4879" s="2"/>
      <c r="M4879" s="2"/>
      <c r="N4879" s="2"/>
      <c r="O4879" s="2"/>
      <c r="P4879" s="2"/>
      <c r="Q4879" s="2"/>
      <c r="R4879" s="2"/>
      <c r="S4879" s="2"/>
      <c r="T4879" s="19"/>
      <c r="U4879" s="2"/>
      <c r="V4879" s="2"/>
      <c r="W4879" s="2"/>
      <c r="X4879" s="19"/>
      <c r="Y4879" s="2"/>
      <c r="Z4879" s="5"/>
    </row>
    <row r="4880" spans="7:26" ht="75.75" customHeight="1" x14ac:dyDescent="0.25">
      <c r="G4880" s="5"/>
      <c r="H4880" s="2"/>
      <c r="I4880" s="2"/>
      <c r="K4880" s="2"/>
      <c r="L4880" s="2"/>
      <c r="M4880" s="2"/>
      <c r="N4880" s="2"/>
      <c r="O4880" s="2"/>
      <c r="P4880" s="2"/>
      <c r="Q4880" s="2"/>
      <c r="R4880" s="2"/>
      <c r="S4880" s="2"/>
      <c r="T4880" s="19"/>
      <c r="U4880" s="2"/>
      <c r="V4880" s="2"/>
      <c r="W4880" s="2"/>
      <c r="X4880" s="19"/>
      <c r="Y4880" s="2"/>
      <c r="Z4880" s="5"/>
    </row>
    <row r="4881" spans="7:26" ht="75.75" customHeight="1" x14ac:dyDescent="0.25">
      <c r="G4881" s="5"/>
      <c r="H4881" s="2"/>
      <c r="I4881" s="2"/>
      <c r="K4881" s="2"/>
      <c r="L4881" s="2"/>
      <c r="M4881" s="2"/>
      <c r="N4881" s="2"/>
      <c r="O4881" s="2"/>
      <c r="P4881" s="2"/>
      <c r="Q4881" s="2"/>
      <c r="R4881" s="2"/>
      <c r="S4881" s="2"/>
      <c r="T4881" s="19"/>
      <c r="U4881" s="2"/>
      <c r="V4881" s="2"/>
      <c r="W4881" s="2"/>
      <c r="X4881" s="19"/>
      <c r="Y4881" s="2"/>
      <c r="Z4881" s="5"/>
    </row>
    <row r="4882" spans="7:26" ht="75.75" customHeight="1" x14ac:dyDescent="0.25">
      <c r="G4882" s="5"/>
      <c r="H4882" s="2"/>
      <c r="I4882" s="2"/>
      <c r="K4882" s="2"/>
      <c r="L4882" s="2"/>
      <c r="M4882" s="2"/>
      <c r="N4882" s="2"/>
      <c r="O4882" s="2"/>
      <c r="P4882" s="2"/>
      <c r="Q4882" s="2"/>
      <c r="R4882" s="2"/>
      <c r="S4882" s="2"/>
      <c r="T4882" s="19"/>
      <c r="U4882" s="2"/>
      <c r="V4882" s="2"/>
      <c r="W4882" s="2"/>
      <c r="X4882" s="19"/>
      <c r="Y4882" s="2"/>
      <c r="Z4882" s="5"/>
    </row>
    <row r="4883" spans="7:26" ht="75.75" customHeight="1" x14ac:dyDescent="0.25">
      <c r="G4883" s="5"/>
      <c r="H4883" s="2"/>
      <c r="I4883" s="2"/>
      <c r="K4883" s="2"/>
      <c r="L4883" s="2"/>
      <c r="M4883" s="2"/>
      <c r="N4883" s="2"/>
      <c r="O4883" s="2"/>
      <c r="P4883" s="2"/>
      <c r="Q4883" s="2"/>
      <c r="R4883" s="2"/>
      <c r="S4883" s="2"/>
      <c r="T4883" s="19"/>
      <c r="U4883" s="2"/>
      <c r="V4883" s="2"/>
      <c r="W4883" s="2"/>
      <c r="X4883" s="19"/>
      <c r="Y4883" s="2"/>
      <c r="Z4883" s="5"/>
    </row>
    <row r="4884" spans="7:26" ht="75.75" customHeight="1" x14ac:dyDescent="0.25">
      <c r="G4884" s="5"/>
      <c r="H4884" s="2"/>
      <c r="I4884" s="2"/>
      <c r="K4884" s="2"/>
      <c r="L4884" s="2"/>
      <c r="M4884" s="2"/>
      <c r="N4884" s="2"/>
      <c r="O4884" s="2"/>
      <c r="P4884" s="2"/>
      <c r="Q4884" s="2"/>
      <c r="R4884" s="2"/>
      <c r="S4884" s="2"/>
      <c r="T4884" s="19"/>
      <c r="U4884" s="2"/>
      <c r="V4884" s="2"/>
      <c r="W4884" s="2"/>
      <c r="X4884" s="19"/>
      <c r="Y4884" s="2"/>
      <c r="Z4884" s="5"/>
    </row>
    <row r="4885" spans="7:26" ht="75.75" customHeight="1" x14ac:dyDescent="0.25">
      <c r="G4885" s="5"/>
      <c r="H4885" s="2"/>
      <c r="I4885" s="2"/>
      <c r="K4885" s="2"/>
      <c r="L4885" s="2"/>
      <c r="M4885" s="2"/>
      <c r="N4885" s="2"/>
      <c r="O4885" s="2"/>
      <c r="P4885" s="2"/>
      <c r="Q4885" s="2"/>
      <c r="R4885" s="2"/>
      <c r="S4885" s="2"/>
      <c r="T4885" s="19"/>
      <c r="U4885" s="2"/>
      <c r="V4885" s="2"/>
      <c r="W4885" s="2"/>
      <c r="X4885" s="19"/>
      <c r="Y4885" s="2"/>
      <c r="Z4885" s="5"/>
    </row>
    <row r="4886" spans="7:26" ht="75.75" customHeight="1" x14ac:dyDescent="0.25">
      <c r="G4886" s="5"/>
      <c r="H4886" s="2"/>
      <c r="I4886" s="2"/>
      <c r="K4886" s="2"/>
      <c r="L4886" s="2"/>
      <c r="M4886" s="2"/>
      <c r="N4886" s="2"/>
      <c r="O4886" s="2"/>
      <c r="P4886" s="2"/>
      <c r="Q4886" s="2"/>
      <c r="R4886" s="2"/>
      <c r="S4886" s="2"/>
      <c r="T4886" s="19"/>
      <c r="U4886" s="2"/>
      <c r="V4886" s="2"/>
      <c r="W4886" s="2"/>
      <c r="X4886" s="19"/>
      <c r="Y4886" s="2"/>
      <c r="Z4886" s="5"/>
    </row>
    <row r="4887" spans="7:26" ht="75.75" customHeight="1" x14ac:dyDescent="0.25">
      <c r="G4887" s="5"/>
      <c r="H4887" s="2"/>
      <c r="I4887" s="2"/>
      <c r="K4887" s="2"/>
      <c r="L4887" s="2"/>
      <c r="M4887" s="2"/>
      <c r="N4887" s="2"/>
      <c r="O4887" s="2"/>
      <c r="P4887" s="2"/>
      <c r="Q4887" s="2"/>
      <c r="R4887" s="2"/>
      <c r="S4887" s="2"/>
      <c r="T4887" s="19"/>
      <c r="U4887" s="2"/>
      <c r="V4887" s="2"/>
      <c r="W4887" s="2"/>
      <c r="X4887" s="19"/>
      <c r="Y4887" s="2"/>
      <c r="Z4887" s="5"/>
    </row>
    <row r="4888" spans="7:26" ht="75.75" customHeight="1" x14ac:dyDescent="0.25">
      <c r="G4888" s="5"/>
      <c r="H4888" s="2"/>
      <c r="I4888" s="2"/>
      <c r="K4888" s="2"/>
      <c r="L4888" s="2"/>
      <c r="M4888" s="2"/>
      <c r="N4888" s="2"/>
      <c r="O4888" s="2"/>
      <c r="P4888" s="2"/>
      <c r="Q4888" s="2"/>
      <c r="R4888" s="2"/>
      <c r="S4888" s="2"/>
      <c r="T4888" s="19"/>
      <c r="U4888" s="2"/>
      <c r="V4888" s="2"/>
      <c r="W4888" s="2"/>
      <c r="X4888" s="19"/>
      <c r="Y4888" s="2"/>
      <c r="Z4888" s="5"/>
    </row>
    <row r="4889" spans="7:26" ht="75.75" customHeight="1" x14ac:dyDescent="0.25">
      <c r="G4889" s="5"/>
      <c r="H4889" s="2"/>
      <c r="I4889" s="2"/>
      <c r="K4889" s="2"/>
      <c r="L4889" s="2"/>
      <c r="M4889" s="2"/>
      <c r="N4889" s="2"/>
      <c r="O4889" s="2"/>
      <c r="P4889" s="2"/>
      <c r="Q4889" s="2"/>
      <c r="R4889" s="2"/>
      <c r="S4889" s="2"/>
      <c r="T4889" s="19"/>
      <c r="U4889" s="2"/>
      <c r="V4889" s="2"/>
      <c r="W4889" s="2"/>
      <c r="X4889" s="19"/>
      <c r="Y4889" s="2"/>
      <c r="Z4889" s="5"/>
    </row>
    <row r="4890" spans="7:26" ht="75.75" customHeight="1" x14ac:dyDescent="0.25">
      <c r="G4890" s="5"/>
      <c r="H4890" s="2"/>
      <c r="I4890" s="2"/>
      <c r="K4890" s="2"/>
      <c r="L4890" s="2"/>
      <c r="M4890" s="2"/>
      <c r="N4890" s="2"/>
      <c r="O4890" s="2"/>
      <c r="P4890" s="2"/>
      <c r="Q4890" s="2"/>
      <c r="R4890" s="2"/>
      <c r="S4890" s="2"/>
      <c r="T4890" s="19"/>
      <c r="U4890" s="2"/>
      <c r="V4890" s="2"/>
      <c r="W4890" s="2"/>
      <c r="X4890" s="19"/>
      <c r="Y4890" s="2"/>
      <c r="Z4890" s="5"/>
    </row>
    <row r="4891" spans="7:26" ht="75.75" customHeight="1" x14ac:dyDescent="0.25">
      <c r="G4891" s="5"/>
      <c r="H4891" s="2"/>
      <c r="I4891" s="2"/>
      <c r="K4891" s="2"/>
      <c r="L4891" s="2"/>
      <c r="M4891" s="2"/>
      <c r="N4891" s="2"/>
      <c r="O4891" s="2"/>
      <c r="P4891" s="2"/>
      <c r="Q4891" s="2"/>
      <c r="R4891" s="2"/>
      <c r="S4891" s="2"/>
      <c r="T4891" s="19"/>
      <c r="U4891" s="2"/>
      <c r="V4891" s="2"/>
      <c r="W4891" s="2"/>
      <c r="X4891" s="19"/>
      <c r="Y4891" s="2"/>
      <c r="Z4891" s="5"/>
    </row>
    <row r="4892" spans="7:26" ht="75.75" customHeight="1" x14ac:dyDescent="0.25">
      <c r="G4892" s="5"/>
      <c r="H4892" s="2"/>
      <c r="I4892" s="2"/>
      <c r="K4892" s="2"/>
      <c r="L4892" s="2"/>
      <c r="M4892" s="2"/>
      <c r="N4892" s="2"/>
      <c r="O4892" s="2"/>
      <c r="P4892" s="2"/>
      <c r="Q4892" s="2"/>
      <c r="R4892" s="2"/>
      <c r="S4892" s="2"/>
      <c r="T4892" s="19"/>
      <c r="U4892" s="2"/>
      <c r="V4892" s="2"/>
      <c r="W4892" s="2"/>
      <c r="X4892" s="19"/>
      <c r="Y4892" s="2"/>
      <c r="Z4892" s="5"/>
    </row>
    <row r="4893" spans="7:26" ht="75.75" customHeight="1" x14ac:dyDescent="0.25">
      <c r="G4893" s="5"/>
      <c r="H4893" s="2"/>
      <c r="I4893" s="2"/>
      <c r="K4893" s="2"/>
      <c r="L4893" s="2"/>
      <c r="M4893" s="2"/>
      <c r="N4893" s="2"/>
      <c r="O4893" s="2"/>
      <c r="P4893" s="2"/>
      <c r="Q4893" s="2"/>
      <c r="R4893" s="2"/>
      <c r="S4893" s="2"/>
      <c r="T4893" s="19"/>
      <c r="U4893" s="2"/>
      <c r="V4893" s="2"/>
      <c r="W4893" s="2"/>
      <c r="X4893" s="19"/>
      <c r="Y4893" s="2"/>
      <c r="Z4893" s="5"/>
    </row>
    <row r="4894" spans="7:26" ht="75.75" customHeight="1" x14ac:dyDescent="0.25">
      <c r="G4894" s="5"/>
      <c r="H4894" s="2"/>
      <c r="I4894" s="2"/>
      <c r="K4894" s="2"/>
      <c r="L4894" s="2"/>
      <c r="M4894" s="2"/>
      <c r="N4894" s="2"/>
      <c r="O4894" s="2"/>
      <c r="P4894" s="2"/>
      <c r="Q4894" s="2"/>
      <c r="R4894" s="2"/>
      <c r="S4894" s="2"/>
      <c r="T4894" s="19"/>
      <c r="U4894" s="2"/>
      <c r="V4894" s="2"/>
      <c r="W4894" s="2"/>
      <c r="X4894" s="19"/>
      <c r="Y4894" s="2"/>
      <c r="Z4894" s="5"/>
    </row>
    <row r="4895" spans="7:26" ht="75.75" customHeight="1" x14ac:dyDescent="0.25">
      <c r="G4895" s="5"/>
      <c r="H4895" s="2"/>
      <c r="I4895" s="2"/>
      <c r="K4895" s="2"/>
      <c r="L4895" s="2"/>
      <c r="M4895" s="2"/>
      <c r="N4895" s="2"/>
      <c r="O4895" s="2"/>
      <c r="P4895" s="2"/>
      <c r="Q4895" s="2"/>
      <c r="R4895" s="2"/>
      <c r="S4895" s="2"/>
      <c r="T4895" s="19"/>
      <c r="U4895" s="2"/>
      <c r="V4895" s="2"/>
      <c r="W4895" s="2"/>
      <c r="X4895" s="19"/>
      <c r="Y4895" s="2"/>
      <c r="Z4895" s="5"/>
    </row>
    <row r="4896" spans="7:26" ht="75.75" customHeight="1" x14ac:dyDescent="0.25">
      <c r="G4896" s="5"/>
      <c r="H4896" s="2"/>
      <c r="I4896" s="2"/>
      <c r="K4896" s="2"/>
      <c r="L4896" s="2"/>
      <c r="M4896" s="2"/>
      <c r="N4896" s="2"/>
      <c r="O4896" s="2"/>
      <c r="P4896" s="2"/>
      <c r="Q4896" s="2"/>
      <c r="R4896" s="2"/>
      <c r="S4896" s="2"/>
      <c r="T4896" s="19"/>
      <c r="U4896" s="2"/>
      <c r="V4896" s="2"/>
      <c r="W4896" s="2"/>
      <c r="X4896" s="19"/>
      <c r="Y4896" s="2"/>
      <c r="Z4896" s="5"/>
    </row>
    <row r="4897" spans="7:26" ht="75.75" customHeight="1" x14ac:dyDescent="0.25">
      <c r="G4897" s="5"/>
      <c r="H4897" s="2"/>
      <c r="I4897" s="2"/>
      <c r="K4897" s="2"/>
      <c r="L4897" s="2"/>
      <c r="M4897" s="2"/>
      <c r="N4897" s="2"/>
      <c r="O4897" s="2"/>
      <c r="P4897" s="2"/>
      <c r="Q4897" s="2"/>
      <c r="R4897" s="2"/>
      <c r="S4897" s="2"/>
      <c r="T4897" s="19"/>
      <c r="U4897" s="2"/>
      <c r="V4897" s="2"/>
      <c r="W4897" s="2"/>
      <c r="X4897" s="19"/>
      <c r="Y4897" s="2"/>
      <c r="Z4897" s="5"/>
    </row>
    <row r="4898" spans="7:26" ht="75.75" customHeight="1" x14ac:dyDescent="0.25">
      <c r="G4898" s="5"/>
      <c r="H4898" s="2"/>
      <c r="I4898" s="2"/>
      <c r="K4898" s="2"/>
      <c r="L4898" s="2"/>
      <c r="M4898" s="2"/>
      <c r="N4898" s="2"/>
      <c r="O4898" s="2"/>
      <c r="P4898" s="2"/>
      <c r="Q4898" s="2"/>
      <c r="R4898" s="2"/>
      <c r="S4898" s="2"/>
      <c r="T4898" s="19"/>
      <c r="U4898" s="2"/>
      <c r="V4898" s="2"/>
      <c r="W4898" s="2"/>
      <c r="X4898" s="19"/>
      <c r="Y4898" s="2"/>
      <c r="Z4898" s="5"/>
    </row>
    <row r="4899" spans="7:26" ht="75.75" customHeight="1" x14ac:dyDescent="0.25">
      <c r="G4899" s="5"/>
      <c r="H4899" s="2"/>
      <c r="I4899" s="2"/>
      <c r="K4899" s="2"/>
      <c r="L4899" s="2"/>
      <c r="M4899" s="2"/>
      <c r="N4899" s="2"/>
      <c r="O4899" s="2"/>
      <c r="P4899" s="2"/>
      <c r="Q4899" s="2"/>
      <c r="R4899" s="2"/>
      <c r="S4899" s="2"/>
      <c r="T4899" s="19"/>
      <c r="U4899" s="2"/>
      <c r="V4899" s="2"/>
      <c r="W4899" s="2"/>
      <c r="X4899" s="19"/>
      <c r="Y4899" s="2"/>
      <c r="Z4899" s="5"/>
    </row>
    <row r="4900" spans="7:26" ht="75.75" customHeight="1" x14ac:dyDescent="0.25">
      <c r="G4900" s="5"/>
      <c r="H4900" s="2"/>
      <c r="I4900" s="2"/>
      <c r="K4900" s="2"/>
      <c r="L4900" s="2"/>
      <c r="M4900" s="2"/>
      <c r="N4900" s="2"/>
      <c r="O4900" s="2"/>
      <c r="P4900" s="2"/>
      <c r="Q4900" s="2"/>
      <c r="R4900" s="2"/>
      <c r="S4900" s="2"/>
      <c r="T4900" s="19"/>
      <c r="U4900" s="2"/>
      <c r="V4900" s="2"/>
      <c r="W4900" s="2"/>
      <c r="X4900" s="19"/>
      <c r="Y4900" s="2"/>
      <c r="Z4900" s="5"/>
    </row>
    <row r="4901" spans="7:26" ht="75.75" customHeight="1" x14ac:dyDescent="0.25">
      <c r="G4901" s="5"/>
      <c r="H4901" s="2"/>
      <c r="I4901" s="2"/>
      <c r="K4901" s="2"/>
      <c r="L4901" s="2"/>
      <c r="M4901" s="2"/>
      <c r="N4901" s="2"/>
      <c r="O4901" s="2"/>
      <c r="P4901" s="2"/>
      <c r="Q4901" s="2"/>
      <c r="R4901" s="2"/>
      <c r="S4901" s="2"/>
      <c r="T4901" s="19"/>
      <c r="U4901" s="2"/>
      <c r="V4901" s="2"/>
      <c r="W4901" s="2"/>
      <c r="X4901" s="19"/>
      <c r="Y4901" s="2"/>
      <c r="Z4901" s="5"/>
    </row>
    <row r="4902" spans="7:26" ht="75.75" customHeight="1" x14ac:dyDescent="0.25">
      <c r="G4902" s="5"/>
      <c r="H4902" s="2"/>
      <c r="I4902" s="2"/>
      <c r="K4902" s="2"/>
      <c r="L4902" s="2"/>
      <c r="M4902" s="2"/>
      <c r="N4902" s="2"/>
      <c r="O4902" s="2"/>
      <c r="P4902" s="2"/>
      <c r="Q4902" s="2"/>
      <c r="R4902" s="2"/>
      <c r="S4902" s="2"/>
      <c r="T4902" s="19"/>
      <c r="U4902" s="2"/>
      <c r="V4902" s="2"/>
      <c r="W4902" s="2"/>
      <c r="X4902" s="19"/>
      <c r="Y4902" s="2"/>
      <c r="Z4902" s="5"/>
    </row>
    <row r="4903" spans="7:26" ht="75.75" customHeight="1" x14ac:dyDescent="0.25">
      <c r="G4903" s="5"/>
      <c r="H4903" s="2"/>
      <c r="I4903" s="2"/>
      <c r="K4903" s="2"/>
      <c r="L4903" s="2"/>
      <c r="M4903" s="2"/>
      <c r="N4903" s="2"/>
      <c r="O4903" s="2"/>
      <c r="P4903" s="2"/>
      <c r="Q4903" s="2"/>
      <c r="R4903" s="2"/>
      <c r="S4903" s="2"/>
      <c r="T4903" s="19"/>
      <c r="U4903" s="2"/>
      <c r="V4903" s="2"/>
      <c r="W4903" s="2"/>
      <c r="X4903" s="19"/>
      <c r="Y4903" s="2"/>
      <c r="Z4903" s="5"/>
    </row>
    <row r="4904" spans="7:26" ht="75.75" customHeight="1" x14ac:dyDescent="0.25">
      <c r="G4904" s="5"/>
      <c r="H4904" s="2"/>
      <c r="I4904" s="2"/>
      <c r="K4904" s="2"/>
      <c r="L4904" s="2"/>
      <c r="M4904" s="2"/>
      <c r="N4904" s="2"/>
      <c r="O4904" s="2"/>
      <c r="P4904" s="2"/>
      <c r="Q4904" s="2"/>
      <c r="R4904" s="2"/>
      <c r="S4904" s="2"/>
      <c r="T4904" s="19"/>
      <c r="U4904" s="2"/>
      <c r="V4904" s="2"/>
      <c r="W4904" s="2"/>
      <c r="X4904" s="19"/>
      <c r="Y4904" s="2"/>
      <c r="Z4904" s="5"/>
    </row>
    <row r="4905" spans="7:26" ht="75.75" customHeight="1" x14ac:dyDescent="0.25">
      <c r="G4905" s="5"/>
      <c r="H4905" s="2"/>
      <c r="I4905" s="2"/>
      <c r="K4905" s="2"/>
      <c r="L4905" s="2"/>
      <c r="M4905" s="2"/>
      <c r="N4905" s="2"/>
      <c r="O4905" s="2"/>
      <c r="P4905" s="2"/>
      <c r="Q4905" s="2"/>
      <c r="R4905" s="2"/>
      <c r="S4905" s="2"/>
      <c r="T4905" s="19"/>
      <c r="U4905" s="2"/>
      <c r="V4905" s="2"/>
      <c r="W4905" s="2"/>
      <c r="X4905" s="19"/>
      <c r="Y4905" s="2"/>
      <c r="Z4905" s="5"/>
    </row>
    <row r="4906" spans="7:26" ht="75.75" customHeight="1" x14ac:dyDescent="0.25">
      <c r="G4906" s="5"/>
      <c r="H4906" s="2"/>
      <c r="I4906" s="2"/>
      <c r="K4906" s="2"/>
      <c r="L4906" s="2"/>
      <c r="M4906" s="2"/>
      <c r="N4906" s="2"/>
      <c r="O4906" s="2"/>
      <c r="P4906" s="2"/>
      <c r="Q4906" s="2"/>
      <c r="R4906" s="2"/>
      <c r="S4906" s="2"/>
      <c r="T4906" s="19"/>
      <c r="U4906" s="2"/>
      <c r="V4906" s="2"/>
      <c r="W4906" s="2"/>
      <c r="X4906" s="19"/>
      <c r="Y4906" s="2"/>
      <c r="Z4906" s="5"/>
    </row>
    <row r="4907" spans="7:26" ht="75.75" customHeight="1" x14ac:dyDescent="0.25">
      <c r="G4907" s="5"/>
      <c r="H4907" s="2"/>
      <c r="I4907" s="2"/>
      <c r="K4907" s="2"/>
      <c r="L4907" s="2"/>
      <c r="M4907" s="2"/>
      <c r="N4907" s="2"/>
      <c r="O4907" s="2"/>
      <c r="P4907" s="2"/>
      <c r="Q4907" s="2"/>
      <c r="R4907" s="2"/>
      <c r="S4907" s="2"/>
      <c r="T4907" s="19"/>
      <c r="U4907" s="2"/>
      <c r="V4907" s="2"/>
      <c r="W4907" s="2"/>
      <c r="X4907" s="19"/>
      <c r="Y4907" s="2"/>
      <c r="Z4907" s="5"/>
    </row>
    <row r="4908" spans="7:26" ht="75.75" customHeight="1" x14ac:dyDescent="0.25">
      <c r="G4908" s="5"/>
      <c r="H4908" s="2"/>
      <c r="I4908" s="2"/>
      <c r="K4908" s="2"/>
      <c r="L4908" s="2"/>
      <c r="M4908" s="2"/>
      <c r="N4908" s="2"/>
      <c r="O4908" s="2"/>
      <c r="P4908" s="2"/>
      <c r="Q4908" s="2"/>
      <c r="R4908" s="2"/>
      <c r="S4908" s="2"/>
      <c r="T4908" s="19"/>
      <c r="U4908" s="2"/>
      <c r="V4908" s="2"/>
      <c r="W4908" s="2"/>
      <c r="X4908" s="19"/>
      <c r="Y4908" s="2"/>
      <c r="Z4908" s="5"/>
    </row>
    <row r="4909" spans="7:26" ht="75.75" customHeight="1" x14ac:dyDescent="0.25">
      <c r="G4909" s="5"/>
      <c r="H4909" s="2"/>
      <c r="I4909" s="2"/>
      <c r="K4909" s="2"/>
      <c r="L4909" s="2"/>
      <c r="M4909" s="2"/>
      <c r="N4909" s="2"/>
      <c r="O4909" s="2"/>
      <c r="P4909" s="2"/>
      <c r="Q4909" s="2"/>
      <c r="R4909" s="2"/>
      <c r="S4909" s="2"/>
      <c r="T4909" s="19"/>
      <c r="U4909" s="2"/>
      <c r="V4909" s="2"/>
      <c r="W4909" s="2"/>
      <c r="X4909" s="19"/>
      <c r="Y4909" s="2"/>
      <c r="Z4909" s="5"/>
    </row>
    <row r="4910" spans="7:26" ht="75.75" customHeight="1" x14ac:dyDescent="0.25">
      <c r="G4910" s="5"/>
      <c r="H4910" s="2"/>
      <c r="I4910" s="2"/>
      <c r="K4910" s="2"/>
      <c r="L4910" s="2"/>
      <c r="M4910" s="2"/>
      <c r="N4910" s="2"/>
      <c r="O4910" s="2"/>
      <c r="P4910" s="2"/>
      <c r="Q4910" s="2"/>
      <c r="R4910" s="2"/>
      <c r="S4910" s="2"/>
      <c r="T4910" s="19"/>
      <c r="U4910" s="2"/>
      <c r="V4910" s="2"/>
      <c r="W4910" s="2"/>
      <c r="X4910" s="19"/>
      <c r="Y4910" s="2"/>
      <c r="Z4910" s="5"/>
    </row>
    <row r="4911" spans="7:26" ht="75.75" customHeight="1" x14ac:dyDescent="0.25">
      <c r="G4911" s="5"/>
      <c r="H4911" s="2"/>
      <c r="I4911" s="2"/>
      <c r="K4911" s="2"/>
      <c r="L4911" s="2"/>
      <c r="M4911" s="2"/>
      <c r="N4911" s="2"/>
      <c r="O4911" s="2"/>
      <c r="P4911" s="2"/>
      <c r="Q4911" s="2"/>
      <c r="R4911" s="2"/>
      <c r="S4911" s="2"/>
      <c r="T4911" s="19"/>
      <c r="U4911" s="2"/>
      <c r="V4911" s="2"/>
      <c r="W4911" s="2"/>
      <c r="X4911" s="19"/>
      <c r="Y4911" s="2"/>
      <c r="Z4911" s="5"/>
    </row>
    <row r="4912" spans="7:26" ht="75.75" customHeight="1" x14ac:dyDescent="0.25">
      <c r="G4912" s="5"/>
      <c r="H4912" s="2"/>
      <c r="I4912" s="2"/>
      <c r="K4912" s="2"/>
      <c r="L4912" s="2"/>
      <c r="M4912" s="2"/>
      <c r="N4912" s="2"/>
      <c r="O4912" s="2"/>
      <c r="P4912" s="2"/>
      <c r="Q4912" s="2"/>
      <c r="R4912" s="2"/>
      <c r="S4912" s="2"/>
      <c r="T4912" s="19"/>
      <c r="U4912" s="2"/>
      <c r="V4912" s="2"/>
      <c r="W4912" s="2"/>
      <c r="X4912" s="19"/>
      <c r="Y4912" s="2"/>
      <c r="Z4912" s="5"/>
    </row>
    <row r="4913" spans="7:26" ht="75.75" customHeight="1" x14ac:dyDescent="0.25">
      <c r="G4913" s="5"/>
      <c r="H4913" s="2"/>
      <c r="I4913" s="2"/>
      <c r="K4913" s="2"/>
      <c r="L4913" s="2"/>
      <c r="M4913" s="2"/>
      <c r="N4913" s="2"/>
      <c r="O4913" s="2"/>
      <c r="P4913" s="2"/>
      <c r="Q4913" s="2"/>
      <c r="R4913" s="2"/>
      <c r="S4913" s="2"/>
      <c r="T4913" s="19"/>
      <c r="U4913" s="2"/>
      <c r="V4913" s="2"/>
      <c r="W4913" s="2"/>
      <c r="X4913" s="19"/>
      <c r="Y4913" s="2"/>
      <c r="Z4913" s="5"/>
    </row>
    <row r="4914" spans="7:26" ht="75.75" customHeight="1" x14ac:dyDescent="0.25">
      <c r="G4914" s="5"/>
      <c r="H4914" s="2"/>
      <c r="I4914" s="2"/>
      <c r="K4914" s="2"/>
      <c r="L4914" s="2"/>
      <c r="M4914" s="2"/>
      <c r="N4914" s="2"/>
      <c r="O4914" s="2"/>
      <c r="P4914" s="2"/>
      <c r="Q4914" s="2"/>
      <c r="R4914" s="2"/>
      <c r="S4914" s="2"/>
      <c r="T4914" s="19"/>
      <c r="U4914" s="2"/>
      <c r="V4914" s="2"/>
      <c r="W4914" s="2"/>
      <c r="X4914" s="19"/>
      <c r="Y4914" s="2"/>
      <c r="Z4914" s="5"/>
    </row>
    <row r="4915" spans="7:26" ht="75.75" customHeight="1" x14ac:dyDescent="0.25">
      <c r="G4915" s="5"/>
      <c r="H4915" s="2"/>
      <c r="I4915" s="2"/>
      <c r="K4915" s="2"/>
      <c r="L4915" s="2"/>
      <c r="M4915" s="2"/>
      <c r="N4915" s="2"/>
      <c r="O4915" s="2"/>
      <c r="P4915" s="2"/>
      <c r="Q4915" s="2"/>
      <c r="R4915" s="2"/>
      <c r="S4915" s="2"/>
      <c r="T4915" s="19"/>
      <c r="U4915" s="2"/>
      <c r="V4915" s="2"/>
      <c r="W4915" s="2"/>
      <c r="X4915" s="19"/>
      <c r="Y4915" s="2"/>
      <c r="Z4915" s="5"/>
    </row>
    <row r="4916" spans="7:26" ht="75.75" customHeight="1" x14ac:dyDescent="0.25">
      <c r="G4916" s="5"/>
      <c r="H4916" s="2"/>
      <c r="I4916" s="2"/>
      <c r="K4916" s="2"/>
      <c r="L4916" s="2"/>
      <c r="M4916" s="2"/>
      <c r="N4916" s="2"/>
      <c r="O4916" s="2"/>
      <c r="P4916" s="2"/>
      <c r="Q4916" s="2"/>
      <c r="R4916" s="2"/>
      <c r="S4916" s="2"/>
      <c r="T4916" s="19"/>
      <c r="U4916" s="2"/>
      <c r="V4916" s="2"/>
      <c r="W4916" s="2"/>
      <c r="X4916" s="19"/>
      <c r="Y4916" s="2"/>
      <c r="Z4916" s="5"/>
    </row>
    <row r="4917" spans="7:26" ht="75.75" customHeight="1" x14ac:dyDescent="0.25">
      <c r="G4917" s="5"/>
      <c r="H4917" s="2"/>
      <c r="I4917" s="2"/>
      <c r="K4917" s="2"/>
      <c r="L4917" s="2"/>
      <c r="M4917" s="2"/>
      <c r="N4917" s="2"/>
      <c r="O4917" s="2"/>
      <c r="P4917" s="2"/>
      <c r="Q4917" s="2"/>
      <c r="R4917" s="2"/>
      <c r="S4917" s="2"/>
      <c r="T4917" s="19"/>
      <c r="U4917" s="2"/>
      <c r="V4917" s="2"/>
      <c r="W4917" s="2"/>
      <c r="X4917" s="19"/>
      <c r="Y4917" s="2"/>
      <c r="Z4917" s="5"/>
    </row>
    <row r="4918" spans="7:26" ht="75.75" customHeight="1" x14ac:dyDescent="0.25">
      <c r="G4918" s="5"/>
      <c r="H4918" s="2"/>
      <c r="I4918" s="2"/>
      <c r="K4918" s="2"/>
      <c r="L4918" s="2"/>
      <c r="M4918" s="2"/>
      <c r="N4918" s="2"/>
      <c r="O4918" s="2"/>
      <c r="P4918" s="2"/>
      <c r="Q4918" s="2"/>
      <c r="R4918" s="2"/>
      <c r="S4918" s="2"/>
      <c r="T4918" s="19"/>
      <c r="U4918" s="2"/>
      <c r="V4918" s="2"/>
      <c r="W4918" s="2"/>
      <c r="X4918" s="19"/>
      <c r="Y4918" s="2"/>
      <c r="Z4918" s="5"/>
    </row>
    <row r="4919" spans="7:26" ht="75.75" customHeight="1" x14ac:dyDescent="0.25">
      <c r="G4919" s="5"/>
      <c r="H4919" s="2"/>
      <c r="I4919" s="2"/>
      <c r="K4919" s="2"/>
      <c r="L4919" s="2"/>
      <c r="M4919" s="2"/>
      <c r="N4919" s="2"/>
      <c r="O4919" s="2"/>
      <c r="P4919" s="2"/>
      <c r="Q4919" s="2"/>
      <c r="R4919" s="2"/>
      <c r="S4919" s="2"/>
      <c r="T4919" s="19"/>
      <c r="U4919" s="2"/>
      <c r="V4919" s="2"/>
      <c r="W4919" s="2"/>
      <c r="X4919" s="19"/>
      <c r="Y4919" s="2"/>
      <c r="Z4919" s="5"/>
    </row>
    <row r="4920" spans="7:26" ht="75.75" customHeight="1" x14ac:dyDescent="0.25">
      <c r="G4920" s="5"/>
      <c r="H4920" s="2"/>
      <c r="I4920" s="2"/>
      <c r="K4920" s="2"/>
      <c r="L4920" s="2"/>
      <c r="M4920" s="2"/>
      <c r="N4920" s="2"/>
      <c r="O4920" s="2"/>
      <c r="P4920" s="2"/>
      <c r="Q4920" s="2"/>
      <c r="R4920" s="2"/>
      <c r="S4920" s="2"/>
      <c r="T4920" s="19"/>
      <c r="U4920" s="2"/>
      <c r="V4920" s="2"/>
      <c r="W4920" s="2"/>
      <c r="X4920" s="19"/>
      <c r="Y4920" s="2"/>
      <c r="Z4920" s="5"/>
    </row>
    <row r="4921" spans="7:26" ht="75.75" customHeight="1" x14ac:dyDescent="0.25">
      <c r="G4921" s="5"/>
      <c r="H4921" s="2"/>
      <c r="I4921" s="2"/>
      <c r="K4921" s="2"/>
      <c r="L4921" s="2"/>
      <c r="M4921" s="2"/>
      <c r="N4921" s="2"/>
      <c r="O4921" s="2"/>
      <c r="P4921" s="2"/>
      <c r="Q4921" s="2"/>
      <c r="R4921" s="2"/>
      <c r="S4921" s="2"/>
      <c r="T4921" s="19"/>
      <c r="U4921" s="2"/>
      <c r="V4921" s="2"/>
      <c r="W4921" s="2"/>
      <c r="X4921" s="19"/>
      <c r="Y4921" s="2"/>
      <c r="Z4921" s="5"/>
    </row>
    <row r="4922" spans="7:26" ht="75.75" customHeight="1" x14ac:dyDescent="0.25">
      <c r="G4922" s="5"/>
      <c r="H4922" s="2"/>
      <c r="I4922" s="2"/>
      <c r="K4922" s="2"/>
      <c r="L4922" s="2"/>
      <c r="M4922" s="2"/>
      <c r="N4922" s="2"/>
      <c r="O4922" s="2"/>
      <c r="P4922" s="2"/>
      <c r="Q4922" s="2"/>
      <c r="R4922" s="2"/>
      <c r="S4922" s="2"/>
      <c r="T4922" s="19"/>
      <c r="U4922" s="2"/>
      <c r="V4922" s="2"/>
      <c r="W4922" s="2"/>
      <c r="X4922" s="19"/>
      <c r="Y4922" s="2"/>
      <c r="Z4922" s="5"/>
    </row>
    <row r="4923" spans="7:26" ht="75.75" customHeight="1" x14ac:dyDescent="0.25">
      <c r="G4923" s="5"/>
      <c r="H4923" s="2"/>
      <c r="I4923" s="2"/>
      <c r="K4923" s="2"/>
      <c r="L4923" s="2"/>
      <c r="M4923" s="2"/>
      <c r="N4923" s="2"/>
      <c r="O4923" s="2"/>
      <c r="P4923" s="2"/>
      <c r="Q4923" s="2"/>
      <c r="R4923" s="2"/>
      <c r="S4923" s="2"/>
      <c r="T4923" s="19"/>
      <c r="U4923" s="2"/>
      <c r="V4923" s="2"/>
      <c r="W4923" s="2"/>
      <c r="X4923" s="19"/>
      <c r="Y4923" s="2"/>
      <c r="Z4923" s="5"/>
    </row>
    <row r="4924" spans="7:26" ht="75.75" customHeight="1" x14ac:dyDescent="0.25">
      <c r="G4924" s="5"/>
      <c r="H4924" s="2"/>
      <c r="I4924" s="2"/>
      <c r="K4924" s="2"/>
      <c r="L4924" s="2"/>
      <c r="M4924" s="2"/>
      <c r="N4924" s="2"/>
      <c r="O4924" s="2"/>
      <c r="P4924" s="2"/>
      <c r="Q4924" s="2"/>
      <c r="R4924" s="2"/>
      <c r="S4924" s="2"/>
      <c r="T4924" s="19"/>
      <c r="U4924" s="2"/>
      <c r="V4924" s="2"/>
      <c r="W4924" s="2"/>
      <c r="X4924" s="19"/>
      <c r="Y4924" s="2"/>
      <c r="Z4924" s="5"/>
    </row>
    <row r="4925" spans="7:26" ht="75.75" customHeight="1" x14ac:dyDescent="0.25">
      <c r="G4925" s="5"/>
      <c r="H4925" s="2"/>
      <c r="I4925" s="2"/>
      <c r="K4925" s="2"/>
      <c r="L4925" s="2"/>
      <c r="M4925" s="2"/>
      <c r="N4925" s="2"/>
      <c r="O4925" s="2"/>
      <c r="P4925" s="2"/>
      <c r="Q4925" s="2"/>
      <c r="R4925" s="2"/>
      <c r="S4925" s="2"/>
      <c r="T4925" s="19"/>
      <c r="U4925" s="2"/>
      <c r="V4925" s="2"/>
      <c r="W4925" s="2"/>
      <c r="X4925" s="19"/>
      <c r="Y4925" s="2"/>
      <c r="Z4925" s="5"/>
    </row>
    <row r="4926" spans="7:26" ht="75.75" customHeight="1" x14ac:dyDescent="0.25">
      <c r="G4926" s="5"/>
      <c r="H4926" s="2"/>
      <c r="I4926" s="2"/>
      <c r="K4926" s="2"/>
      <c r="L4926" s="2"/>
      <c r="M4926" s="2"/>
      <c r="N4926" s="2"/>
      <c r="O4926" s="2"/>
      <c r="P4926" s="2"/>
      <c r="Q4926" s="2"/>
      <c r="R4926" s="2"/>
      <c r="S4926" s="2"/>
      <c r="T4926" s="19"/>
      <c r="U4926" s="2"/>
      <c r="V4926" s="2"/>
      <c r="W4926" s="2"/>
      <c r="X4926" s="19"/>
      <c r="Y4926" s="2"/>
      <c r="Z4926" s="5"/>
    </row>
    <row r="4927" spans="7:26" ht="75.75" customHeight="1" x14ac:dyDescent="0.25">
      <c r="G4927" s="5"/>
      <c r="H4927" s="2"/>
      <c r="I4927" s="2"/>
      <c r="K4927" s="2"/>
      <c r="L4927" s="2"/>
      <c r="M4927" s="2"/>
      <c r="N4927" s="2"/>
      <c r="O4927" s="2"/>
      <c r="P4927" s="2"/>
      <c r="Q4927" s="2"/>
      <c r="R4927" s="2"/>
      <c r="S4927" s="2"/>
      <c r="T4927" s="19"/>
      <c r="U4927" s="2"/>
      <c r="V4927" s="2"/>
      <c r="W4927" s="2"/>
      <c r="X4927" s="19"/>
      <c r="Y4927" s="2"/>
      <c r="Z4927" s="5"/>
    </row>
    <row r="4928" spans="7:26" ht="75.75" customHeight="1" x14ac:dyDescent="0.25">
      <c r="G4928" s="5"/>
      <c r="H4928" s="2"/>
      <c r="I4928" s="2"/>
      <c r="K4928" s="2"/>
      <c r="L4928" s="2"/>
      <c r="M4928" s="2"/>
      <c r="N4928" s="2"/>
      <c r="O4928" s="2"/>
      <c r="P4928" s="2"/>
      <c r="Q4928" s="2"/>
      <c r="R4928" s="2"/>
      <c r="S4928" s="2"/>
      <c r="T4928" s="19"/>
      <c r="U4928" s="2"/>
      <c r="V4928" s="2"/>
      <c r="W4928" s="2"/>
      <c r="X4928" s="19"/>
      <c r="Y4928" s="2"/>
      <c r="Z4928" s="5"/>
    </row>
    <row r="4929" spans="7:26" ht="75.75" customHeight="1" x14ac:dyDescent="0.25">
      <c r="G4929" s="5"/>
      <c r="H4929" s="2"/>
      <c r="I4929" s="2"/>
      <c r="K4929" s="2"/>
      <c r="L4929" s="2"/>
      <c r="M4929" s="2"/>
      <c r="N4929" s="2"/>
      <c r="O4929" s="2"/>
      <c r="P4929" s="2"/>
      <c r="Q4929" s="2"/>
      <c r="R4929" s="2"/>
      <c r="S4929" s="2"/>
      <c r="T4929" s="19"/>
      <c r="U4929" s="2"/>
      <c r="V4929" s="2"/>
      <c r="W4929" s="2"/>
      <c r="X4929" s="19"/>
      <c r="Y4929" s="2"/>
      <c r="Z4929" s="5"/>
    </row>
    <row r="4930" spans="7:26" ht="75.75" customHeight="1" x14ac:dyDescent="0.25">
      <c r="G4930" s="5"/>
      <c r="H4930" s="2"/>
      <c r="I4930" s="2"/>
      <c r="K4930" s="2"/>
      <c r="L4930" s="2"/>
      <c r="M4930" s="2"/>
      <c r="N4930" s="2"/>
      <c r="O4930" s="2"/>
      <c r="P4930" s="2"/>
      <c r="Q4930" s="2"/>
      <c r="R4930" s="2"/>
      <c r="S4930" s="2"/>
      <c r="T4930" s="19"/>
      <c r="U4930" s="2"/>
      <c r="V4930" s="2"/>
      <c r="W4930" s="2"/>
      <c r="X4930" s="19"/>
      <c r="Y4930" s="2"/>
      <c r="Z4930" s="5"/>
    </row>
    <row r="4931" spans="7:26" ht="75.75" customHeight="1" x14ac:dyDescent="0.25">
      <c r="G4931" s="5"/>
      <c r="H4931" s="2"/>
      <c r="I4931" s="2"/>
      <c r="K4931" s="2"/>
      <c r="L4931" s="2"/>
      <c r="M4931" s="2"/>
      <c r="N4931" s="2"/>
      <c r="O4931" s="2"/>
      <c r="P4931" s="2"/>
      <c r="Q4931" s="2"/>
      <c r="R4931" s="2"/>
      <c r="S4931" s="2"/>
      <c r="T4931" s="19"/>
      <c r="U4931" s="2"/>
      <c r="V4931" s="2"/>
      <c r="W4931" s="2"/>
      <c r="X4931" s="19"/>
      <c r="Y4931" s="2"/>
      <c r="Z4931" s="5"/>
    </row>
    <row r="4932" spans="7:26" ht="75.75" customHeight="1" x14ac:dyDescent="0.25">
      <c r="G4932" s="5"/>
      <c r="H4932" s="2"/>
      <c r="I4932" s="2"/>
      <c r="K4932" s="2"/>
      <c r="L4932" s="2"/>
      <c r="M4932" s="2"/>
      <c r="N4932" s="2"/>
      <c r="O4932" s="2"/>
      <c r="P4932" s="2"/>
      <c r="Q4932" s="2"/>
      <c r="R4932" s="2"/>
      <c r="S4932" s="2"/>
      <c r="T4932" s="19"/>
      <c r="U4932" s="2"/>
      <c r="V4932" s="2"/>
      <c r="W4932" s="2"/>
      <c r="X4932" s="19"/>
      <c r="Y4932" s="2"/>
      <c r="Z4932" s="5"/>
    </row>
    <row r="4933" spans="7:26" ht="75.75" customHeight="1" x14ac:dyDescent="0.25">
      <c r="G4933" s="5"/>
      <c r="H4933" s="2"/>
      <c r="I4933" s="2"/>
      <c r="K4933" s="2"/>
      <c r="L4933" s="2"/>
      <c r="M4933" s="2"/>
      <c r="N4933" s="2"/>
      <c r="O4933" s="2"/>
      <c r="P4933" s="2"/>
      <c r="Q4933" s="2"/>
      <c r="R4933" s="2"/>
      <c r="S4933" s="2"/>
      <c r="T4933" s="19"/>
      <c r="U4933" s="2"/>
      <c r="V4933" s="2"/>
      <c r="W4933" s="2"/>
      <c r="X4933" s="19"/>
      <c r="Y4933" s="2"/>
      <c r="Z4933" s="5"/>
    </row>
    <row r="4934" spans="7:26" ht="75.75" customHeight="1" x14ac:dyDescent="0.25">
      <c r="G4934" s="5"/>
      <c r="H4934" s="2"/>
      <c r="I4934" s="2"/>
      <c r="K4934" s="2"/>
      <c r="L4934" s="2"/>
      <c r="M4934" s="2"/>
      <c r="N4934" s="2"/>
      <c r="O4934" s="2"/>
      <c r="P4934" s="2"/>
      <c r="Q4934" s="2"/>
      <c r="R4934" s="2"/>
      <c r="S4934" s="2"/>
      <c r="T4934" s="19"/>
      <c r="U4934" s="2"/>
      <c r="V4934" s="2"/>
      <c r="W4934" s="2"/>
      <c r="X4934" s="19"/>
      <c r="Y4934" s="2"/>
      <c r="Z4934" s="5"/>
    </row>
    <row r="4935" spans="7:26" ht="75.75" customHeight="1" x14ac:dyDescent="0.25">
      <c r="G4935" s="5"/>
      <c r="H4935" s="2"/>
      <c r="I4935" s="2"/>
      <c r="K4935" s="2"/>
      <c r="L4935" s="2"/>
      <c r="M4935" s="2"/>
      <c r="N4935" s="2"/>
      <c r="O4935" s="2"/>
      <c r="P4935" s="2"/>
      <c r="Q4935" s="2"/>
      <c r="R4935" s="2"/>
      <c r="S4935" s="2"/>
      <c r="T4935" s="19"/>
      <c r="U4935" s="2"/>
      <c r="V4935" s="2"/>
      <c r="W4935" s="2"/>
      <c r="X4935" s="19"/>
      <c r="Y4935" s="2"/>
      <c r="Z4935" s="5"/>
    </row>
    <row r="4936" spans="7:26" ht="75.75" customHeight="1" x14ac:dyDescent="0.25">
      <c r="G4936" s="5"/>
      <c r="H4936" s="2"/>
      <c r="I4936" s="2"/>
      <c r="K4936" s="2"/>
      <c r="L4936" s="2"/>
      <c r="M4936" s="2"/>
      <c r="N4936" s="2"/>
      <c r="O4936" s="2"/>
      <c r="P4936" s="2"/>
      <c r="Q4936" s="2"/>
      <c r="R4936" s="2"/>
      <c r="S4936" s="2"/>
      <c r="T4936" s="19"/>
      <c r="U4936" s="2"/>
      <c r="V4936" s="2"/>
      <c r="W4936" s="2"/>
      <c r="X4936" s="19"/>
      <c r="Y4936" s="2"/>
      <c r="Z4936" s="5"/>
    </row>
    <row r="4937" spans="7:26" ht="75.75" customHeight="1" x14ac:dyDescent="0.25">
      <c r="G4937" s="5"/>
      <c r="H4937" s="2"/>
      <c r="I4937" s="2"/>
      <c r="K4937" s="2"/>
      <c r="L4937" s="2"/>
      <c r="M4937" s="2"/>
      <c r="N4937" s="2"/>
      <c r="O4937" s="2"/>
      <c r="P4937" s="2"/>
      <c r="Q4937" s="2"/>
      <c r="R4937" s="2"/>
      <c r="S4937" s="2"/>
      <c r="T4937" s="19"/>
      <c r="U4937" s="2"/>
      <c r="V4937" s="2"/>
      <c r="W4937" s="2"/>
      <c r="X4937" s="19"/>
      <c r="Y4937" s="2"/>
      <c r="Z4937" s="5"/>
    </row>
    <row r="4938" spans="7:26" ht="75.75" customHeight="1" x14ac:dyDescent="0.25">
      <c r="G4938" s="5"/>
      <c r="H4938" s="2"/>
      <c r="I4938" s="2"/>
      <c r="K4938" s="2"/>
      <c r="L4938" s="2"/>
      <c r="M4938" s="2"/>
      <c r="N4938" s="2"/>
      <c r="O4938" s="2"/>
      <c r="P4938" s="2"/>
      <c r="Q4938" s="2"/>
      <c r="R4938" s="2"/>
      <c r="S4938" s="2"/>
      <c r="T4938" s="19"/>
      <c r="U4938" s="2"/>
      <c r="V4938" s="2"/>
      <c r="W4938" s="2"/>
      <c r="X4938" s="19"/>
      <c r="Y4938" s="2"/>
      <c r="Z4938" s="5"/>
    </row>
    <row r="4939" spans="7:26" ht="75.75" customHeight="1" x14ac:dyDescent="0.25">
      <c r="G4939" s="5"/>
      <c r="H4939" s="2"/>
      <c r="I4939" s="2"/>
      <c r="K4939" s="2"/>
      <c r="L4939" s="2"/>
      <c r="M4939" s="2"/>
      <c r="N4939" s="2"/>
      <c r="O4939" s="2"/>
      <c r="P4939" s="2"/>
      <c r="Q4939" s="2"/>
      <c r="R4939" s="2"/>
      <c r="S4939" s="2"/>
      <c r="T4939" s="19"/>
      <c r="U4939" s="2"/>
      <c r="V4939" s="2"/>
      <c r="W4939" s="2"/>
      <c r="X4939" s="19"/>
      <c r="Y4939" s="2"/>
      <c r="Z4939" s="5"/>
    </row>
    <row r="4940" spans="7:26" ht="75.75" customHeight="1" x14ac:dyDescent="0.25">
      <c r="G4940" s="5"/>
      <c r="H4940" s="2"/>
      <c r="I4940" s="2"/>
      <c r="K4940" s="2"/>
      <c r="L4940" s="2"/>
      <c r="M4940" s="2"/>
      <c r="N4940" s="2"/>
      <c r="O4940" s="2"/>
      <c r="P4940" s="2"/>
      <c r="Q4940" s="2"/>
      <c r="R4940" s="2"/>
      <c r="S4940" s="2"/>
      <c r="T4940" s="19"/>
      <c r="U4940" s="2"/>
      <c r="V4940" s="2"/>
      <c r="W4940" s="2"/>
      <c r="X4940" s="19"/>
      <c r="Y4940" s="2"/>
      <c r="Z4940" s="5"/>
    </row>
    <row r="4941" spans="7:26" ht="75.75" customHeight="1" x14ac:dyDescent="0.25">
      <c r="G4941" s="5"/>
      <c r="H4941" s="2"/>
      <c r="I4941" s="2"/>
      <c r="K4941" s="2"/>
      <c r="L4941" s="2"/>
      <c r="M4941" s="2"/>
      <c r="N4941" s="2"/>
      <c r="O4941" s="2"/>
      <c r="P4941" s="2"/>
      <c r="Q4941" s="2"/>
      <c r="R4941" s="2"/>
      <c r="S4941" s="2"/>
      <c r="T4941" s="19"/>
      <c r="U4941" s="2"/>
      <c r="V4941" s="2"/>
      <c r="W4941" s="2"/>
      <c r="X4941" s="19"/>
      <c r="Y4941" s="2"/>
      <c r="Z4941" s="5"/>
    </row>
    <row r="4942" spans="7:26" ht="75.75" customHeight="1" x14ac:dyDescent="0.25">
      <c r="G4942" s="5"/>
      <c r="H4942" s="2"/>
      <c r="I4942" s="2"/>
      <c r="K4942" s="2"/>
      <c r="L4942" s="2"/>
      <c r="M4942" s="2"/>
      <c r="N4942" s="2"/>
      <c r="O4942" s="2"/>
      <c r="P4942" s="2"/>
      <c r="Q4942" s="2"/>
      <c r="R4942" s="2"/>
      <c r="S4942" s="2"/>
      <c r="T4942" s="19"/>
      <c r="U4942" s="2"/>
      <c r="V4942" s="2"/>
      <c r="W4942" s="2"/>
      <c r="X4942" s="19"/>
      <c r="Y4942" s="2"/>
      <c r="Z4942" s="5"/>
    </row>
    <row r="4943" spans="7:26" ht="75.75" customHeight="1" x14ac:dyDescent="0.25">
      <c r="G4943" s="5"/>
      <c r="H4943" s="2"/>
      <c r="I4943" s="2"/>
      <c r="K4943" s="2"/>
      <c r="L4943" s="2"/>
      <c r="M4943" s="2"/>
      <c r="N4943" s="2"/>
      <c r="O4943" s="2"/>
      <c r="P4943" s="2"/>
      <c r="Q4943" s="2"/>
      <c r="R4943" s="2"/>
      <c r="S4943" s="2"/>
      <c r="T4943" s="19"/>
      <c r="U4943" s="2"/>
      <c r="V4943" s="2"/>
      <c r="W4943" s="2"/>
      <c r="X4943" s="19"/>
      <c r="Y4943" s="2"/>
      <c r="Z4943" s="5"/>
    </row>
    <row r="4944" spans="7:26" ht="75.75" customHeight="1" x14ac:dyDescent="0.25">
      <c r="G4944" s="5"/>
      <c r="H4944" s="2"/>
      <c r="I4944" s="2"/>
      <c r="K4944" s="2"/>
      <c r="L4944" s="2"/>
      <c r="M4944" s="2"/>
      <c r="N4944" s="2"/>
      <c r="O4944" s="2"/>
      <c r="P4944" s="2"/>
      <c r="Q4944" s="2"/>
      <c r="R4944" s="2"/>
      <c r="S4944" s="2"/>
      <c r="T4944" s="19"/>
      <c r="U4944" s="2"/>
      <c r="V4944" s="2"/>
      <c r="W4944" s="2"/>
      <c r="X4944" s="19"/>
      <c r="Y4944" s="2"/>
      <c r="Z4944" s="5"/>
    </row>
    <row r="4945" spans="7:26" ht="75.75" customHeight="1" x14ac:dyDescent="0.25">
      <c r="G4945" s="5"/>
      <c r="H4945" s="2"/>
      <c r="I4945" s="2"/>
      <c r="K4945" s="2"/>
      <c r="L4945" s="2"/>
      <c r="M4945" s="2"/>
      <c r="N4945" s="2"/>
      <c r="O4945" s="2"/>
      <c r="P4945" s="2"/>
      <c r="Q4945" s="2"/>
      <c r="R4945" s="2"/>
      <c r="S4945" s="2"/>
      <c r="T4945" s="19"/>
      <c r="U4945" s="2"/>
      <c r="V4945" s="2"/>
      <c r="W4945" s="2"/>
      <c r="X4945" s="19"/>
      <c r="Y4945" s="2"/>
      <c r="Z4945" s="5"/>
    </row>
    <row r="4946" spans="7:26" ht="75.75" customHeight="1" x14ac:dyDescent="0.25">
      <c r="G4946" s="5"/>
      <c r="H4946" s="2"/>
      <c r="I4946" s="2"/>
      <c r="K4946" s="2"/>
      <c r="L4946" s="2"/>
      <c r="M4946" s="2"/>
      <c r="N4946" s="2"/>
      <c r="O4946" s="2"/>
      <c r="P4946" s="2"/>
      <c r="Q4946" s="2"/>
      <c r="R4946" s="2"/>
      <c r="S4946" s="2"/>
      <c r="T4946" s="19"/>
      <c r="U4946" s="2"/>
      <c r="V4946" s="2"/>
      <c r="W4946" s="2"/>
      <c r="X4946" s="19"/>
      <c r="Y4946" s="2"/>
      <c r="Z4946" s="5"/>
    </row>
    <row r="4947" spans="7:26" ht="75.75" customHeight="1" x14ac:dyDescent="0.25">
      <c r="G4947" s="5"/>
      <c r="H4947" s="2"/>
      <c r="I4947" s="2"/>
      <c r="K4947" s="2"/>
      <c r="L4947" s="2"/>
      <c r="M4947" s="2"/>
      <c r="N4947" s="2"/>
      <c r="O4947" s="2"/>
      <c r="P4947" s="2"/>
      <c r="Q4947" s="2"/>
      <c r="R4947" s="2"/>
      <c r="S4947" s="2"/>
      <c r="T4947" s="19"/>
      <c r="U4947" s="2"/>
      <c r="V4947" s="2"/>
      <c r="W4947" s="2"/>
      <c r="X4947" s="19"/>
      <c r="Y4947" s="2"/>
      <c r="Z4947" s="5"/>
    </row>
    <row r="4948" spans="7:26" ht="75.75" customHeight="1" x14ac:dyDescent="0.25">
      <c r="G4948" s="5"/>
      <c r="H4948" s="2"/>
      <c r="I4948" s="2"/>
      <c r="K4948" s="2"/>
      <c r="L4948" s="2"/>
      <c r="M4948" s="2"/>
      <c r="N4948" s="2"/>
      <c r="O4948" s="2"/>
      <c r="P4948" s="2"/>
      <c r="Q4948" s="2"/>
      <c r="R4948" s="2"/>
      <c r="S4948" s="2"/>
      <c r="T4948" s="19"/>
      <c r="U4948" s="2"/>
      <c r="V4948" s="2"/>
      <c r="W4948" s="2"/>
      <c r="X4948" s="19"/>
      <c r="Y4948" s="2"/>
      <c r="Z4948" s="5"/>
    </row>
    <row r="4949" spans="7:26" ht="75.75" customHeight="1" x14ac:dyDescent="0.25">
      <c r="G4949" s="5"/>
      <c r="H4949" s="2"/>
      <c r="I4949" s="2"/>
      <c r="K4949" s="2"/>
      <c r="L4949" s="2"/>
      <c r="M4949" s="2"/>
      <c r="N4949" s="2"/>
      <c r="O4949" s="2"/>
      <c r="P4949" s="2"/>
      <c r="Q4949" s="2"/>
      <c r="R4949" s="2"/>
      <c r="S4949" s="2"/>
      <c r="T4949" s="19"/>
      <c r="U4949" s="2"/>
      <c r="V4949" s="2"/>
      <c r="W4949" s="2"/>
      <c r="X4949" s="19"/>
      <c r="Y4949" s="2"/>
      <c r="Z4949" s="5"/>
    </row>
    <row r="4950" spans="7:26" ht="75.75" customHeight="1" x14ac:dyDescent="0.25">
      <c r="G4950" s="5"/>
      <c r="H4950" s="2"/>
      <c r="I4950" s="2"/>
      <c r="K4950" s="2"/>
      <c r="L4950" s="2"/>
      <c r="M4950" s="2"/>
      <c r="N4950" s="2"/>
      <c r="O4950" s="2"/>
      <c r="P4950" s="2"/>
      <c r="Q4950" s="2"/>
      <c r="R4950" s="2"/>
      <c r="S4950" s="2"/>
      <c r="T4950" s="19"/>
      <c r="U4950" s="2"/>
      <c r="V4950" s="2"/>
      <c r="W4950" s="2"/>
      <c r="X4950" s="19"/>
      <c r="Y4950" s="2"/>
      <c r="Z4950" s="5"/>
    </row>
    <row r="4951" spans="7:26" ht="75.75" customHeight="1" x14ac:dyDescent="0.25">
      <c r="G4951" s="5"/>
      <c r="H4951" s="2"/>
      <c r="I4951" s="2"/>
      <c r="K4951" s="2"/>
      <c r="L4951" s="2"/>
      <c r="M4951" s="2"/>
      <c r="N4951" s="2"/>
      <c r="O4951" s="2"/>
      <c r="P4951" s="2"/>
      <c r="Q4951" s="2"/>
      <c r="R4951" s="2"/>
      <c r="S4951" s="2"/>
      <c r="T4951" s="19"/>
      <c r="U4951" s="2"/>
      <c r="V4951" s="2"/>
      <c r="W4951" s="2"/>
      <c r="X4951" s="19"/>
      <c r="Y4951" s="2"/>
      <c r="Z4951" s="5"/>
    </row>
    <row r="4952" spans="7:26" ht="75.75" customHeight="1" x14ac:dyDescent="0.25">
      <c r="G4952" s="5"/>
      <c r="H4952" s="2"/>
      <c r="I4952" s="2"/>
      <c r="K4952" s="2"/>
      <c r="L4952" s="2"/>
      <c r="M4952" s="2"/>
      <c r="N4952" s="2"/>
      <c r="O4952" s="2"/>
      <c r="P4952" s="2"/>
      <c r="Q4952" s="2"/>
      <c r="R4952" s="2"/>
      <c r="S4952" s="2"/>
      <c r="T4952" s="19"/>
      <c r="U4952" s="2"/>
      <c r="V4952" s="2"/>
      <c r="W4952" s="2"/>
      <c r="X4952" s="19"/>
      <c r="Y4952" s="2"/>
      <c r="Z4952" s="5"/>
    </row>
    <row r="4953" spans="7:26" ht="75.75" customHeight="1" x14ac:dyDescent="0.25">
      <c r="G4953" s="5"/>
      <c r="H4953" s="2"/>
      <c r="I4953" s="2"/>
      <c r="K4953" s="2"/>
      <c r="L4953" s="2"/>
      <c r="M4953" s="2"/>
      <c r="N4953" s="2"/>
      <c r="O4953" s="2"/>
      <c r="P4953" s="2"/>
      <c r="Q4953" s="2"/>
      <c r="R4953" s="2"/>
      <c r="S4953" s="2"/>
      <c r="T4953" s="19"/>
      <c r="U4953" s="2"/>
      <c r="V4953" s="2"/>
      <c r="W4953" s="2"/>
      <c r="X4953" s="19"/>
      <c r="Y4953" s="2"/>
      <c r="Z4953" s="5"/>
    </row>
    <row r="4954" spans="7:26" ht="75.75" customHeight="1" x14ac:dyDescent="0.25">
      <c r="G4954" s="5"/>
      <c r="H4954" s="2"/>
      <c r="I4954" s="2"/>
      <c r="K4954" s="2"/>
      <c r="L4954" s="2"/>
      <c r="M4954" s="2"/>
      <c r="N4954" s="2"/>
      <c r="O4954" s="2"/>
      <c r="P4954" s="2"/>
      <c r="Q4954" s="2"/>
      <c r="R4954" s="2"/>
      <c r="S4954" s="2"/>
      <c r="T4954" s="19"/>
      <c r="U4954" s="2"/>
      <c r="V4954" s="2"/>
      <c r="W4954" s="2"/>
      <c r="X4954" s="19"/>
      <c r="Y4954" s="2"/>
      <c r="Z4954" s="5"/>
    </row>
    <row r="4955" spans="7:26" ht="75.75" customHeight="1" x14ac:dyDescent="0.25">
      <c r="G4955" s="5"/>
      <c r="H4955" s="2"/>
      <c r="I4955" s="2"/>
      <c r="K4955" s="2"/>
      <c r="L4955" s="2"/>
      <c r="M4955" s="2"/>
      <c r="N4955" s="2"/>
      <c r="O4955" s="2"/>
      <c r="P4955" s="2"/>
      <c r="Q4955" s="2"/>
      <c r="R4955" s="2"/>
      <c r="S4955" s="2"/>
      <c r="T4955" s="19"/>
      <c r="U4955" s="2"/>
      <c r="V4955" s="2"/>
      <c r="W4955" s="2"/>
      <c r="X4955" s="19"/>
      <c r="Y4955" s="2"/>
      <c r="Z4955" s="5"/>
    </row>
    <row r="4956" spans="7:26" ht="75.75" customHeight="1" x14ac:dyDescent="0.25">
      <c r="G4956" s="5"/>
      <c r="H4956" s="2"/>
      <c r="I4956" s="2"/>
      <c r="K4956" s="2"/>
      <c r="L4956" s="2"/>
      <c r="M4956" s="2"/>
      <c r="N4956" s="2"/>
      <c r="O4956" s="2"/>
      <c r="P4956" s="2"/>
      <c r="Q4956" s="2"/>
      <c r="R4956" s="2"/>
      <c r="S4956" s="2"/>
      <c r="T4956" s="19"/>
      <c r="U4956" s="2"/>
      <c r="V4956" s="2"/>
      <c r="W4956" s="2"/>
      <c r="X4956" s="19"/>
      <c r="Y4956" s="2"/>
      <c r="Z4956" s="5"/>
    </row>
    <row r="4957" spans="7:26" ht="75.75" customHeight="1" x14ac:dyDescent="0.25">
      <c r="G4957" s="5"/>
      <c r="H4957" s="2"/>
      <c r="I4957" s="2"/>
      <c r="K4957" s="2"/>
      <c r="L4957" s="2"/>
      <c r="M4957" s="2"/>
      <c r="N4957" s="2"/>
      <c r="O4957" s="2"/>
      <c r="P4957" s="2"/>
      <c r="Q4957" s="2"/>
      <c r="R4957" s="2"/>
      <c r="S4957" s="2"/>
      <c r="T4957" s="19"/>
      <c r="U4957" s="2"/>
      <c r="V4957" s="2"/>
      <c r="W4957" s="2"/>
      <c r="X4957" s="19"/>
      <c r="Y4957" s="2"/>
      <c r="Z4957" s="5"/>
    </row>
    <row r="4958" spans="7:26" ht="75.75" customHeight="1" x14ac:dyDescent="0.25">
      <c r="G4958" s="5"/>
      <c r="H4958" s="2"/>
      <c r="I4958" s="2"/>
      <c r="K4958" s="2"/>
      <c r="L4958" s="2"/>
      <c r="M4958" s="2"/>
      <c r="N4958" s="2"/>
      <c r="O4958" s="2"/>
      <c r="P4958" s="2"/>
      <c r="Q4958" s="2"/>
      <c r="R4958" s="2"/>
      <c r="S4958" s="2"/>
      <c r="T4958" s="19"/>
      <c r="U4958" s="2"/>
      <c r="V4958" s="2"/>
      <c r="W4958" s="2"/>
      <c r="X4958" s="19"/>
      <c r="Y4958" s="2"/>
      <c r="Z4958" s="5"/>
    </row>
    <row r="4959" spans="7:26" ht="75.75" customHeight="1" x14ac:dyDescent="0.25">
      <c r="G4959" s="5"/>
      <c r="H4959" s="2"/>
      <c r="I4959" s="2"/>
      <c r="K4959" s="2"/>
      <c r="L4959" s="2"/>
      <c r="M4959" s="2"/>
      <c r="N4959" s="2"/>
      <c r="O4959" s="2"/>
      <c r="P4959" s="2"/>
      <c r="Q4959" s="2"/>
      <c r="R4959" s="2"/>
      <c r="S4959" s="2"/>
      <c r="T4959" s="19"/>
      <c r="U4959" s="2"/>
      <c r="V4959" s="2"/>
      <c r="W4959" s="2"/>
      <c r="X4959" s="19"/>
      <c r="Y4959" s="2"/>
      <c r="Z4959" s="5"/>
    </row>
    <row r="4960" spans="7:26" ht="75.75" customHeight="1" x14ac:dyDescent="0.25">
      <c r="G4960" s="5"/>
      <c r="H4960" s="2"/>
      <c r="I4960" s="2"/>
      <c r="K4960" s="2"/>
      <c r="L4960" s="2"/>
      <c r="M4960" s="2"/>
      <c r="N4960" s="2"/>
      <c r="O4960" s="2"/>
      <c r="P4960" s="2"/>
      <c r="Q4960" s="2"/>
      <c r="R4960" s="2"/>
      <c r="S4960" s="2"/>
      <c r="T4960" s="19"/>
      <c r="U4960" s="2"/>
      <c r="V4960" s="2"/>
      <c r="W4960" s="2"/>
      <c r="X4960" s="19"/>
      <c r="Y4960" s="2"/>
      <c r="Z4960" s="5"/>
    </row>
    <row r="4961" spans="7:26" ht="75.75" customHeight="1" x14ac:dyDescent="0.25">
      <c r="G4961" s="5"/>
      <c r="H4961" s="2"/>
      <c r="I4961" s="2"/>
      <c r="K4961" s="2"/>
      <c r="L4961" s="2"/>
      <c r="M4961" s="2"/>
      <c r="N4961" s="2"/>
      <c r="O4961" s="2"/>
      <c r="P4961" s="2"/>
      <c r="Q4961" s="2"/>
      <c r="R4961" s="2"/>
      <c r="S4961" s="2"/>
      <c r="T4961" s="19"/>
      <c r="U4961" s="2"/>
      <c r="V4961" s="2"/>
      <c r="W4961" s="2"/>
      <c r="X4961" s="19"/>
      <c r="Y4961" s="2"/>
      <c r="Z4961" s="5"/>
    </row>
    <row r="4962" spans="7:26" ht="75.75" customHeight="1" x14ac:dyDescent="0.25">
      <c r="G4962" s="5"/>
      <c r="H4962" s="2"/>
      <c r="I4962" s="2"/>
      <c r="K4962" s="2"/>
      <c r="L4962" s="2"/>
      <c r="M4962" s="2"/>
      <c r="N4962" s="2"/>
      <c r="O4962" s="2"/>
      <c r="P4962" s="2"/>
      <c r="Q4962" s="2"/>
      <c r="R4962" s="2"/>
      <c r="S4962" s="2"/>
      <c r="T4962" s="19"/>
      <c r="U4962" s="2"/>
      <c r="V4962" s="2"/>
      <c r="W4962" s="2"/>
      <c r="X4962" s="19"/>
      <c r="Y4962" s="2"/>
      <c r="Z4962" s="5"/>
    </row>
    <row r="4963" spans="7:26" ht="75.75" customHeight="1" x14ac:dyDescent="0.25">
      <c r="G4963" s="5"/>
      <c r="H4963" s="2"/>
      <c r="I4963" s="2"/>
      <c r="K4963" s="2"/>
      <c r="L4963" s="2"/>
      <c r="M4963" s="2"/>
      <c r="N4963" s="2"/>
      <c r="O4963" s="2"/>
      <c r="P4963" s="2"/>
      <c r="Q4963" s="2"/>
      <c r="R4963" s="2"/>
      <c r="S4963" s="2"/>
      <c r="T4963" s="19"/>
      <c r="U4963" s="2"/>
      <c r="V4963" s="2"/>
      <c r="W4963" s="2"/>
      <c r="X4963" s="19"/>
      <c r="Y4963" s="2"/>
      <c r="Z4963" s="5"/>
    </row>
    <row r="4964" spans="7:26" ht="75.75" customHeight="1" x14ac:dyDescent="0.25">
      <c r="G4964" s="5"/>
      <c r="H4964" s="2"/>
      <c r="I4964" s="2"/>
      <c r="K4964" s="2"/>
      <c r="L4964" s="2"/>
      <c r="M4964" s="2"/>
      <c r="N4964" s="2"/>
      <c r="O4964" s="2"/>
      <c r="P4964" s="2"/>
      <c r="Q4964" s="2"/>
      <c r="R4964" s="2"/>
      <c r="S4964" s="2"/>
      <c r="T4964" s="19"/>
      <c r="U4964" s="2"/>
      <c r="V4964" s="2"/>
      <c r="W4964" s="2"/>
      <c r="X4964" s="19"/>
      <c r="Y4964" s="2"/>
      <c r="Z4964" s="5"/>
    </row>
    <row r="4965" spans="7:26" ht="75.75" customHeight="1" x14ac:dyDescent="0.25">
      <c r="G4965" s="5"/>
      <c r="H4965" s="2"/>
      <c r="I4965" s="2"/>
      <c r="K4965" s="2"/>
      <c r="L4965" s="2"/>
      <c r="M4965" s="2"/>
      <c r="N4965" s="2"/>
      <c r="O4965" s="2"/>
      <c r="P4965" s="2"/>
      <c r="Q4965" s="2"/>
      <c r="R4965" s="2"/>
      <c r="S4965" s="2"/>
      <c r="T4965" s="19"/>
      <c r="U4965" s="2"/>
      <c r="V4965" s="2"/>
      <c r="W4965" s="2"/>
      <c r="X4965" s="19"/>
      <c r="Y4965" s="2"/>
      <c r="Z4965" s="5"/>
    </row>
    <row r="4966" spans="7:26" ht="75.75" customHeight="1" x14ac:dyDescent="0.25">
      <c r="G4966" s="5"/>
      <c r="H4966" s="2"/>
      <c r="I4966" s="2"/>
      <c r="K4966" s="2"/>
      <c r="L4966" s="2"/>
      <c r="M4966" s="2"/>
      <c r="N4966" s="2"/>
      <c r="O4966" s="2"/>
      <c r="P4966" s="2"/>
      <c r="Q4966" s="2"/>
      <c r="R4966" s="2"/>
      <c r="S4966" s="2"/>
      <c r="T4966" s="19"/>
      <c r="U4966" s="2"/>
      <c r="V4966" s="2"/>
      <c r="W4966" s="2"/>
      <c r="X4966" s="19"/>
      <c r="Y4966" s="2"/>
      <c r="Z4966" s="5"/>
    </row>
    <row r="4967" spans="7:26" ht="75.75" customHeight="1" x14ac:dyDescent="0.25">
      <c r="G4967" s="5"/>
      <c r="H4967" s="2"/>
      <c r="I4967" s="2"/>
      <c r="K4967" s="2"/>
      <c r="L4967" s="2"/>
      <c r="M4967" s="2"/>
      <c r="N4967" s="2"/>
      <c r="O4967" s="2"/>
      <c r="P4967" s="2"/>
      <c r="Q4967" s="2"/>
      <c r="R4967" s="2"/>
      <c r="S4967" s="2"/>
      <c r="T4967" s="19"/>
      <c r="U4967" s="2"/>
      <c r="V4967" s="2"/>
      <c r="W4967" s="2"/>
      <c r="X4967" s="19"/>
      <c r="Y4967" s="2"/>
      <c r="Z4967" s="5"/>
    </row>
    <row r="4968" spans="7:26" ht="75.75" customHeight="1" x14ac:dyDescent="0.25">
      <c r="G4968" s="5"/>
      <c r="H4968" s="2"/>
      <c r="I4968" s="2"/>
      <c r="K4968" s="2"/>
      <c r="L4968" s="2"/>
      <c r="M4968" s="2"/>
      <c r="N4968" s="2"/>
      <c r="O4968" s="2"/>
      <c r="P4968" s="2"/>
      <c r="Q4968" s="2"/>
      <c r="R4968" s="2"/>
      <c r="S4968" s="2"/>
      <c r="T4968" s="19"/>
      <c r="U4968" s="2"/>
      <c r="V4968" s="2"/>
      <c r="W4968" s="2"/>
      <c r="X4968" s="19"/>
      <c r="Y4968" s="2"/>
      <c r="Z4968" s="5"/>
    </row>
    <row r="4969" spans="7:26" ht="75.75" customHeight="1" x14ac:dyDescent="0.25">
      <c r="G4969" s="5"/>
      <c r="H4969" s="2"/>
      <c r="I4969" s="2"/>
      <c r="K4969" s="2"/>
      <c r="L4969" s="2"/>
      <c r="M4969" s="2"/>
      <c r="N4969" s="2"/>
      <c r="O4969" s="2"/>
      <c r="P4969" s="2"/>
      <c r="Q4969" s="2"/>
      <c r="R4969" s="2"/>
      <c r="S4969" s="2"/>
      <c r="T4969" s="19"/>
      <c r="U4969" s="2"/>
      <c r="V4969" s="2"/>
      <c r="W4969" s="2"/>
      <c r="X4969" s="19"/>
      <c r="Y4969" s="2"/>
      <c r="Z4969" s="5"/>
    </row>
    <row r="4970" spans="7:26" ht="75.75" customHeight="1" x14ac:dyDescent="0.25">
      <c r="G4970" s="5"/>
      <c r="H4970" s="2"/>
      <c r="I4970" s="2"/>
      <c r="K4970" s="2"/>
      <c r="L4970" s="2"/>
      <c r="M4970" s="2"/>
      <c r="N4970" s="2"/>
      <c r="O4970" s="2"/>
      <c r="P4970" s="2"/>
      <c r="Q4970" s="2"/>
      <c r="R4970" s="2"/>
      <c r="S4970" s="2"/>
      <c r="T4970" s="19"/>
      <c r="U4970" s="2"/>
      <c r="V4970" s="2"/>
      <c r="W4970" s="2"/>
      <c r="X4970" s="19"/>
      <c r="Y4970" s="2"/>
      <c r="Z4970" s="5"/>
    </row>
    <row r="4971" spans="7:26" ht="75.75" customHeight="1" x14ac:dyDescent="0.25">
      <c r="G4971" s="5"/>
      <c r="H4971" s="2"/>
      <c r="I4971" s="2"/>
      <c r="K4971" s="2"/>
      <c r="L4971" s="2"/>
      <c r="M4971" s="2"/>
      <c r="N4971" s="2"/>
      <c r="O4971" s="2"/>
      <c r="P4971" s="2"/>
      <c r="Q4971" s="2"/>
      <c r="R4971" s="2"/>
      <c r="S4971" s="2"/>
      <c r="T4971" s="19"/>
      <c r="U4971" s="2"/>
      <c r="V4971" s="2"/>
      <c r="W4971" s="2"/>
      <c r="X4971" s="19"/>
      <c r="Y4971" s="2"/>
      <c r="Z4971" s="5"/>
    </row>
    <row r="4972" spans="7:26" ht="75.75" customHeight="1" x14ac:dyDescent="0.25">
      <c r="G4972" s="5"/>
      <c r="H4972" s="2"/>
      <c r="I4972" s="2"/>
      <c r="K4972" s="2"/>
      <c r="L4972" s="2"/>
      <c r="M4972" s="2"/>
      <c r="N4972" s="2"/>
      <c r="O4972" s="2"/>
      <c r="P4972" s="2"/>
      <c r="Q4972" s="2"/>
      <c r="R4972" s="2"/>
      <c r="S4972" s="2"/>
      <c r="T4972" s="19"/>
      <c r="U4972" s="2"/>
      <c r="V4972" s="2"/>
      <c r="W4972" s="2"/>
      <c r="X4972" s="19"/>
      <c r="Y4972" s="2"/>
      <c r="Z4972" s="5"/>
    </row>
    <row r="4973" spans="7:26" ht="75.75" customHeight="1" x14ac:dyDescent="0.25">
      <c r="G4973" s="5"/>
      <c r="H4973" s="2"/>
      <c r="I4973" s="2"/>
      <c r="K4973" s="2"/>
      <c r="L4973" s="2"/>
      <c r="M4973" s="2"/>
      <c r="N4973" s="2"/>
      <c r="O4973" s="2"/>
      <c r="P4973" s="2"/>
      <c r="Q4973" s="2"/>
      <c r="R4973" s="2"/>
      <c r="S4973" s="2"/>
      <c r="T4973" s="19"/>
      <c r="U4973" s="2"/>
      <c r="V4973" s="2"/>
      <c r="W4973" s="2"/>
      <c r="X4973" s="19"/>
      <c r="Y4973" s="2"/>
      <c r="Z4973" s="5"/>
    </row>
    <row r="4974" spans="7:26" ht="75.75" customHeight="1" x14ac:dyDescent="0.25">
      <c r="G4974" s="5"/>
      <c r="H4974" s="2"/>
      <c r="I4974" s="2"/>
      <c r="K4974" s="2"/>
      <c r="L4974" s="2"/>
      <c r="M4974" s="2"/>
      <c r="N4974" s="2"/>
      <c r="O4974" s="2"/>
      <c r="P4974" s="2"/>
      <c r="Q4974" s="2"/>
      <c r="R4974" s="2"/>
      <c r="S4974" s="2"/>
      <c r="T4974" s="19"/>
      <c r="U4974" s="2"/>
      <c r="V4974" s="2"/>
      <c r="W4974" s="2"/>
      <c r="X4974" s="19"/>
      <c r="Y4974" s="2"/>
      <c r="Z4974" s="5"/>
    </row>
    <row r="4975" spans="7:26" ht="75.75" customHeight="1" x14ac:dyDescent="0.25">
      <c r="G4975" s="5"/>
      <c r="H4975" s="2"/>
      <c r="I4975" s="2"/>
      <c r="K4975" s="2"/>
      <c r="L4975" s="2"/>
      <c r="M4975" s="2"/>
      <c r="N4975" s="2"/>
      <c r="O4975" s="2"/>
      <c r="P4975" s="2"/>
      <c r="Q4975" s="2"/>
      <c r="R4975" s="2"/>
      <c r="S4975" s="2"/>
      <c r="T4975" s="19"/>
      <c r="U4975" s="2"/>
      <c r="V4975" s="2"/>
      <c r="W4975" s="2"/>
      <c r="X4975" s="19"/>
      <c r="Y4975" s="2"/>
      <c r="Z4975" s="5"/>
    </row>
    <row r="4976" spans="7:26" ht="75.75" customHeight="1" x14ac:dyDescent="0.25">
      <c r="G4976" s="5"/>
      <c r="H4976" s="2"/>
      <c r="I4976" s="2"/>
      <c r="K4976" s="2"/>
      <c r="L4976" s="2"/>
      <c r="M4976" s="2"/>
      <c r="N4976" s="2"/>
      <c r="O4976" s="2"/>
      <c r="P4976" s="2"/>
      <c r="Q4976" s="2"/>
      <c r="R4976" s="2"/>
      <c r="S4976" s="2"/>
      <c r="T4976" s="19"/>
      <c r="U4976" s="2"/>
      <c r="V4976" s="2"/>
      <c r="W4976" s="2"/>
      <c r="X4976" s="19"/>
      <c r="Y4976" s="2"/>
      <c r="Z4976" s="5"/>
    </row>
    <row r="4977" spans="7:26" ht="75.75" customHeight="1" x14ac:dyDescent="0.25">
      <c r="G4977" s="5"/>
      <c r="H4977" s="2"/>
      <c r="I4977" s="2"/>
      <c r="K4977" s="2"/>
      <c r="L4977" s="2"/>
      <c r="M4977" s="2"/>
      <c r="N4977" s="2"/>
      <c r="O4977" s="2"/>
      <c r="P4977" s="2"/>
      <c r="Q4977" s="2"/>
      <c r="R4977" s="2"/>
      <c r="S4977" s="2"/>
      <c r="T4977" s="19"/>
      <c r="U4977" s="2"/>
      <c r="V4977" s="2"/>
      <c r="W4977" s="2"/>
      <c r="X4977" s="19"/>
      <c r="Y4977" s="2"/>
      <c r="Z4977" s="5"/>
    </row>
    <row r="4978" spans="7:26" ht="75.75" customHeight="1" x14ac:dyDescent="0.25">
      <c r="G4978" s="5"/>
      <c r="H4978" s="2"/>
      <c r="I4978" s="2"/>
      <c r="K4978" s="2"/>
      <c r="L4978" s="2"/>
      <c r="M4978" s="2"/>
      <c r="N4978" s="2"/>
      <c r="O4978" s="2"/>
      <c r="P4978" s="2"/>
      <c r="Q4978" s="2"/>
      <c r="R4978" s="2"/>
      <c r="S4978" s="2"/>
      <c r="T4978" s="19"/>
      <c r="U4978" s="2"/>
      <c r="V4978" s="2"/>
      <c r="W4978" s="2"/>
      <c r="X4978" s="19"/>
      <c r="Y4978" s="2"/>
      <c r="Z4978" s="5"/>
    </row>
    <row r="4979" spans="7:26" ht="75.75" customHeight="1" x14ac:dyDescent="0.25">
      <c r="G4979" s="5"/>
      <c r="H4979" s="2"/>
      <c r="I4979" s="2"/>
      <c r="K4979" s="2"/>
      <c r="L4979" s="2"/>
      <c r="M4979" s="2"/>
      <c r="N4979" s="2"/>
      <c r="O4979" s="2"/>
      <c r="P4979" s="2"/>
      <c r="Q4979" s="2"/>
      <c r="R4979" s="2"/>
      <c r="S4979" s="2"/>
      <c r="T4979" s="19"/>
      <c r="U4979" s="2"/>
      <c r="V4979" s="2"/>
      <c r="W4979" s="2"/>
      <c r="X4979" s="19"/>
      <c r="Y4979" s="2"/>
      <c r="Z4979" s="5"/>
    </row>
    <row r="4980" spans="7:26" ht="75.75" customHeight="1" x14ac:dyDescent="0.25">
      <c r="G4980" s="5"/>
      <c r="H4980" s="2"/>
      <c r="I4980" s="2"/>
      <c r="K4980" s="2"/>
      <c r="L4980" s="2"/>
      <c r="M4980" s="2"/>
      <c r="N4980" s="2"/>
      <c r="O4980" s="2"/>
      <c r="P4980" s="2"/>
      <c r="Q4980" s="2"/>
      <c r="R4980" s="2"/>
      <c r="S4980" s="2"/>
      <c r="T4980" s="19"/>
      <c r="U4980" s="2"/>
      <c r="V4980" s="2"/>
      <c r="W4980" s="2"/>
      <c r="X4980" s="19"/>
      <c r="Y4980" s="2"/>
      <c r="Z4980" s="5"/>
    </row>
    <row r="4981" spans="7:26" ht="75.75" customHeight="1" x14ac:dyDescent="0.25">
      <c r="G4981" s="5"/>
      <c r="H4981" s="2"/>
      <c r="I4981" s="2"/>
      <c r="K4981" s="2"/>
      <c r="L4981" s="2"/>
      <c r="M4981" s="2"/>
      <c r="N4981" s="2"/>
      <c r="O4981" s="2"/>
      <c r="P4981" s="2"/>
      <c r="Q4981" s="2"/>
      <c r="R4981" s="2"/>
      <c r="S4981" s="2"/>
      <c r="T4981" s="19"/>
      <c r="U4981" s="2"/>
      <c r="V4981" s="2"/>
      <c r="W4981" s="2"/>
      <c r="X4981" s="19"/>
      <c r="Y4981" s="2"/>
      <c r="Z4981" s="5"/>
    </row>
    <row r="4982" spans="7:26" ht="75.75" customHeight="1" x14ac:dyDescent="0.25">
      <c r="G4982" s="5"/>
      <c r="H4982" s="2"/>
      <c r="I4982" s="2"/>
      <c r="K4982" s="2"/>
      <c r="L4982" s="2"/>
      <c r="M4982" s="2"/>
      <c r="N4982" s="2"/>
      <c r="O4982" s="2"/>
      <c r="P4982" s="2"/>
      <c r="Q4982" s="2"/>
      <c r="R4982" s="2"/>
      <c r="S4982" s="2"/>
      <c r="T4982" s="19"/>
      <c r="U4982" s="2"/>
      <c r="V4982" s="2"/>
      <c r="W4982" s="2"/>
      <c r="X4982" s="19"/>
      <c r="Y4982" s="2"/>
      <c r="Z4982" s="5"/>
    </row>
    <row r="4983" spans="7:26" ht="75.75" customHeight="1" x14ac:dyDescent="0.25">
      <c r="G4983" s="5"/>
      <c r="H4983" s="2"/>
      <c r="I4983" s="2"/>
      <c r="K4983" s="2"/>
      <c r="L4983" s="2"/>
      <c r="M4983" s="2"/>
      <c r="N4983" s="2"/>
      <c r="O4983" s="2"/>
      <c r="P4983" s="2"/>
      <c r="Q4983" s="2"/>
      <c r="R4983" s="2"/>
      <c r="S4983" s="2"/>
      <c r="T4983" s="19"/>
      <c r="U4983" s="2"/>
      <c r="V4983" s="2"/>
      <c r="W4983" s="2"/>
      <c r="X4983" s="19"/>
      <c r="Y4983" s="2"/>
      <c r="Z4983" s="5"/>
    </row>
    <row r="4984" spans="7:26" ht="75.75" customHeight="1" x14ac:dyDescent="0.25">
      <c r="G4984" s="5"/>
      <c r="H4984" s="2"/>
      <c r="I4984" s="2"/>
      <c r="K4984" s="2"/>
      <c r="L4984" s="2"/>
      <c r="M4984" s="2"/>
      <c r="N4984" s="2"/>
      <c r="O4984" s="2"/>
      <c r="P4984" s="2"/>
      <c r="Q4984" s="2"/>
      <c r="R4984" s="2"/>
      <c r="S4984" s="2"/>
      <c r="T4984" s="19"/>
      <c r="U4984" s="2"/>
      <c r="V4984" s="2"/>
      <c r="W4984" s="2"/>
      <c r="X4984" s="19"/>
      <c r="Y4984" s="2"/>
      <c r="Z4984" s="5"/>
    </row>
    <row r="4985" spans="7:26" ht="75.75" customHeight="1" x14ac:dyDescent="0.25">
      <c r="G4985" s="5"/>
      <c r="H4985" s="2"/>
      <c r="I4985" s="2"/>
      <c r="K4985" s="2"/>
      <c r="L4985" s="2"/>
      <c r="M4985" s="2"/>
      <c r="N4985" s="2"/>
      <c r="O4985" s="2"/>
      <c r="P4985" s="2"/>
      <c r="Q4985" s="2"/>
      <c r="R4985" s="2"/>
      <c r="S4985" s="2"/>
      <c r="T4985" s="19"/>
      <c r="U4985" s="2"/>
      <c r="V4985" s="2"/>
      <c r="W4985" s="2"/>
      <c r="X4985" s="19"/>
      <c r="Y4985" s="2"/>
      <c r="Z4985" s="5"/>
    </row>
    <row r="4986" spans="7:26" ht="75.75" customHeight="1" x14ac:dyDescent="0.25">
      <c r="G4986" s="5"/>
      <c r="H4986" s="2"/>
      <c r="I4986" s="2"/>
      <c r="K4986" s="2"/>
      <c r="L4986" s="2"/>
      <c r="M4986" s="2"/>
      <c r="N4986" s="2"/>
      <c r="O4986" s="2"/>
      <c r="P4986" s="2"/>
      <c r="Q4986" s="2"/>
      <c r="R4986" s="2"/>
      <c r="S4986" s="2"/>
      <c r="T4986" s="19"/>
      <c r="U4986" s="2"/>
      <c r="V4986" s="2"/>
      <c r="W4986" s="2"/>
      <c r="X4986" s="19"/>
      <c r="Y4986" s="2"/>
      <c r="Z4986" s="5"/>
    </row>
    <row r="4987" spans="7:26" ht="75.75" customHeight="1" x14ac:dyDescent="0.25">
      <c r="G4987" s="5"/>
      <c r="H4987" s="2"/>
      <c r="I4987" s="2"/>
      <c r="K4987" s="2"/>
      <c r="L4987" s="2"/>
      <c r="M4987" s="2"/>
      <c r="N4987" s="2"/>
      <c r="O4987" s="2"/>
      <c r="P4987" s="2"/>
      <c r="Q4987" s="2"/>
      <c r="R4987" s="2"/>
      <c r="S4987" s="2"/>
      <c r="T4987" s="19"/>
      <c r="U4987" s="2"/>
      <c r="V4987" s="2"/>
      <c r="W4987" s="2"/>
      <c r="X4987" s="19"/>
      <c r="Y4987" s="2"/>
      <c r="Z4987" s="5"/>
    </row>
    <row r="4988" spans="7:26" ht="75.75" customHeight="1" x14ac:dyDescent="0.25">
      <c r="G4988" s="5"/>
      <c r="H4988" s="2"/>
      <c r="I4988" s="2"/>
      <c r="K4988" s="2"/>
      <c r="L4988" s="2"/>
      <c r="M4988" s="2"/>
      <c r="N4988" s="2"/>
      <c r="O4988" s="2"/>
      <c r="P4988" s="2"/>
      <c r="Q4988" s="2"/>
      <c r="R4988" s="2"/>
      <c r="S4988" s="2"/>
      <c r="T4988" s="19"/>
      <c r="U4988" s="2"/>
      <c r="V4988" s="2"/>
      <c r="W4988" s="2"/>
      <c r="X4988" s="19"/>
      <c r="Y4988" s="2"/>
      <c r="Z4988" s="5"/>
    </row>
    <row r="4989" spans="7:26" ht="75.75" customHeight="1" x14ac:dyDescent="0.25">
      <c r="G4989" s="5"/>
      <c r="H4989" s="2"/>
      <c r="I4989" s="2"/>
      <c r="K4989" s="2"/>
      <c r="L4989" s="2"/>
      <c r="M4989" s="2"/>
      <c r="N4989" s="2"/>
      <c r="O4989" s="2"/>
      <c r="P4989" s="2"/>
      <c r="Q4989" s="2"/>
      <c r="R4989" s="2"/>
      <c r="S4989" s="2"/>
      <c r="T4989" s="19"/>
      <c r="U4989" s="2"/>
      <c r="V4989" s="2"/>
      <c r="W4989" s="2"/>
      <c r="X4989" s="19"/>
      <c r="Y4989" s="2"/>
      <c r="Z4989" s="5"/>
    </row>
    <row r="4990" spans="7:26" ht="75.75" customHeight="1" x14ac:dyDescent="0.25">
      <c r="G4990" s="5"/>
      <c r="H4990" s="2"/>
      <c r="I4990" s="2"/>
      <c r="K4990" s="2"/>
      <c r="L4990" s="2"/>
      <c r="M4990" s="2"/>
      <c r="N4990" s="2"/>
      <c r="O4990" s="2"/>
      <c r="P4990" s="2"/>
      <c r="Q4990" s="2"/>
      <c r="R4990" s="2"/>
      <c r="S4990" s="2"/>
      <c r="T4990" s="19"/>
      <c r="U4990" s="2"/>
      <c r="V4990" s="2"/>
      <c r="W4990" s="2"/>
      <c r="X4990" s="19"/>
      <c r="Y4990" s="2"/>
      <c r="Z4990" s="5"/>
    </row>
    <row r="4991" spans="7:26" ht="75.75" customHeight="1" x14ac:dyDescent="0.25">
      <c r="G4991" s="5"/>
      <c r="H4991" s="2"/>
      <c r="I4991" s="2"/>
      <c r="K4991" s="2"/>
      <c r="L4991" s="2"/>
      <c r="M4991" s="2"/>
      <c r="N4991" s="2"/>
      <c r="O4991" s="2"/>
      <c r="P4991" s="2"/>
      <c r="Q4991" s="2"/>
      <c r="R4991" s="2"/>
      <c r="S4991" s="2"/>
      <c r="T4991" s="19"/>
      <c r="U4991" s="2"/>
      <c r="V4991" s="2"/>
      <c r="W4991" s="2"/>
      <c r="X4991" s="19"/>
      <c r="Y4991" s="2"/>
      <c r="Z4991" s="5"/>
    </row>
    <row r="4992" spans="7:26" ht="75.75" customHeight="1" x14ac:dyDescent="0.25">
      <c r="G4992" s="5"/>
      <c r="H4992" s="2"/>
      <c r="I4992" s="2"/>
      <c r="K4992" s="2"/>
      <c r="L4992" s="2"/>
      <c r="M4992" s="2"/>
      <c r="N4992" s="2"/>
      <c r="O4992" s="2"/>
      <c r="P4992" s="2"/>
      <c r="Q4992" s="2"/>
      <c r="R4992" s="2"/>
      <c r="S4992" s="2"/>
      <c r="T4992" s="19"/>
      <c r="U4992" s="2"/>
      <c r="V4992" s="2"/>
      <c r="W4992" s="2"/>
      <c r="X4992" s="19"/>
      <c r="Y4992" s="2"/>
      <c r="Z4992" s="5"/>
    </row>
    <row r="4993" spans="7:26" ht="75.75" customHeight="1" x14ac:dyDescent="0.25">
      <c r="G4993" s="5"/>
      <c r="H4993" s="2"/>
      <c r="I4993" s="2"/>
      <c r="K4993" s="2"/>
      <c r="L4993" s="2"/>
      <c r="M4993" s="2"/>
      <c r="N4993" s="2"/>
      <c r="O4993" s="2"/>
      <c r="P4993" s="2"/>
      <c r="Q4993" s="2"/>
      <c r="R4993" s="2"/>
      <c r="S4993" s="2"/>
      <c r="T4993" s="19"/>
      <c r="U4993" s="2"/>
      <c r="V4993" s="2"/>
      <c r="W4993" s="2"/>
      <c r="X4993" s="19"/>
      <c r="Y4993" s="2"/>
      <c r="Z4993" s="5"/>
    </row>
    <row r="4994" spans="7:26" ht="75.75" customHeight="1" x14ac:dyDescent="0.25">
      <c r="G4994" s="5"/>
      <c r="H4994" s="2"/>
      <c r="I4994" s="2"/>
      <c r="K4994" s="2"/>
      <c r="L4994" s="2"/>
      <c r="M4994" s="2"/>
      <c r="N4994" s="2"/>
      <c r="O4994" s="2"/>
      <c r="P4994" s="2"/>
      <c r="Q4994" s="2"/>
      <c r="R4994" s="2"/>
      <c r="S4994" s="2"/>
      <c r="T4994" s="19"/>
      <c r="U4994" s="2"/>
      <c r="V4994" s="2"/>
      <c r="W4994" s="2"/>
      <c r="X4994" s="19"/>
      <c r="Y4994" s="2"/>
      <c r="Z4994" s="5"/>
    </row>
    <row r="4995" spans="7:26" ht="75.75" customHeight="1" x14ac:dyDescent="0.25">
      <c r="G4995" s="5"/>
      <c r="H4995" s="2"/>
      <c r="I4995" s="2"/>
      <c r="K4995" s="2"/>
      <c r="L4995" s="2"/>
      <c r="M4995" s="2"/>
      <c r="N4995" s="2"/>
      <c r="O4995" s="2"/>
      <c r="P4995" s="2"/>
      <c r="Q4995" s="2"/>
      <c r="R4995" s="2"/>
      <c r="S4995" s="2"/>
      <c r="T4995" s="19"/>
      <c r="U4995" s="2"/>
      <c r="V4995" s="2"/>
      <c r="W4995" s="2"/>
      <c r="X4995" s="19"/>
      <c r="Y4995" s="2"/>
      <c r="Z4995" s="5"/>
    </row>
    <row r="4996" spans="7:26" ht="75.75" customHeight="1" x14ac:dyDescent="0.25">
      <c r="G4996" s="5"/>
      <c r="H4996" s="2"/>
      <c r="I4996" s="2"/>
      <c r="K4996" s="2"/>
      <c r="L4996" s="2"/>
      <c r="M4996" s="2"/>
      <c r="N4996" s="2"/>
      <c r="O4996" s="2"/>
      <c r="P4996" s="2"/>
      <c r="Q4996" s="2"/>
      <c r="R4996" s="2"/>
      <c r="S4996" s="2"/>
      <c r="T4996" s="19"/>
      <c r="U4996" s="2"/>
      <c r="V4996" s="2"/>
      <c r="W4996" s="2"/>
      <c r="X4996" s="19"/>
      <c r="Y4996" s="2"/>
      <c r="Z4996" s="5"/>
    </row>
    <row r="4997" spans="7:26" ht="75.75" customHeight="1" x14ac:dyDescent="0.25">
      <c r="G4997" s="5"/>
      <c r="H4997" s="2"/>
      <c r="I4997" s="2"/>
      <c r="K4997" s="2"/>
      <c r="L4997" s="2"/>
      <c r="M4997" s="2"/>
      <c r="N4997" s="2"/>
      <c r="O4997" s="2"/>
      <c r="P4997" s="2"/>
      <c r="Q4997" s="2"/>
      <c r="R4997" s="2"/>
      <c r="S4997" s="2"/>
      <c r="T4997" s="19"/>
      <c r="U4997" s="2"/>
      <c r="V4997" s="2"/>
      <c r="W4997" s="2"/>
      <c r="X4997" s="19"/>
      <c r="Y4997" s="2"/>
      <c r="Z4997" s="5"/>
    </row>
    <row r="4998" spans="7:26" ht="75.75" customHeight="1" x14ac:dyDescent="0.25">
      <c r="G4998" s="5"/>
      <c r="H4998" s="2"/>
      <c r="I4998" s="2"/>
      <c r="K4998" s="2"/>
      <c r="L4998" s="2"/>
      <c r="M4998" s="2"/>
      <c r="N4998" s="2"/>
      <c r="O4998" s="2"/>
      <c r="P4998" s="2"/>
      <c r="Q4998" s="2"/>
      <c r="R4998" s="2"/>
      <c r="S4998" s="2"/>
      <c r="T4998" s="19"/>
      <c r="U4998" s="2"/>
      <c r="V4998" s="2"/>
      <c r="W4998" s="2"/>
      <c r="X4998" s="19"/>
      <c r="Y4998" s="2"/>
      <c r="Z4998" s="5"/>
    </row>
    <row r="4999" spans="7:26" ht="75.75" customHeight="1" x14ac:dyDescent="0.25">
      <c r="G4999" s="5"/>
      <c r="H4999" s="2"/>
      <c r="I4999" s="2"/>
      <c r="K4999" s="2"/>
      <c r="L4999" s="2"/>
      <c r="M4999" s="2"/>
      <c r="N4999" s="2"/>
      <c r="O4999" s="2"/>
      <c r="P4999" s="2"/>
      <c r="Q4999" s="2"/>
      <c r="R4999" s="2"/>
      <c r="S4999" s="2"/>
      <c r="T4999" s="19"/>
      <c r="U4999" s="2"/>
      <c r="V4999" s="2"/>
      <c r="W4999" s="2"/>
      <c r="X4999" s="19"/>
      <c r="Y4999" s="2"/>
      <c r="Z4999" s="5"/>
    </row>
    <row r="5000" spans="7:26" ht="75.75" customHeight="1" x14ac:dyDescent="0.25">
      <c r="G5000" s="5"/>
      <c r="H5000" s="2"/>
      <c r="I5000" s="2"/>
      <c r="K5000" s="2"/>
      <c r="L5000" s="2"/>
      <c r="M5000" s="2"/>
      <c r="N5000" s="2"/>
      <c r="O5000" s="2"/>
      <c r="P5000" s="2"/>
      <c r="Q5000" s="2"/>
      <c r="R5000" s="2"/>
      <c r="S5000" s="2"/>
      <c r="T5000" s="19"/>
      <c r="U5000" s="2"/>
      <c r="V5000" s="2"/>
      <c r="W5000" s="2"/>
      <c r="X5000" s="19"/>
      <c r="Y5000" s="2"/>
      <c r="Z5000" s="5"/>
    </row>
    <row r="5001" spans="7:26" ht="75.75" customHeight="1" x14ac:dyDescent="0.25">
      <c r="G5001" s="5"/>
      <c r="H5001" s="2"/>
      <c r="I5001" s="2"/>
      <c r="K5001" s="2"/>
      <c r="L5001" s="2"/>
      <c r="M5001" s="2"/>
      <c r="N5001" s="2"/>
      <c r="O5001" s="2"/>
      <c r="P5001" s="2"/>
      <c r="Q5001" s="2"/>
      <c r="R5001" s="2"/>
      <c r="S5001" s="2"/>
      <c r="T5001" s="19"/>
      <c r="U5001" s="2"/>
      <c r="V5001" s="2"/>
      <c r="W5001" s="2"/>
      <c r="X5001" s="19"/>
      <c r="Y5001" s="2"/>
      <c r="Z5001" s="5"/>
    </row>
    <row r="5002" spans="7:26" ht="75.75" customHeight="1" x14ac:dyDescent="0.25">
      <c r="G5002" s="5"/>
      <c r="H5002" s="2"/>
      <c r="I5002" s="2"/>
      <c r="K5002" s="2"/>
      <c r="L5002" s="2"/>
      <c r="M5002" s="2"/>
      <c r="N5002" s="2"/>
      <c r="O5002" s="2"/>
      <c r="P5002" s="2"/>
      <c r="Q5002" s="2"/>
      <c r="R5002" s="2"/>
      <c r="S5002" s="2"/>
      <c r="T5002" s="19"/>
      <c r="U5002" s="2"/>
      <c r="V5002" s="2"/>
      <c r="W5002" s="2"/>
      <c r="X5002" s="19"/>
      <c r="Y5002" s="2"/>
      <c r="Z5002" s="5"/>
    </row>
    <row r="5003" spans="7:26" ht="75.75" customHeight="1" x14ac:dyDescent="0.25">
      <c r="G5003" s="5"/>
      <c r="H5003" s="2"/>
      <c r="I5003" s="2"/>
      <c r="K5003" s="2"/>
      <c r="L5003" s="2"/>
      <c r="M5003" s="2"/>
      <c r="N5003" s="2"/>
      <c r="O5003" s="2"/>
      <c r="P5003" s="2"/>
      <c r="Q5003" s="2"/>
      <c r="R5003" s="2"/>
      <c r="S5003" s="2"/>
      <c r="T5003" s="19"/>
      <c r="U5003" s="2"/>
      <c r="V5003" s="2"/>
      <c r="W5003" s="2"/>
      <c r="X5003" s="19"/>
      <c r="Y5003" s="2"/>
      <c r="Z5003" s="5"/>
    </row>
    <row r="5004" spans="7:26" ht="75.75" customHeight="1" x14ac:dyDescent="0.25">
      <c r="G5004" s="5"/>
      <c r="H5004" s="2"/>
      <c r="I5004" s="2"/>
      <c r="K5004" s="2"/>
      <c r="L5004" s="2"/>
      <c r="M5004" s="2"/>
      <c r="N5004" s="2"/>
      <c r="O5004" s="2"/>
      <c r="P5004" s="2"/>
      <c r="Q5004" s="2"/>
      <c r="R5004" s="2"/>
      <c r="S5004" s="2"/>
      <c r="T5004" s="19"/>
      <c r="U5004" s="2"/>
      <c r="V5004" s="2"/>
      <c r="W5004" s="2"/>
      <c r="X5004" s="19"/>
      <c r="Y5004" s="2"/>
      <c r="Z5004" s="5"/>
    </row>
    <row r="5005" spans="7:26" ht="75.75" customHeight="1" x14ac:dyDescent="0.25">
      <c r="G5005" s="5"/>
      <c r="H5005" s="2"/>
      <c r="I5005" s="2"/>
      <c r="K5005" s="2"/>
      <c r="L5005" s="2"/>
      <c r="M5005" s="2"/>
      <c r="N5005" s="2"/>
      <c r="O5005" s="2"/>
      <c r="P5005" s="2"/>
      <c r="Q5005" s="2"/>
      <c r="R5005" s="2"/>
      <c r="S5005" s="2"/>
      <c r="T5005" s="19"/>
      <c r="U5005" s="2"/>
      <c r="V5005" s="2"/>
      <c r="W5005" s="2"/>
      <c r="X5005" s="19"/>
      <c r="Y5005" s="2"/>
      <c r="Z5005" s="5"/>
    </row>
    <row r="5006" spans="7:26" ht="75.75" customHeight="1" x14ac:dyDescent="0.25">
      <c r="G5006" s="5"/>
      <c r="H5006" s="2"/>
      <c r="I5006" s="2"/>
      <c r="K5006" s="2"/>
      <c r="L5006" s="2"/>
      <c r="M5006" s="2"/>
      <c r="N5006" s="2"/>
      <c r="O5006" s="2"/>
      <c r="P5006" s="2"/>
      <c r="Q5006" s="2"/>
      <c r="R5006" s="2"/>
      <c r="S5006" s="2"/>
      <c r="T5006" s="19"/>
      <c r="U5006" s="2"/>
      <c r="V5006" s="2"/>
      <c r="W5006" s="2"/>
      <c r="X5006" s="19"/>
      <c r="Y5006" s="2"/>
      <c r="Z5006" s="5"/>
    </row>
    <row r="5007" spans="7:26" ht="75.75" customHeight="1" x14ac:dyDescent="0.25">
      <c r="G5007" s="5"/>
      <c r="H5007" s="2"/>
      <c r="I5007" s="2"/>
      <c r="K5007" s="2"/>
      <c r="L5007" s="2"/>
      <c r="M5007" s="2"/>
      <c r="N5007" s="2"/>
      <c r="O5007" s="2"/>
      <c r="P5007" s="2"/>
      <c r="Q5007" s="2"/>
      <c r="R5007" s="2"/>
      <c r="S5007" s="2"/>
      <c r="T5007" s="19"/>
      <c r="U5007" s="2"/>
      <c r="V5007" s="2"/>
      <c r="W5007" s="2"/>
      <c r="X5007" s="19"/>
      <c r="Y5007" s="2"/>
      <c r="Z5007" s="5"/>
    </row>
    <row r="5008" spans="7:26" ht="75.75" customHeight="1" x14ac:dyDescent="0.25">
      <c r="G5008" s="5"/>
      <c r="H5008" s="2"/>
      <c r="I5008" s="2"/>
      <c r="K5008" s="2"/>
      <c r="L5008" s="2"/>
      <c r="M5008" s="2"/>
      <c r="N5008" s="2"/>
      <c r="O5008" s="2"/>
      <c r="P5008" s="2"/>
      <c r="Q5008" s="2"/>
      <c r="R5008" s="2"/>
      <c r="S5008" s="2"/>
      <c r="T5008" s="19"/>
      <c r="U5008" s="2"/>
      <c r="V5008" s="2"/>
      <c r="W5008" s="2"/>
      <c r="X5008" s="19"/>
      <c r="Y5008" s="2"/>
      <c r="Z5008" s="5"/>
    </row>
    <row r="5009" spans="7:26" ht="75.75" customHeight="1" x14ac:dyDescent="0.25">
      <c r="G5009" s="5"/>
      <c r="H5009" s="2"/>
      <c r="I5009" s="2"/>
      <c r="K5009" s="2"/>
      <c r="L5009" s="2"/>
      <c r="M5009" s="2"/>
      <c r="N5009" s="2"/>
      <c r="O5009" s="2"/>
      <c r="P5009" s="2"/>
      <c r="Q5009" s="2"/>
      <c r="R5009" s="2"/>
      <c r="S5009" s="2"/>
      <c r="T5009" s="19"/>
      <c r="U5009" s="2"/>
      <c r="V5009" s="2"/>
      <c r="W5009" s="2"/>
      <c r="X5009" s="19"/>
      <c r="Y5009" s="2"/>
      <c r="Z5009" s="5"/>
    </row>
    <row r="5010" spans="7:26" ht="75.75" customHeight="1" x14ac:dyDescent="0.25">
      <c r="G5010" s="5"/>
      <c r="H5010" s="2"/>
      <c r="I5010" s="2"/>
      <c r="K5010" s="2"/>
      <c r="L5010" s="2"/>
      <c r="M5010" s="2"/>
      <c r="N5010" s="2"/>
      <c r="O5010" s="2"/>
      <c r="P5010" s="2"/>
      <c r="Q5010" s="2"/>
      <c r="R5010" s="2"/>
      <c r="S5010" s="2"/>
      <c r="T5010" s="19"/>
      <c r="U5010" s="2"/>
      <c r="V5010" s="2"/>
      <c r="W5010" s="2"/>
      <c r="X5010" s="19"/>
      <c r="Y5010" s="2"/>
      <c r="Z5010" s="5"/>
    </row>
    <row r="5011" spans="7:26" ht="75.75" customHeight="1" x14ac:dyDescent="0.25">
      <c r="G5011" s="5"/>
      <c r="H5011" s="2"/>
      <c r="I5011" s="2"/>
      <c r="K5011" s="2"/>
      <c r="L5011" s="2"/>
      <c r="M5011" s="2"/>
      <c r="N5011" s="2"/>
      <c r="O5011" s="2"/>
      <c r="P5011" s="2"/>
      <c r="Q5011" s="2"/>
      <c r="R5011" s="2"/>
      <c r="S5011" s="2"/>
      <c r="T5011" s="19"/>
      <c r="U5011" s="2"/>
      <c r="V5011" s="2"/>
      <c r="W5011" s="2"/>
      <c r="X5011" s="19"/>
      <c r="Y5011" s="2"/>
      <c r="Z5011" s="5"/>
    </row>
    <row r="5012" spans="7:26" ht="75.75" customHeight="1" x14ac:dyDescent="0.25">
      <c r="G5012" s="5"/>
      <c r="H5012" s="2"/>
      <c r="I5012" s="2"/>
      <c r="K5012" s="2"/>
      <c r="L5012" s="2"/>
      <c r="M5012" s="2"/>
      <c r="N5012" s="2"/>
      <c r="O5012" s="2"/>
      <c r="P5012" s="2"/>
      <c r="Q5012" s="2"/>
      <c r="R5012" s="2"/>
      <c r="S5012" s="2"/>
      <c r="T5012" s="19"/>
      <c r="U5012" s="2"/>
      <c r="V5012" s="2"/>
      <c r="W5012" s="2"/>
      <c r="X5012" s="19"/>
      <c r="Y5012" s="2"/>
      <c r="Z5012" s="5"/>
    </row>
    <row r="5013" spans="7:26" ht="75.75" customHeight="1" x14ac:dyDescent="0.25">
      <c r="G5013" s="5"/>
      <c r="H5013" s="2"/>
      <c r="I5013" s="2"/>
      <c r="K5013" s="2"/>
      <c r="L5013" s="2"/>
      <c r="M5013" s="2"/>
      <c r="N5013" s="2"/>
      <c r="O5013" s="2"/>
      <c r="P5013" s="2"/>
      <c r="Q5013" s="2"/>
      <c r="R5013" s="2"/>
      <c r="S5013" s="2"/>
      <c r="T5013" s="19"/>
      <c r="U5013" s="2"/>
      <c r="V5013" s="2"/>
      <c r="W5013" s="2"/>
      <c r="X5013" s="19"/>
      <c r="Y5013" s="2"/>
      <c r="Z5013" s="5"/>
    </row>
    <row r="5014" spans="7:26" ht="75.75" customHeight="1" x14ac:dyDescent="0.25">
      <c r="G5014" s="5"/>
      <c r="H5014" s="2"/>
      <c r="I5014" s="2"/>
      <c r="K5014" s="2"/>
      <c r="L5014" s="2"/>
      <c r="M5014" s="2"/>
      <c r="N5014" s="2"/>
      <c r="O5014" s="2"/>
      <c r="P5014" s="2"/>
      <c r="Q5014" s="2"/>
      <c r="R5014" s="2"/>
      <c r="S5014" s="2"/>
      <c r="T5014" s="19"/>
      <c r="U5014" s="2"/>
      <c r="V5014" s="2"/>
      <c r="W5014" s="2"/>
      <c r="X5014" s="19"/>
      <c r="Y5014" s="2"/>
      <c r="Z5014" s="5"/>
    </row>
    <row r="5015" spans="7:26" ht="75.75" customHeight="1" x14ac:dyDescent="0.25">
      <c r="G5015" s="5"/>
      <c r="H5015" s="2"/>
      <c r="I5015" s="2"/>
      <c r="K5015" s="2"/>
      <c r="L5015" s="2"/>
      <c r="M5015" s="2"/>
      <c r="N5015" s="2"/>
      <c r="O5015" s="2"/>
      <c r="P5015" s="2"/>
      <c r="Q5015" s="2"/>
      <c r="R5015" s="2"/>
      <c r="S5015" s="2"/>
      <c r="T5015" s="19"/>
      <c r="U5015" s="2"/>
      <c r="V5015" s="2"/>
      <c r="W5015" s="2"/>
      <c r="X5015" s="19"/>
      <c r="Y5015" s="2"/>
      <c r="Z5015" s="5"/>
    </row>
    <row r="5016" spans="7:26" ht="75.75" customHeight="1" x14ac:dyDescent="0.25">
      <c r="G5016" s="5"/>
      <c r="H5016" s="2"/>
      <c r="I5016" s="2"/>
      <c r="K5016" s="2"/>
      <c r="L5016" s="2"/>
      <c r="M5016" s="2"/>
      <c r="N5016" s="2"/>
      <c r="O5016" s="2"/>
      <c r="P5016" s="2"/>
      <c r="Q5016" s="2"/>
      <c r="R5016" s="2"/>
      <c r="S5016" s="2"/>
      <c r="T5016" s="19"/>
      <c r="U5016" s="2"/>
      <c r="V5016" s="2"/>
      <c r="W5016" s="2"/>
      <c r="X5016" s="19"/>
      <c r="Y5016" s="2"/>
      <c r="Z5016" s="5"/>
    </row>
    <row r="5017" spans="7:26" ht="75.75" customHeight="1" x14ac:dyDescent="0.25">
      <c r="G5017" s="5"/>
      <c r="H5017" s="2"/>
      <c r="I5017" s="2"/>
      <c r="K5017" s="2"/>
      <c r="L5017" s="2"/>
      <c r="M5017" s="2"/>
      <c r="N5017" s="2"/>
      <c r="O5017" s="2"/>
      <c r="P5017" s="2"/>
      <c r="Q5017" s="2"/>
      <c r="R5017" s="2"/>
      <c r="S5017" s="2"/>
      <c r="T5017" s="19"/>
      <c r="U5017" s="2"/>
      <c r="V5017" s="2"/>
      <c r="W5017" s="2"/>
      <c r="X5017" s="19"/>
      <c r="Y5017" s="2"/>
      <c r="Z5017" s="5"/>
    </row>
    <row r="5018" spans="7:26" ht="75.75" customHeight="1" x14ac:dyDescent="0.25">
      <c r="G5018" s="5"/>
      <c r="H5018" s="2"/>
      <c r="I5018" s="2"/>
      <c r="K5018" s="2"/>
      <c r="L5018" s="2"/>
      <c r="M5018" s="2"/>
      <c r="N5018" s="2"/>
      <c r="O5018" s="2"/>
      <c r="P5018" s="2"/>
      <c r="Q5018" s="2"/>
      <c r="R5018" s="2"/>
      <c r="S5018" s="2"/>
      <c r="T5018" s="19"/>
      <c r="U5018" s="2"/>
      <c r="V5018" s="2"/>
      <c r="W5018" s="2"/>
      <c r="X5018" s="19"/>
      <c r="Y5018" s="2"/>
      <c r="Z5018" s="5"/>
    </row>
    <row r="5019" spans="7:26" ht="75.75" customHeight="1" x14ac:dyDescent="0.25">
      <c r="G5019" s="5"/>
      <c r="H5019" s="2"/>
      <c r="I5019" s="2"/>
      <c r="K5019" s="2"/>
      <c r="L5019" s="2"/>
      <c r="M5019" s="2"/>
      <c r="N5019" s="2"/>
      <c r="O5019" s="2"/>
      <c r="P5019" s="2"/>
      <c r="Q5019" s="2"/>
      <c r="R5019" s="2"/>
      <c r="S5019" s="2"/>
      <c r="T5019" s="19"/>
      <c r="U5019" s="2"/>
      <c r="V5019" s="2"/>
      <c r="W5019" s="2"/>
      <c r="X5019" s="19"/>
      <c r="Y5019" s="2"/>
      <c r="Z5019" s="5"/>
    </row>
    <row r="5020" spans="7:26" ht="75.75" customHeight="1" x14ac:dyDescent="0.25">
      <c r="G5020" s="5"/>
      <c r="H5020" s="2"/>
      <c r="I5020" s="2"/>
      <c r="K5020" s="2"/>
      <c r="L5020" s="2"/>
      <c r="M5020" s="2"/>
      <c r="N5020" s="2"/>
      <c r="O5020" s="2"/>
      <c r="P5020" s="2"/>
      <c r="Q5020" s="2"/>
      <c r="R5020" s="2"/>
      <c r="S5020" s="2"/>
      <c r="T5020" s="19"/>
      <c r="U5020" s="2"/>
      <c r="V5020" s="2"/>
      <c r="W5020" s="2"/>
      <c r="X5020" s="19"/>
      <c r="Y5020" s="2"/>
      <c r="Z5020" s="5"/>
    </row>
    <row r="5021" spans="7:26" ht="75.75" customHeight="1" x14ac:dyDescent="0.25">
      <c r="G5021" s="5"/>
      <c r="H5021" s="2"/>
      <c r="I5021" s="2"/>
      <c r="K5021" s="2"/>
      <c r="L5021" s="2"/>
      <c r="M5021" s="2"/>
      <c r="N5021" s="2"/>
      <c r="O5021" s="2"/>
      <c r="P5021" s="2"/>
      <c r="Q5021" s="2"/>
      <c r="R5021" s="2"/>
      <c r="S5021" s="2"/>
      <c r="T5021" s="19"/>
      <c r="U5021" s="2"/>
      <c r="V5021" s="2"/>
      <c r="W5021" s="2"/>
      <c r="X5021" s="19"/>
      <c r="Y5021" s="2"/>
      <c r="Z5021" s="5"/>
    </row>
    <row r="5022" spans="7:26" ht="75.75" customHeight="1" x14ac:dyDescent="0.25">
      <c r="G5022" s="5"/>
      <c r="H5022" s="2"/>
      <c r="I5022" s="2"/>
      <c r="K5022" s="2"/>
      <c r="L5022" s="2"/>
      <c r="M5022" s="2"/>
      <c r="N5022" s="2"/>
      <c r="O5022" s="2"/>
      <c r="P5022" s="2"/>
      <c r="Q5022" s="2"/>
      <c r="R5022" s="2"/>
      <c r="S5022" s="2"/>
      <c r="T5022" s="19"/>
      <c r="U5022" s="2"/>
      <c r="V5022" s="2"/>
      <c r="W5022" s="2"/>
      <c r="X5022" s="19"/>
      <c r="Y5022" s="2"/>
      <c r="Z5022" s="5"/>
    </row>
    <row r="5023" spans="7:26" ht="75.75" customHeight="1" x14ac:dyDescent="0.25">
      <c r="G5023" s="5"/>
      <c r="H5023" s="2"/>
      <c r="I5023" s="2"/>
      <c r="K5023" s="2"/>
      <c r="L5023" s="2"/>
      <c r="M5023" s="2"/>
      <c r="N5023" s="2"/>
      <c r="O5023" s="2"/>
      <c r="P5023" s="2"/>
      <c r="Q5023" s="2"/>
      <c r="R5023" s="2"/>
      <c r="S5023" s="2"/>
      <c r="T5023" s="19"/>
      <c r="U5023" s="2"/>
      <c r="V5023" s="2"/>
      <c r="W5023" s="2"/>
      <c r="X5023" s="19"/>
      <c r="Y5023" s="2"/>
      <c r="Z5023" s="5"/>
    </row>
    <row r="5024" spans="7:26" ht="75.75" customHeight="1" x14ac:dyDescent="0.25">
      <c r="G5024" s="5"/>
      <c r="H5024" s="2"/>
      <c r="I5024" s="2"/>
      <c r="K5024" s="2"/>
      <c r="L5024" s="2"/>
      <c r="M5024" s="2"/>
      <c r="N5024" s="2"/>
      <c r="O5024" s="2"/>
      <c r="P5024" s="2"/>
      <c r="Q5024" s="2"/>
      <c r="R5024" s="2"/>
      <c r="S5024" s="2"/>
      <c r="T5024" s="19"/>
      <c r="U5024" s="2"/>
      <c r="V5024" s="2"/>
      <c r="W5024" s="2"/>
      <c r="X5024" s="19"/>
      <c r="Y5024" s="2"/>
      <c r="Z5024" s="5"/>
    </row>
    <row r="5025" spans="7:26" ht="75.75" customHeight="1" x14ac:dyDescent="0.25">
      <c r="G5025" s="5"/>
      <c r="H5025" s="2"/>
      <c r="I5025" s="2"/>
      <c r="K5025" s="2"/>
      <c r="L5025" s="2"/>
      <c r="M5025" s="2"/>
      <c r="N5025" s="2"/>
      <c r="O5025" s="2"/>
      <c r="P5025" s="2"/>
      <c r="Q5025" s="2"/>
      <c r="R5025" s="2"/>
      <c r="S5025" s="2"/>
      <c r="T5025" s="19"/>
      <c r="U5025" s="2"/>
      <c r="V5025" s="2"/>
      <c r="W5025" s="2"/>
      <c r="X5025" s="19"/>
      <c r="Y5025" s="2"/>
      <c r="Z5025" s="5"/>
    </row>
    <row r="5026" spans="7:26" ht="75.75" customHeight="1" x14ac:dyDescent="0.25">
      <c r="G5026" s="5"/>
      <c r="H5026" s="2"/>
      <c r="I5026" s="2"/>
      <c r="K5026" s="2"/>
      <c r="L5026" s="2"/>
      <c r="M5026" s="2"/>
      <c r="N5026" s="2"/>
      <c r="O5026" s="2"/>
      <c r="P5026" s="2"/>
      <c r="Q5026" s="2"/>
      <c r="R5026" s="2"/>
      <c r="S5026" s="2"/>
      <c r="T5026" s="19"/>
      <c r="U5026" s="2"/>
      <c r="V5026" s="2"/>
      <c r="W5026" s="2"/>
      <c r="X5026" s="19"/>
      <c r="Y5026" s="2"/>
      <c r="Z5026" s="5"/>
    </row>
    <row r="5027" spans="7:26" ht="75.75" customHeight="1" x14ac:dyDescent="0.25">
      <c r="G5027" s="5"/>
      <c r="H5027" s="2"/>
      <c r="I5027" s="2"/>
      <c r="K5027" s="2"/>
      <c r="L5027" s="2"/>
      <c r="M5027" s="2"/>
      <c r="N5027" s="2"/>
      <c r="O5027" s="2"/>
      <c r="P5027" s="2"/>
      <c r="Q5027" s="2"/>
      <c r="R5027" s="2"/>
      <c r="S5027" s="2"/>
      <c r="T5027" s="19"/>
      <c r="U5027" s="2"/>
      <c r="V5027" s="2"/>
      <c r="W5027" s="2"/>
      <c r="X5027" s="19"/>
      <c r="Y5027" s="2"/>
      <c r="Z5027" s="5"/>
    </row>
    <row r="5028" spans="7:26" ht="75.75" customHeight="1" x14ac:dyDescent="0.25">
      <c r="G5028" s="5"/>
      <c r="H5028" s="2"/>
      <c r="I5028" s="2"/>
      <c r="K5028" s="2"/>
      <c r="L5028" s="2"/>
      <c r="M5028" s="2"/>
      <c r="N5028" s="2"/>
      <c r="O5028" s="2"/>
      <c r="P5028" s="2"/>
      <c r="Q5028" s="2"/>
      <c r="R5028" s="2"/>
      <c r="S5028" s="2"/>
      <c r="T5028" s="19"/>
      <c r="U5028" s="2"/>
      <c r="V5028" s="2"/>
      <c r="W5028" s="2"/>
      <c r="X5028" s="19"/>
      <c r="Y5028" s="2"/>
      <c r="Z5028" s="5"/>
    </row>
    <row r="5029" spans="7:26" ht="75.75" customHeight="1" x14ac:dyDescent="0.25">
      <c r="G5029" s="5"/>
      <c r="H5029" s="2"/>
      <c r="I5029" s="2"/>
      <c r="K5029" s="2"/>
      <c r="L5029" s="2"/>
      <c r="M5029" s="2"/>
      <c r="N5029" s="2"/>
      <c r="O5029" s="2"/>
      <c r="P5029" s="2"/>
      <c r="Q5029" s="2"/>
      <c r="R5029" s="2"/>
      <c r="S5029" s="2"/>
      <c r="T5029" s="19"/>
      <c r="U5029" s="2"/>
      <c r="V5029" s="2"/>
      <c r="W5029" s="2"/>
      <c r="X5029" s="19"/>
      <c r="Y5029" s="2"/>
      <c r="Z5029" s="5"/>
    </row>
    <row r="5030" spans="7:26" ht="75.75" customHeight="1" x14ac:dyDescent="0.25">
      <c r="G5030" s="5"/>
      <c r="H5030" s="2"/>
      <c r="I5030" s="2"/>
      <c r="K5030" s="2"/>
      <c r="L5030" s="2"/>
      <c r="M5030" s="2"/>
      <c r="N5030" s="2"/>
      <c r="O5030" s="2"/>
      <c r="P5030" s="2"/>
      <c r="Q5030" s="2"/>
      <c r="R5030" s="2"/>
      <c r="S5030" s="2"/>
      <c r="T5030" s="19"/>
      <c r="U5030" s="2"/>
      <c r="V5030" s="2"/>
      <c r="W5030" s="2"/>
      <c r="X5030" s="19"/>
      <c r="Y5030" s="2"/>
      <c r="Z5030" s="5"/>
    </row>
    <row r="5031" spans="7:26" ht="75.75" customHeight="1" x14ac:dyDescent="0.25">
      <c r="G5031" s="5"/>
      <c r="H5031" s="2"/>
      <c r="I5031" s="2"/>
      <c r="K5031" s="2"/>
      <c r="L5031" s="2"/>
      <c r="M5031" s="2"/>
      <c r="N5031" s="2"/>
      <c r="O5031" s="2"/>
      <c r="P5031" s="2"/>
      <c r="Q5031" s="2"/>
      <c r="R5031" s="2"/>
      <c r="S5031" s="2"/>
      <c r="T5031" s="19"/>
      <c r="U5031" s="2"/>
      <c r="V5031" s="2"/>
      <c r="W5031" s="2"/>
      <c r="X5031" s="19"/>
      <c r="Y5031" s="2"/>
      <c r="Z5031" s="5"/>
    </row>
    <row r="5032" spans="7:26" ht="75.75" customHeight="1" x14ac:dyDescent="0.25">
      <c r="G5032" s="5"/>
      <c r="H5032" s="2"/>
      <c r="I5032" s="2"/>
      <c r="K5032" s="2"/>
      <c r="L5032" s="2"/>
      <c r="M5032" s="2"/>
      <c r="N5032" s="2"/>
      <c r="O5032" s="2"/>
      <c r="P5032" s="2"/>
      <c r="Q5032" s="2"/>
      <c r="R5032" s="2"/>
      <c r="S5032" s="2"/>
      <c r="T5032" s="19"/>
      <c r="U5032" s="2"/>
      <c r="V5032" s="2"/>
      <c r="W5032" s="2"/>
      <c r="X5032" s="19"/>
      <c r="Y5032" s="2"/>
      <c r="Z5032" s="5"/>
    </row>
    <row r="5033" spans="7:26" ht="75.75" customHeight="1" x14ac:dyDescent="0.25">
      <c r="G5033" s="5"/>
      <c r="H5033" s="2"/>
      <c r="I5033" s="2"/>
      <c r="K5033" s="2"/>
      <c r="L5033" s="2"/>
      <c r="M5033" s="2"/>
      <c r="N5033" s="2"/>
      <c r="O5033" s="2"/>
      <c r="P5033" s="2"/>
      <c r="Q5033" s="2"/>
      <c r="R5033" s="2"/>
      <c r="S5033" s="2"/>
      <c r="T5033" s="19"/>
      <c r="U5033" s="2"/>
      <c r="V5033" s="2"/>
      <c r="W5033" s="2"/>
      <c r="X5033" s="19"/>
      <c r="Y5033" s="2"/>
      <c r="Z5033" s="5"/>
    </row>
    <row r="5034" spans="7:26" ht="75.75" customHeight="1" x14ac:dyDescent="0.25">
      <c r="G5034" s="5"/>
      <c r="H5034" s="2"/>
      <c r="I5034" s="2"/>
      <c r="K5034" s="2"/>
      <c r="L5034" s="2"/>
      <c r="M5034" s="2"/>
      <c r="N5034" s="2"/>
      <c r="O5034" s="2"/>
      <c r="P5034" s="2"/>
      <c r="Q5034" s="2"/>
      <c r="R5034" s="2"/>
      <c r="S5034" s="2"/>
      <c r="T5034" s="19"/>
      <c r="U5034" s="2"/>
      <c r="V5034" s="2"/>
      <c r="W5034" s="2"/>
      <c r="X5034" s="19"/>
      <c r="Y5034" s="2"/>
      <c r="Z5034" s="5"/>
    </row>
    <row r="5035" spans="7:26" ht="75.75" customHeight="1" x14ac:dyDescent="0.25">
      <c r="G5035" s="5"/>
      <c r="H5035" s="2"/>
      <c r="I5035" s="2"/>
      <c r="K5035" s="2"/>
      <c r="L5035" s="2"/>
      <c r="M5035" s="2"/>
      <c r="N5035" s="2"/>
      <c r="O5035" s="2"/>
      <c r="P5035" s="2"/>
      <c r="Q5035" s="2"/>
      <c r="R5035" s="2"/>
      <c r="S5035" s="2"/>
      <c r="T5035" s="19"/>
      <c r="U5035" s="2"/>
      <c r="V5035" s="2"/>
      <c r="W5035" s="2"/>
      <c r="X5035" s="19"/>
      <c r="Y5035" s="2"/>
      <c r="Z5035" s="5"/>
    </row>
    <row r="5036" spans="7:26" ht="75.75" customHeight="1" x14ac:dyDescent="0.25">
      <c r="G5036" s="5"/>
      <c r="H5036" s="2"/>
      <c r="I5036" s="2"/>
      <c r="K5036" s="2"/>
      <c r="L5036" s="2"/>
      <c r="M5036" s="2"/>
      <c r="N5036" s="2"/>
      <c r="O5036" s="2"/>
      <c r="P5036" s="2"/>
      <c r="Q5036" s="2"/>
      <c r="R5036" s="2"/>
      <c r="S5036" s="2"/>
      <c r="T5036" s="19"/>
      <c r="U5036" s="2"/>
      <c r="V5036" s="2"/>
      <c r="W5036" s="2"/>
      <c r="X5036" s="19"/>
      <c r="Y5036" s="2"/>
      <c r="Z5036" s="5"/>
    </row>
    <row r="5037" spans="7:26" ht="75.75" customHeight="1" x14ac:dyDescent="0.25">
      <c r="G5037" s="5"/>
      <c r="H5037" s="2"/>
      <c r="I5037" s="2"/>
      <c r="K5037" s="2"/>
      <c r="L5037" s="2"/>
      <c r="M5037" s="2"/>
      <c r="N5037" s="2"/>
      <c r="O5037" s="2"/>
      <c r="P5037" s="2"/>
      <c r="Q5037" s="2"/>
      <c r="R5037" s="2"/>
      <c r="S5037" s="2"/>
      <c r="T5037" s="19"/>
      <c r="U5037" s="2"/>
      <c r="V5037" s="2"/>
      <c r="W5037" s="2"/>
      <c r="X5037" s="19"/>
      <c r="Y5037" s="2"/>
      <c r="Z5037" s="5"/>
    </row>
    <row r="5038" spans="7:26" ht="75.75" customHeight="1" x14ac:dyDescent="0.25">
      <c r="G5038" s="5"/>
      <c r="H5038" s="2"/>
      <c r="I5038" s="2"/>
      <c r="K5038" s="2"/>
      <c r="L5038" s="2"/>
      <c r="M5038" s="2"/>
      <c r="N5038" s="2"/>
      <c r="O5038" s="2"/>
      <c r="P5038" s="2"/>
      <c r="Q5038" s="2"/>
      <c r="R5038" s="2"/>
      <c r="S5038" s="2"/>
      <c r="T5038" s="19"/>
      <c r="U5038" s="2"/>
      <c r="V5038" s="2"/>
      <c r="W5038" s="2"/>
      <c r="X5038" s="19"/>
      <c r="Y5038" s="2"/>
      <c r="Z5038" s="5"/>
    </row>
    <row r="5039" spans="7:26" ht="75.75" customHeight="1" x14ac:dyDescent="0.25">
      <c r="G5039" s="5"/>
      <c r="H5039" s="2"/>
      <c r="I5039" s="2"/>
      <c r="K5039" s="2"/>
      <c r="L5039" s="2"/>
      <c r="M5039" s="2"/>
      <c r="N5039" s="2"/>
      <c r="O5039" s="2"/>
      <c r="P5039" s="2"/>
      <c r="Q5039" s="2"/>
      <c r="R5039" s="2"/>
      <c r="S5039" s="2"/>
      <c r="T5039" s="19"/>
      <c r="U5039" s="2"/>
      <c r="V5039" s="2"/>
      <c r="W5039" s="2"/>
      <c r="X5039" s="19"/>
      <c r="Y5039" s="2"/>
      <c r="Z5039" s="5"/>
    </row>
    <row r="5040" spans="7:26" ht="75.75" customHeight="1" x14ac:dyDescent="0.25">
      <c r="G5040" s="5"/>
      <c r="H5040" s="2"/>
      <c r="I5040" s="2"/>
      <c r="K5040" s="2"/>
      <c r="L5040" s="2"/>
      <c r="M5040" s="2"/>
      <c r="N5040" s="2"/>
      <c r="O5040" s="2"/>
      <c r="P5040" s="2"/>
      <c r="Q5040" s="2"/>
      <c r="R5040" s="2"/>
      <c r="S5040" s="2"/>
      <c r="T5040" s="19"/>
      <c r="U5040" s="2"/>
      <c r="V5040" s="2"/>
      <c r="W5040" s="2"/>
      <c r="X5040" s="19"/>
      <c r="Y5040" s="2"/>
      <c r="Z5040" s="5"/>
    </row>
    <row r="5041" spans="7:26" ht="75.75" customHeight="1" x14ac:dyDescent="0.25">
      <c r="G5041" s="5"/>
      <c r="H5041" s="2"/>
      <c r="I5041" s="2"/>
      <c r="K5041" s="2"/>
      <c r="L5041" s="2"/>
      <c r="M5041" s="2"/>
      <c r="N5041" s="2"/>
      <c r="O5041" s="2"/>
      <c r="P5041" s="2"/>
      <c r="Q5041" s="2"/>
      <c r="R5041" s="2"/>
      <c r="S5041" s="2"/>
      <c r="T5041" s="19"/>
      <c r="U5041" s="2"/>
      <c r="V5041" s="2"/>
      <c r="W5041" s="2"/>
      <c r="X5041" s="19"/>
      <c r="Y5041" s="2"/>
      <c r="Z5041" s="5"/>
    </row>
    <row r="5042" spans="7:26" ht="75.75" customHeight="1" x14ac:dyDescent="0.25">
      <c r="G5042" s="5"/>
      <c r="H5042" s="2"/>
      <c r="I5042" s="2"/>
      <c r="K5042" s="2"/>
      <c r="L5042" s="2"/>
      <c r="M5042" s="2"/>
      <c r="N5042" s="2"/>
      <c r="O5042" s="2"/>
      <c r="P5042" s="2"/>
      <c r="Q5042" s="2"/>
      <c r="R5042" s="2"/>
      <c r="S5042" s="2"/>
      <c r="T5042" s="19"/>
      <c r="U5042" s="2"/>
      <c r="V5042" s="2"/>
      <c r="W5042" s="2"/>
      <c r="X5042" s="19"/>
      <c r="Y5042" s="2"/>
      <c r="Z5042" s="5"/>
    </row>
    <row r="5043" spans="7:26" ht="75.75" customHeight="1" x14ac:dyDescent="0.25">
      <c r="G5043" s="5"/>
      <c r="H5043" s="2"/>
      <c r="I5043" s="2"/>
      <c r="K5043" s="2"/>
      <c r="L5043" s="2"/>
      <c r="M5043" s="2"/>
      <c r="N5043" s="2"/>
      <c r="O5043" s="2"/>
      <c r="P5043" s="2"/>
      <c r="Q5043" s="2"/>
      <c r="R5043" s="2"/>
      <c r="S5043" s="2"/>
      <c r="T5043" s="19"/>
      <c r="U5043" s="2"/>
      <c r="V5043" s="2"/>
      <c r="W5043" s="2"/>
      <c r="X5043" s="19"/>
      <c r="Y5043" s="2"/>
      <c r="Z5043" s="5"/>
    </row>
    <row r="5044" spans="7:26" ht="75.75" customHeight="1" x14ac:dyDescent="0.25">
      <c r="G5044" s="5"/>
      <c r="H5044" s="2"/>
      <c r="I5044" s="2"/>
      <c r="K5044" s="2"/>
      <c r="L5044" s="2"/>
      <c r="M5044" s="2"/>
      <c r="N5044" s="2"/>
      <c r="O5044" s="2"/>
      <c r="P5044" s="2"/>
      <c r="Q5044" s="2"/>
      <c r="R5044" s="2"/>
      <c r="S5044" s="2"/>
      <c r="T5044" s="19"/>
      <c r="U5044" s="2"/>
      <c r="V5044" s="2"/>
      <c r="W5044" s="2"/>
      <c r="X5044" s="19"/>
      <c r="Y5044" s="2"/>
      <c r="Z5044" s="5"/>
    </row>
    <row r="5045" spans="7:26" ht="75.75" customHeight="1" x14ac:dyDescent="0.25">
      <c r="G5045" s="5"/>
      <c r="H5045" s="2"/>
      <c r="I5045" s="2"/>
      <c r="K5045" s="2"/>
      <c r="L5045" s="2"/>
      <c r="M5045" s="2"/>
      <c r="N5045" s="2"/>
      <c r="O5045" s="2"/>
      <c r="P5045" s="2"/>
      <c r="Q5045" s="2"/>
      <c r="R5045" s="2"/>
      <c r="S5045" s="2"/>
      <c r="T5045" s="19"/>
      <c r="U5045" s="2"/>
      <c r="V5045" s="2"/>
      <c r="W5045" s="2"/>
      <c r="X5045" s="19"/>
      <c r="Y5045" s="2"/>
      <c r="Z5045" s="5"/>
    </row>
    <row r="5046" spans="7:26" ht="75.75" customHeight="1" x14ac:dyDescent="0.25">
      <c r="G5046" s="5"/>
      <c r="H5046" s="2"/>
      <c r="I5046" s="2"/>
      <c r="K5046" s="2"/>
      <c r="L5046" s="2"/>
      <c r="M5046" s="2"/>
      <c r="N5046" s="2"/>
      <c r="O5046" s="2"/>
      <c r="P5046" s="2"/>
      <c r="Q5046" s="2"/>
      <c r="R5046" s="2"/>
      <c r="S5046" s="2"/>
      <c r="T5046" s="19"/>
      <c r="U5046" s="2"/>
      <c r="V5046" s="2"/>
      <c r="W5046" s="2"/>
      <c r="X5046" s="19"/>
      <c r="Y5046" s="2"/>
      <c r="Z5046" s="5"/>
    </row>
    <row r="5047" spans="7:26" ht="75.75" customHeight="1" x14ac:dyDescent="0.25">
      <c r="G5047" s="5"/>
      <c r="H5047" s="2"/>
      <c r="I5047" s="2"/>
      <c r="K5047" s="2"/>
      <c r="L5047" s="2"/>
      <c r="M5047" s="2"/>
      <c r="N5047" s="2"/>
      <c r="O5047" s="2"/>
      <c r="P5047" s="2"/>
      <c r="Q5047" s="2"/>
      <c r="R5047" s="2"/>
      <c r="S5047" s="2"/>
      <c r="T5047" s="19"/>
      <c r="U5047" s="2"/>
      <c r="V5047" s="2"/>
      <c r="W5047" s="2"/>
      <c r="X5047" s="19"/>
      <c r="Y5047" s="2"/>
      <c r="Z5047" s="5"/>
    </row>
    <row r="5048" spans="7:26" ht="75.75" customHeight="1" x14ac:dyDescent="0.25">
      <c r="G5048" s="5"/>
      <c r="H5048" s="2"/>
      <c r="I5048" s="2"/>
      <c r="K5048" s="2"/>
      <c r="L5048" s="2"/>
      <c r="M5048" s="2"/>
      <c r="N5048" s="2"/>
      <c r="O5048" s="2"/>
      <c r="P5048" s="2"/>
      <c r="Q5048" s="2"/>
      <c r="R5048" s="2"/>
      <c r="S5048" s="2"/>
      <c r="T5048" s="19"/>
      <c r="U5048" s="2"/>
      <c r="V5048" s="2"/>
      <c r="W5048" s="2"/>
      <c r="X5048" s="19"/>
      <c r="Y5048" s="2"/>
      <c r="Z5048" s="5"/>
    </row>
    <row r="5049" spans="7:26" ht="75.75" customHeight="1" x14ac:dyDescent="0.25">
      <c r="G5049" s="5"/>
      <c r="H5049" s="2"/>
      <c r="I5049" s="2"/>
      <c r="K5049" s="2"/>
      <c r="L5049" s="2"/>
      <c r="M5049" s="2"/>
      <c r="N5049" s="2"/>
      <c r="O5049" s="2"/>
      <c r="P5049" s="2"/>
      <c r="Q5049" s="2"/>
      <c r="R5049" s="2"/>
      <c r="S5049" s="2"/>
      <c r="T5049" s="19"/>
      <c r="U5049" s="2"/>
      <c r="V5049" s="2"/>
      <c r="W5049" s="2"/>
      <c r="X5049" s="19"/>
      <c r="Y5049" s="2"/>
      <c r="Z5049" s="5"/>
    </row>
    <row r="5050" spans="7:26" ht="75.75" customHeight="1" x14ac:dyDescent="0.25">
      <c r="G5050" s="5"/>
      <c r="H5050" s="2"/>
      <c r="I5050" s="2"/>
      <c r="K5050" s="2"/>
      <c r="L5050" s="2"/>
      <c r="M5050" s="2"/>
      <c r="N5050" s="2"/>
      <c r="O5050" s="2"/>
      <c r="P5050" s="2"/>
      <c r="Q5050" s="2"/>
      <c r="R5050" s="2"/>
      <c r="S5050" s="2"/>
      <c r="T5050" s="19"/>
      <c r="U5050" s="2"/>
      <c r="V5050" s="2"/>
      <c r="W5050" s="2"/>
      <c r="X5050" s="19"/>
      <c r="Y5050" s="2"/>
      <c r="Z5050" s="5"/>
    </row>
    <row r="5051" spans="7:26" ht="75.75" customHeight="1" x14ac:dyDescent="0.25">
      <c r="G5051" s="5"/>
      <c r="H5051" s="2"/>
      <c r="I5051" s="2"/>
      <c r="K5051" s="2"/>
      <c r="L5051" s="2"/>
      <c r="M5051" s="2"/>
      <c r="N5051" s="2"/>
      <c r="O5051" s="2"/>
      <c r="P5051" s="2"/>
      <c r="Q5051" s="2"/>
      <c r="R5051" s="2"/>
      <c r="S5051" s="2"/>
      <c r="T5051" s="19"/>
      <c r="U5051" s="2"/>
      <c r="V5051" s="2"/>
      <c r="W5051" s="2"/>
      <c r="X5051" s="19"/>
      <c r="Y5051" s="2"/>
      <c r="Z5051" s="5"/>
    </row>
    <row r="5052" spans="7:26" ht="75.75" customHeight="1" x14ac:dyDescent="0.25">
      <c r="G5052" s="5"/>
      <c r="H5052" s="2"/>
      <c r="I5052" s="2"/>
      <c r="K5052" s="2"/>
      <c r="L5052" s="2"/>
      <c r="M5052" s="2"/>
      <c r="N5052" s="2"/>
      <c r="O5052" s="2"/>
      <c r="P5052" s="2"/>
      <c r="Q5052" s="2"/>
      <c r="R5052" s="2"/>
      <c r="S5052" s="2"/>
      <c r="T5052" s="19"/>
      <c r="U5052" s="2"/>
      <c r="V5052" s="2"/>
      <c r="W5052" s="2"/>
      <c r="X5052" s="19"/>
      <c r="Y5052" s="2"/>
      <c r="Z5052" s="5"/>
    </row>
    <row r="5053" spans="7:26" ht="75.75" customHeight="1" x14ac:dyDescent="0.25">
      <c r="G5053" s="5"/>
      <c r="H5053" s="2"/>
      <c r="I5053" s="2"/>
      <c r="K5053" s="2"/>
      <c r="L5053" s="2"/>
      <c r="M5053" s="2"/>
      <c r="N5053" s="2"/>
      <c r="O5053" s="2"/>
      <c r="P5053" s="2"/>
      <c r="Q5053" s="2"/>
      <c r="R5053" s="2"/>
      <c r="S5053" s="2"/>
      <c r="T5053" s="19"/>
      <c r="U5053" s="2"/>
      <c r="V5053" s="2"/>
      <c r="W5053" s="2"/>
      <c r="X5053" s="19"/>
      <c r="Y5053" s="2"/>
      <c r="Z5053" s="5"/>
    </row>
    <row r="5054" spans="7:26" ht="75.75" customHeight="1" x14ac:dyDescent="0.25">
      <c r="G5054" s="5"/>
      <c r="H5054" s="2"/>
      <c r="I5054" s="2"/>
      <c r="K5054" s="2"/>
      <c r="L5054" s="2"/>
      <c r="M5054" s="2"/>
      <c r="N5054" s="2"/>
      <c r="O5054" s="2"/>
      <c r="P5054" s="2"/>
      <c r="Q5054" s="2"/>
      <c r="R5054" s="2"/>
      <c r="S5054" s="2"/>
      <c r="T5054" s="19"/>
      <c r="U5054" s="2"/>
      <c r="V5054" s="2"/>
      <c r="W5054" s="2"/>
      <c r="X5054" s="19"/>
      <c r="Y5054" s="2"/>
      <c r="Z5054" s="5"/>
    </row>
    <row r="5055" spans="7:26" ht="75.75" customHeight="1" x14ac:dyDescent="0.25">
      <c r="G5055" s="5"/>
      <c r="H5055" s="2"/>
      <c r="I5055" s="2"/>
      <c r="K5055" s="2"/>
      <c r="L5055" s="2"/>
      <c r="M5055" s="2"/>
      <c r="N5055" s="2"/>
      <c r="O5055" s="2"/>
      <c r="P5055" s="2"/>
      <c r="Q5055" s="2"/>
      <c r="R5055" s="2"/>
      <c r="S5055" s="2"/>
      <c r="T5055" s="19"/>
      <c r="U5055" s="2"/>
      <c r="V5055" s="2"/>
      <c r="W5055" s="2"/>
      <c r="X5055" s="19"/>
      <c r="Y5055" s="2"/>
      <c r="Z5055" s="5"/>
    </row>
    <row r="5056" spans="7:26" ht="75.75" customHeight="1" x14ac:dyDescent="0.25">
      <c r="G5056" s="5"/>
      <c r="H5056" s="2"/>
      <c r="I5056" s="2"/>
      <c r="K5056" s="2"/>
      <c r="L5056" s="2"/>
      <c r="M5056" s="2"/>
      <c r="N5056" s="2"/>
      <c r="O5056" s="2"/>
      <c r="P5056" s="2"/>
      <c r="Q5056" s="2"/>
      <c r="R5056" s="2"/>
      <c r="S5056" s="2"/>
      <c r="T5056" s="19"/>
      <c r="U5056" s="2"/>
      <c r="V5056" s="2"/>
      <c r="W5056" s="2"/>
      <c r="X5056" s="19"/>
      <c r="Y5056" s="2"/>
      <c r="Z5056" s="5"/>
    </row>
    <row r="5057" spans="7:26" ht="75.75" customHeight="1" x14ac:dyDescent="0.25">
      <c r="G5057" s="5"/>
      <c r="H5057" s="2"/>
      <c r="I5057" s="2"/>
      <c r="K5057" s="2"/>
      <c r="L5057" s="2"/>
      <c r="M5057" s="2"/>
      <c r="N5057" s="2"/>
      <c r="O5057" s="2"/>
      <c r="P5057" s="2"/>
      <c r="Q5057" s="2"/>
      <c r="R5057" s="2"/>
      <c r="S5057" s="2"/>
      <c r="T5057" s="19"/>
      <c r="U5057" s="2"/>
      <c r="V5057" s="2"/>
      <c r="W5057" s="2"/>
      <c r="X5057" s="19"/>
      <c r="Y5057" s="2"/>
      <c r="Z5057" s="5"/>
    </row>
    <row r="5058" spans="7:26" ht="75.75" customHeight="1" x14ac:dyDescent="0.25">
      <c r="G5058" s="5"/>
      <c r="H5058" s="2"/>
      <c r="I5058" s="2"/>
      <c r="K5058" s="2"/>
      <c r="L5058" s="2"/>
      <c r="M5058" s="2"/>
      <c r="N5058" s="2"/>
      <c r="O5058" s="2"/>
      <c r="P5058" s="2"/>
      <c r="Q5058" s="2"/>
      <c r="R5058" s="2"/>
      <c r="S5058" s="2"/>
      <c r="T5058" s="19"/>
      <c r="U5058" s="2"/>
      <c r="V5058" s="2"/>
      <c r="W5058" s="2"/>
      <c r="X5058" s="19"/>
      <c r="Y5058" s="2"/>
      <c r="Z5058" s="5"/>
    </row>
    <row r="5059" spans="7:26" ht="75.75" customHeight="1" x14ac:dyDescent="0.25">
      <c r="G5059" s="5"/>
      <c r="H5059" s="2"/>
      <c r="I5059" s="2"/>
      <c r="K5059" s="2"/>
      <c r="L5059" s="2"/>
      <c r="M5059" s="2"/>
      <c r="N5059" s="2"/>
      <c r="O5059" s="2"/>
      <c r="P5059" s="2"/>
      <c r="Q5059" s="2"/>
      <c r="R5059" s="2"/>
      <c r="S5059" s="2"/>
      <c r="T5059" s="19"/>
      <c r="U5059" s="2"/>
      <c r="V5059" s="2"/>
      <c r="W5059" s="2"/>
      <c r="X5059" s="19"/>
      <c r="Y5059" s="2"/>
      <c r="Z5059" s="5"/>
    </row>
    <row r="5060" spans="7:26" ht="75.75" customHeight="1" x14ac:dyDescent="0.25">
      <c r="G5060" s="5"/>
      <c r="H5060" s="2"/>
      <c r="I5060" s="2"/>
      <c r="K5060" s="2"/>
      <c r="L5060" s="2"/>
      <c r="M5060" s="2"/>
      <c r="N5060" s="2"/>
      <c r="O5060" s="2"/>
      <c r="P5060" s="2"/>
      <c r="Q5060" s="2"/>
      <c r="R5060" s="2"/>
      <c r="S5060" s="2"/>
      <c r="T5060" s="19"/>
      <c r="U5060" s="2"/>
      <c r="V5060" s="2"/>
      <c r="W5060" s="2"/>
      <c r="X5060" s="19"/>
      <c r="Y5060" s="2"/>
      <c r="Z5060" s="5"/>
    </row>
    <row r="5061" spans="7:26" ht="75.75" customHeight="1" x14ac:dyDescent="0.25">
      <c r="G5061" s="5"/>
      <c r="H5061" s="2"/>
      <c r="I5061" s="2"/>
      <c r="K5061" s="2"/>
      <c r="L5061" s="2"/>
      <c r="M5061" s="2"/>
      <c r="N5061" s="2"/>
      <c r="O5061" s="2"/>
      <c r="P5061" s="2"/>
      <c r="Q5061" s="2"/>
      <c r="R5061" s="2"/>
      <c r="S5061" s="2"/>
      <c r="T5061" s="19"/>
      <c r="U5061" s="2"/>
      <c r="V5061" s="2"/>
      <c r="W5061" s="2"/>
      <c r="X5061" s="19"/>
      <c r="Y5061" s="2"/>
      <c r="Z5061" s="5"/>
    </row>
    <row r="5062" spans="7:26" ht="75.75" customHeight="1" x14ac:dyDescent="0.25">
      <c r="G5062" s="5"/>
      <c r="H5062" s="2"/>
      <c r="I5062" s="2"/>
      <c r="K5062" s="2"/>
      <c r="L5062" s="2"/>
      <c r="M5062" s="2"/>
      <c r="N5062" s="2"/>
      <c r="O5062" s="2"/>
      <c r="P5062" s="2"/>
      <c r="Q5062" s="2"/>
      <c r="R5062" s="2"/>
      <c r="S5062" s="2"/>
      <c r="T5062" s="19"/>
      <c r="U5062" s="2"/>
      <c r="V5062" s="2"/>
      <c r="W5062" s="2"/>
      <c r="X5062" s="19"/>
      <c r="Y5062" s="2"/>
      <c r="Z5062" s="5"/>
    </row>
    <row r="5063" spans="7:26" ht="75.75" customHeight="1" x14ac:dyDescent="0.25">
      <c r="G5063" s="5"/>
      <c r="H5063" s="2"/>
      <c r="I5063" s="2"/>
      <c r="K5063" s="2"/>
      <c r="L5063" s="2"/>
      <c r="M5063" s="2"/>
      <c r="N5063" s="2"/>
      <c r="O5063" s="2"/>
      <c r="P5063" s="2"/>
      <c r="Q5063" s="2"/>
      <c r="R5063" s="2"/>
      <c r="S5063" s="2"/>
      <c r="T5063" s="19"/>
      <c r="U5063" s="2"/>
      <c r="V5063" s="2"/>
      <c r="W5063" s="2"/>
      <c r="X5063" s="19"/>
      <c r="Y5063" s="2"/>
      <c r="Z5063" s="5"/>
    </row>
    <row r="5064" spans="7:26" ht="75.75" customHeight="1" x14ac:dyDescent="0.25">
      <c r="G5064" s="5"/>
      <c r="H5064" s="2"/>
      <c r="I5064" s="2"/>
      <c r="K5064" s="2"/>
      <c r="L5064" s="2"/>
      <c r="M5064" s="2"/>
      <c r="N5064" s="2"/>
      <c r="O5064" s="2"/>
      <c r="P5064" s="2"/>
      <c r="Q5064" s="2"/>
      <c r="R5064" s="2"/>
      <c r="S5064" s="2"/>
      <c r="T5064" s="19"/>
      <c r="U5064" s="2"/>
      <c r="V5064" s="2"/>
      <c r="W5064" s="2"/>
      <c r="X5064" s="19"/>
      <c r="Y5064" s="2"/>
      <c r="Z5064" s="5"/>
    </row>
    <row r="5065" spans="7:26" ht="75.75" customHeight="1" x14ac:dyDescent="0.25">
      <c r="G5065" s="5"/>
      <c r="H5065" s="2"/>
      <c r="I5065" s="2"/>
      <c r="K5065" s="2"/>
      <c r="L5065" s="2"/>
      <c r="M5065" s="2"/>
      <c r="N5065" s="2"/>
      <c r="O5065" s="2"/>
      <c r="P5065" s="2"/>
      <c r="Q5065" s="2"/>
      <c r="R5065" s="2"/>
      <c r="S5065" s="2"/>
      <c r="T5065" s="19"/>
      <c r="U5065" s="2"/>
      <c r="V5065" s="2"/>
      <c r="W5065" s="2"/>
      <c r="X5065" s="19"/>
      <c r="Y5065" s="2"/>
      <c r="Z5065" s="5"/>
    </row>
    <row r="5066" spans="7:26" ht="75.75" customHeight="1" x14ac:dyDescent="0.25">
      <c r="G5066" s="5"/>
      <c r="H5066" s="2"/>
      <c r="I5066" s="2"/>
      <c r="K5066" s="2"/>
      <c r="L5066" s="2"/>
      <c r="M5066" s="2"/>
      <c r="N5066" s="2"/>
      <c r="O5066" s="2"/>
      <c r="P5066" s="2"/>
      <c r="Q5066" s="2"/>
      <c r="R5066" s="2"/>
      <c r="S5066" s="2"/>
      <c r="T5066" s="19"/>
      <c r="U5066" s="2"/>
      <c r="V5066" s="2"/>
      <c r="W5066" s="2"/>
      <c r="X5066" s="19"/>
      <c r="Y5066" s="2"/>
      <c r="Z5066" s="5"/>
    </row>
    <row r="5067" spans="7:26" ht="75.75" customHeight="1" x14ac:dyDescent="0.25">
      <c r="G5067" s="5"/>
      <c r="H5067" s="2"/>
      <c r="I5067" s="2"/>
      <c r="K5067" s="2"/>
      <c r="L5067" s="2"/>
      <c r="M5067" s="2"/>
      <c r="N5067" s="2"/>
      <c r="O5067" s="2"/>
      <c r="P5067" s="2"/>
      <c r="Q5067" s="2"/>
      <c r="R5067" s="2"/>
      <c r="S5067" s="2"/>
      <c r="T5067" s="19"/>
      <c r="U5067" s="2"/>
      <c r="V5067" s="2"/>
      <c r="W5067" s="2"/>
      <c r="X5067" s="19"/>
      <c r="Y5067" s="2"/>
      <c r="Z5067" s="5"/>
    </row>
    <row r="5068" spans="7:26" ht="75.75" customHeight="1" x14ac:dyDescent="0.25">
      <c r="G5068" s="5"/>
      <c r="H5068" s="2"/>
      <c r="I5068" s="2"/>
      <c r="K5068" s="2"/>
      <c r="L5068" s="2"/>
      <c r="M5068" s="2"/>
      <c r="N5068" s="2"/>
      <c r="O5068" s="2"/>
      <c r="P5068" s="2"/>
      <c r="Q5068" s="2"/>
      <c r="R5068" s="2"/>
      <c r="S5068" s="2"/>
      <c r="T5068" s="19"/>
      <c r="U5068" s="2"/>
      <c r="V5068" s="2"/>
      <c r="W5068" s="2"/>
      <c r="X5068" s="19"/>
      <c r="Y5068" s="2"/>
      <c r="Z5068" s="5"/>
    </row>
    <row r="5069" spans="7:26" ht="75.75" customHeight="1" x14ac:dyDescent="0.25">
      <c r="G5069" s="5"/>
      <c r="H5069" s="2"/>
      <c r="I5069" s="2"/>
      <c r="K5069" s="2"/>
      <c r="L5069" s="2"/>
      <c r="M5069" s="2"/>
      <c r="N5069" s="2"/>
      <c r="O5069" s="2"/>
      <c r="P5069" s="2"/>
      <c r="Q5069" s="2"/>
      <c r="R5069" s="2"/>
      <c r="S5069" s="2"/>
      <c r="T5069" s="19"/>
      <c r="U5069" s="2"/>
      <c r="V5069" s="2"/>
      <c r="W5069" s="2"/>
      <c r="X5069" s="19"/>
      <c r="Y5069" s="2"/>
      <c r="Z5069" s="5"/>
    </row>
    <row r="5070" spans="7:26" ht="75.75" customHeight="1" x14ac:dyDescent="0.25">
      <c r="G5070" s="5"/>
      <c r="H5070" s="2"/>
      <c r="I5070" s="2"/>
      <c r="K5070" s="2"/>
      <c r="L5070" s="2"/>
      <c r="M5070" s="2"/>
      <c r="N5070" s="2"/>
      <c r="O5070" s="2"/>
      <c r="P5070" s="2"/>
      <c r="Q5070" s="2"/>
      <c r="R5070" s="2"/>
      <c r="S5070" s="2"/>
      <c r="T5070" s="19"/>
      <c r="U5070" s="2"/>
      <c r="V5070" s="2"/>
      <c r="W5070" s="2"/>
      <c r="X5070" s="19"/>
      <c r="Y5070" s="2"/>
      <c r="Z5070" s="5"/>
    </row>
    <row r="5071" spans="7:26" ht="75.75" customHeight="1" x14ac:dyDescent="0.25">
      <c r="G5071" s="5"/>
      <c r="H5071" s="2"/>
      <c r="I5071" s="2"/>
      <c r="K5071" s="2"/>
      <c r="L5071" s="2"/>
      <c r="M5071" s="2"/>
      <c r="N5071" s="2"/>
      <c r="O5071" s="2"/>
      <c r="P5071" s="2"/>
      <c r="Q5071" s="2"/>
      <c r="R5071" s="2"/>
      <c r="S5071" s="2"/>
      <c r="T5071" s="19"/>
      <c r="U5071" s="2"/>
      <c r="V5071" s="2"/>
      <c r="W5071" s="2"/>
      <c r="X5071" s="19"/>
      <c r="Y5071" s="2"/>
      <c r="Z5071" s="5"/>
    </row>
    <row r="5072" spans="7:26" ht="75.75" customHeight="1" x14ac:dyDescent="0.25">
      <c r="G5072" s="5"/>
      <c r="H5072" s="2"/>
      <c r="I5072" s="2"/>
      <c r="K5072" s="2"/>
      <c r="L5072" s="2"/>
      <c r="M5072" s="2"/>
      <c r="N5072" s="2"/>
      <c r="O5072" s="2"/>
      <c r="P5072" s="2"/>
      <c r="Q5072" s="2"/>
      <c r="R5072" s="2"/>
      <c r="S5072" s="2"/>
      <c r="T5072" s="19"/>
      <c r="U5072" s="2"/>
      <c r="V5072" s="2"/>
      <c r="W5072" s="2"/>
      <c r="X5072" s="19"/>
      <c r="Y5072" s="2"/>
      <c r="Z5072" s="5"/>
    </row>
    <row r="5073" spans="7:26" ht="75.75" customHeight="1" x14ac:dyDescent="0.25">
      <c r="G5073" s="5"/>
      <c r="H5073" s="2"/>
      <c r="I5073" s="2"/>
      <c r="K5073" s="2"/>
      <c r="L5073" s="2"/>
      <c r="M5073" s="2"/>
      <c r="N5073" s="2"/>
      <c r="O5073" s="2"/>
      <c r="P5073" s="2"/>
      <c r="Q5073" s="2"/>
      <c r="R5073" s="2"/>
      <c r="S5073" s="2"/>
      <c r="T5073" s="19"/>
      <c r="U5073" s="2"/>
      <c r="V5073" s="2"/>
      <c r="W5073" s="2"/>
      <c r="X5073" s="19"/>
      <c r="Y5073" s="2"/>
      <c r="Z5073" s="5"/>
    </row>
    <row r="5074" spans="7:26" ht="75.75" customHeight="1" x14ac:dyDescent="0.25">
      <c r="G5074" s="5"/>
      <c r="H5074" s="2"/>
      <c r="I5074" s="2"/>
      <c r="K5074" s="2"/>
      <c r="L5074" s="2"/>
      <c r="M5074" s="2"/>
      <c r="N5074" s="2"/>
      <c r="O5074" s="2"/>
      <c r="P5074" s="2"/>
      <c r="Q5074" s="2"/>
      <c r="R5074" s="2"/>
      <c r="S5074" s="2"/>
      <c r="T5074" s="19"/>
      <c r="U5074" s="2"/>
      <c r="V5074" s="2"/>
      <c r="W5074" s="2"/>
      <c r="X5074" s="19"/>
      <c r="Y5074" s="2"/>
      <c r="Z5074" s="5"/>
    </row>
    <row r="5075" spans="7:26" ht="75.75" customHeight="1" x14ac:dyDescent="0.25">
      <c r="G5075" s="5"/>
      <c r="H5075" s="2"/>
      <c r="I5075" s="2"/>
      <c r="K5075" s="2"/>
      <c r="L5075" s="2"/>
      <c r="M5075" s="2"/>
      <c r="N5075" s="2"/>
      <c r="O5075" s="2"/>
      <c r="P5075" s="2"/>
      <c r="Q5075" s="2"/>
      <c r="R5075" s="2"/>
      <c r="S5075" s="2"/>
      <c r="T5075" s="19"/>
      <c r="U5075" s="2"/>
      <c r="V5075" s="2"/>
      <c r="W5075" s="2"/>
      <c r="X5075" s="19"/>
      <c r="Y5075" s="2"/>
      <c r="Z5075" s="5"/>
    </row>
    <row r="5076" spans="7:26" ht="75.75" customHeight="1" x14ac:dyDescent="0.25">
      <c r="G5076" s="5"/>
      <c r="H5076" s="2"/>
      <c r="I5076" s="2"/>
      <c r="K5076" s="2"/>
      <c r="L5076" s="2"/>
      <c r="M5076" s="2"/>
      <c r="N5076" s="2"/>
      <c r="O5076" s="2"/>
      <c r="P5076" s="2"/>
      <c r="Q5076" s="2"/>
      <c r="R5076" s="2"/>
      <c r="S5076" s="2"/>
      <c r="T5076" s="19"/>
      <c r="U5076" s="2"/>
      <c r="V5076" s="2"/>
      <c r="W5076" s="2"/>
      <c r="X5076" s="19"/>
      <c r="Y5076" s="2"/>
      <c r="Z5076" s="5"/>
    </row>
    <row r="5077" spans="7:26" ht="75.75" customHeight="1" x14ac:dyDescent="0.25">
      <c r="G5077" s="5"/>
      <c r="H5077" s="2"/>
      <c r="I5077" s="2"/>
      <c r="K5077" s="2"/>
      <c r="L5077" s="2"/>
      <c r="M5077" s="2"/>
      <c r="N5077" s="2"/>
      <c r="O5077" s="2"/>
      <c r="P5077" s="2"/>
      <c r="Q5077" s="2"/>
      <c r="R5077" s="2"/>
      <c r="S5077" s="2"/>
      <c r="T5077" s="19"/>
      <c r="U5077" s="2"/>
      <c r="V5077" s="2"/>
      <c r="W5077" s="2"/>
      <c r="X5077" s="19"/>
      <c r="Y5077" s="2"/>
      <c r="Z5077" s="5"/>
    </row>
    <row r="5078" spans="7:26" ht="75.75" customHeight="1" x14ac:dyDescent="0.25">
      <c r="G5078" s="5"/>
      <c r="H5078" s="2"/>
      <c r="I5078" s="2"/>
      <c r="K5078" s="2"/>
      <c r="L5078" s="2"/>
      <c r="M5078" s="2"/>
      <c r="N5078" s="2"/>
      <c r="O5078" s="2"/>
      <c r="P5078" s="2"/>
      <c r="Q5078" s="2"/>
      <c r="R5078" s="2"/>
      <c r="S5078" s="2"/>
      <c r="T5078" s="19"/>
      <c r="U5078" s="2"/>
      <c r="V5078" s="2"/>
      <c r="W5078" s="2"/>
      <c r="X5078" s="19"/>
      <c r="Y5078" s="2"/>
      <c r="Z5078" s="5"/>
    </row>
    <row r="5079" spans="7:26" ht="75.75" customHeight="1" x14ac:dyDescent="0.25">
      <c r="G5079" s="5"/>
      <c r="H5079" s="2"/>
      <c r="I5079" s="2"/>
      <c r="K5079" s="2"/>
      <c r="L5079" s="2"/>
      <c r="M5079" s="2"/>
      <c r="N5079" s="2"/>
      <c r="O5079" s="2"/>
      <c r="P5079" s="2"/>
      <c r="Q5079" s="2"/>
      <c r="R5079" s="2"/>
      <c r="S5079" s="2"/>
      <c r="T5079" s="19"/>
      <c r="U5079" s="2"/>
      <c r="V5079" s="2"/>
      <c r="W5079" s="2"/>
      <c r="X5079" s="19"/>
      <c r="Y5079" s="2"/>
      <c r="Z5079" s="5"/>
    </row>
    <row r="5080" spans="7:26" ht="75.75" customHeight="1" x14ac:dyDescent="0.25">
      <c r="G5080" s="5"/>
      <c r="H5080" s="2"/>
      <c r="I5080" s="2"/>
      <c r="K5080" s="2"/>
      <c r="L5080" s="2"/>
      <c r="M5080" s="2"/>
      <c r="N5080" s="2"/>
      <c r="O5080" s="2"/>
      <c r="P5080" s="2"/>
      <c r="Q5080" s="2"/>
      <c r="R5080" s="2"/>
      <c r="S5080" s="2"/>
      <c r="T5080" s="19"/>
      <c r="U5080" s="2"/>
      <c r="V5080" s="2"/>
      <c r="W5080" s="2"/>
      <c r="X5080" s="19"/>
      <c r="Y5080" s="2"/>
      <c r="Z5080" s="5"/>
    </row>
    <row r="5081" spans="7:26" ht="75.75" customHeight="1" x14ac:dyDescent="0.25">
      <c r="G5081" s="5"/>
      <c r="H5081" s="2"/>
      <c r="I5081" s="2"/>
      <c r="K5081" s="2"/>
      <c r="L5081" s="2"/>
      <c r="M5081" s="2"/>
      <c r="N5081" s="2"/>
      <c r="O5081" s="2"/>
      <c r="P5081" s="2"/>
      <c r="Q5081" s="2"/>
      <c r="R5081" s="2"/>
      <c r="S5081" s="2"/>
      <c r="T5081" s="19"/>
      <c r="U5081" s="2"/>
      <c r="V5081" s="2"/>
      <c r="W5081" s="2"/>
      <c r="X5081" s="19"/>
      <c r="Y5081" s="2"/>
      <c r="Z5081" s="5"/>
    </row>
    <row r="5082" spans="7:26" ht="75.75" customHeight="1" x14ac:dyDescent="0.25">
      <c r="G5082" s="5"/>
      <c r="H5082" s="2"/>
      <c r="I5082" s="2"/>
      <c r="K5082" s="2"/>
      <c r="L5082" s="2"/>
      <c r="M5082" s="2"/>
      <c r="N5082" s="2"/>
      <c r="O5082" s="2"/>
      <c r="P5082" s="2"/>
      <c r="Q5082" s="2"/>
      <c r="R5082" s="2"/>
      <c r="S5082" s="2"/>
      <c r="T5082" s="19"/>
      <c r="U5082" s="2"/>
      <c r="V5082" s="2"/>
      <c r="W5082" s="2"/>
      <c r="X5082" s="19"/>
      <c r="Y5082" s="2"/>
      <c r="Z5082" s="5"/>
    </row>
    <row r="5083" spans="7:26" ht="75.75" customHeight="1" x14ac:dyDescent="0.25">
      <c r="G5083" s="5"/>
      <c r="H5083" s="2"/>
      <c r="I5083" s="2"/>
      <c r="K5083" s="2"/>
      <c r="L5083" s="2"/>
      <c r="M5083" s="2"/>
      <c r="N5083" s="2"/>
      <c r="O5083" s="2"/>
      <c r="P5083" s="2"/>
      <c r="Q5083" s="2"/>
      <c r="R5083" s="2"/>
      <c r="S5083" s="2"/>
      <c r="T5083" s="19"/>
      <c r="U5083" s="2"/>
      <c r="V5083" s="2"/>
      <c r="W5083" s="2"/>
      <c r="X5083" s="19"/>
      <c r="Y5083" s="2"/>
      <c r="Z5083" s="5"/>
    </row>
    <row r="5084" spans="7:26" ht="75.75" customHeight="1" x14ac:dyDescent="0.25">
      <c r="G5084" s="5"/>
      <c r="H5084" s="2"/>
      <c r="I5084" s="2"/>
      <c r="K5084" s="2"/>
      <c r="L5084" s="2"/>
      <c r="M5084" s="2"/>
      <c r="N5084" s="2"/>
      <c r="O5084" s="2"/>
      <c r="P5084" s="2"/>
      <c r="Q5084" s="2"/>
      <c r="R5084" s="2"/>
      <c r="S5084" s="2"/>
      <c r="T5084" s="19"/>
      <c r="U5084" s="2"/>
      <c r="V5084" s="2"/>
      <c r="W5084" s="2"/>
      <c r="X5084" s="19"/>
      <c r="Y5084" s="2"/>
      <c r="Z5084" s="5"/>
    </row>
    <row r="5085" spans="7:26" ht="75.75" customHeight="1" x14ac:dyDescent="0.25">
      <c r="G5085" s="5"/>
      <c r="H5085" s="2"/>
      <c r="I5085" s="2"/>
      <c r="K5085" s="2"/>
      <c r="L5085" s="2"/>
      <c r="M5085" s="2"/>
      <c r="N5085" s="2"/>
      <c r="O5085" s="2"/>
      <c r="P5085" s="2"/>
      <c r="Q5085" s="2"/>
      <c r="R5085" s="2"/>
      <c r="S5085" s="2"/>
      <c r="T5085" s="19"/>
      <c r="U5085" s="2"/>
      <c r="V5085" s="2"/>
      <c r="W5085" s="2"/>
      <c r="X5085" s="19"/>
      <c r="Y5085" s="2"/>
      <c r="Z5085" s="5"/>
    </row>
    <row r="5086" spans="7:26" ht="75.75" customHeight="1" x14ac:dyDescent="0.25">
      <c r="G5086" s="5"/>
      <c r="H5086" s="2"/>
      <c r="I5086" s="2"/>
      <c r="K5086" s="2"/>
      <c r="L5086" s="2"/>
      <c r="M5086" s="2"/>
      <c r="N5086" s="2"/>
      <c r="O5086" s="2"/>
      <c r="P5086" s="2"/>
      <c r="Q5086" s="2"/>
      <c r="R5086" s="2"/>
      <c r="S5086" s="2"/>
      <c r="T5086" s="19"/>
      <c r="U5086" s="2"/>
      <c r="V5086" s="2"/>
      <c r="W5086" s="2"/>
      <c r="X5086" s="19"/>
      <c r="Y5086" s="2"/>
      <c r="Z5086" s="5"/>
    </row>
    <row r="5087" spans="7:26" ht="75.75" customHeight="1" x14ac:dyDescent="0.25">
      <c r="G5087" s="5"/>
      <c r="H5087" s="2"/>
      <c r="I5087" s="2"/>
      <c r="K5087" s="2"/>
      <c r="L5087" s="2"/>
      <c r="M5087" s="2"/>
      <c r="N5087" s="2"/>
      <c r="O5087" s="2"/>
      <c r="P5087" s="2"/>
      <c r="Q5087" s="2"/>
      <c r="R5087" s="2"/>
      <c r="S5087" s="2"/>
      <c r="T5087" s="19"/>
      <c r="U5087" s="2"/>
      <c r="V5087" s="2"/>
      <c r="W5087" s="2"/>
      <c r="X5087" s="19"/>
      <c r="Y5087" s="2"/>
      <c r="Z5087" s="5"/>
    </row>
    <row r="5088" spans="7:26" ht="75.75" customHeight="1" x14ac:dyDescent="0.25">
      <c r="G5088" s="5"/>
      <c r="H5088" s="2"/>
      <c r="I5088" s="2"/>
      <c r="K5088" s="2"/>
      <c r="L5088" s="2"/>
      <c r="M5088" s="2"/>
      <c r="N5088" s="2"/>
      <c r="O5088" s="2"/>
      <c r="P5088" s="2"/>
      <c r="Q5088" s="2"/>
      <c r="R5088" s="2"/>
      <c r="S5088" s="2"/>
      <c r="T5088" s="19"/>
      <c r="U5088" s="2"/>
      <c r="V5088" s="2"/>
      <c r="W5088" s="2"/>
      <c r="X5088" s="19"/>
      <c r="Y5088" s="2"/>
      <c r="Z5088" s="5"/>
    </row>
    <row r="5089" spans="7:26" ht="75.75" customHeight="1" x14ac:dyDescent="0.25">
      <c r="G5089" s="5"/>
      <c r="H5089" s="2"/>
      <c r="I5089" s="2"/>
      <c r="K5089" s="2"/>
      <c r="L5089" s="2"/>
      <c r="M5089" s="2"/>
      <c r="N5089" s="2"/>
      <c r="O5089" s="2"/>
      <c r="P5089" s="2"/>
      <c r="Q5089" s="2"/>
      <c r="R5089" s="2"/>
      <c r="S5089" s="2"/>
      <c r="T5089" s="19"/>
      <c r="U5089" s="2"/>
      <c r="V5089" s="2"/>
      <c r="W5089" s="2"/>
      <c r="X5089" s="19"/>
      <c r="Y5089" s="2"/>
      <c r="Z5089" s="5"/>
    </row>
    <row r="5090" spans="7:26" ht="75.75" customHeight="1" x14ac:dyDescent="0.25">
      <c r="G5090" s="5"/>
      <c r="H5090" s="2"/>
      <c r="I5090" s="2"/>
      <c r="K5090" s="2"/>
      <c r="L5090" s="2"/>
      <c r="M5090" s="2"/>
      <c r="N5090" s="2"/>
      <c r="O5090" s="2"/>
      <c r="P5090" s="2"/>
      <c r="Q5090" s="2"/>
      <c r="R5090" s="2"/>
      <c r="S5090" s="2"/>
      <c r="T5090" s="19"/>
      <c r="U5090" s="2"/>
      <c r="V5090" s="2"/>
      <c r="W5090" s="2"/>
      <c r="X5090" s="19"/>
      <c r="Y5090" s="2"/>
      <c r="Z5090" s="5"/>
    </row>
    <row r="5091" spans="7:26" ht="75.75" customHeight="1" x14ac:dyDescent="0.25">
      <c r="G5091" s="5"/>
      <c r="H5091" s="2"/>
      <c r="I5091" s="2"/>
      <c r="K5091" s="2"/>
      <c r="L5091" s="2"/>
      <c r="M5091" s="2"/>
      <c r="N5091" s="2"/>
      <c r="O5091" s="2"/>
      <c r="P5091" s="2"/>
      <c r="Q5091" s="2"/>
      <c r="R5091" s="2"/>
      <c r="S5091" s="2"/>
      <c r="T5091" s="19"/>
      <c r="U5091" s="2"/>
      <c r="V5091" s="2"/>
      <c r="W5091" s="2"/>
      <c r="X5091" s="19"/>
      <c r="Y5091" s="2"/>
      <c r="Z5091" s="5"/>
    </row>
    <row r="5092" spans="7:26" ht="75.75" customHeight="1" x14ac:dyDescent="0.25">
      <c r="G5092" s="5"/>
      <c r="H5092" s="2"/>
      <c r="I5092" s="2"/>
      <c r="K5092" s="2"/>
      <c r="L5092" s="2"/>
      <c r="M5092" s="2"/>
      <c r="N5092" s="2"/>
      <c r="O5092" s="2"/>
      <c r="P5092" s="2"/>
      <c r="Q5092" s="2"/>
      <c r="R5092" s="2"/>
      <c r="S5092" s="2"/>
      <c r="T5092" s="19"/>
      <c r="U5092" s="2"/>
      <c r="V5092" s="2"/>
      <c r="W5092" s="2"/>
      <c r="X5092" s="19"/>
      <c r="Y5092" s="2"/>
      <c r="Z5092" s="5"/>
    </row>
    <row r="5093" spans="7:26" ht="75.75" customHeight="1" x14ac:dyDescent="0.25">
      <c r="G5093" s="5"/>
      <c r="H5093" s="2"/>
      <c r="I5093" s="2"/>
      <c r="K5093" s="2"/>
      <c r="L5093" s="2"/>
      <c r="M5093" s="2"/>
      <c r="N5093" s="2"/>
      <c r="O5093" s="2"/>
      <c r="P5093" s="2"/>
      <c r="Q5093" s="2"/>
      <c r="R5093" s="2"/>
      <c r="S5093" s="2"/>
      <c r="T5093" s="19"/>
      <c r="U5093" s="2"/>
      <c r="V5093" s="2"/>
      <c r="W5093" s="2"/>
      <c r="X5093" s="19"/>
      <c r="Y5093" s="2"/>
      <c r="Z5093" s="5"/>
    </row>
    <row r="5094" spans="7:26" ht="75.75" customHeight="1" x14ac:dyDescent="0.25">
      <c r="G5094" s="5"/>
      <c r="H5094" s="2"/>
      <c r="I5094" s="2"/>
      <c r="K5094" s="2"/>
      <c r="L5094" s="2"/>
      <c r="M5094" s="2"/>
      <c r="N5094" s="2"/>
      <c r="O5094" s="2"/>
      <c r="P5094" s="2"/>
      <c r="Q5094" s="2"/>
      <c r="R5094" s="2"/>
      <c r="S5094" s="2"/>
      <c r="T5094" s="19"/>
      <c r="U5094" s="2"/>
      <c r="V5094" s="2"/>
      <c r="W5094" s="2"/>
      <c r="X5094" s="19"/>
      <c r="Y5094" s="2"/>
      <c r="Z5094" s="5"/>
    </row>
    <row r="5095" spans="7:26" ht="75.75" customHeight="1" x14ac:dyDescent="0.25">
      <c r="G5095" s="5"/>
      <c r="H5095" s="2"/>
      <c r="I5095" s="2"/>
      <c r="K5095" s="2"/>
      <c r="L5095" s="2"/>
      <c r="M5095" s="2"/>
      <c r="N5095" s="2"/>
      <c r="O5095" s="2"/>
      <c r="P5095" s="2"/>
      <c r="Q5095" s="2"/>
      <c r="R5095" s="2"/>
      <c r="S5095" s="2"/>
      <c r="T5095" s="19"/>
      <c r="U5095" s="2"/>
      <c r="V5095" s="2"/>
      <c r="W5095" s="2"/>
      <c r="X5095" s="19"/>
      <c r="Y5095" s="2"/>
      <c r="Z5095" s="5"/>
    </row>
    <row r="5096" spans="7:26" ht="75.75" customHeight="1" x14ac:dyDescent="0.25">
      <c r="G5096" s="5"/>
      <c r="H5096" s="2"/>
      <c r="I5096" s="2"/>
      <c r="K5096" s="2"/>
      <c r="L5096" s="2"/>
      <c r="M5096" s="2"/>
      <c r="N5096" s="2"/>
      <c r="O5096" s="2"/>
      <c r="P5096" s="2"/>
      <c r="Q5096" s="2"/>
      <c r="R5096" s="2"/>
      <c r="S5096" s="2"/>
      <c r="T5096" s="19"/>
      <c r="U5096" s="2"/>
      <c r="V5096" s="2"/>
      <c r="W5096" s="2"/>
      <c r="X5096" s="19"/>
      <c r="Y5096" s="2"/>
      <c r="Z5096" s="5"/>
    </row>
    <row r="5097" spans="7:26" ht="75.75" customHeight="1" x14ac:dyDescent="0.25">
      <c r="G5097" s="5"/>
      <c r="H5097" s="2"/>
      <c r="I5097" s="2"/>
      <c r="K5097" s="2"/>
      <c r="L5097" s="2"/>
      <c r="M5097" s="2"/>
      <c r="N5097" s="2"/>
      <c r="O5097" s="2"/>
      <c r="P5097" s="2"/>
      <c r="Q5097" s="2"/>
      <c r="R5097" s="2"/>
      <c r="S5097" s="2"/>
      <c r="T5097" s="19"/>
      <c r="U5097" s="2"/>
      <c r="V5097" s="2"/>
      <c r="W5097" s="2"/>
      <c r="X5097" s="19"/>
      <c r="Y5097" s="2"/>
      <c r="Z5097" s="5"/>
    </row>
    <row r="5098" spans="7:26" ht="75.75" customHeight="1" x14ac:dyDescent="0.25">
      <c r="G5098" s="5"/>
      <c r="H5098" s="2"/>
      <c r="I5098" s="2"/>
      <c r="K5098" s="2"/>
      <c r="L5098" s="2"/>
      <c r="M5098" s="2"/>
      <c r="N5098" s="2"/>
      <c r="O5098" s="2"/>
      <c r="P5098" s="2"/>
      <c r="Q5098" s="2"/>
      <c r="R5098" s="2"/>
      <c r="S5098" s="2"/>
      <c r="T5098" s="19"/>
      <c r="U5098" s="2"/>
      <c r="V5098" s="2"/>
      <c r="W5098" s="2"/>
      <c r="X5098" s="19"/>
      <c r="Y5098" s="2"/>
      <c r="Z5098" s="5"/>
    </row>
    <row r="5099" spans="7:26" ht="75.75" customHeight="1" x14ac:dyDescent="0.25">
      <c r="G5099" s="5"/>
      <c r="H5099" s="2"/>
      <c r="I5099" s="2"/>
      <c r="K5099" s="2"/>
      <c r="L5099" s="2"/>
      <c r="M5099" s="2"/>
      <c r="N5099" s="2"/>
      <c r="O5099" s="2"/>
      <c r="P5099" s="2"/>
      <c r="Q5099" s="2"/>
      <c r="R5099" s="2"/>
      <c r="S5099" s="2"/>
      <c r="T5099" s="19"/>
      <c r="U5099" s="2"/>
      <c r="V5099" s="2"/>
      <c r="W5099" s="2"/>
      <c r="X5099" s="19"/>
      <c r="Y5099" s="2"/>
      <c r="Z5099" s="5"/>
    </row>
    <row r="5100" spans="7:26" ht="75.75" customHeight="1" x14ac:dyDescent="0.25">
      <c r="G5100" s="5"/>
      <c r="H5100" s="2"/>
      <c r="I5100" s="2"/>
      <c r="K5100" s="2"/>
      <c r="L5100" s="2"/>
      <c r="M5100" s="2"/>
      <c r="N5100" s="2"/>
      <c r="O5100" s="2"/>
      <c r="P5100" s="2"/>
      <c r="Q5100" s="2"/>
      <c r="R5100" s="2"/>
      <c r="S5100" s="2"/>
      <c r="T5100" s="19"/>
      <c r="U5100" s="2"/>
      <c r="V5100" s="2"/>
      <c r="W5100" s="2"/>
      <c r="X5100" s="19"/>
      <c r="Y5100" s="2"/>
      <c r="Z5100" s="5"/>
    </row>
    <row r="5101" spans="7:26" ht="75.75" customHeight="1" x14ac:dyDescent="0.25">
      <c r="G5101" s="5"/>
      <c r="H5101" s="2"/>
      <c r="I5101" s="2"/>
      <c r="K5101" s="2"/>
      <c r="L5101" s="2"/>
      <c r="M5101" s="2"/>
      <c r="N5101" s="2"/>
      <c r="O5101" s="2"/>
      <c r="P5101" s="2"/>
      <c r="Q5101" s="2"/>
      <c r="R5101" s="2"/>
      <c r="S5101" s="2"/>
      <c r="T5101" s="19"/>
      <c r="U5101" s="2"/>
      <c r="V5101" s="2"/>
      <c r="W5101" s="2"/>
      <c r="X5101" s="19"/>
      <c r="Y5101" s="2"/>
      <c r="Z5101" s="5"/>
    </row>
    <row r="5102" spans="7:26" ht="75.75" customHeight="1" x14ac:dyDescent="0.25">
      <c r="G5102" s="5"/>
      <c r="H5102" s="2"/>
      <c r="I5102" s="2"/>
      <c r="K5102" s="2"/>
      <c r="L5102" s="2"/>
      <c r="M5102" s="2"/>
      <c r="N5102" s="2"/>
      <c r="O5102" s="2"/>
      <c r="P5102" s="2"/>
      <c r="Q5102" s="2"/>
      <c r="R5102" s="2"/>
      <c r="S5102" s="2"/>
      <c r="T5102" s="19"/>
      <c r="U5102" s="2"/>
      <c r="V5102" s="2"/>
      <c r="W5102" s="2"/>
      <c r="X5102" s="19"/>
      <c r="Y5102" s="2"/>
      <c r="Z5102" s="5"/>
    </row>
    <row r="5103" spans="7:26" ht="75.75" customHeight="1" x14ac:dyDescent="0.25">
      <c r="G5103" s="5"/>
      <c r="H5103" s="2"/>
      <c r="I5103" s="2"/>
      <c r="K5103" s="2"/>
      <c r="L5103" s="2"/>
      <c r="M5103" s="2"/>
      <c r="N5103" s="2"/>
      <c r="O5103" s="2"/>
      <c r="P5103" s="2"/>
      <c r="Q5103" s="2"/>
      <c r="R5103" s="2"/>
      <c r="S5103" s="2"/>
      <c r="T5103" s="19"/>
      <c r="U5103" s="2"/>
      <c r="V5103" s="2"/>
      <c r="W5103" s="2"/>
      <c r="X5103" s="19"/>
      <c r="Y5103" s="2"/>
      <c r="Z5103" s="5"/>
    </row>
    <row r="5104" spans="7:26" ht="75.75" customHeight="1" x14ac:dyDescent="0.25">
      <c r="G5104" s="5"/>
      <c r="H5104" s="2"/>
      <c r="I5104" s="2"/>
      <c r="K5104" s="2"/>
      <c r="L5104" s="2"/>
      <c r="M5104" s="2"/>
      <c r="N5104" s="2"/>
      <c r="O5104" s="2"/>
      <c r="P5104" s="2"/>
      <c r="Q5104" s="2"/>
      <c r="R5104" s="2"/>
      <c r="S5104" s="2"/>
      <c r="T5104" s="19"/>
      <c r="U5104" s="2"/>
      <c r="V5104" s="2"/>
      <c r="W5104" s="2"/>
      <c r="X5104" s="19"/>
      <c r="Y5104" s="2"/>
      <c r="Z5104" s="5"/>
    </row>
    <row r="5105" spans="7:26" ht="75.75" customHeight="1" x14ac:dyDescent="0.25">
      <c r="G5105" s="5"/>
      <c r="H5105" s="2"/>
      <c r="I5105" s="2"/>
      <c r="K5105" s="2"/>
      <c r="L5105" s="2"/>
      <c r="M5105" s="2"/>
      <c r="N5105" s="2"/>
      <c r="O5105" s="2"/>
      <c r="P5105" s="2"/>
      <c r="Q5105" s="2"/>
      <c r="R5105" s="2"/>
      <c r="S5105" s="2"/>
      <c r="T5105" s="19"/>
      <c r="U5105" s="2"/>
      <c r="V5105" s="2"/>
      <c r="W5105" s="2"/>
      <c r="X5105" s="19"/>
      <c r="Y5105" s="2"/>
      <c r="Z5105" s="5"/>
    </row>
    <row r="5106" spans="7:26" ht="75.75" customHeight="1" x14ac:dyDescent="0.25">
      <c r="G5106" s="5"/>
      <c r="H5106" s="2"/>
      <c r="I5106" s="2"/>
      <c r="K5106" s="2"/>
      <c r="L5106" s="2"/>
      <c r="M5106" s="2"/>
      <c r="N5106" s="2"/>
      <c r="O5106" s="2"/>
      <c r="P5106" s="2"/>
      <c r="Q5106" s="2"/>
      <c r="R5106" s="2"/>
      <c r="S5106" s="2"/>
      <c r="T5106" s="19"/>
      <c r="U5106" s="2"/>
      <c r="V5106" s="2"/>
      <c r="W5106" s="2"/>
      <c r="X5106" s="19"/>
      <c r="Y5106" s="2"/>
      <c r="Z5106" s="5"/>
    </row>
    <row r="5107" spans="7:26" ht="75.75" customHeight="1" x14ac:dyDescent="0.25">
      <c r="G5107" s="5"/>
      <c r="H5107" s="2"/>
      <c r="I5107" s="2"/>
      <c r="K5107" s="2"/>
      <c r="L5107" s="2"/>
      <c r="M5107" s="2"/>
      <c r="N5107" s="2"/>
      <c r="O5107" s="2"/>
      <c r="P5107" s="2"/>
      <c r="Q5107" s="2"/>
      <c r="R5107" s="2"/>
      <c r="S5107" s="2"/>
      <c r="T5107" s="19"/>
      <c r="U5107" s="2"/>
      <c r="V5107" s="2"/>
      <c r="W5107" s="2"/>
      <c r="X5107" s="19"/>
      <c r="Y5107" s="2"/>
      <c r="Z5107" s="5"/>
    </row>
    <row r="5108" spans="7:26" ht="75.75" customHeight="1" x14ac:dyDescent="0.25">
      <c r="G5108" s="5"/>
      <c r="H5108" s="2"/>
      <c r="I5108" s="2"/>
      <c r="K5108" s="2"/>
      <c r="L5108" s="2"/>
      <c r="M5108" s="2"/>
      <c r="N5108" s="2"/>
      <c r="O5108" s="2"/>
      <c r="P5108" s="2"/>
      <c r="Q5108" s="2"/>
      <c r="R5108" s="2"/>
      <c r="S5108" s="2"/>
      <c r="T5108" s="19"/>
      <c r="U5108" s="2"/>
      <c r="V5108" s="2"/>
      <c r="W5108" s="2"/>
      <c r="X5108" s="19"/>
      <c r="Y5108" s="2"/>
      <c r="Z5108" s="5"/>
    </row>
    <row r="5109" spans="7:26" ht="75.75" customHeight="1" x14ac:dyDescent="0.25">
      <c r="G5109" s="5"/>
      <c r="H5109" s="2"/>
      <c r="I5109" s="2"/>
      <c r="K5109" s="2"/>
      <c r="L5109" s="2"/>
      <c r="M5109" s="2"/>
      <c r="N5109" s="2"/>
      <c r="O5109" s="2"/>
      <c r="P5109" s="2"/>
      <c r="Q5109" s="2"/>
      <c r="R5109" s="2"/>
      <c r="S5109" s="2"/>
      <c r="T5109" s="19"/>
      <c r="U5109" s="2"/>
      <c r="V5109" s="2"/>
      <c r="W5109" s="2"/>
      <c r="X5109" s="19"/>
      <c r="Y5109" s="2"/>
      <c r="Z5109" s="5"/>
    </row>
    <row r="5110" spans="7:26" ht="75.75" customHeight="1" x14ac:dyDescent="0.25">
      <c r="G5110" s="5"/>
      <c r="H5110" s="2"/>
      <c r="I5110" s="2"/>
      <c r="K5110" s="2"/>
      <c r="L5110" s="2"/>
      <c r="M5110" s="2"/>
      <c r="N5110" s="2"/>
      <c r="O5110" s="2"/>
      <c r="P5110" s="2"/>
      <c r="Q5110" s="2"/>
      <c r="R5110" s="2"/>
      <c r="S5110" s="2"/>
      <c r="T5110" s="19"/>
      <c r="U5110" s="2"/>
      <c r="V5110" s="2"/>
      <c r="W5110" s="2"/>
      <c r="X5110" s="19"/>
      <c r="Y5110" s="2"/>
      <c r="Z5110" s="5"/>
    </row>
    <row r="5111" spans="7:26" ht="75.75" customHeight="1" x14ac:dyDescent="0.25">
      <c r="G5111" s="5"/>
      <c r="H5111" s="2"/>
      <c r="I5111" s="2"/>
      <c r="K5111" s="2"/>
      <c r="L5111" s="2"/>
      <c r="M5111" s="2"/>
      <c r="N5111" s="2"/>
      <c r="O5111" s="2"/>
      <c r="P5111" s="2"/>
      <c r="Q5111" s="2"/>
      <c r="R5111" s="2"/>
      <c r="S5111" s="2"/>
      <c r="T5111" s="19"/>
      <c r="U5111" s="2"/>
      <c r="V5111" s="2"/>
      <c r="W5111" s="2"/>
      <c r="X5111" s="19"/>
      <c r="Y5111" s="2"/>
      <c r="Z5111" s="5"/>
    </row>
    <row r="5112" spans="7:26" ht="75.75" customHeight="1" x14ac:dyDescent="0.25">
      <c r="G5112" s="5"/>
      <c r="H5112" s="2"/>
      <c r="I5112" s="2"/>
      <c r="K5112" s="2"/>
      <c r="L5112" s="2"/>
      <c r="M5112" s="2"/>
      <c r="N5112" s="2"/>
      <c r="O5112" s="2"/>
      <c r="P5112" s="2"/>
      <c r="Q5112" s="2"/>
      <c r="R5112" s="2"/>
      <c r="S5112" s="2"/>
      <c r="T5112" s="19"/>
      <c r="U5112" s="2"/>
      <c r="V5112" s="2"/>
      <c r="W5112" s="2"/>
      <c r="X5112" s="19"/>
      <c r="Y5112" s="2"/>
      <c r="Z5112" s="5"/>
    </row>
    <row r="5113" spans="7:26" ht="75.75" customHeight="1" x14ac:dyDescent="0.25">
      <c r="G5113" s="5"/>
      <c r="H5113" s="2"/>
      <c r="I5113" s="2"/>
      <c r="K5113" s="2"/>
      <c r="L5113" s="2"/>
      <c r="M5113" s="2"/>
      <c r="N5113" s="2"/>
      <c r="O5113" s="2"/>
      <c r="P5113" s="2"/>
      <c r="Q5113" s="2"/>
      <c r="R5113" s="2"/>
      <c r="S5113" s="2"/>
      <c r="T5113" s="19"/>
      <c r="U5113" s="2"/>
      <c r="V5113" s="2"/>
      <c r="W5113" s="2"/>
      <c r="X5113" s="19"/>
      <c r="Y5113" s="2"/>
      <c r="Z5113" s="5"/>
    </row>
    <row r="5114" spans="7:26" ht="75.75" customHeight="1" x14ac:dyDescent="0.25">
      <c r="G5114" s="5"/>
      <c r="H5114" s="2"/>
      <c r="I5114" s="2"/>
      <c r="K5114" s="2"/>
      <c r="L5114" s="2"/>
      <c r="M5114" s="2"/>
      <c r="N5114" s="2"/>
      <c r="O5114" s="2"/>
      <c r="P5114" s="2"/>
      <c r="Q5114" s="2"/>
      <c r="R5114" s="2"/>
      <c r="S5114" s="2"/>
      <c r="T5114" s="19"/>
      <c r="U5114" s="2"/>
      <c r="V5114" s="2"/>
      <c r="W5114" s="2"/>
      <c r="X5114" s="19"/>
      <c r="Y5114" s="2"/>
      <c r="Z5114" s="5"/>
    </row>
    <row r="5115" spans="7:26" ht="75.75" customHeight="1" x14ac:dyDescent="0.25">
      <c r="G5115" s="5"/>
      <c r="H5115" s="2"/>
      <c r="I5115" s="2"/>
      <c r="K5115" s="2"/>
      <c r="L5115" s="2"/>
      <c r="M5115" s="2"/>
      <c r="N5115" s="2"/>
      <c r="O5115" s="2"/>
      <c r="P5115" s="2"/>
      <c r="Q5115" s="2"/>
      <c r="R5115" s="2"/>
      <c r="S5115" s="2"/>
      <c r="T5115" s="19"/>
      <c r="U5115" s="2"/>
      <c r="V5115" s="2"/>
      <c r="W5115" s="2"/>
      <c r="X5115" s="19"/>
      <c r="Y5115" s="2"/>
      <c r="Z5115" s="5"/>
    </row>
    <row r="5116" spans="7:26" ht="75.75" customHeight="1" x14ac:dyDescent="0.25">
      <c r="G5116" s="5"/>
      <c r="H5116" s="2"/>
      <c r="I5116" s="2"/>
      <c r="K5116" s="2"/>
      <c r="L5116" s="2"/>
      <c r="M5116" s="2"/>
      <c r="N5116" s="2"/>
      <c r="O5116" s="2"/>
      <c r="P5116" s="2"/>
      <c r="Q5116" s="2"/>
      <c r="R5116" s="2"/>
      <c r="S5116" s="2"/>
      <c r="T5116" s="19"/>
      <c r="U5116" s="2"/>
      <c r="V5116" s="2"/>
      <c r="W5116" s="2"/>
      <c r="X5116" s="19"/>
      <c r="Y5116" s="2"/>
      <c r="Z5116" s="5"/>
    </row>
    <row r="5117" spans="7:26" ht="75.75" customHeight="1" x14ac:dyDescent="0.25">
      <c r="G5117" s="5"/>
      <c r="H5117" s="2"/>
      <c r="I5117" s="2"/>
      <c r="K5117" s="2"/>
      <c r="L5117" s="2"/>
      <c r="M5117" s="2"/>
      <c r="N5117" s="2"/>
      <c r="O5117" s="2"/>
      <c r="P5117" s="2"/>
      <c r="Q5117" s="2"/>
      <c r="R5117" s="2"/>
      <c r="S5117" s="2"/>
      <c r="T5117" s="19"/>
      <c r="U5117" s="2"/>
      <c r="V5117" s="2"/>
      <c r="W5117" s="2"/>
      <c r="X5117" s="19"/>
      <c r="Y5117" s="2"/>
      <c r="Z5117" s="5"/>
    </row>
    <row r="5118" spans="7:26" ht="75.75" customHeight="1" x14ac:dyDescent="0.25">
      <c r="G5118" s="5"/>
      <c r="H5118" s="2"/>
      <c r="I5118" s="2"/>
      <c r="K5118" s="2"/>
      <c r="L5118" s="2"/>
      <c r="M5118" s="2"/>
      <c r="N5118" s="2"/>
      <c r="O5118" s="2"/>
      <c r="P5118" s="2"/>
      <c r="Q5118" s="2"/>
      <c r="R5118" s="2"/>
      <c r="S5118" s="2"/>
      <c r="T5118" s="19"/>
      <c r="U5118" s="2"/>
      <c r="V5118" s="2"/>
      <c r="W5118" s="2"/>
      <c r="X5118" s="19"/>
      <c r="Y5118" s="2"/>
      <c r="Z5118" s="5"/>
    </row>
    <row r="5119" spans="7:26" ht="75.75" customHeight="1" x14ac:dyDescent="0.25">
      <c r="G5119" s="5"/>
      <c r="H5119" s="2"/>
      <c r="I5119" s="2"/>
      <c r="K5119" s="2"/>
      <c r="L5119" s="2"/>
      <c r="M5119" s="2"/>
      <c r="N5119" s="2"/>
      <c r="O5119" s="2"/>
      <c r="P5119" s="2"/>
      <c r="Q5119" s="2"/>
      <c r="R5119" s="2"/>
      <c r="S5119" s="2"/>
      <c r="T5119" s="19"/>
      <c r="U5119" s="2"/>
      <c r="V5119" s="2"/>
      <c r="W5119" s="2"/>
      <c r="X5119" s="19"/>
      <c r="Y5119" s="2"/>
      <c r="Z5119" s="5"/>
    </row>
    <row r="5120" spans="7:26" ht="75.75" customHeight="1" x14ac:dyDescent="0.25">
      <c r="G5120" s="5"/>
      <c r="H5120" s="2"/>
      <c r="I5120" s="2"/>
      <c r="K5120" s="2"/>
      <c r="L5120" s="2"/>
      <c r="M5120" s="2"/>
      <c r="N5120" s="2"/>
      <c r="O5120" s="2"/>
      <c r="P5120" s="2"/>
      <c r="Q5120" s="2"/>
      <c r="R5120" s="2"/>
      <c r="S5120" s="2"/>
      <c r="T5120" s="19"/>
      <c r="U5120" s="2"/>
      <c r="V5120" s="2"/>
      <c r="W5120" s="2"/>
      <c r="X5120" s="19"/>
      <c r="Y5120" s="2"/>
      <c r="Z5120" s="5"/>
    </row>
    <row r="5121" spans="7:26" ht="75.75" customHeight="1" x14ac:dyDescent="0.25">
      <c r="G5121" s="5"/>
      <c r="H5121" s="2"/>
      <c r="I5121" s="2"/>
      <c r="K5121" s="2"/>
      <c r="L5121" s="2"/>
      <c r="M5121" s="2"/>
      <c r="N5121" s="2"/>
      <c r="O5121" s="2"/>
      <c r="P5121" s="2"/>
      <c r="Q5121" s="2"/>
      <c r="R5121" s="2"/>
      <c r="S5121" s="2"/>
      <c r="T5121" s="19"/>
      <c r="U5121" s="2"/>
      <c r="V5121" s="2"/>
      <c r="W5121" s="2"/>
      <c r="X5121" s="19"/>
      <c r="Y5121" s="2"/>
      <c r="Z5121" s="5"/>
    </row>
    <row r="5122" spans="7:26" ht="75.75" customHeight="1" x14ac:dyDescent="0.25">
      <c r="G5122" s="5"/>
      <c r="H5122" s="2"/>
      <c r="I5122" s="2"/>
      <c r="K5122" s="2"/>
      <c r="L5122" s="2"/>
      <c r="M5122" s="2"/>
      <c r="N5122" s="2"/>
      <c r="O5122" s="2"/>
      <c r="P5122" s="2"/>
      <c r="Q5122" s="2"/>
      <c r="R5122" s="2"/>
      <c r="S5122" s="2"/>
      <c r="T5122" s="19"/>
      <c r="U5122" s="2"/>
      <c r="V5122" s="2"/>
      <c r="W5122" s="2"/>
      <c r="X5122" s="19"/>
      <c r="Y5122" s="2"/>
      <c r="Z5122" s="5"/>
    </row>
    <row r="5123" spans="7:26" ht="75.75" customHeight="1" x14ac:dyDescent="0.25">
      <c r="G5123" s="5"/>
      <c r="H5123" s="2"/>
      <c r="I5123" s="2"/>
      <c r="K5123" s="2"/>
      <c r="L5123" s="2"/>
      <c r="M5123" s="2"/>
      <c r="N5123" s="2"/>
      <c r="O5123" s="2"/>
      <c r="P5123" s="2"/>
      <c r="Q5123" s="2"/>
      <c r="R5123" s="2"/>
      <c r="S5123" s="2"/>
      <c r="T5123" s="19"/>
      <c r="U5123" s="2"/>
      <c r="V5123" s="2"/>
      <c r="W5123" s="2"/>
      <c r="X5123" s="19"/>
      <c r="Y5123" s="2"/>
      <c r="Z5123" s="5"/>
    </row>
    <row r="5124" spans="7:26" ht="75.75" customHeight="1" x14ac:dyDescent="0.25">
      <c r="G5124" s="5"/>
      <c r="H5124" s="2"/>
      <c r="I5124" s="2"/>
      <c r="K5124" s="2"/>
      <c r="L5124" s="2"/>
      <c r="M5124" s="2"/>
      <c r="N5124" s="2"/>
      <c r="O5124" s="2"/>
      <c r="P5124" s="2"/>
      <c r="Q5124" s="2"/>
      <c r="R5124" s="2"/>
      <c r="S5124" s="2"/>
      <c r="T5124" s="19"/>
      <c r="U5124" s="2"/>
      <c r="V5124" s="2"/>
      <c r="W5124" s="2"/>
      <c r="X5124" s="19"/>
      <c r="Y5124" s="2"/>
      <c r="Z5124" s="5"/>
    </row>
    <row r="5125" spans="7:26" ht="75.75" customHeight="1" x14ac:dyDescent="0.25">
      <c r="G5125" s="5"/>
      <c r="H5125" s="2"/>
      <c r="I5125" s="2"/>
      <c r="K5125" s="2"/>
      <c r="L5125" s="2"/>
      <c r="M5125" s="2"/>
      <c r="N5125" s="2"/>
      <c r="O5125" s="2"/>
      <c r="P5125" s="2"/>
      <c r="Q5125" s="2"/>
      <c r="R5125" s="2"/>
      <c r="S5125" s="2"/>
      <c r="T5125" s="19"/>
      <c r="U5125" s="2"/>
      <c r="V5125" s="2"/>
      <c r="W5125" s="2"/>
      <c r="X5125" s="19"/>
      <c r="Y5125" s="2"/>
      <c r="Z5125" s="5"/>
    </row>
    <row r="5126" spans="7:26" ht="75.75" customHeight="1" x14ac:dyDescent="0.25">
      <c r="G5126" s="5"/>
      <c r="H5126" s="2"/>
      <c r="I5126" s="2"/>
      <c r="K5126" s="2"/>
      <c r="L5126" s="2"/>
      <c r="M5126" s="2"/>
      <c r="N5126" s="2"/>
      <c r="O5126" s="2"/>
      <c r="P5126" s="2"/>
      <c r="Q5126" s="2"/>
      <c r="R5126" s="2"/>
      <c r="S5126" s="2"/>
      <c r="T5126" s="19"/>
      <c r="U5126" s="2"/>
      <c r="V5126" s="2"/>
      <c r="W5126" s="2"/>
      <c r="X5126" s="19"/>
      <c r="Y5126" s="2"/>
      <c r="Z5126" s="5"/>
    </row>
    <row r="5127" spans="7:26" ht="75.75" customHeight="1" x14ac:dyDescent="0.25">
      <c r="G5127" s="5"/>
      <c r="H5127" s="2"/>
      <c r="I5127" s="2"/>
      <c r="K5127" s="2"/>
      <c r="L5127" s="2"/>
      <c r="M5127" s="2"/>
      <c r="N5127" s="2"/>
      <c r="O5127" s="2"/>
      <c r="P5127" s="2"/>
      <c r="Q5127" s="2"/>
      <c r="R5127" s="2"/>
      <c r="S5127" s="2"/>
      <c r="T5127" s="19"/>
      <c r="U5127" s="2"/>
      <c r="V5127" s="2"/>
      <c r="W5127" s="2"/>
      <c r="X5127" s="19"/>
      <c r="Y5127" s="2"/>
      <c r="Z5127" s="5"/>
    </row>
    <row r="5128" spans="7:26" ht="75.75" customHeight="1" x14ac:dyDescent="0.25">
      <c r="G5128" s="5"/>
      <c r="H5128" s="2"/>
      <c r="I5128" s="2"/>
      <c r="K5128" s="2"/>
      <c r="L5128" s="2"/>
      <c r="M5128" s="2"/>
      <c r="N5128" s="2"/>
      <c r="O5128" s="2"/>
      <c r="P5128" s="2"/>
      <c r="Q5128" s="2"/>
      <c r="R5128" s="2"/>
      <c r="S5128" s="2"/>
      <c r="T5128" s="19"/>
      <c r="U5128" s="2"/>
      <c r="V5128" s="2"/>
      <c r="W5128" s="2"/>
      <c r="X5128" s="19"/>
      <c r="Y5128" s="2"/>
      <c r="Z5128" s="5"/>
    </row>
    <row r="5129" spans="7:26" ht="75.75" customHeight="1" x14ac:dyDescent="0.25">
      <c r="G5129" s="5"/>
      <c r="H5129" s="2"/>
      <c r="I5129" s="2"/>
      <c r="K5129" s="2"/>
      <c r="L5129" s="2"/>
      <c r="M5129" s="2"/>
      <c r="N5129" s="2"/>
      <c r="O5129" s="2"/>
      <c r="P5129" s="2"/>
      <c r="Q5129" s="2"/>
      <c r="R5129" s="2"/>
      <c r="S5129" s="2"/>
      <c r="T5129" s="19"/>
      <c r="U5129" s="2"/>
      <c r="V5129" s="2"/>
      <c r="W5129" s="2"/>
      <c r="X5129" s="19"/>
      <c r="Y5129" s="2"/>
      <c r="Z5129" s="5"/>
    </row>
    <row r="5130" spans="7:26" ht="75.75" customHeight="1" x14ac:dyDescent="0.25">
      <c r="G5130" s="5"/>
      <c r="H5130" s="2"/>
      <c r="I5130" s="2"/>
      <c r="K5130" s="2"/>
      <c r="L5130" s="2"/>
      <c r="M5130" s="2"/>
      <c r="N5130" s="2"/>
      <c r="O5130" s="2"/>
      <c r="P5130" s="2"/>
      <c r="Q5130" s="2"/>
      <c r="R5130" s="2"/>
      <c r="S5130" s="2"/>
      <c r="T5130" s="19"/>
      <c r="U5130" s="2"/>
      <c r="V5130" s="2"/>
      <c r="W5130" s="2"/>
      <c r="X5130" s="19"/>
      <c r="Y5130" s="2"/>
      <c r="Z5130" s="5"/>
    </row>
    <row r="5131" spans="7:26" ht="75.75" customHeight="1" x14ac:dyDescent="0.25">
      <c r="G5131" s="5"/>
      <c r="H5131" s="2"/>
      <c r="I5131" s="2"/>
      <c r="K5131" s="2"/>
      <c r="L5131" s="2"/>
      <c r="M5131" s="2"/>
      <c r="N5131" s="2"/>
      <c r="O5131" s="2"/>
      <c r="P5131" s="2"/>
      <c r="Q5131" s="2"/>
      <c r="R5131" s="2"/>
      <c r="S5131" s="2"/>
      <c r="T5131" s="19"/>
      <c r="U5131" s="2"/>
      <c r="V5131" s="2"/>
      <c r="W5131" s="2"/>
      <c r="X5131" s="19"/>
      <c r="Y5131" s="2"/>
      <c r="Z5131" s="5"/>
    </row>
    <row r="5132" spans="7:26" ht="75.75" customHeight="1" x14ac:dyDescent="0.25">
      <c r="G5132" s="5"/>
      <c r="H5132" s="2"/>
      <c r="I5132" s="2"/>
      <c r="K5132" s="2"/>
      <c r="L5132" s="2"/>
      <c r="M5132" s="2"/>
      <c r="N5132" s="2"/>
      <c r="O5132" s="2"/>
      <c r="P5132" s="2"/>
      <c r="Q5132" s="2"/>
      <c r="R5132" s="2"/>
      <c r="S5132" s="2"/>
      <c r="T5132" s="19"/>
      <c r="U5132" s="2"/>
      <c r="V5132" s="2"/>
      <c r="W5132" s="2"/>
      <c r="X5132" s="19"/>
      <c r="Y5132" s="2"/>
      <c r="Z5132" s="5"/>
    </row>
    <row r="5133" spans="7:26" ht="75.75" customHeight="1" x14ac:dyDescent="0.25">
      <c r="G5133" s="5"/>
      <c r="H5133" s="2"/>
      <c r="I5133" s="2"/>
      <c r="K5133" s="2"/>
      <c r="L5133" s="2"/>
      <c r="M5133" s="2"/>
      <c r="N5133" s="2"/>
      <c r="O5133" s="2"/>
      <c r="P5133" s="2"/>
      <c r="Q5133" s="2"/>
      <c r="R5133" s="2"/>
      <c r="S5133" s="2"/>
      <c r="T5133" s="19"/>
      <c r="U5133" s="2"/>
      <c r="V5133" s="2"/>
      <c r="W5133" s="2"/>
      <c r="X5133" s="19"/>
      <c r="Y5133" s="2"/>
      <c r="Z5133" s="5"/>
    </row>
    <row r="5134" spans="7:26" ht="75.75" customHeight="1" x14ac:dyDescent="0.25">
      <c r="G5134" s="5"/>
      <c r="H5134" s="2"/>
      <c r="I5134" s="2"/>
      <c r="K5134" s="2"/>
      <c r="L5134" s="2"/>
      <c r="M5134" s="2"/>
      <c r="N5134" s="2"/>
      <c r="O5134" s="2"/>
      <c r="P5134" s="2"/>
      <c r="Q5134" s="2"/>
      <c r="R5134" s="2"/>
      <c r="S5134" s="2"/>
      <c r="T5134" s="19"/>
      <c r="U5134" s="2"/>
      <c r="V5134" s="2"/>
      <c r="W5134" s="2"/>
      <c r="X5134" s="19"/>
      <c r="Y5134" s="2"/>
      <c r="Z5134" s="5"/>
    </row>
    <row r="5135" spans="7:26" ht="75.75" customHeight="1" x14ac:dyDescent="0.25">
      <c r="G5135" s="5"/>
      <c r="H5135" s="2"/>
      <c r="I5135" s="2"/>
      <c r="K5135" s="2"/>
      <c r="L5135" s="2"/>
      <c r="M5135" s="2"/>
      <c r="N5135" s="2"/>
      <c r="O5135" s="2"/>
      <c r="P5135" s="2"/>
      <c r="Q5135" s="2"/>
      <c r="R5135" s="2"/>
      <c r="S5135" s="2"/>
      <c r="T5135" s="19"/>
      <c r="U5135" s="2"/>
      <c r="V5135" s="2"/>
      <c r="W5135" s="2"/>
      <c r="X5135" s="19"/>
      <c r="Y5135" s="2"/>
      <c r="Z5135" s="5"/>
    </row>
    <row r="5136" spans="7:26" ht="75.75" customHeight="1" x14ac:dyDescent="0.25">
      <c r="G5136" s="5"/>
      <c r="H5136" s="2"/>
      <c r="I5136" s="2"/>
      <c r="K5136" s="2"/>
      <c r="L5136" s="2"/>
      <c r="M5136" s="2"/>
      <c r="N5136" s="2"/>
      <c r="O5136" s="2"/>
      <c r="P5136" s="2"/>
      <c r="Q5136" s="2"/>
      <c r="R5136" s="2"/>
      <c r="S5136" s="2"/>
      <c r="T5136" s="19"/>
      <c r="U5136" s="2"/>
      <c r="V5136" s="2"/>
      <c r="W5136" s="2"/>
      <c r="X5136" s="19"/>
      <c r="Y5136" s="2"/>
      <c r="Z5136" s="5"/>
    </row>
    <row r="5137" spans="7:26" ht="75.75" customHeight="1" x14ac:dyDescent="0.25">
      <c r="G5137" s="5"/>
      <c r="H5137" s="2"/>
      <c r="I5137" s="2"/>
      <c r="K5137" s="2"/>
      <c r="L5137" s="2"/>
      <c r="M5137" s="2"/>
      <c r="N5137" s="2"/>
      <c r="O5137" s="2"/>
      <c r="P5137" s="2"/>
      <c r="Q5137" s="2"/>
      <c r="R5137" s="2"/>
      <c r="S5137" s="2"/>
      <c r="T5137" s="19"/>
      <c r="U5137" s="2"/>
      <c r="V5137" s="2"/>
      <c r="W5137" s="2"/>
      <c r="X5137" s="19"/>
      <c r="Y5137" s="2"/>
      <c r="Z5137" s="5"/>
    </row>
    <row r="5138" spans="7:26" ht="75.75" customHeight="1" x14ac:dyDescent="0.25">
      <c r="G5138" s="5"/>
      <c r="H5138" s="2"/>
      <c r="I5138" s="2"/>
      <c r="K5138" s="2"/>
      <c r="L5138" s="2"/>
      <c r="M5138" s="2"/>
      <c r="N5138" s="2"/>
      <c r="O5138" s="2"/>
      <c r="P5138" s="2"/>
      <c r="Q5138" s="2"/>
      <c r="R5138" s="2"/>
      <c r="S5138" s="2"/>
      <c r="T5138" s="19"/>
      <c r="U5138" s="2"/>
      <c r="V5138" s="2"/>
      <c r="W5138" s="2"/>
      <c r="X5138" s="19"/>
      <c r="Y5138" s="2"/>
      <c r="Z5138" s="5"/>
    </row>
    <row r="5139" spans="7:26" ht="75.75" customHeight="1" x14ac:dyDescent="0.25">
      <c r="G5139" s="5"/>
      <c r="H5139" s="2"/>
      <c r="I5139" s="2"/>
      <c r="K5139" s="2"/>
      <c r="L5139" s="2"/>
      <c r="M5139" s="2"/>
      <c r="N5139" s="2"/>
      <c r="O5139" s="2"/>
      <c r="P5139" s="2"/>
      <c r="Q5139" s="2"/>
      <c r="R5139" s="2"/>
      <c r="S5139" s="2"/>
      <c r="T5139" s="19"/>
      <c r="U5139" s="2"/>
      <c r="V5139" s="2"/>
      <c r="W5139" s="2"/>
      <c r="X5139" s="19"/>
      <c r="Y5139" s="2"/>
      <c r="Z5139" s="5"/>
    </row>
    <row r="5140" spans="7:26" ht="75.75" customHeight="1" x14ac:dyDescent="0.25">
      <c r="G5140" s="5"/>
      <c r="H5140" s="2"/>
      <c r="I5140" s="2"/>
      <c r="K5140" s="2"/>
      <c r="L5140" s="2"/>
      <c r="M5140" s="2"/>
      <c r="N5140" s="2"/>
      <c r="O5140" s="2"/>
      <c r="P5140" s="2"/>
      <c r="Q5140" s="2"/>
      <c r="R5140" s="2"/>
      <c r="S5140" s="2"/>
      <c r="T5140" s="19"/>
      <c r="U5140" s="2"/>
      <c r="V5140" s="2"/>
      <c r="W5140" s="2"/>
      <c r="X5140" s="19"/>
      <c r="Y5140" s="2"/>
      <c r="Z5140" s="5"/>
    </row>
    <row r="5141" spans="7:26" ht="75.75" customHeight="1" x14ac:dyDescent="0.25">
      <c r="G5141" s="5"/>
      <c r="H5141" s="2"/>
      <c r="I5141" s="2"/>
      <c r="K5141" s="2"/>
      <c r="L5141" s="2"/>
      <c r="M5141" s="2"/>
      <c r="N5141" s="2"/>
      <c r="O5141" s="2"/>
      <c r="P5141" s="2"/>
      <c r="Q5141" s="2"/>
      <c r="R5141" s="2"/>
      <c r="S5141" s="2"/>
      <c r="T5141" s="19"/>
      <c r="U5141" s="2"/>
      <c r="V5141" s="2"/>
      <c r="W5141" s="2"/>
      <c r="X5141" s="19"/>
      <c r="Y5141" s="2"/>
      <c r="Z5141" s="5"/>
    </row>
    <row r="5142" spans="7:26" ht="75.75" customHeight="1" x14ac:dyDescent="0.25">
      <c r="G5142" s="5"/>
      <c r="H5142" s="2"/>
      <c r="I5142" s="2"/>
      <c r="K5142" s="2"/>
      <c r="L5142" s="2"/>
      <c r="M5142" s="2"/>
      <c r="N5142" s="2"/>
      <c r="O5142" s="2"/>
      <c r="P5142" s="2"/>
      <c r="Q5142" s="2"/>
      <c r="R5142" s="2"/>
      <c r="S5142" s="2"/>
      <c r="T5142" s="19"/>
      <c r="U5142" s="2"/>
      <c r="V5142" s="2"/>
      <c r="W5142" s="2"/>
      <c r="X5142" s="19"/>
      <c r="Y5142" s="2"/>
      <c r="Z5142" s="5"/>
    </row>
    <row r="5143" spans="7:26" ht="75.75" customHeight="1" x14ac:dyDescent="0.25">
      <c r="G5143" s="5"/>
      <c r="H5143" s="2"/>
      <c r="I5143" s="2"/>
      <c r="K5143" s="2"/>
      <c r="L5143" s="2"/>
      <c r="M5143" s="2"/>
      <c r="N5143" s="2"/>
      <c r="O5143" s="2"/>
      <c r="P5143" s="2"/>
      <c r="Q5143" s="2"/>
      <c r="R5143" s="2"/>
      <c r="S5143" s="2"/>
      <c r="T5143" s="19"/>
      <c r="U5143" s="2"/>
      <c r="V5143" s="2"/>
      <c r="W5143" s="2"/>
      <c r="X5143" s="19"/>
      <c r="Y5143" s="2"/>
      <c r="Z5143" s="5"/>
    </row>
    <row r="5144" spans="7:26" ht="75.75" customHeight="1" x14ac:dyDescent="0.25">
      <c r="G5144" s="5"/>
      <c r="H5144" s="2"/>
      <c r="I5144" s="2"/>
      <c r="K5144" s="2"/>
      <c r="L5144" s="2"/>
      <c r="M5144" s="2"/>
      <c r="N5144" s="2"/>
      <c r="O5144" s="2"/>
      <c r="P5144" s="2"/>
      <c r="Q5144" s="2"/>
      <c r="R5144" s="2"/>
      <c r="S5144" s="2"/>
      <c r="T5144" s="19"/>
      <c r="U5144" s="2"/>
      <c r="V5144" s="2"/>
      <c r="W5144" s="2"/>
      <c r="X5144" s="19"/>
      <c r="Y5144" s="2"/>
      <c r="Z5144" s="5"/>
    </row>
    <row r="5145" spans="7:26" ht="75.75" customHeight="1" x14ac:dyDescent="0.25">
      <c r="G5145" s="5"/>
      <c r="H5145" s="2"/>
      <c r="I5145" s="2"/>
      <c r="K5145" s="2"/>
      <c r="L5145" s="2"/>
      <c r="M5145" s="2"/>
      <c r="N5145" s="2"/>
      <c r="O5145" s="2"/>
      <c r="P5145" s="2"/>
      <c r="Q5145" s="2"/>
      <c r="R5145" s="2"/>
      <c r="S5145" s="2"/>
      <c r="T5145" s="19"/>
      <c r="U5145" s="2"/>
      <c r="V5145" s="2"/>
      <c r="W5145" s="2"/>
      <c r="X5145" s="19"/>
      <c r="Y5145" s="2"/>
      <c r="Z5145" s="5"/>
    </row>
    <row r="5146" spans="7:26" ht="75.75" customHeight="1" x14ac:dyDescent="0.25">
      <c r="G5146" s="5"/>
      <c r="H5146" s="2"/>
      <c r="I5146" s="2"/>
      <c r="K5146" s="2"/>
      <c r="L5146" s="2"/>
      <c r="M5146" s="2"/>
      <c r="N5146" s="2"/>
      <c r="O5146" s="2"/>
      <c r="P5146" s="2"/>
      <c r="Q5146" s="2"/>
      <c r="R5146" s="2"/>
      <c r="S5146" s="2"/>
      <c r="T5146" s="19"/>
      <c r="U5146" s="2"/>
      <c r="V5146" s="2"/>
      <c r="W5146" s="2"/>
      <c r="X5146" s="19"/>
      <c r="Y5146" s="2"/>
      <c r="Z5146" s="5"/>
    </row>
    <row r="5147" spans="7:26" ht="75.75" customHeight="1" x14ac:dyDescent="0.25">
      <c r="G5147" s="5"/>
      <c r="H5147" s="2"/>
      <c r="I5147" s="2"/>
      <c r="K5147" s="2"/>
      <c r="L5147" s="2"/>
      <c r="M5147" s="2"/>
      <c r="N5147" s="2"/>
      <c r="O5147" s="2"/>
      <c r="P5147" s="2"/>
      <c r="Q5147" s="2"/>
      <c r="R5147" s="2"/>
      <c r="S5147" s="2"/>
      <c r="T5147" s="19"/>
      <c r="U5147" s="2"/>
      <c r="V5147" s="2"/>
      <c r="W5147" s="2"/>
      <c r="X5147" s="19"/>
      <c r="Y5147" s="2"/>
      <c r="Z5147" s="5"/>
    </row>
    <row r="5148" spans="7:26" ht="75.75" customHeight="1" x14ac:dyDescent="0.25">
      <c r="G5148" s="5"/>
      <c r="H5148" s="2"/>
      <c r="I5148" s="2"/>
      <c r="K5148" s="2"/>
      <c r="L5148" s="2"/>
      <c r="M5148" s="2"/>
      <c r="N5148" s="2"/>
      <c r="O5148" s="2"/>
      <c r="P5148" s="2"/>
      <c r="Q5148" s="2"/>
      <c r="R5148" s="2"/>
      <c r="S5148" s="2"/>
      <c r="T5148" s="19"/>
      <c r="U5148" s="2"/>
      <c r="V5148" s="2"/>
      <c r="W5148" s="2"/>
      <c r="X5148" s="19"/>
      <c r="Y5148" s="2"/>
      <c r="Z5148" s="5"/>
    </row>
    <row r="5149" spans="7:26" ht="75.75" customHeight="1" x14ac:dyDescent="0.25">
      <c r="G5149" s="5"/>
      <c r="H5149" s="2"/>
      <c r="I5149" s="2"/>
      <c r="K5149" s="2"/>
      <c r="L5149" s="2"/>
      <c r="M5149" s="2"/>
      <c r="N5149" s="2"/>
      <c r="O5149" s="2"/>
      <c r="P5149" s="2"/>
      <c r="Q5149" s="2"/>
      <c r="R5149" s="2"/>
      <c r="S5149" s="2"/>
      <c r="T5149" s="19"/>
      <c r="U5149" s="2"/>
      <c r="V5149" s="2"/>
      <c r="W5149" s="2"/>
      <c r="X5149" s="19"/>
      <c r="Y5149" s="2"/>
      <c r="Z5149" s="5"/>
    </row>
    <row r="5150" spans="7:26" ht="75.75" customHeight="1" x14ac:dyDescent="0.25">
      <c r="G5150" s="5"/>
      <c r="H5150" s="2"/>
      <c r="I5150" s="2"/>
      <c r="K5150" s="2"/>
      <c r="L5150" s="2"/>
      <c r="M5150" s="2"/>
      <c r="N5150" s="2"/>
      <c r="O5150" s="2"/>
      <c r="P5150" s="2"/>
      <c r="Q5150" s="2"/>
      <c r="R5150" s="2"/>
      <c r="S5150" s="2"/>
      <c r="T5150" s="19"/>
      <c r="U5150" s="2"/>
      <c r="V5150" s="2"/>
      <c r="W5150" s="2"/>
      <c r="X5150" s="19"/>
      <c r="Y5150" s="2"/>
      <c r="Z5150" s="5"/>
    </row>
    <row r="5151" spans="7:26" ht="75.75" customHeight="1" x14ac:dyDescent="0.25">
      <c r="G5151" s="5"/>
      <c r="H5151" s="2"/>
      <c r="I5151" s="2"/>
      <c r="K5151" s="2"/>
      <c r="L5151" s="2"/>
      <c r="M5151" s="2"/>
      <c r="N5151" s="2"/>
      <c r="O5151" s="2"/>
      <c r="P5151" s="2"/>
      <c r="Q5151" s="2"/>
      <c r="R5151" s="2"/>
      <c r="S5151" s="2"/>
      <c r="T5151" s="19"/>
      <c r="U5151" s="2"/>
      <c r="V5151" s="2"/>
      <c r="W5151" s="2"/>
      <c r="X5151" s="19"/>
      <c r="Y5151" s="2"/>
      <c r="Z5151" s="5"/>
    </row>
    <row r="5152" spans="7:26" ht="75.75" customHeight="1" x14ac:dyDescent="0.25">
      <c r="G5152" s="5"/>
      <c r="H5152" s="2"/>
      <c r="I5152" s="2"/>
      <c r="K5152" s="2"/>
      <c r="L5152" s="2"/>
      <c r="M5152" s="2"/>
      <c r="N5152" s="2"/>
      <c r="O5152" s="2"/>
      <c r="P5152" s="2"/>
      <c r="Q5152" s="2"/>
      <c r="R5152" s="2"/>
      <c r="S5152" s="2"/>
      <c r="T5152" s="19"/>
      <c r="U5152" s="2"/>
      <c r="V5152" s="2"/>
      <c r="W5152" s="2"/>
      <c r="X5152" s="19"/>
      <c r="Y5152" s="2"/>
      <c r="Z5152" s="5"/>
    </row>
    <row r="5153" spans="7:26" ht="75.75" customHeight="1" x14ac:dyDescent="0.25">
      <c r="G5153" s="5"/>
      <c r="H5153" s="2"/>
      <c r="I5153" s="2"/>
      <c r="K5153" s="2"/>
      <c r="L5153" s="2"/>
      <c r="M5153" s="2"/>
      <c r="N5153" s="2"/>
      <c r="O5153" s="2"/>
      <c r="P5153" s="2"/>
      <c r="Q5153" s="2"/>
      <c r="R5153" s="2"/>
      <c r="S5153" s="2"/>
      <c r="T5153" s="19"/>
      <c r="U5153" s="2"/>
      <c r="V5153" s="2"/>
      <c r="W5153" s="2"/>
      <c r="X5153" s="19"/>
      <c r="Y5153" s="2"/>
      <c r="Z5153" s="5"/>
    </row>
    <row r="5154" spans="7:26" ht="75.75" customHeight="1" x14ac:dyDescent="0.25">
      <c r="G5154" s="5"/>
      <c r="H5154" s="2"/>
      <c r="I5154" s="2"/>
      <c r="K5154" s="2"/>
      <c r="L5154" s="2"/>
      <c r="M5154" s="2"/>
      <c r="N5154" s="2"/>
      <c r="O5154" s="2"/>
      <c r="P5154" s="2"/>
      <c r="Q5154" s="2"/>
      <c r="R5154" s="2"/>
      <c r="S5154" s="2"/>
      <c r="T5154" s="19"/>
      <c r="U5154" s="2"/>
      <c r="V5154" s="2"/>
      <c r="W5154" s="2"/>
      <c r="X5154" s="19"/>
      <c r="Y5154" s="2"/>
      <c r="Z5154" s="5"/>
    </row>
    <row r="5155" spans="7:26" ht="75.75" customHeight="1" x14ac:dyDescent="0.25">
      <c r="G5155" s="5"/>
      <c r="H5155" s="2"/>
      <c r="I5155" s="2"/>
      <c r="K5155" s="2"/>
      <c r="L5155" s="2"/>
      <c r="M5155" s="2"/>
      <c r="N5155" s="2"/>
      <c r="O5155" s="2"/>
      <c r="P5155" s="2"/>
      <c r="Q5155" s="2"/>
      <c r="R5155" s="2"/>
      <c r="S5155" s="2"/>
      <c r="T5155" s="19"/>
      <c r="U5155" s="2"/>
      <c r="V5155" s="2"/>
      <c r="W5155" s="2"/>
      <c r="X5155" s="19"/>
      <c r="Y5155" s="2"/>
      <c r="Z5155" s="5"/>
    </row>
    <row r="5156" spans="7:26" ht="75.75" customHeight="1" x14ac:dyDescent="0.25">
      <c r="G5156" s="5"/>
      <c r="H5156" s="2"/>
      <c r="I5156" s="2"/>
      <c r="K5156" s="2"/>
      <c r="L5156" s="2"/>
      <c r="M5156" s="2"/>
      <c r="N5156" s="2"/>
      <c r="O5156" s="2"/>
      <c r="P5156" s="2"/>
      <c r="Q5156" s="2"/>
      <c r="R5156" s="2"/>
      <c r="S5156" s="2"/>
      <c r="T5156" s="19"/>
      <c r="U5156" s="2"/>
      <c r="V5156" s="2"/>
      <c r="W5156" s="2"/>
      <c r="X5156" s="19"/>
      <c r="Y5156" s="2"/>
      <c r="Z5156" s="5"/>
    </row>
    <row r="5157" spans="7:26" ht="75.75" customHeight="1" x14ac:dyDescent="0.25">
      <c r="G5157" s="5"/>
      <c r="H5157" s="2"/>
      <c r="I5157" s="2"/>
      <c r="K5157" s="2"/>
      <c r="L5157" s="2"/>
      <c r="M5157" s="2"/>
      <c r="N5157" s="2"/>
      <c r="O5157" s="2"/>
      <c r="P5157" s="2"/>
      <c r="Q5157" s="2"/>
      <c r="R5157" s="2"/>
      <c r="S5157" s="2"/>
      <c r="T5157" s="19"/>
      <c r="U5157" s="2"/>
      <c r="V5157" s="2"/>
      <c r="W5157" s="2"/>
      <c r="X5157" s="19"/>
      <c r="Y5157" s="2"/>
      <c r="Z5157" s="5"/>
    </row>
    <row r="5158" spans="7:26" ht="75.75" customHeight="1" x14ac:dyDescent="0.25">
      <c r="G5158" s="5"/>
      <c r="H5158" s="2"/>
      <c r="I5158" s="2"/>
      <c r="K5158" s="2"/>
      <c r="L5158" s="2"/>
      <c r="M5158" s="2"/>
      <c r="N5158" s="2"/>
      <c r="O5158" s="2"/>
      <c r="P5158" s="2"/>
      <c r="Q5158" s="2"/>
      <c r="R5158" s="2"/>
      <c r="S5158" s="2"/>
      <c r="T5158" s="19"/>
      <c r="U5158" s="2"/>
      <c r="V5158" s="2"/>
      <c r="W5158" s="2"/>
      <c r="X5158" s="19"/>
      <c r="Y5158" s="2"/>
      <c r="Z5158" s="5"/>
    </row>
    <row r="5159" spans="7:26" ht="75.75" customHeight="1" x14ac:dyDescent="0.25">
      <c r="G5159" s="5"/>
      <c r="H5159" s="2"/>
      <c r="I5159" s="2"/>
      <c r="K5159" s="2"/>
      <c r="L5159" s="2"/>
      <c r="M5159" s="2"/>
      <c r="N5159" s="2"/>
      <c r="O5159" s="2"/>
      <c r="P5159" s="2"/>
      <c r="Q5159" s="2"/>
      <c r="R5159" s="2"/>
      <c r="S5159" s="2"/>
      <c r="T5159" s="19"/>
      <c r="U5159" s="2"/>
      <c r="V5159" s="2"/>
      <c r="W5159" s="2"/>
      <c r="X5159" s="19"/>
      <c r="Y5159" s="2"/>
      <c r="Z5159" s="5"/>
    </row>
    <row r="5160" spans="7:26" ht="75.75" customHeight="1" x14ac:dyDescent="0.25">
      <c r="G5160" s="5"/>
      <c r="H5160" s="2"/>
      <c r="I5160" s="2"/>
      <c r="K5160" s="2"/>
      <c r="L5160" s="2"/>
      <c r="M5160" s="2"/>
      <c r="N5160" s="2"/>
      <c r="O5160" s="2"/>
      <c r="P5160" s="2"/>
      <c r="Q5160" s="2"/>
      <c r="R5160" s="2"/>
      <c r="S5160" s="2"/>
      <c r="T5160" s="19"/>
      <c r="U5160" s="2"/>
      <c r="V5160" s="2"/>
      <c r="W5160" s="2"/>
      <c r="X5160" s="19"/>
      <c r="Y5160" s="2"/>
      <c r="Z5160" s="5"/>
    </row>
    <row r="5161" spans="7:26" ht="75.75" customHeight="1" x14ac:dyDescent="0.25">
      <c r="G5161" s="5"/>
      <c r="H5161" s="2"/>
      <c r="I5161" s="2"/>
      <c r="K5161" s="2"/>
      <c r="L5161" s="2"/>
      <c r="M5161" s="2"/>
      <c r="N5161" s="2"/>
      <c r="O5161" s="2"/>
      <c r="P5161" s="2"/>
      <c r="Q5161" s="2"/>
      <c r="R5161" s="2"/>
      <c r="S5161" s="2"/>
      <c r="T5161" s="19"/>
      <c r="U5161" s="2"/>
      <c r="V5161" s="2"/>
      <c r="W5161" s="2"/>
      <c r="X5161" s="19"/>
      <c r="Y5161" s="2"/>
      <c r="Z5161" s="5"/>
    </row>
    <row r="5162" spans="7:26" ht="75.75" customHeight="1" x14ac:dyDescent="0.25">
      <c r="G5162" s="5"/>
      <c r="H5162" s="2"/>
      <c r="I5162" s="2"/>
      <c r="K5162" s="2"/>
      <c r="L5162" s="2"/>
      <c r="M5162" s="2"/>
      <c r="N5162" s="2"/>
      <c r="O5162" s="2"/>
      <c r="P5162" s="2"/>
      <c r="Q5162" s="2"/>
      <c r="R5162" s="2"/>
      <c r="S5162" s="2"/>
      <c r="T5162" s="19"/>
      <c r="U5162" s="2"/>
      <c r="V5162" s="2"/>
      <c r="W5162" s="2"/>
      <c r="X5162" s="19"/>
      <c r="Y5162" s="2"/>
      <c r="Z5162" s="5"/>
    </row>
    <row r="5163" spans="7:26" ht="75.75" customHeight="1" x14ac:dyDescent="0.25">
      <c r="G5163" s="5"/>
      <c r="H5163" s="2"/>
      <c r="I5163" s="2"/>
      <c r="K5163" s="2"/>
      <c r="L5163" s="2"/>
      <c r="M5163" s="2"/>
      <c r="N5163" s="2"/>
      <c r="O5163" s="2"/>
      <c r="P5163" s="2"/>
      <c r="Q5163" s="2"/>
      <c r="R5163" s="2"/>
      <c r="S5163" s="2"/>
      <c r="T5163" s="19"/>
      <c r="U5163" s="2"/>
      <c r="V5163" s="2"/>
      <c r="W5163" s="2"/>
      <c r="X5163" s="19"/>
      <c r="Y5163" s="2"/>
      <c r="Z5163" s="5"/>
    </row>
    <row r="5164" spans="7:26" ht="75.75" customHeight="1" x14ac:dyDescent="0.25">
      <c r="G5164" s="5"/>
      <c r="H5164" s="2"/>
      <c r="I5164" s="2"/>
      <c r="K5164" s="2"/>
      <c r="L5164" s="2"/>
      <c r="M5164" s="2"/>
      <c r="N5164" s="2"/>
      <c r="O5164" s="2"/>
      <c r="P5164" s="2"/>
      <c r="Q5164" s="2"/>
      <c r="R5164" s="2"/>
      <c r="S5164" s="2"/>
      <c r="T5164" s="19"/>
      <c r="U5164" s="2"/>
      <c r="V5164" s="2"/>
      <c r="W5164" s="2"/>
      <c r="X5164" s="19"/>
      <c r="Y5164" s="2"/>
      <c r="Z5164" s="5"/>
    </row>
    <row r="5165" spans="7:26" ht="75.75" customHeight="1" x14ac:dyDescent="0.25">
      <c r="G5165" s="5"/>
      <c r="H5165" s="2"/>
      <c r="I5165" s="2"/>
      <c r="K5165" s="2"/>
      <c r="L5165" s="2"/>
      <c r="M5165" s="2"/>
      <c r="N5165" s="2"/>
      <c r="O5165" s="2"/>
      <c r="P5165" s="2"/>
      <c r="Q5165" s="2"/>
      <c r="R5165" s="2"/>
      <c r="S5165" s="2"/>
      <c r="T5165" s="19"/>
      <c r="U5165" s="2"/>
      <c r="V5165" s="2"/>
      <c r="W5165" s="2"/>
      <c r="X5165" s="19"/>
      <c r="Y5165" s="2"/>
      <c r="Z5165" s="5"/>
    </row>
    <row r="5166" spans="7:26" ht="75.75" customHeight="1" x14ac:dyDescent="0.25">
      <c r="G5166" s="5"/>
      <c r="H5166" s="2"/>
      <c r="I5166" s="2"/>
      <c r="K5166" s="2"/>
      <c r="L5166" s="2"/>
      <c r="M5166" s="2"/>
      <c r="N5166" s="2"/>
      <c r="O5166" s="2"/>
      <c r="P5166" s="2"/>
      <c r="Q5166" s="2"/>
      <c r="R5166" s="2"/>
      <c r="S5166" s="2"/>
      <c r="T5166" s="19"/>
      <c r="U5166" s="2"/>
      <c r="V5166" s="2"/>
      <c r="W5166" s="2"/>
      <c r="X5166" s="19"/>
      <c r="Y5166" s="2"/>
      <c r="Z5166" s="5"/>
    </row>
    <row r="5167" spans="7:26" ht="75.75" customHeight="1" x14ac:dyDescent="0.25">
      <c r="G5167" s="5"/>
      <c r="H5167" s="2"/>
      <c r="I5167" s="2"/>
      <c r="K5167" s="2"/>
      <c r="L5167" s="2"/>
      <c r="M5167" s="2"/>
      <c r="N5167" s="2"/>
      <c r="O5167" s="2"/>
      <c r="P5167" s="2"/>
      <c r="Q5167" s="2"/>
      <c r="R5167" s="2"/>
      <c r="S5167" s="2"/>
      <c r="T5167" s="19"/>
      <c r="U5167" s="2"/>
      <c r="V5167" s="2"/>
      <c r="W5167" s="2"/>
      <c r="X5167" s="19"/>
      <c r="Y5167" s="2"/>
      <c r="Z5167" s="5"/>
    </row>
    <row r="5168" spans="7:26" ht="75.75" customHeight="1" x14ac:dyDescent="0.25">
      <c r="G5168" s="5"/>
      <c r="H5168" s="2"/>
      <c r="I5168" s="2"/>
      <c r="K5168" s="2"/>
      <c r="L5168" s="2"/>
      <c r="M5168" s="2"/>
      <c r="N5168" s="2"/>
      <c r="O5168" s="2"/>
      <c r="P5168" s="2"/>
      <c r="Q5168" s="2"/>
      <c r="R5168" s="2"/>
      <c r="S5168" s="2"/>
      <c r="T5168" s="19"/>
      <c r="U5168" s="2"/>
      <c r="V5168" s="2"/>
      <c r="W5168" s="2"/>
      <c r="X5168" s="19"/>
      <c r="Y5168" s="2"/>
      <c r="Z5168" s="5"/>
    </row>
    <row r="5169" spans="7:26" ht="75.75" customHeight="1" x14ac:dyDescent="0.25">
      <c r="G5169" s="5"/>
      <c r="H5169" s="2"/>
      <c r="I5169" s="2"/>
      <c r="K5169" s="2"/>
      <c r="L5169" s="2"/>
      <c r="M5169" s="2"/>
      <c r="N5169" s="2"/>
      <c r="O5169" s="2"/>
      <c r="P5169" s="2"/>
      <c r="Q5169" s="2"/>
      <c r="R5169" s="2"/>
      <c r="S5169" s="2"/>
      <c r="T5169" s="19"/>
      <c r="U5169" s="2"/>
      <c r="V5169" s="2"/>
      <c r="W5169" s="2"/>
      <c r="X5169" s="19"/>
      <c r="Y5169" s="2"/>
      <c r="Z5169" s="5"/>
    </row>
    <row r="5170" spans="7:26" ht="75.75" customHeight="1" x14ac:dyDescent="0.25">
      <c r="G5170" s="5"/>
      <c r="H5170" s="2"/>
      <c r="I5170" s="2"/>
      <c r="K5170" s="2"/>
      <c r="L5170" s="2"/>
      <c r="M5170" s="2"/>
      <c r="N5170" s="2"/>
      <c r="O5170" s="2"/>
      <c r="P5170" s="2"/>
      <c r="Q5170" s="2"/>
      <c r="R5170" s="2"/>
      <c r="S5170" s="2"/>
      <c r="T5170" s="19"/>
      <c r="U5170" s="2"/>
      <c r="V5170" s="2"/>
      <c r="W5170" s="2"/>
      <c r="X5170" s="19"/>
      <c r="Y5170" s="2"/>
      <c r="Z5170" s="5"/>
    </row>
    <row r="5171" spans="7:26" ht="75.75" customHeight="1" x14ac:dyDescent="0.25">
      <c r="G5171" s="5"/>
      <c r="H5171" s="2"/>
      <c r="I5171" s="2"/>
      <c r="K5171" s="2"/>
      <c r="L5171" s="2"/>
      <c r="M5171" s="2"/>
      <c r="N5171" s="2"/>
      <c r="O5171" s="2"/>
      <c r="P5171" s="2"/>
      <c r="Q5171" s="2"/>
      <c r="R5171" s="2"/>
      <c r="S5171" s="2"/>
      <c r="T5171" s="19"/>
      <c r="U5171" s="2"/>
      <c r="V5171" s="2"/>
      <c r="W5171" s="2"/>
      <c r="X5171" s="19"/>
      <c r="Y5171" s="2"/>
      <c r="Z5171" s="5"/>
    </row>
    <row r="5172" spans="7:26" ht="75.75" customHeight="1" x14ac:dyDescent="0.25">
      <c r="G5172" s="5"/>
      <c r="H5172" s="2"/>
      <c r="I5172" s="2"/>
      <c r="K5172" s="2"/>
      <c r="L5172" s="2"/>
      <c r="M5172" s="2"/>
      <c r="N5172" s="2"/>
      <c r="O5172" s="2"/>
      <c r="P5172" s="2"/>
      <c r="Q5172" s="2"/>
      <c r="R5172" s="2"/>
      <c r="S5172" s="2"/>
      <c r="T5172" s="19"/>
      <c r="U5172" s="2"/>
      <c r="V5172" s="2"/>
      <c r="W5172" s="2"/>
      <c r="X5172" s="19"/>
      <c r="Y5172" s="2"/>
      <c r="Z5172" s="5"/>
    </row>
    <row r="5173" spans="7:26" ht="75.75" customHeight="1" x14ac:dyDescent="0.25">
      <c r="G5173" s="5"/>
      <c r="H5173" s="2"/>
      <c r="I5173" s="2"/>
      <c r="K5173" s="2"/>
      <c r="L5173" s="2"/>
      <c r="M5173" s="2"/>
      <c r="N5173" s="2"/>
      <c r="O5173" s="2"/>
      <c r="P5173" s="2"/>
      <c r="Q5173" s="2"/>
      <c r="R5173" s="2"/>
      <c r="S5173" s="2"/>
      <c r="T5173" s="19"/>
      <c r="U5173" s="2"/>
      <c r="V5173" s="2"/>
      <c r="W5173" s="2"/>
      <c r="X5173" s="19"/>
      <c r="Y5173" s="2"/>
      <c r="Z5173" s="5"/>
    </row>
    <row r="5174" spans="7:26" ht="75.75" customHeight="1" x14ac:dyDescent="0.25">
      <c r="G5174" s="5"/>
      <c r="H5174" s="2"/>
      <c r="I5174" s="2"/>
      <c r="K5174" s="2"/>
      <c r="L5174" s="2"/>
      <c r="M5174" s="2"/>
      <c r="N5174" s="2"/>
      <c r="O5174" s="2"/>
      <c r="P5174" s="2"/>
      <c r="Q5174" s="2"/>
      <c r="R5174" s="2"/>
      <c r="S5174" s="2"/>
      <c r="T5174" s="19"/>
      <c r="U5174" s="2"/>
      <c r="V5174" s="2"/>
      <c r="W5174" s="2"/>
      <c r="X5174" s="19"/>
      <c r="Y5174" s="2"/>
      <c r="Z5174" s="5"/>
    </row>
    <row r="5175" spans="7:26" ht="75.75" customHeight="1" x14ac:dyDescent="0.25">
      <c r="G5175" s="5"/>
      <c r="H5175" s="2"/>
      <c r="I5175" s="2"/>
      <c r="K5175" s="2"/>
      <c r="L5175" s="2"/>
      <c r="M5175" s="2"/>
      <c r="N5175" s="2"/>
      <c r="O5175" s="2"/>
      <c r="P5175" s="2"/>
      <c r="Q5175" s="2"/>
      <c r="R5175" s="2"/>
      <c r="S5175" s="2"/>
      <c r="T5175" s="19"/>
      <c r="U5175" s="2"/>
      <c r="V5175" s="2"/>
      <c r="W5175" s="2"/>
      <c r="X5175" s="19"/>
      <c r="Y5175" s="2"/>
      <c r="Z5175" s="5"/>
    </row>
    <row r="5176" spans="7:26" ht="75.75" customHeight="1" x14ac:dyDescent="0.25">
      <c r="G5176" s="5"/>
      <c r="H5176" s="2"/>
      <c r="I5176" s="2"/>
      <c r="K5176" s="2"/>
      <c r="L5176" s="2"/>
      <c r="M5176" s="2"/>
      <c r="N5176" s="2"/>
      <c r="O5176" s="2"/>
      <c r="P5176" s="2"/>
      <c r="Q5176" s="2"/>
      <c r="R5176" s="2"/>
      <c r="S5176" s="2"/>
      <c r="T5176" s="19"/>
      <c r="U5176" s="2"/>
      <c r="V5176" s="2"/>
      <c r="W5176" s="2"/>
      <c r="X5176" s="19"/>
      <c r="Y5176" s="2"/>
      <c r="Z5176" s="5"/>
    </row>
    <row r="5177" spans="7:26" ht="75.75" customHeight="1" x14ac:dyDescent="0.25">
      <c r="G5177" s="5"/>
      <c r="H5177" s="2"/>
      <c r="I5177" s="2"/>
      <c r="K5177" s="2"/>
      <c r="L5177" s="2"/>
      <c r="M5177" s="2"/>
      <c r="N5177" s="2"/>
      <c r="O5177" s="2"/>
      <c r="P5177" s="2"/>
      <c r="Q5177" s="2"/>
      <c r="R5177" s="2"/>
      <c r="S5177" s="2"/>
      <c r="T5177" s="19"/>
      <c r="U5177" s="2"/>
      <c r="V5177" s="2"/>
      <c r="W5177" s="2"/>
      <c r="X5177" s="19"/>
      <c r="Y5177" s="2"/>
      <c r="Z5177" s="5"/>
    </row>
    <row r="5178" spans="7:26" ht="75.75" customHeight="1" x14ac:dyDescent="0.25">
      <c r="G5178" s="5"/>
      <c r="H5178" s="2"/>
      <c r="I5178" s="2"/>
      <c r="K5178" s="2"/>
      <c r="L5178" s="2"/>
      <c r="M5178" s="2"/>
      <c r="N5178" s="2"/>
      <c r="O5178" s="2"/>
      <c r="P5178" s="2"/>
      <c r="Q5178" s="2"/>
      <c r="R5178" s="2"/>
      <c r="S5178" s="2"/>
      <c r="T5178" s="19"/>
      <c r="U5178" s="2"/>
      <c r="V5178" s="2"/>
      <c r="W5178" s="2"/>
      <c r="X5178" s="19"/>
      <c r="Y5178" s="2"/>
      <c r="Z5178" s="5"/>
    </row>
    <row r="5179" spans="7:26" ht="75.75" customHeight="1" x14ac:dyDescent="0.25">
      <c r="G5179" s="5"/>
      <c r="H5179" s="2"/>
      <c r="I5179" s="2"/>
      <c r="K5179" s="2"/>
      <c r="L5179" s="2"/>
      <c r="M5179" s="2"/>
      <c r="N5179" s="2"/>
      <c r="O5179" s="2"/>
      <c r="P5179" s="2"/>
      <c r="Q5179" s="2"/>
      <c r="R5179" s="2"/>
      <c r="S5179" s="2"/>
      <c r="T5179" s="19"/>
      <c r="U5179" s="2"/>
      <c r="V5179" s="2"/>
      <c r="W5179" s="2"/>
      <c r="X5179" s="19"/>
      <c r="Y5179" s="2"/>
      <c r="Z5179" s="5"/>
    </row>
    <row r="5180" spans="7:26" ht="75.75" customHeight="1" x14ac:dyDescent="0.25">
      <c r="G5180" s="5"/>
      <c r="H5180" s="2"/>
      <c r="I5180" s="2"/>
      <c r="K5180" s="2"/>
      <c r="L5180" s="2"/>
      <c r="M5180" s="2"/>
      <c r="N5180" s="2"/>
      <c r="O5180" s="2"/>
      <c r="P5180" s="2"/>
      <c r="Q5180" s="2"/>
      <c r="R5180" s="2"/>
      <c r="S5180" s="2"/>
      <c r="T5180" s="19"/>
      <c r="U5180" s="2"/>
      <c r="V5180" s="2"/>
      <c r="W5180" s="2"/>
      <c r="X5180" s="19"/>
      <c r="Y5180" s="2"/>
      <c r="Z5180" s="5"/>
    </row>
    <row r="5181" spans="7:26" ht="75.75" customHeight="1" x14ac:dyDescent="0.25">
      <c r="G5181" s="5"/>
      <c r="H5181" s="2"/>
      <c r="I5181" s="2"/>
      <c r="K5181" s="2"/>
      <c r="L5181" s="2"/>
      <c r="M5181" s="2"/>
      <c r="N5181" s="2"/>
      <c r="O5181" s="2"/>
      <c r="P5181" s="2"/>
      <c r="Q5181" s="2"/>
      <c r="R5181" s="2"/>
      <c r="S5181" s="2"/>
      <c r="T5181" s="19"/>
      <c r="U5181" s="2"/>
      <c r="V5181" s="2"/>
      <c r="W5181" s="2"/>
      <c r="X5181" s="19"/>
      <c r="Y5181" s="2"/>
      <c r="Z5181" s="5"/>
    </row>
    <row r="5182" spans="7:26" ht="75.75" customHeight="1" x14ac:dyDescent="0.25">
      <c r="G5182" s="5"/>
      <c r="H5182" s="2"/>
      <c r="I5182" s="2"/>
      <c r="K5182" s="2"/>
      <c r="L5182" s="2"/>
      <c r="M5182" s="2"/>
      <c r="N5182" s="2"/>
      <c r="O5182" s="2"/>
      <c r="P5182" s="2"/>
      <c r="Q5182" s="2"/>
      <c r="R5182" s="2"/>
      <c r="S5182" s="2"/>
      <c r="T5182" s="19"/>
      <c r="U5182" s="2"/>
      <c r="V5182" s="2"/>
      <c r="W5182" s="2"/>
      <c r="X5182" s="19"/>
      <c r="Y5182" s="2"/>
      <c r="Z5182" s="5"/>
    </row>
    <row r="5183" spans="7:26" ht="75.75" customHeight="1" x14ac:dyDescent="0.25">
      <c r="G5183" s="5"/>
      <c r="H5183" s="2"/>
      <c r="I5183" s="2"/>
      <c r="K5183" s="2"/>
      <c r="L5183" s="2"/>
      <c r="M5183" s="2"/>
      <c r="N5183" s="2"/>
      <c r="O5183" s="2"/>
      <c r="P5183" s="2"/>
      <c r="Q5183" s="2"/>
      <c r="R5183" s="2"/>
      <c r="S5183" s="2"/>
      <c r="T5183" s="19"/>
      <c r="U5183" s="2"/>
      <c r="V5183" s="2"/>
      <c r="W5183" s="2"/>
      <c r="X5183" s="19"/>
      <c r="Y5183" s="2"/>
      <c r="Z5183" s="5"/>
    </row>
    <row r="5184" spans="7:26" ht="75.75" customHeight="1" x14ac:dyDescent="0.25">
      <c r="G5184" s="5"/>
      <c r="H5184" s="2"/>
      <c r="I5184" s="2"/>
      <c r="K5184" s="2"/>
      <c r="L5184" s="2"/>
      <c r="M5184" s="2"/>
      <c r="N5184" s="2"/>
      <c r="O5184" s="2"/>
      <c r="P5184" s="2"/>
      <c r="Q5184" s="2"/>
      <c r="R5184" s="2"/>
      <c r="S5184" s="2"/>
      <c r="T5184" s="19"/>
      <c r="U5184" s="2"/>
      <c r="V5184" s="2"/>
      <c r="W5184" s="2"/>
      <c r="X5184" s="19"/>
      <c r="Y5184" s="2"/>
      <c r="Z5184" s="5"/>
    </row>
    <row r="5185" spans="7:26" ht="75.75" customHeight="1" x14ac:dyDescent="0.25">
      <c r="G5185" s="5"/>
      <c r="H5185" s="2"/>
      <c r="I5185" s="2"/>
      <c r="K5185" s="2"/>
      <c r="L5185" s="2"/>
      <c r="M5185" s="2"/>
      <c r="N5185" s="2"/>
      <c r="O5185" s="2"/>
      <c r="P5185" s="2"/>
      <c r="Q5185" s="2"/>
      <c r="R5185" s="2"/>
      <c r="S5185" s="2"/>
      <c r="T5185" s="19"/>
      <c r="U5185" s="2"/>
      <c r="V5185" s="2"/>
      <c r="W5185" s="2"/>
      <c r="X5185" s="19"/>
      <c r="Y5185" s="2"/>
      <c r="Z5185" s="5"/>
    </row>
    <row r="5186" spans="7:26" ht="75.75" customHeight="1" x14ac:dyDescent="0.25">
      <c r="G5186" s="5"/>
      <c r="H5186" s="2"/>
      <c r="I5186" s="2"/>
      <c r="K5186" s="2"/>
      <c r="L5186" s="2"/>
      <c r="M5186" s="2"/>
      <c r="N5186" s="2"/>
      <c r="O5186" s="2"/>
      <c r="P5186" s="2"/>
      <c r="Q5186" s="2"/>
      <c r="R5186" s="2"/>
      <c r="S5186" s="2"/>
      <c r="T5186" s="19"/>
      <c r="U5186" s="2"/>
      <c r="V5186" s="2"/>
      <c r="W5186" s="2"/>
      <c r="X5186" s="19"/>
      <c r="Y5186" s="2"/>
      <c r="Z5186" s="5"/>
    </row>
    <row r="5187" spans="7:26" ht="75.75" customHeight="1" x14ac:dyDescent="0.25">
      <c r="G5187" s="5"/>
      <c r="H5187" s="2"/>
      <c r="I5187" s="2"/>
      <c r="K5187" s="2"/>
      <c r="L5187" s="2"/>
      <c r="M5187" s="2"/>
      <c r="N5187" s="2"/>
      <c r="O5187" s="2"/>
      <c r="P5187" s="2"/>
      <c r="Q5187" s="2"/>
      <c r="R5187" s="2"/>
      <c r="S5187" s="2"/>
      <c r="T5187" s="19"/>
      <c r="U5187" s="2"/>
      <c r="V5187" s="2"/>
      <c r="W5187" s="2"/>
      <c r="X5187" s="19"/>
      <c r="Y5187" s="2"/>
      <c r="Z5187" s="5"/>
    </row>
    <row r="5188" spans="7:26" ht="75.75" customHeight="1" x14ac:dyDescent="0.25">
      <c r="G5188" s="5"/>
      <c r="H5188" s="2"/>
      <c r="I5188" s="2"/>
      <c r="K5188" s="2"/>
      <c r="L5188" s="2"/>
      <c r="M5188" s="2"/>
      <c r="N5188" s="2"/>
      <c r="O5188" s="2"/>
      <c r="P5188" s="2"/>
      <c r="Q5188" s="2"/>
      <c r="R5188" s="2"/>
      <c r="S5188" s="2"/>
      <c r="T5188" s="19"/>
      <c r="U5188" s="2"/>
      <c r="V5188" s="2"/>
      <c r="W5188" s="2"/>
      <c r="X5188" s="19"/>
      <c r="Y5188" s="2"/>
      <c r="Z5188" s="5"/>
    </row>
    <row r="5189" spans="7:26" ht="75.75" customHeight="1" x14ac:dyDescent="0.25">
      <c r="G5189" s="5"/>
      <c r="H5189" s="2"/>
      <c r="I5189" s="2"/>
      <c r="K5189" s="2"/>
      <c r="L5189" s="2"/>
      <c r="M5189" s="2"/>
      <c r="N5189" s="2"/>
      <c r="O5189" s="2"/>
      <c r="P5189" s="2"/>
      <c r="Q5189" s="2"/>
      <c r="R5189" s="2"/>
      <c r="S5189" s="2"/>
      <c r="T5189" s="19"/>
      <c r="U5189" s="2"/>
      <c r="V5189" s="2"/>
      <c r="W5189" s="2"/>
      <c r="X5189" s="19"/>
      <c r="Y5189" s="2"/>
      <c r="Z5189" s="5"/>
    </row>
    <row r="5190" spans="7:26" ht="75.75" customHeight="1" x14ac:dyDescent="0.25">
      <c r="G5190" s="5"/>
      <c r="H5190" s="2"/>
      <c r="I5190" s="2"/>
      <c r="K5190" s="2"/>
      <c r="L5190" s="2"/>
      <c r="M5190" s="2"/>
      <c r="N5190" s="2"/>
      <c r="O5190" s="2"/>
      <c r="P5190" s="2"/>
      <c r="Q5190" s="2"/>
      <c r="R5190" s="2"/>
      <c r="S5190" s="2"/>
      <c r="T5190" s="19"/>
      <c r="U5190" s="2"/>
      <c r="V5190" s="2"/>
      <c r="W5190" s="2"/>
      <c r="X5190" s="19"/>
      <c r="Y5190" s="2"/>
      <c r="Z5190" s="5"/>
    </row>
    <row r="5191" spans="7:26" ht="75.75" customHeight="1" x14ac:dyDescent="0.25">
      <c r="G5191" s="5"/>
      <c r="H5191" s="2"/>
      <c r="I5191" s="2"/>
      <c r="K5191" s="2"/>
      <c r="L5191" s="2"/>
      <c r="M5191" s="2"/>
      <c r="N5191" s="2"/>
      <c r="O5191" s="2"/>
      <c r="P5191" s="2"/>
      <c r="Q5191" s="2"/>
      <c r="R5191" s="2"/>
      <c r="S5191" s="2"/>
      <c r="T5191" s="19"/>
      <c r="U5191" s="2"/>
      <c r="V5191" s="2"/>
      <c r="W5191" s="2"/>
      <c r="X5191" s="19"/>
      <c r="Y5191" s="2"/>
      <c r="Z5191" s="5"/>
    </row>
    <row r="5192" spans="7:26" ht="75.75" customHeight="1" x14ac:dyDescent="0.25">
      <c r="G5192" s="5"/>
      <c r="H5192" s="2"/>
      <c r="I5192" s="2"/>
      <c r="K5192" s="2"/>
      <c r="L5192" s="2"/>
      <c r="M5192" s="2"/>
      <c r="N5192" s="2"/>
      <c r="O5192" s="2"/>
      <c r="P5192" s="2"/>
      <c r="Q5192" s="2"/>
      <c r="R5192" s="2"/>
      <c r="S5192" s="2"/>
      <c r="T5192" s="19"/>
      <c r="U5192" s="2"/>
      <c r="V5192" s="2"/>
      <c r="W5192" s="2"/>
      <c r="X5192" s="19"/>
      <c r="Y5192" s="2"/>
      <c r="Z5192" s="5"/>
    </row>
    <row r="5193" spans="7:26" ht="75.75" customHeight="1" x14ac:dyDescent="0.25">
      <c r="G5193" s="5"/>
      <c r="H5193" s="2"/>
      <c r="I5193" s="2"/>
      <c r="K5193" s="2"/>
      <c r="L5193" s="2"/>
      <c r="M5193" s="2"/>
      <c r="N5193" s="2"/>
      <c r="O5193" s="2"/>
      <c r="P5193" s="2"/>
      <c r="Q5193" s="2"/>
      <c r="R5193" s="2"/>
      <c r="S5193" s="2"/>
      <c r="T5193" s="19"/>
      <c r="U5193" s="2"/>
      <c r="V5193" s="2"/>
      <c r="W5193" s="2"/>
      <c r="X5193" s="19"/>
      <c r="Y5193" s="2"/>
      <c r="Z5193" s="5"/>
    </row>
    <row r="5194" spans="7:26" ht="75.75" customHeight="1" x14ac:dyDescent="0.25">
      <c r="G5194" s="5"/>
      <c r="H5194" s="2"/>
      <c r="I5194" s="2"/>
      <c r="K5194" s="2"/>
      <c r="L5194" s="2"/>
      <c r="M5194" s="2"/>
      <c r="N5194" s="2"/>
      <c r="O5194" s="2"/>
      <c r="P5194" s="2"/>
      <c r="Q5194" s="2"/>
      <c r="R5194" s="2"/>
      <c r="S5194" s="2"/>
      <c r="T5194" s="19"/>
      <c r="U5194" s="2"/>
      <c r="V5194" s="2"/>
      <c r="W5194" s="2"/>
      <c r="X5194" s="19"/>
      <c r="Y5194" s="2"/>
      <c r="Z5194" s="5"/>
    </row>
    <row r="5195" spans="7:26" ht="75.75" customHeight="1" x14ac:dyDescent="0.25">
      <c r="G5195" s="5"/>
      <c r="H5195" s="2"/>
      <c r="I5195" s="2"/>
      <c r="K5195" s="2"/>
      <c r="L5195" s="2"/>
      <c r="M5195" s="2"/>
      <c r="N5195" s="2"/>
      <c r="O5195" s="2"/>
      <c r="P5195" s="2"/>
      <c r="Q5195" s="2"/>
      <c r="R5195" s="2"/>
      <c r="S5195" s="2"/>
      <c r="T5195" s="19"/>
      <c r="U5195" s="2"/>
      <c r="V5195" s="2"/>
      <c r="W5195" s="2"/>
      <c r="X5195" s="19"/>
      <c r="Y5195" s="2"/>
      <c r="Z5195" s="5"/>
    </row>
    <row r="5196" spans="7:26" ht="75.75" customHeight="1" x14ac:dyDescent="0.25">
      <c r="G5196" s="5"/>
      <c r="H5196" s="2"/>
      <c r="I5196" s="2"/>
      <c r="K5196" s="2"/>
      <c r="L5196" s="2"/>
      <c r="M5196" s="2"/>
      <c r="N5196" s="2"/>
      <c r="O5196" s="2"/>
      <c r="P5196" s="2"/>
      <c r="Q5196" s="2"/>
      <c r="R5196" s="2"/>
      <c r="S5196" s="2"/>
      <c r="T5196" s="19"/>
      <c r="U5196" s="2"/>
      <c r="V5196" s="2"/>
      <c r="W5196" s="2"/>
      <c r="X5196" s="19"/>
      <c r="Y5196" s="2"/>
      <c r="Z5196" s="5"/>
    </row>
  </sheetData>
  <mergeCells count="34">
    <mergeCell ref="A2:Z2"/>
    <mergeCell ref="A3:Z3"/>
    <mergeCell ref="A6:J6"/>
    <mergeCell ref="K6:U6"/>
    <mergeCell ref="V6:V11"/>
    <mergeCell ref="W6:W11"/>
    <mergeCell ref="X6:X11"/>
    <mergeCell ref="Y6:Y11"/>
    <mergeCell ref="Z6:Z11"/>
    <mergeCell ref="K7:K11"/>
    <mergeCell ref="A7:A11"/>
    <mergeCell ref="B7:B11"/>
    <mergeCell ref="C7:C11"/>
    <mergeCell ref="D7:F7"/>
    <mergeCell ref="G7:G11"/>
    <mergeCell ref="H7:H11"/>
    <mergeCell ref="I7:I11"/>
    <mergeCell ref="J7:J11"/>
    <mergeCell ref="L19:U19"/>
    <mergeCell ref="B895:C895"/>
    <mergeCell ref="R7:R11"/>
    <mergeCell ref="S7:T7"/>
    <mergeCell ref="U7:U11"/>
    <mergeCell ref="D8:D11"/>
    <mergeCell ref="E8:E11"/>
    <mergeCell ref="F8:F11"/>
    <mergeCell ref="S8:S11"/>
    <mergeCell ref="T8:T11"/>
    <mergeCell ref="L7:L11"/>
    <mergeCell ref="M7:M11"/>
    <mergeCell ref="N7:N11"/>
    <mergeCell ref="O7:O11"/>
    <mergeCell ref="P7:P11"/>
    <mergeCell ref="Q7:Q11"/>
  </mergeCells>
  <conditionalFormatting sqref="A3092:A3093 A3095:A3098">
    <cfRule type="notContainsBlanks" dxfId="0" priority="1">
      <formula>LEN(TRIM(A3092))&gt;0</formula>
    </cfRule>
  </conditionalFormatting>
  <printOptions horizontalCentered="1"/>
  <pageMargins left="0" right="0" top="0.5" bottom="0" header="0.31496062992126" footer="0.31496062992126"/>
  <pageSetup paperSize="9" scale="45" orientation="landscape" horizontalDpi="4294967293" r:id="rId1"/>
  <ignoredErrors>
    <ignoredError sqref="U1204:Y1204 R2308:Z2310 R2316:W2316 X2316:Y2316 V3370:X3370 Y3368 Y3370" unlockedFormula="1"/>
    <ignoredError sqref="X1205 Z1205 U2314:W2315 U3368 U2936" formula="1"/>
    <ignoredError sqref="U1205:W1205 Y1205 V3368 W3368:X3368 X3369" formula="1" unlockedFormula="1"/>
    <ignoredError sqref="I2925" numberStoredAsText="1"/>
  </ignoredError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</vt:i4>
      </vt:variant>
      <vt:variant>
        <vt:lpstr>ช่วงที่มีชื่อ</vt:lpstr>
      </vt:variant>
      <vt:variant>
        <vt:i4>1</vt:i4>
      </vt:variant>
    </vt:vector>
  </HeadingPairs>
  <TitlesOfParts>
    <vt:vector size="2" baseType="lpstr">
      <vt:lpstr>ประกาศ ภ.ด.ส.1 (ปี65)</vt:lpstr>
      <vt:lpstr>'ประกาศ ภ.ด.ส.1 (ปี65)'!Print_Titles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2022-01-28T04:05:26Z</cp:lastPrinted>
  <dcterms:created xsi:type="dcterms:W3CDTF">2021-11-29T11:16:31Z</dcterms:created>
  <dcterms:modified xsi:type="dcterms:W3CDTF">2022-01-31T08:55:06Z</dcterms:modified>
</cp:coreProperties>
</file>